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aseacceleratorcorp-my.sharepoint.com/personal/ttaylor_leaseaccelerator_com/Documents/Documents/Learning/"/>
    </mc:Choice>
  </mc:AlternateContent>
  <xr:revisionPtr revIDLastSave="0" documentId="8_{53CBBC94-5A77-4679-B34D-2FC2C8447820}" xr6:coauthVersionLast="47" xr6:coauthVersionMax="47" xr10:uidLastSave="{00000000-0000-0000-0000-000000000000}"/>
  <bookViews>
    <workbookView xWindow="-108" yWindow="-108" windowWidth="23256" windowHeight="12576" tabRatio="873" activeTab="1" xr2:uid="{78939423-225B-499E-831D-2B1F6ACB7AA0}"/>
  </bookViews>
  <sheets>
    <sheet name="Lease Overview" sheetId="1" r:id="rId1"/>
    <sheet name="Comparison-Sheet" sheetId="40" r:id="rId2"/>
    <sheet name="Life of Lease Summary (Pivot)" sheetId="14" r:id="rId3"/>
    <sheet name="Ledger Entries-schedule" sheetId="10" r:id="rId4"/>
    <sheet name="Control Totals(Ledger Export)" sheetId="11" r:id="rId5"/>
    <sheet name="Parameters(Ledger Export)" sheetId="12" r:id="rId6"/>
    <sheet name="Overview (Accounting Wb)" sheetId="17" r:id="rId7"/>
    <sheet name="Accounting (Accounting Wb)" sheetId="18" r:id="rId8"/>
    <sheet name="Parameters (Accounting Wb)" sheetId="19" r:id="rId9"/>
    <sheet name="Amortization Schedule" sheetId="21" r:id="rId10"/>
    <sheet name="Payment report (BI)" sheetId="22" r:id="rId11"/>
    <sheet name="Payment Report Criteria" sheetId="23" r:id="rId12"/>
    <sheet name="TB for single month" sheetId="25" r:id="rId13"/>
    <sheet name="TB for single month Criteria" sheetId="26" r:id="rId14"/>
    <sheet name="Schedule acct Activity trend" sheetId="38" r:id="rId15"/>
    <sheet name="Sch Acc Activity Trend Criteria" sheetId="39" r:id="rId16"/>
    <sheet name="Schedule Acct Balance Trend" sheetId="36" r:id="rId17"/>
    <sheet name="Sch Acct Balance Trend Criteria" sheetId="37" r:id="rId18"/>
    <sheet name="Maturity Analysis Summary" sheetId="28" r:id="rId19"/>
    <sheet name="Maturity Analysis Detail" sheetId="29" r:id="rId20"/>
    <sheet name="Maturity Analysis Materiality" sheetId="30" r:id="rId21"/>
    <sheet name="Maturity Analysis Criteria" sheetId="31" r:id="rId22"/>
    <sheet name="Quantitative Analysis Summary" sheetId="43" r:id="rId23"/>
    <sheet name="Quantitative Detail Yr 1" sheetId="41" r:id="rId24"/>
    <sheet name="Quantitative Detail Yr 2" sheetId="42" r:id="rId25"/>
    <sheet name="Quantitative Analysis Criteria" sheetId="44" r:id="rId26"/>
    <sheet name="Ledger Entries (Deal Analysis)" sheetId="45" r:id="rId27"/>
    <sheet name="Overview (Deal Analysis)" sheetId="46" r:id="rId28"/>
    <sheet name="Amortization Schedule (Payment)" sheetId="47" r:id="rId29"/>
    <sheet name="Amortization Schedule (Fiscal)" sheetId="48" r:id="rId30"/>
    <sheet name="Related Expenses (Deal Analysis" sheetId="49" r:id="rId31"/>
    <sheet name="Analysis (Deal Analysis)" sheetId="50" r:id="rId32"/>
    <sheet name="Parameters (Deal Analysis)" sheetId="51" r:id="rId33"/>
    <sheet name="All" sheetId="52" r:id="rId34"/>
    <sheet name="AccountingRollForwardFx" sheetId="53" r:id="rId35"/>
    <sheet name="Parameters" sheetId="54" r:id="rId36"/>
  </sheets>
  <externalReferences>
    <externalReference r:id="rId37"/>
  </externalReferences>
  <definedNames>
    <definedName name="_xlnm._FilterDatabase" localSheetId="3" hidden="1">'Ledger Entries-schedule'!$A$1:$W$674</definedName>
    <definedName name="_xlnm._FilterDatabase" localSheetId="23" hidden="1">'Quantitative Detail Yr 1'!$A$2:$AL$1104</definedName>
    <definedName name="_xlnm._FilterDatabase" localSheetId="24" hidden="1">'Quantitative Detail Yr 2'!$A$2:$AM$614</definedName>
    <definedName name="CalculatedPV">'Amortization Schedule (Payment)'!$AD$62</definedName>
    <definedName name="CapOpLeaseCost">'[1]Quantitative Detail Yr 1'!$M$1096</definedName>
    <definedName name="CapOpLeaseCostY2">'[1]Quantitative Detail Yr 2'!$M$609</definedName>
    <definedName name="FinanceAmortization">'[1]Quantitative Detail Yr 1'!$K$1096</definedName>
    <definedName name="FinanceAmortizationY2">'[1]Quantitative Detail Yr 2'!$K$609</definedName>
    <definedName name="FinanceInterestOnLiabilities">'[1]Quantitative Detail Yr 1'!$L$1096</definedName>
    <definedName name="FinanceInterestOnLiabilitiesY2">'[1]Quantitative Detail Yr 2'!$L$609</definedName>
    <definedName name="FinancingCashFlowsFromCapOp">'[1]Quantitative Detail Yr 1'!$W$1096</definedName>
    <definedName name="FinancingCashFlowsFromCapOpY2">'[1]Quantitative Detail Yr 2'!$W$609</definedName>
    <definedName name="FinancingCashFlowsFromFinance">'[1]Quantitative Detail Yr 1'!$V$1096</definedName>
    <definedName name="FinancingCashFlowsFromFinanceY2">'[1]Quantitative Detail Yr 2'!$V$609</definedName>
    <definedName name="GainLossOnSale">'[1]Quantitative Detail Yr 1'!$S$1096</definedName>
    <definedName name="GainLossOnSaleY2">'[1]Quantitative Detail Yr 2'!$S$609</definedName>
    <definedName name="LowValueLeaseCost">'[1]Quantitative Detail Yr 1'!$O$1096</definedName>
    <definedName name="LowValueLeaseCostY2">'[1]Quantitative Detail Yr 2'!$O$609</definedName>
    <definedName name="NetROURemeasurement">'[1]Quantitative Detail Yr 1'!$Z$1096</definedName>
    <definedName name="NetROURemeasurementY2">'[1]Quantitative Detail Yr 2'!$Z$609</definedName>
    <definedName name="OperatingCashFlowsFromCapOp">'[1]Quantitative Detail Yr 1'!$U$1096</definedName>
    <definedName name="OperatingCashFlowsFromCapOpY2">'[1]Quantitative Detail Yr 2'!$U$609</definedName>
    <definedName name="OperatingCashFlowsFromFinance">'[1]Quantitative Detail Yr 1'!$T$1096</definedName>
    <definedName name="OperatingCashFlowsFromFinanceY2">'[1]Quantitative Detail Yr 2'!$T$609</definedName>
    <definedName name="ReasonablyCertainEndOfLifePayment">'Quantitative Detail Yr 1'!$AF$1095</definedName>
    <definedName name="ReasonablyCertainEndOfLifePaymentY2">'Quantitative Detail Yr 2'!$AF$609</definedName>
    <definedName name="RemainingLeaseTerm">'[1]Quantitative Detail Yr 1'!$AA$1096</definedName>
    <definedName name="RemainingLeaseTermY2">'[1]Quantitative Detail Yr 2'!$AA$609</definedName>
    <definedName name="ROUAssetsFinance">'[1]Quantitative Detail Yr 1'!$X$1096</definedName>
    <definedName name="ROUAssetsFinanceY2">'[1]Quantitative Detail Yr 2'!$X$609</definedName>
    <definedName name="ROUAssetsOperating">'[1]Quantitative Detail Yr 1'!$Y$1096</definedName>
    <definedName name="ROUAssetsOperatingY2">'[1]Quantitative Detail Yr 2'!$Y$609</definedName>
    <definedName name="ShortTermLeaseCost">'[1]Quantitative Detail Yr 1'!$N$1096</definedName>
    <definedName name="ShortTermLeaseCostY2">'[1]Quantitative Detail Yr 2'!$N$609</definedName>
    <definedName name="SubleaseIncome">'[1]Quantitative Detail Yr 1'!$Q$1096</definedName>
    <definedName name="SubleaseIncomeY2">'[1]Quantitative Detail Yr 2'!$Q$609</definedName>
    <definedName name="TotalLeaseCost">'Quantitative Detail Yr 1'!$R$1095</definedName>
    <definedName name="TotalLeaseCostY2">'Quantitative Detail Yr 2'!$R$609</definedName>
    <definedName name="TotalPayments">'Amortization Schedule (Payment)'!$L$62</definedName>
    <definedName name="TotalRemainingBalancePayments">'Quantitative Detail Yr 1'!$AG$1095</definedName>
    <definedName name="TotalRemainingBalancePaymentsY2">'Quantitative Detail Yr 2'!$AG$609</definedName>
    <definedName name="TotalRemainingBasePayments">'Quantitative Detail Yr 1'!$AE$1095</definedName>
    <definedName name="TotalRemainingBasePaymentsY2">'Quantitative Detail Yr 2'!$AE$609</definedName>
    <definedName name="TotalRemainingLiability">'Quantitative Detail Yr 1'!$AB$1095</definedName>
    <definedName name="TotalRemainingLiabilityY2">'Quantitative Detail Yr 2'!$AB$609</definedName>
    <definedName name="TotalRemainingVariablePayments">'Quantitative Detail Yr 1'!$AH$1095</definedName>
    <definedName name="TotalRemainingVariablePaymentsY2">'Quantitative Detail Yr 2'!$AH$609</definedName>
    <definedName name="VariableLeaseCost">'[1]Quantitative Detail Yr 1'!$P$1096</definedName>
    <definedName name="VariableLeaseCostY2">'[1]Quantitative Detail Yr 2'!$P$609</definedName>
  </definedNames>
  <calcPr calcId="191029"/>
  <pivotCaches>
    <pivotCache cacheId="67" r:id="rId38"/>
    <pivotCache cacheId="68" r:id="rId3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105" i="41" l="1"/>
  <c r="AK1105" i="41"/>
  <c r="AL1104" i="41"/>
  <c r="AK1104" i="41"/>
  <c r="E40" i="40" l="1"/>
  <c r="E39" i="40"/>
  <c r="E38" i="40"/>
  <c r="E28" i="40"/>
  <c r="E27" i="40"/>
  <c r="E29" i="40" s="1"/>
  <c r="F22" i="40"/>
  <c r="D28" i="40"/>
  <c r="D27" i="40"/>
  <c r="C28" i="40"/>
  <c r="C27" i="40"/>
  <c r="E19" i="40"/>
  <c r="E20" i="40"/>
  <c r="E21" i="40"/>
  <c r="E22" i="40"/>
  <c r="E18" i="40"/>
  <c r="D22" i="40"/>
  <c r="D21" i="40"/>
  <c r="D20" i="40"/>
  <c r="D19" i="40"/>
  <c r="D18" i="40"/>
  <c r="F19" i="40"/>
  <c r="F20" i="40"/>
  <c r="F21" i="40"/>
  <c r="F18" i="40"/>
  <c r="C19" i="40"/>
  <c r="C20" i="40"/>
  <c r="C21" i="40"/>
  <c r="C22" i="40"/>
  <c r="C18" i="40"/>
  <c r="F13" i="40" l="1"/>
  <c r="D13" i="40"/>
  <c r="C13" i="40"/>
  <c r="F10" i="40"/>
  <c r="E10" i="40"/>
  <c r="D10" i="40"/>
  <c r="C10" i="40"/>
  <c r="F7" i="40"/>
  <c r="E7" i="40"/>
  <c r="D7" i="40"/>
  <c r="C7" i="40"/>
  <c r="C24" i="50"/>
  <c r="C10" i="50"/>
  <c r="AE3" i="48"/>
  <c r="AF3" i="48" s="1"/>
  <c r="AE2" i="48"/>
  <c r="AF2" i="48" s="1"/>
  <c r="AB3" i="48"/>
  <c r="AC3" i="48" s="1"/>
  <c r="AB2" i="48"/>
  <c r="AC2" i="48" s="1"/>
  <c r="Y3" i="48"/>
  <c r="Z3" i="48" s="1"/>
  <c r="Y2" i="48"/>
  <c r="Z2" i="48" s="1"/>
  <c r="T3" i="48"/>
  <c r="U3" i="48" s="1"/>
  <c r="Q3" i="48"/>
  <c r="R3" i="48" s="1"/>
  <c r="N3" i="48"/>
  <c r="O3" i="48" s="1"/>
  <c r="N2" i="48"/>
  <c r="O2" i="48" s="1"/>
  <c r="K3" i="48"/>
  <c r="L3" i="48" s="1"/>
  <c r="K2" i="48"/>
  <c r="L2" i="48" s="1"/>
  <c r="T3" i="47"/>
  <c r="S3" i="47"/>
  <c r="Q3" i="47"/>
  <c r="P3" i="47"/>
  <c r="E2" i="48"/>
  <c r="F2" i="48" s="1"/>
  <c r="AB3" i="47"/>
  <c r="AC3" i="47" s="1"/>
  <c r="AB2" i="47"/>
  <c r="AC2" i="47" s="1"/>
  <c r="W3" i="47"/>
  <c r="X3" i="47" s="1"/>
  <c r="W2" i="47"/>
  <c r="X2" i="47" s="1"/>
  <c r="M3" i="47"/>
  <c r="N3" i="47" s="1"/>
  <c r="M2" i="47"/>
  <c r="N2" i="47" s="1"/>
  <c r="E2" i="47"/>
  <c r="F2" i="47" s="1"/>
  <c r="AG1098" i="41"/>
  <c r="AE1098" i="41"/>
  <c r="AE1097" i="41"/>
  <c r="AG1097" i="41" s="1"/>
  <c r="AB1097" i="41"/>
  <c r="AB1098" i="41" s="1"/>
  <c r="X1098" i="41"/>
  <c r="X1097" i="41"/>
  <c r="V1097" i="41"/>
  <c r="V1098" i="41" s="1"/>
  <c r="T1097" i="41"/>
  <c r="T1098" i="41" s="1"/>
  <c r="L1097" i="41"/>
  <c r="L1098" i="41" s="1"/>
  <c r="K1097" i="41"/>
  <c r="K1098" i="41" s="1"/>
  <c r="F20" i="28"/>
  <c r="F21" i="28"/>
  <c r="F19" i="28"/>
  <c r="AB671" i="10"/>
  <c r="AB24" i="10"/>
  <c r="AB33" i="10"/>
  <c r="AB14" i="10"/>
  <c r="AB5" i="10"/>
  <c r="R1097" i="41" l="1"/>
  <c r="AB2" i="52" l="1"/>
  <c r="AC2" i="52" s="1"/>
  <c r="AB3" i="52"/>
  <c r="AC3" i="52" s="1"/>
  <c r="AB4" i="52"/>
  <c r="AC4" i="52" s="1"/>
  <c r="AB5" i="52"/>
  <c r="AD5" i="52" s="1"/>
  <c r="AB6" i="52"/>
  <c r="AC6" i="52" s="1"/>
  <c r="AB7" i="52"/>
  <c r="AC7" i="52" s="1"/>
  <c r="AB8" i="52"/>
  <c r="AD8" i="52" s="1"/>
  <c r="AB9" i="52"/>
  <c r="AD9" i="52" s="1"/>
  <c r="AB10" i="52"/>
  <c r="AC10" i="52" s="1"/>
  <c r="AB11" i="52"/>
  <c r="AC11" i="52" s="1"/>
  <c r="AB12" i="52"/>
  <c r="AD12" i="52" s="1"/>
  <c r="AB13" i="52"/>
  <c r="AD13" i="52" s="1"/>
  <c r="AB14" i="52"/>
  <c r="AC14" i="52" s="1"/>
  <c r="AB15" i="52"/>
  <c r="AC15" i="52" s="1"/>
  <c r="AB16" i="52"/>
  <c r="AC16" i="52" s="1"/>
  <c r="AB17" i="52"/>
  <c r="AD17" i="52" s="1"/>
  <c r="AB18" i="52"/>
  <c r="AC18" i="52" s="1"/>
  <c r="AB19" i="52"/>
  <c r="AC19" i="52" s="1"/>
  <c r="AB20" i="52"/>
  <c r="AC20" i="52" s="1"/>
  <c r="AB21" i="52"/>
  <c r="AD21" i="52" s="1"/>
  <c r="AB22" i="52"/>
  <c r="AC22" i="52" s="1"/>
  <c r="AB23" i="52"/>
  <c r="AC23" i="52" s="1"/>
  <c r="AB24" i="52"/>
  <c r="AD24" i="52" s="1"/>
  <c r="AB25" i="52"/>
  <c r="AD25" i="52" s="1"/>
  <c r="AB26" i="52"/>
  <c r="AC26" i="52" s="1"/>
  <c r="AB27" i="52"/>
  <c r="AC27" i="52" s="1"/>
  <c r="AB28" i="52"/>
  <c r="AD28" i="52" s="1"/>
  <c r="AB29" i="52"/>
  <c r="AD29" i="52" s="1"/>
  <c r="AB30" i="52"/>
  <c r="AC30" i="52" s="1"/>
  <c r="AB31" i="52"/>
  <c r="AC31" i="52" s="1"/>
  <c r="AB32" i="52"/>
  <c r="AC32" i="52" s="1"/>
  <c r="AB33" i="52"/>
  <c r="AD33" i="52" s="1"/>
  <c r="AC33" i="52"/>
  <c r="AB34" i="52"/>
  <c r="AC34" i="52" s="1"/>
  <c r="AB35" i="52"/>
  <c r="AC35" i="52" s="1"/>
  <c r="AB36" i="52"/>
  <c r="AD36" i="52" s="1"/>
  <c r="AB37" i="52"/>
  <c r="AD37" i="52" s="1"/>
  <c r="AB38" i="52"/>
  <c r="AC38" i="52" s="1"/>
  <c r="AB39" i="52"/>
  <c r="AC39" i="52" s="1"/>
  <c r="AB40" i="52"/>
  <c r="AD40" i="52" s="1"/>
  <c r="AB41" i="52"/>
  <c r="AD41" i="52" s="1"/>
  <c r="AB42" i="52"/>
  <c r="AC42" i="52" s="1"/>
  <c r="AB43" i="52"/>
  <c r="AC43" i="52" s="1"/>
  <c r="AB44" i="52"/>
  <c r="AC44" i="52" s="1"/>
  <c r="AB45" i="52"/>
  <c r="AD45" i="52" s="1"/>
  <c r="AB46" i="52"/>
  <c r="AC46" i="52" s="1"/>
  <c r="AB47" i="52"/>
  <c r="AC47" i="52" s="1"/>
  <c r="AB48" i="52"/>
  <c r="AC48" i="52" s="1"/>
  <c r="AB49" i="52"/>
  <c r="AD49" i="52" s="1"/>
  <c r="AB50" i="52"/>
  <c r="AC50" i="52" s="1"/>
  <c r="AB51" i="52"/>
  <c r="AC51" i="52" s="1"/>
  <c r="AB52" i="52"/>
  <c r="AC52" i="52" s="1"/>
  <c r="AB53" i="52"/>
  <c r="AD53" i="52" s="1"/>
  <c r="AB54" i="52"/>
  <c r="AC54" i="52" s="1"/>
  <c r="AB55" i="52"/>
  <c r="AC55" i="52" s="1"/>
  <c r="AB56" i="52"/>
  <c r="AD56" i="52" s="1"/>
  <c r="AB57" i="52"/>
  <c r="AD57" i="52" s="1"/>
  <c r="AB58" i="52"/>
  <c r="AC58" i="52" s="1"/>
  <c r="AB59" i="52"/>
  <c r="AC59" i="52" s="1"/>
  <c r="AB60" i="52"/>
  <c r="AC60" i="52" s="1"/>
  <c r="AB61" i="52"/>
  <c r="AD61" i="52" s="1"/>
  <c r="AB62" i="52"/>
  <c r="AC62" i="52" s="1"/>
  <c r="AB63" i="52"/>
  <c r="AC63" i="52" s="1"/>
  <c r="AB64" i="52"/>
  <c r="AC64" i="52" s="1"/>
  <c r="AB65" i="52"/>
  <c r="AD65" i="52" s="1"/>
  <c r="AB66" i="52"/>
  <c r="AC66" i="52" s="1"/>
  <c r="AB67" i="52"/>
  <c r="AC67" i="52" s="1"/>
  <c r="AB68" i="52"/>
  <c r="AD68" i="52" s="1"/>
  <c r="AC68" i="52"/>
  <c r="AB69" i="52"/>
  <c r="AD69" i="52" s="1"/>
  <c r="AB70" i="52"/>
  <c r="AC70" i="52" s="1"/>
  <c r="AD70" i="52"/>
  <c r="AB71" i="52"/>
  <c r="AC71" i="52" s="1"/>
  <c r="AB72" i="52"/>
  <c r="AC72" i="52" s="1"/>
  <c r="AB73" i="52"/>
  <c r="AD73" i="52" s="1"/>
  <c r="AB74" i="52"/>
  <c r="AC74" i="52" s="1"/>
  <c r="AB75" i="52"/>
  <c r="AC75" i="52" s="1"/>
  <c r="AB76" i="52"/>
  <c r="AC76" i="52" s="1"/>
  <c r="AB77" i="52"/>
  <c r="AD77" i="52" s="1"/>
  <c r="AB78" i="52"/>
  <c r="AC78" i="52" s="1"/>
  <c r="AB79" i="52"/>
  <c r="AC79" i="52" s="1"/>
  <c r="AB80" i="52"/>
  <c r="AD80" i="52" s="1"/>
  <c r="AB81" i="52"/>
  <c r="AD81" i="52" s="1"/>
  <c r="AB82" i="52"/>
  <c r="AC82" i="52" s="1"/>
  <c r="AB83" i="52"/>
  <c r="AC83" i="52" s="1"/>
  <c r="AB84" i="52"/>
  <c r="AC84" i="52" s="1"/>
  <c r="AB85" i="52"/>
  <c r="AD85" i="52" s="1"/>
  <c r="AB86" i="52"/>
  <c r="AC86" i="52" s="1"/>
  <c r="AB87" i="52"/>
  <c r="AC87" i="52" s="1"/>
  <c r="AB88" i="52"/>
  <c r="AC88" i="52" s="1"/>
  <c r="AB89" i="52"/>
  <c r="AD89" i="52" s="1"/>
  <c r="AB90" i="52"/>
  <c r="AC90" i="52" s="1"/>
  <c r="AB91" i="52"/>
  <c r="AC91" i="52" s="1"/>
  <c r="AB92" i="52"/>
  <c r="AD92" i="52" s="1"/>
  <c r="AB93" i="52"/>
  <c r="AD93" i="52" s="1"/>
  <c r="AB94" i="52"/>
  <c r="AC94" i="52" s="1"/>
  <c r="AB95" i="52"/>
  <c r="AC95" i="52" s="1"/>
  <c r="AB96" i="52"/>
  <c r="AC96" i="52" s="1"/>
  <c r="AB97" i="52"/>
  <c r="AD97" i="52" s="1"/>
  <c r="AB98" i="52"/>
  <c r="AC98" i="52" s="1"/>
  <c r="AB99" i="52"/>
  <c r="AC99" i="52" s="1"/>
  <c r="AB100" i="52"/>
  <c r="AC100" i="52" s="1"/>
  <c r="AB101" i="52"/>
  <c r="AD101" i="52" s="1"/>
  <c r="AB102" i="52"/>
  <c r="AC102" i="52" s="1"/>
  <c r="AB103" i="52"/>
  <c r="AC103" i="52" s="1"/>
  <c r="AB104" i="52"/>
  <c r="AD104" i="52" s="1"/>
  <c r="AB105" i="52"/>
  <c r="AD105" i="52" s="1"/>
  <c r="AB106" i="52"/>
  <c r="AC106" i="52" s="1"/>
  <c r="AB107" i="52"/>
  <c r="AC107" i="52" s="1"/>
  <c r="AB108" i="52"/>
  <c r="AC108" i="52" s="1"/>
  <c r="AB109" i="52"/>
  <c r="AD109" i="52" s="1"/>
  <c r="AB110" i="52"/>
  <c r="AC110" i="52" s="1"/>
  <c r="AB111" i="52"/>
  <c r="AC111" i="52" s="1"/>
  <c r="AB112" i="52"/>
  <c r="AC112" i="52" s="1"/>
  <c r="AB113" i="52"/>
  <c r="AD113" i="52" s="1"/>
  <c r="AB114" i="52"/>
  <c r="AC114" i="52" s="1"/>
  <c r="AB115" i="52"/>
  <c r="AC115" i="52" s="1"/>
  <c r="AB116" i="52"/>
  <c r="AD116" i="52" s="1"/>
  <c r="AB117" i="52"/>
  <c r="AD117" i="52" s="1"/>
  <c r="AB118" i="52"/>
  <c r="AC118" i="52" s="1"/>
  <c r="AB119" i="52"/>
  <c r="AC119" i="52" s="1"/>
  <c r="AB120" i="52"/>
  <c r="AD120" i="52" s="1"/>
  <c r="AB121" i="52"/>
  <c r="AD121" i="52" s="1"/>
  <c r="AB122" i="52"/>
  <c r="AC122" i="52" s="1"/>
  <c r="AD122" i="52"/>
  <c r="AB123" i="52"/>
  <c r="AC123" i="52" s="1"/>
  <c r="AB124" i="52"/>
  <c r="AC124" i="52" s="1"/>
  <c r="AB125" i="52"/>
  <c r="AD125" i="52" s="1"/>
  <c r="AB126" i="52"/>
  <c r="AC126" i="52" s="1"/>
  <c r="AB127" i="52"/>
  <c r="AC127" i="52" s="1"/>
  <c r="AB128" i="52"/>
  <c r="AC128" i="52" s="1"/>
  <c r="AD128" i="52"/>
  <c r="AB129" i="52"/>
  <c r="AD129" i="52" s="1"/>
  <c r="AB130" i="52"/>
  <c r="AC130" i="52" s="1"/>
  <c r="AB131" i="52"/>
  <c r="AC131" i="52" s="1"/>
  <c r="AB132" i="52"/>
  <c r="AC132" i="52" s="1"/>
  <c r="AB133" i="52"/>
  <c r="AD133" i="52" s="1"/>
  <c r="AB134" i="52"/>
  <c r="AC134" i="52" s="1"/>
  <c r="AB135" i="52"/>
  <c r="AC135" i="52" s="1"/>
  <c r="AB136" i="52"/>
  <c r="AC136" i="52" s="1"/>
  <c r="AB137" i="52"/>
  <c r="AD137" i="52" s="1"/>
  <c r="AC137" i="52"/>
  <c r="AB138" i="52"/>
  <c r="AC138" i="52" s="1"/>
  <c r="AB139" i="52"/>
  <c r="AC139" i="52" s="1"/>
  <c r="AB140" i="52"/>
  <c r="AC140" i="52" s="1"/>
  <c r="AB141" i="52"/>
  <c r="AD141" i="52" s="1"/>
  <c r="AC141" i="52"/>
  <c r="AB142" i="52"/>
  <c r="AC142" i="52" s="1"/>
  <c r="AB143" i="52"/>
  <c r="AC143" i="52" s="1"/>
  <c r="AB144" i="52"/>
  <c r="AC144" i="52" s="1"/>
  <c r="AB145" i="52"/>
  <c r="AD145" i="52" s="1"/>
  <c r="AC145" i="52"/>
  <c r="AB146" i="52"/>
  <c r="AC146" i="52" s="1"/>
  <c r="AB147" i="52"/>
  <c r="AC147" i="52" s="1"/>
  <c r="AB148" i="52"/>
  <c r="AC148" i="52" s="1"/>
  <c r="AC80" i="52" l="1"/>
  <c r="AD30" i="52"/>
  <c r="AD20" i="52"/>
  <c r="AC57" i="52"/>
  <c r="AD47" i="52"/>
  <c r="AC36" i="52"/>
  <c r="AC28" i="52"/>
  <c r="AC121" i="52"/>
  <c r="AC109" i="52"/>
  <c r="AC53" i="52"/>
  <c r="AC24" i="52"/>
  <c r="AD14" i="52"/>
  <c r="AC125" i="52"/>
  <c r="AC116" i="52"/>
  <c r="AC61" i="52"/>
  <c r="AD31" i="52"/>
  <c r="AC13" i="52"/>
  <c r="AC129" i="52"/>
  <c r="AC92" i="52"/>
  <c r="AD82" i="52"/>
  <c r="AC56" i="52"/>
  <c r="AD38" i="52"/>
  <c r="AD15" i="52"/>
  <c r="AC8" i="52"/>
  <c r="AD44" i="52"/>
  <c r="AD22" i="52"/>
  <c r="AD146" i="52"/>
  <c r="AD134" i="52"/>
  <c r="AC97" i="52"/>
  <c r="AC69" i="52"/>
  <c r="AC29" i="52"/>
  <c r="AD6" i="52"/>
  <c r="AC133" i="52"/>
  <c r="AD140" i="52"/>
  <c r="AC85" i="52"/>
  <c r="AD58" i="52"/>
  <c r="AC12" i="52"/>
  <c r="AD4" i="52"/>
  <c r="AC104" i="52"/>
  <c r="AD94" i="52"/>
  <c r="AC49" i="52"/>
  <c r="AC41" i="52"/>
  <c r="AD27" i="52"/>
  <c r="AD11" i="52"/>
  <c r="AC73" i="52"/>
  <c r="AC65" i="52"/>
  <c r="AC40" i="52"/>
  <c r="AC17" i="52"/>
  <c r="AD32" i="52"/>
  <c r="AD16" i="52"/>
  <c r="AD114" i="52"/>
  <c r="AD108" i="52"/>
  <c r="AD102" i="52"/>
  <c r="AD96" i="52"/>
  <c r="AD90" i="52"/>
  <c r="AD84" i="52"/>
  <c r="AD78" i="52"/>
  <c r="AD72" i="52"/>
  <c r="AD66" i="52"/>
  <c r="AD60" i="52"/>
  <c r="AD54" i="52"/>
  <c r="AD48" i="52"/>
  <c r="AC37" i="52"/>
  <c r="AC21" i="52"/>
  <c r="AC5" i="52"/>
  <c r="AD144" i="52"/>
  <c r="AD138" i="52"/>
  <c r="AD132" i="52"/>
  <c r="AD126" i="52"/>
  <c r="AC120" i="52"/>
  <c r="AD42" i="52"/>
  <c r="AD26" i="52"/>
  <c r="AD10" i="52"/>
  <c r="AC113" i="52"/>
  <c r="AC101" i="52"/>
  <c r="AC89" i="52"/>
  <c r="AC77" i="52"/>
  <c r="AC25" i="52"/>
  <c r="AC9" i="52"/>
  <c r="AD118" i="52"/>
  <c r="AD112" i="52"/>
  <c r="AD106" i="52"/>
  <c r="AD100" i="52"/>
  <c r="AD88" i="52"/>
  <c r="AD76" i="52"/>
  <c r="AD64" i="52"/>
  <c r="AD52" i="52"/>
  <c r="AD148" i="52"/>
  <c r="AD142" i="52"/>
  <c r="AD136" i="52"/>
  <c r="AD130" i="52"/>
  <c r="AD124" i="52"/>
  <c r="AD46" i="52"/>
  <c r="AD35" i="52"/>
  <c r="AD19" i="52"/>
  <c r="AD3" i="52"/>
  <c r="AC117" i="52"/>
  <c r="AC105" i="52"/>
  <c r="AC93" i="52"/>
  <c r="AC81" i="52"/>
  <c r="AC45" i="52"/>
  <c r="AD34" i="52"/>
  <c r="AD18" i="52"/>
  <c r="AD2" i="52"/>
  <c r="AD110" i="52"/>
  <c r="AD98" i="52"/>
  <c r="AD86" i="52"/>
  <c r="AD74" i="52"/>
  <c r="AD62" i="52"/>
  <c r="AD50" i="52"/>
  <c r="AD39" i="52"/>
  <c r="AD23" i="52"/>
  <c r="AD7" i="52"/>
  <c r="AD147" i="52"/>
  <c r="AD139" i="52"/>
  <c r="AD131" i="52"/>
  <c r="AD123" i="52"/>
  <c r="AD111" i="52"/>
  <c r="AD103" i="52"/>
  <c r="AD95" i="52"/>
  <c r="AD83" i="52"/>
  <c r="AD75" i="52"/>
  <c r="AD67" i="52"/>
  <c r="AD63" i="52"/>
  <c r="AD59" i="52"/>
  <c r="AD51" i="52"/>
  <c r="AD43" i="52"/>
  <c r="AD143" i="52"/>
  <c r="AD135" i="52"/>
  <c r="AD127" i="52"/>
  <c r="AD119" i="52"/>
  <c r="AD115" i="52"/>
  <c r="AD107" i="52"/>
  <c r="AD99" i="52"/>
  <c r="AD91" i="52"/>
  <c r="AD87" i="52"/>
  <c r="AD79" i="52"/>
  <c r="AD71" i="52"/>
  <c r="AD55" i="52"/>
  <c r="F4" i="50" l="1"/>
  <c r="I4" i="50"/>
  <c r="F20" i="50" s="1"/>
  <c r="F5" i="50"/>
  <c r="I5" i="50"/>
  <c r="F14" i="50" s="1"/>
  <c r="I6" i="50"/>
  <c r="F7" i="50"/>
  <c r="E7" i="50" s="1"/>
  <c r="I7" i="50"/>
  <c r="B8" i="50"/>
  <c r="F8" i="50"/>
  <c r="I8" i="50"/>
  <c r="B9" i="50"/>
  <c r="F9" i="50"/>
  <c r="I9" i="50"/>
  <c r="F10" i="50"/>
  <c r="I10" i="50"/>
  <c r="B11" i="50"/>
  <c r="A11" i="50" s="1"/>
  <c r="F11" i="50"/>
  <c r="I11" i="50"/>
  <c r="I12" i="50"/>
  <c r="E13" i="50"/>
  <c r="F13" i="50"/>
  <c r="I13" i="50"/>
  <c r="B14" i="50"/>
  <c r="I14" i="50"/>
  <c r="A15" i="50"/>
  <c r="I15" i="50"/>
  <c r="A16" i="50"/>
  <c r="B16" i="50" s="1"/>
  <c r="F16" i="50"/>
  <c r="E16" i="50" s="1"/>
  <c r="I16" i="50"/>
  <c r="I18" i="50"/>
  <c r="F21" i="50"/>
  <c r="A25" i="50"/>
  <c r="E25" i="50"/>
  <c r="F25" i="50"/>
  <c r="A8" i="46"/>
  <c r="A12" i="46"/>
  <c r="B10" i="50" l="1"/>
  <c r="B17" i="50"/>
  <c r="B24" i="50" s="1"/>
  <c r="D24" i="50" s="1"/>
  <c r="I17" i="50"/>
  <c r="I19" i="50" s="1"/>
  <c r="F12" i="50" s="1"/>
  <c r="A23" i="46"/>
  <c r="A22" i="46" s="1"/>
  <c r="F6" i="50" l="1"/>
  <c r="F17" i="50" s="1"/>
  <c r="D10" i="50"/>
  <c r="F29" i="43"/>
  <c r="F28" i="43"/>
  <c r="F27" i="43"/>
  <c r="F26" i="43"/>
  <c r="AM612" i="42"/>
  <c r="AM613" i="42"/>
  <c r="AM611" i="42"/>
  <c r="AL612" i="42"/>
  <c r="AL613" i="42"/>
  <c r="AL611" i="42"/>
  <c r="AB613" i="42"/>
  <c r="AL528" i="42" s="1"/>
  <c r="AM528" i="42"/>
  <c r="AM368" i="42"/>
  <c r="AM252" i="42"/>
  <c r="AM86" i="42"/>
  <c r="AM400" i="42"/>
  <c r="AM164" i="42"/>
  <c r="AE612" i="42"/>
  <c r="AM608" i="42" s="1"/>
  <c r="AE613" i="42"/>
  <c r="AM595" i="42" s="1"/>
  <c r="AE611" i="42"/>
  <c r="AM159" i="42" s="1"/>
  <c r="AB612" i="42"/>
  <c r="AL606" i="42" s="1"/>
  <c r="AB611" i="42"/>
  <c r="AB1103" i="41"/>
  <c r="AK704" i="41" s="1"/>
  <c r="AE1103" i="41"/>
  <c r="AL1076" i="41" s="1"/>
  <c r="AE1102" i="41"/>
  <c r="AL1030" i="41" s="1"/>
  <c r="AE1101" i="41"/>
  <c r="AB1102" i="41"/>
  <c r="AK1091" i="41" s="1"/>
  <c r="AB1101" i="41"/>
  <c r="AK581" i="41" s="1"/>
  <c r="F15" i="50" l="1"/>
  <c r="F22" i="50" s="1"/>
  <c r="F24" i="50" s="1"/>
  <c r="AL204" i="41"/>
  <c r="AL371" i="41"/>
  <c r="AL620" i="41"/>
  <c r="AL866" i="41"/>
  <c r="AL530" i="41"/>
  <c r="AL582" i="41"/>
  <c r="AL375" i="41"/>
  <c r="AK140" i="41"/>
  <c r="AL401" i="41"/>
  <c r="AL899" i="41"/>
  <c r="AL247" i="41"/>
  <c r="AL653" i="41"/>
  <c r="AK654" i="41"/>
  <c r="AL270" i="41"/>
  <c r="AL429" i="41"/>
  <c r="AL690" i="41"/>
  <c r="AL922" i="41"/>
  <c r="AL173" i="41"/>
  <c r="AL349" i="41"/>
  <c r="AL571" i="41"/>
  <c r="AL832" i="41"/>
  <c r="AL181" i="41"/>
  <c r="AL352" i="41"/>
  <c r="AL836" i="41"/>
  <c r="AL208" i="41"/>
  <c r="AL623" i="41"/>
  <c r="AL870" i="41"/>
  <c r="AL242" i="41"/>
  <c r="AL648" i="41"/>
  <c r="AK203" i="41"/>
  <c r="AL405" i="41"/>
  <c r="AL907" i="41"/>
  <c r="AK721" i="41"/>
  <c r="AL274" i="41"/>
  <c r="AL436" i="41"/>
  <c r="AL695" i="41"/>
  <c r="AL941" i="41"/>
  <c r="AL21" i="41"/>
  <c r="AL298" i="41"/>
  <c r="AL456" i="41"/>
  <c r="AL718" i="41"/>
  <c r="AL983" i="41"/>
  <c r="AL301" i="41"/>
  <c r="AL460" i="41"/>
  <c r="AL738" i="41"/>
  <c r="AL987" i="41"/>
  <c r="AL64" i="41"/>
  <c r="AL323" i="41"/>
  <c r="AL524" i="41"/>
  <c r="AL795" i="41"/>
  <c r="AL1039" i="41"/>
  <c r="AL25" i="41"/>
  <c r="AL328" i="41"/>
  <c r="AL1051" i="41"/>
  <c r="AK1056" i="41"/>
  <c r="AL68" i="41"/>
  <c r="AL800" i="41"/>
  <c r="AL595" i="42"/>
  <c r="AL86" i="42"/>
  <c r="AL252" i="42"/>
  <c r="AL368" i="42"/>
  <c r="AM149" i="42"/>
  <c r="AM387" i="42"/>
  <c r="AL37" i="42"/>
  <c r="AL251" i="42"/>
  <c r="AL366" i="42"/>
  <c r="AL527" i="42"/>
  <c r="AM37" i="42"/>
  <c r="AM251" i="42"/>
  <c r="AM366" i="42"/>
  <c r="AM527" i="42"/>
  <c r="AM179" i="42"/>
  <c r="AM413" i="42"/>
  <c r="AL169" i="42"/>
  <c r="AL253" i="42"/>
  <c r="AL369" i="42"/>
  <c r="AL531" i="42"/>
  <c r="AM169" i="42"/>
  <c r="AM253" i="42"/>
  <c r="AM369" i="42"/>
  <c r="AM531" i="42"/>
  <c r="AM16" i="42"/>
  <c r="AM191" i="42"/>
  <c r="AM425" i="42"/>
  <c r="AL174" i="42"/>
  <c r="AL254" i="42"/>
  <c r="AL372" i="42"/>
  <c r="AL533" i="42"/>
  <c r="AM174" i="42"/>
  <c r="AM254" i="42"/>
  <c r="AM372" i="42"/>
  <c r="AM533" i="42"/>
  <c r="AM29" i="42"/>
  <c r="AM203" i="42"/>
  <c r="AM440" i="42"/>
  <c r="AL214" i="42"/>
  <c r="AL255" i="42"/>
  <c r="AL374" i="42"/>
  <c r="AL534" i="42"/>
  <c r="AM214" i="42"/>
  <c r="AM255" i="42"/>
  <c r="AM374" i="42"/>
  <c r="AM534" i="42"/>
  <c r="AM43" i="42"/>
  <c r="AM218" i="42"/>
  <c r="AM484" i="42"/>
  <c r="AL234" i="42"/>
  <c r="AL257" i="42"/>
  <c r="AL375" i="42"/>
  <c r="AL536" i="42"/>
  <c r="AM234" i="42"/>
  <c r="AM257" i="42"/>
  <c r="AM375" i="42"/>
  <c r="AM536" i="42"/>
  <c r="AM55" i="42"/>
  <c r="AM233" i="42"/>
  <c r="AM548" i="42"/>
  <c r="AL239" i="42"/>
  <c r="AL259" i="42"/>
  <c r="AL377" i="42"/>
  <c r="AL537" i="42"/>
  <c r="AM239" i="42"/>
  <c r="AM259" i="42"/>
  <c r="AM377" i="42"/>
  <c r="AM537" i="42"/>
  <c r="AM68" i="42"/>
  <c r="AM272" i="42"/>
  <c r="AM562" i="42"/>
  <c r="AL243" i="42"/>
  <c r="AL261" i="42"/>
  <c r="AL378" i="42"/>
  <c r="AL551" i="42"/>
  <c r="AM243" i="42"/>
  <c r="AM261" i="42"/>
  <c r="AM378" i="42"/>
  <c r="AM551" i="42"/>
  <c r="AM80" i="42"/>
  <c r="AM293" i="42"/>
  <c r="AM577" i="42"/>
  <c r="AL245" i="42"/>
  <c r="AL277" i="42"/>
  <c r="AL396" i="42"/>
  <c r="AL570" i="42"/>
  <c r="AM245" i="42"/>
  <c r="AM277" i="42"/>
  <c r="AM396" i="42"/>
  <c r="AM570" i="42"/>
  <c r="AM96" i="42"/>
  <c r="AM305" i="42"/>
  <c r="AM592" i="42"/>
  <c r="AL248" i="42"/>
  <c r="AL350" i="42"/>
  <c r="AL522" i="42"/>
  <c r="AL572" i="42"/>
  <c r="AM248" i="42"/>
  <c r="AM350" i="42"/>
  <c r="AM522" i="42"/>
  <c r="AM572" i="42"/>
  <c r="AM118" i="42"/>
  <c r="AM323" i="42"/>
  <c r="AL19" i="42"/>
  <c r="AL249" i="42"/>
  <c r="AL363" i="42"/>
  <c r="AL523" i="42"/>
  <c r="AL573" i="42"/>
  <c r="AM249" i="42"/>
  <c r="AM363" i="42"/>
  <c r="AM523" i="42"/>
  <c r="AM573" i="42"/>
  <c r="AM137" i="42"/>
  <c r="AM358" i="42"/>
  <c r="AM19" i="42"/>
  <c r="AL250" i="42"/>
  <c r="AL364" i="42"/>
  <c r="AL525" i="42"/>
  <c r="AM250" i="42"/>
  <c r="AM364" i="42"/>
  <c r="AM525" i="42"/>
  <c r="AL15" i="42"/>
  <c r="AL117" i="42"/>
  <c r="AL163" i="42"/>
  <c r="AL304" i="42"/>
  <c r="AL438" i="42"/>
  <c r="AM3" i="42"/>
  <c r="AL16" i="42"/>
  <c r="AL29" i="42"/>
  <c r="AL43" i="42"/>
  <c r="AL55" i="42"/>
  <c r="AL68" i="42"/>
  <c r="AL80" i="42"/>
  <c r="AL96" i="42"/>
  <c r="AL118" i="42"/>
  <c r="AL137" i="42"/>
  <c r="AL149" i="42"/>
  <c r="AL164" i="42"/>
  <c r="AL179" i="42"/>
  <c r="AL191" i="42"/>
  <c r="AL203" i="42"/>
  <c r="AL218" i="42"/>
  <c r="AL233" i="42"/>
  <c r="AL272" i="42"/>
  <c r="AL293" i="42"/>
  <c r="AL305" i="42"/>
  <c r="AL323" i="42"/>
  <c r="AL358" i="42"/>
  <c r="AL387" i="42"/>
  <c r="AL400" i="42"/>
  <c r="AL413" i="42"/>
  <c r="AL425" i="42"/>
  <c r="AL440" i="42"/>
  <c r="AL484" i="42"/>
  <c r="AL548" i="42"/>
  <c r="AL562" i="42"/>
  <c r="AL577" i="42"/>
  <c r="AL592" i="42"/>
  <c r="AM4" i="42"/>
  <c r="AM17" i="42"/>
  <c r="AM30" i="42"/>
  <c r="AM44" i="42"/>
  <c r="AM56" i="42"/>
  <c r="AM69" i="42"/>
  <c r="AM81" i="42"/>
  <c r="AM99" i="42"/>
  <c r="AM121" i="42"/>
  <c r="AM138" i="42"/>
  <c r="AM150" i="42"/>
  <c r="AM165" i="42"/>
  <c r="AM180" i="42"/>
  <c r="AM192" i="42"/>
  <c r="AM204" i="42"/>
  <c r="AM219" i="42"/>
  <c r="AM235" i="42"/>
  <c r="AM273" i="42"/>
  <c r="AM294" i="42"/>
  <c r="AM306" i="42"/>
  <c r="AM324" i="42"/>
  <c r="AM359" i="42"/>
  <c r="AM388" i="42"/>
  <c r="AM401" i="42"/>
  <c r="AM414" i="42"/>
  <c r="AM426" i="42"/>
  <c r="AM443" i="42"/>
  <c r="AM487" i="42"/>
  <c r="AM549" i="42"/>
  <c r="AM563" i="42"/>
  <c r="AM578" i="42"/>
  <c r="AM593" i="42"/>
  <c r="AL95" i="42"/>
  <c r="AL217" i="42"/>
  <c r="AL386" i="42"/>
  <c r="AL591" i="42"/>
  <c r="AL4" i="42"/>
  <c r="AL17" i="42"/>
  <c r="AL30" i="42"/>
  <c r="AL44" i="42"/>
  <c r="AL56" i="42"/>
  <c r="AL69" i="42"/>
  <c r="AL81" i="42"/>
  <c r="AL99" i="42"/>
  <c r="AL121" i="42"/>
  <c r="AL138" i="42"/>
  <c r="AL150" i="42"/>
  <c r="AL165" i="42"/>
  <c r="AL180" i="42"/>
  <c r="AL192" i="42"/>
  <c r="AL204" i="42"/>
  <c r="AL219" i="42"/>
  <c r="AL235" i="42"/>
  <c r="AL273" i="42"/>
  <c r="AL294" i="42"/>
  <c r="AL306" i="42"/>
  <c r="AL324" i="42"/>
  <c r="AL359" i="42"/>
  <c r="AL388" i="42"/>
  <c r="AL401" i="42"/>
  <c r="AL414" i="42"/>
  <c r="AL426" i="42"/>
  <c r="AL443" i="42"/>
  <c r="AL487" i="42"/>
  <c r="AL549" i="42"/>
  <c r="AL563" i="42"/>
  <c r="AL578" i="42"/>
  <c r="AL593" i="42"/>
  <c r="AM5" i="42"/>
  <c r="AM18" i="42"/>
  <c r="AM31" i="42"/>
  <c r="AM45" i="42"/>
  <c r="AM57" i="42"/>
  <c r="AM70" i="42"/>
  <c r="AM82" i="42"/>
  <c r="AM100" i="42"/>
  <c r="AM122" i="42"/>
  <c r="AM139" i="42"/>
  <c r="AM151" i="42"/>
  <c r="AM167" i="42"/>
  <c r="AM181" i="42"/>
  <c r="AM193" i="42"/>
  <c r="AM205" i="42"/>
  <c r="AM220" i="42"/>
  <c r="AM240" i="42"/>
  <c r="AM278" i="42"/>
  <c r="AM295" i="42"/>
  <c r="AM307" i="42"/>
  <c r="AM328" i="42"/>
  <c r="AM361" i="42"/>
  <c r="AM389" i="42"/>
  <c r="AM402" i="42"/>
  <c r="AM415" i="42"/>
  <c r="AM427" i="42"/>
  <c r="AM449" i="42"/>
  <c r="AM493" i="42"/>
  <c r="AM550" i="42"/>
  <c r="AM564" i="42"/>
  <c r="AM579" i="42"/>
  <c r="AM598" i="42"/>
  <c r="AL148" i="42"/>
  <c r="AL483" i="42"/>
  <c r="AL5" i="42"/>
  <c r="AL18" i="42"/>
  <c r="AL31" i="42"/>
  <c r="AL45" i="42"/>
  <c r="AL57" i="42"/>
  <c r="AL70" i="42"/>
  <c r="AL82" i="42"/>
  <c r="AL100" i="42"/>
  <c r="AL122" i="42"/>
  <c r="AL139" i="42"/>
  <c r="AL151" i="42"/>
  <c r="AL167" i="42"/>
  <c r="AL181" i="42"/>
  <c r="AL193" i="42"/>
  <c r="AL205" i="42"/>
  <c r="AL220" i="42"/>
  <c r="AL240" i="42"/>
  <c r="AL278" i="42"/>
  <c r="AL295" i="42"/>
  <c r="AL307" i="42"/>
  <c r="AL328" i="42"/>
  <c r="AL361" i="42"/>
  <c r="AL389" i="42"/>
  <c r="AL402" i="42"/>
  <c r="AL415" i="42"/>
  <c r="AL427" i="42"/>
  <c r="AL449" i="42"/>
  <c r="AL493" i="42"/>
  <c r="AL550" i="42"/>
  <c r="AL564" i="42"/>
  <c r="AL579" i="42"/>
  <c r="AL598" i="42"/>
  <c r="AM6" i="42"/>
  <c r="AM20" i="42"/>
  <c r="AM33" i="42"/>
  <c r="AM46" i="42"/>
  <c r="AM58" i="42"/>
  <c r="AM71" i="42"/>
  <c r="AM83" i="42"/>
  <c r="AM101" i="42"/>
  <c r="AM123" i="42"/>
  <c r="AM140" i="42"/>
  <c r="AM152" i="42"/>
  <c r="AM168" i="42"/>
  <c r="AM182" i="42"/>
  <c r="AM194" i="42"/>
  <c r="AM206" i="42"/>
  <c r="AM222" i="42"/>
  <c r="AM241" i="42"/>
  <c r="AM279" i="42"/>
  <c r="AM296" i="42"/>
  <c r="AM308" i="42"/>
  <c r="AM331" i="42"/>
  <c r="AM362" i="42"/>
  <c r="AM390" i="42"/>
  <c r="AM403" i="42"/>
  <c r="AM416" i="42"/>
  <c r="AM428" i="42"/>
  <c r="AM454" i="42"/>
  <c r="AM498" i="42"/>
  <c r="AM552" i="42"/>
  <c r="AM565" i="42"/>
  <c r="AM580" i="42"/>
  <c r="AM599" i="42"/>
  <c r="AL42" i="42"/>
  <c r="AL136" i="42"/>
  <c r="AL178" i="42"/>
  <c r="AL292" i="42"/>
  <c r="AL411" i="42"/>
  <c r="AL608" i="42"/>
  <c r="AL6" i="42"/>
  <c r="AL20" i="42"/>
  <c r="AL33" i="42"/>
  <c r="AL46" i="42"/>
  <c r="AL58" i="42"/>
  <c r="AL71" i="42"/>
  <c r="AL83" i="42"/>
  <c r="AL101" i="42"/>
  <c r="AL123" i="42"/>
  <c r="AL140" i="42"/>
  <c r="AL152" i="42"/>
  <c r="AL168" i="42"/>
  <c r="AL182" i="42"/>
  <c r="AL194" i="42"/>
  <c r="AL206" i="42"/>
  <c r="AL222" i="42"/>
  <c r="AL241" i="42"/>
  <c r="AL279" i="42"/>
  <c r="AL296" i="42"/>
  <c r="AL308" i="42"/>
  <c r="AL331" i="42"/>
  <c r="AL362" i="42"/>
  <c r="AL390" i="42"/>
  <c r="AL403" i="42"/>
  <c r="AL416" i="42"/>
  <c r="AL428" i="42"/>
  <c r="AL454" i="42"/>
  <c r="AL498" i="42"/>
  <c r="AL552" i="42"/>
  <c r="AL565" i="42"/>
  <c r="AL580" i="42"/>
  <c r="AL599" i="42"/>
  <c r="AM7" i="42"/>
  <c r="AM21" i="42"/>
  <c r="AM34" i="42"/>
  <c r="AM47" i="42"/>
  <c r="AM59" i="42"/>
  <c r="AM72" i="42"/>
  <c r="AM84" i="42"/>
  <c r="AM102" i="42"/>
  <c r="AM124" i="42"/>
  <c r="AM141" i="42"/>
  <c r="AM153" i="42"/>
  <c r="AM170" i="42"/>
  <c r="AM183" i="42"/>
  <c r="AM195" i="42"/>
  <c r="AM207" i="42"/>
  <c r="AM224" i="42"/>
  <c r="AM242" i="42"/>
  <c r="AM280" i="42"/>
  <c r="AM297" i="42"/>
  <c r="AM309" i="42"/>
  <c r="AM332" i="42"/>
  <c r="AM371" i="42"/>
  <c r="AM391" i="42"/>
  <c r="AM404" i="42"/>
  <c r="AM417" i="42"/>
  <c r="AM429" i="42"/>
  <c r="AM456" i="42"/>
  <c r="AM502" i="42"/>
  <c r="AM554" i="42"/>
  <c r="AM566" i="42"/>
  <c r="AM582" i="42"/>
  <c r="AM600" i="42"/>
  <c r="AL28" i="42"/>
  <c r="AL271" i="42"/>
  <c r="AL561" i="42"/>
  <c r="AM267" i="42"/>
  <c r="AL7" i="42"/>
  <c r="AL21" i="42"/>
  <c r="AL34" i="42"/>
  <c r="AL47" i="42"/>
  <c r="AL59" i="42"/>
  <c r="AL72" i="42"/>
  <c r="AL84" i="42"/>
  <c r="AL102" i="42"/>
  <c r="AL124" i="42"/>
  <c r="AL141" i="42"/>
  <c r="AL153" i="42"/>
  <c r="AL170" i="42"/>
  <c r="AL183" i="42"/>
  <c r="AL195" i="42"/>
  <c r="AL207" i="42"/>
  <c r="AL224" i="42"/>
  <c r="AL242" i="42"/>
  <c r="AL280" i="42"/>
  <c r="AL297" i="42"/>
  <c r="AL309" i="42"/>
  <c r="AL332" i="42"/>
  <c r="AL371" i="42"/>
  <c r="AL391" i="42"/>
  <c r="AL404" i="42"/>
  <c r="AL417" i="42"/>
  <c r="AL429" i="42"/>
  <c r="AL456" i="42"/>
  <c r="AL502" i="42"/>
  <c r="AL554" i="42"/>
  <c r="AL566" i="42"/>
  <c r="AL582" i="42"/>
  <c r="AL600" i="42"/>
  <c r="AM8" i="42"/>
  <c r="AM22" i="42"/>
  <c r="AM35" i="42"/>
  <c r="AM48" i="42"/>
  <c r="AM60" i="42"/>
  <c r="AM73" i="42"/>
  <c r="AM89" i="42"/>
  <c r="AM103" i="42"/>
  <c r="AM127" i="42"/>
  <c r="AM142" i="42"/>
  <c r="AM154" i="42"/>
  <c r="AM171" i="42"/>
  <c r="AM184" i="42"/>
  <c r="AM196" i="42"/>
  <c r="AM208" i="42"/>
  <c r="AM225" i="42"/>
  <c r="AM246" i="42"/>
  <c r="AM281" i="42"/>
  <c r="AM298" i="42"/>
  <c r="AM312" i="42"/>
  <c r="AM333" i="42"/>
  <c r="AM380" i="42"/>
  <c r="AM392" i="42"/>
  <c r="AM405" i="42"/>
  <c r="AM418" i="42"/>
  <c r="AM430" i="42"/>
  <c r="AM461" i="42"/>
  <c r="AM506" i="42"/>
  <c r="AM555" i="42"/>
  <c r="AM567" i="42"/>
  <c r="AM583" i="42"/>
  <c r="AM601" i="42"/>
  <c r="AL3" i="42"/>
  <c r="AL399" i="42"/>
  <c r="AL8" i="42"/>
  <c r="AL22" i="42"/>
  <c r="AL35" i="42"/>
  <c r="AL48" i="42"/>
  <c r="AL60" i="42"/>
  <c r="AL73" i="42"/>
  <c r="AL89" i="42"/>
  <c r="AL103" i="42"/>
  <c r="AL127" i="42"/>
  <c r="AL142" i="42"/>
  <c r="AL154" i="42"/>
  <c r="AL171" i="42"/>
  <c r="AL184" i="42"/>
  <c r="AL196" i="42"/>
  <c r="AL208" i="42"/>
  <c r="AL225" i="42"/>
  <c r="AL246" i="42"/>
  <c r="AL281" i="42"/>
  <c r="AL298" i="42"/>
  <c r="AL312" i="42"/>
  <c r="AL333" i="42"/>
  <c r="AL380" i="42"/>
  <c r="AL392" i="42"/>
  <c r="AL405" i="42"/>
  <c r="AL418" i="42"/>
  <c r="AL430" i="42"/>
  <c r="AL461" i="42"/>
  <c r="AL506" i="42"/>
  <c r="AL555" i="42"/>
  <c r="AL567" i="42"/>
  <c r="AL583" i="42"/>
  <c r="AL601" i="42"/>
  <c r="AM9" i="42"/>
  <c r="AM23" i="42"/>
  <c r="AM36" i="42"/>
  <c r="AM49" i="42"/>
  <c r="AM61" i="42"/>
  <c r="AM74" i="42"/>
  <c r="AM90" i="42"/>
  <c r="AM110" i="42"/>
  <c r="AM128" i="42"/>
  <c r="AM143" i="42"/>
  <c r="AM155" i="42"/>
  <c r="AM172" i="42"/>
  <c r="AM185" i="42"/>
  <c r="AM197" i="42"/>
  <c r="AM209" i="42"/>
  <c r="AM226" i="42"/>
  <c r="AM247" i="42"/>
  <c r="AM284" i="42"/>
  <c r="AM299" i="42"/>
  <c r="AM313" i="42"/>
  <c r="AM334" i="42"/>
  <c r="AM381" i="42"/>
  <c r="AM393" i="42"/>
  <c r="AM406" i="42"/>
  <c r="AM419" i="42"/>
  <c r="AM431" i="42"/>
  <c r="AM465" i="42"/>
  <c r="AM512" i="42"/>
  <c r="AM556" i="42"/>
  <c r="AM568" i="42"/>
  <c r="AM584" i="42"/>
  <c r="AM602" i="42"/>
  <c r="AL67" i="42"/>
  <c r="AL202" i="42"/>
  <c r="AL322" i="42"/>
  <c r="AL545" i="42"/>
  <c r="AL9" i="42"/>
  <c r="AL23" i="42"/>
  <c r="AL36" i="42"/>
  <c r="AL49" i="42"/>
  <c r="AL61" i="42"/>
  <c r="AL74" i="42"/>
  <c r="AL90" i="42"/>
  <c r="AL110" i="42"/>
  <c r="AL128" i="42"/>
  <c r="AL143" i="42"/>
  <c r="AL155" i="42"/>
  <c r="AL172" i="42"/>
  <c r="AL185" i="42"/>
  <c r="AL197" i="42"/>
  <c r="AL209" i="42"/>
  <c r="AL226" i="42"/>
  <c r="AL247" i="42"/>
  <c r="AL284" i="42"/>
  <c r="AL299" i="42"/>
  <c r="AL313" i="42"/>
  <c r="AL334" i="42"/>
  <c r="AL381" i="42"/>
  <c r="AL393" i="42"/>
  <c r="AL406" i="42"/>
  <c r="AL419" i="42"/>
  <c r="AL431" i="42"/>
  <c r="AL465" i="42"/>
  <c r="AL512" i="42"/>
  <c r="AL556" i="42"/>
  <c r="AL568" i="42"/>
  <c r="AL584" i="42"/>
  <c r="AL602" i="42"/>
  <c r="AM10" i="42"/>
  <c r="AM24" i="42"/>
  <c r="AM38" i="42"/>
  <c r="AM50" i="42"/>
  <c r="AM62" i="42"/>
  <c r="AM75" i="42"/>
  <c r="AM91" i="42"/>
  <c r="AM113" i="42"/>
  <c r="AM129" i="42"/>
  <c r="AM144" i="42"/>
  <c r="AM156" i="42"/>
  <c r="AM173" i="42"/>
  <c r="AM186" i="42"/>
  <c r="AM198" i="42"/>
  <c r="AM212" i="42"/>
  <c r="AM227" i="42"/>
  <c r="AM258" i="42"/>
  <c r="AM285" i="42"/>
  <c r="AM300" i="42"/>
  <c r="AM314" i="42"/>
  <c r="AM343" i="42"/>
  <c r="AM382" i="42"/>
  <c r="AM394" i="42"/>
  <c r="AM407" i="42"/>
  <c r="AM420" i="42"/>
  <c r="AM432" i="42"/>
  <c r="AM472" i="42"/>
  <c r="AM518" i="42"/>
  <c r="AM557" i="42"/>
  <c r="AM569" i="42"/>
  <c r="AM585" i="42"/>
  <c r="AM603" i="42"/>
  <c r="AL79" i="42"/>
  <c r="AL232" i="42"/>
  <c r="AL424" i="42"/>
  <c r="AL10" i="42"/>
  <c r="AL24" i="42"/>
  <c r="AL38" i="42"/>
  <c r="AL50" i="42"/>
  <c r="AL62" i="42"/>
  <c r="AL75" i="42"/>
  <c r="AL91" i="42"/>
  <c r="AL113" i="42"/>
  <c r="AL129" i="42"/>
  <c r="AL144" i="42"/>
  <c r="AL156" i="42"/>
  <c r="AL173" i="42"/>
  <c r="AL186" i="42"/>
  <c r="AL198" i="42"/>
  <c r="AL212" i="42"/>
  <c r="AL227" i="42"/>
  <c r="AL258" i="42"/>
  <c r="AL285" i="42"/>
  <c r="AL300" i="42"/>
  <c r="AL314" i="42"/>
  <c r="AL343" i="42"/>
  <c r="AL382" i="42"/>
  <c r="AL394" i="42"/>
  <c r="AL407" i="42"/>
  <c r="AL420" i="42"/>
  <c r="AL432" i="42"/>
  <c r="AL472" i="42"/>
  <c r="AL518" i="42"/>
  <c r="AL557" i="42"/>
  <c r="AL569" i="42"/>
  <c r="AL585" i="42"/>
  <c r="AL603" i="42"/>
  <c r="AM11" i="42"/>
  <c r="AM25" i="42"/>
  <c r="AM39" i="42"/>
  <c r="AM51" i="42"/>
  <c r="AM63" i="42"/>
  <c r="AM76" i="42"/>
  <c r="AM92" i="42"/>
  <c r="AM114" i="42"/>
  <c r="AM130" i="42"/>
  <c r="AM145" i="42"/>
  <c r="AM160" i="42"/>
  <c r="AM175" i="42"/>
  <c r="AM187" i="42"/>
  <c r="AM199" i="42"/>
  <c r="AM213" i="42"/>
  <c r="AM228" i="42"/>
  <c r="AM260" i="42"/>
  <c r="AM286" i="42"/>
  <c r="AM301" i="42"/>
  <c r="AM315" i="42"/>
  <c r="AM344" i="42"/>
  <c r="AM383" i="42"/>
  <c r="AM395" i="42"/>
  <c r="AM408" i="42"/>
  <c r="AM421" i="42"/>
  <c r="AM433" i="42"/>
  <c r="AM477" i="42"/>
  <c r="AM521" i="42"/>
  <c r="AM558" i="42"/>
  <c r="AM571" i="42"/>
  <c r="AM586" i="42"/>
  <c r="AM604" i="42"/>
  <c r="AL54" i="42"/>
  <c r="AL190" i="42"/>
  <c r="AL357" i="42"/>
  <c r="AL576" i="42"/>
  <c r="AL11" i="42"/>
  <c r="AL25" i="42"/>
  <c r="AL39" i="42"/>
  <c r="AL51" i="42"/>
  <c r="AL63" i="42"/>
  <c r="AL76" i="42"/>
  <c r="AL92" i="42"/>
  <c r="AL114" i="42"/>
  <c r="AL130" i="42"/>
  <c r="AL145" i="42"/>
  <c r="AL160" i="42"/>
  <c r="AL175" i="42"/>
  <c r="AL187" i="42"/>
  <c r="AL199" i="42"/>
  <c r="AL213" i="42"/>
  <c r="AL228" i="42"/>
  <c r="AL260" i="42"/>
  <c r="AL286" i="42"/>
  <c r="AL301" i="42"/>
  <c r="AL315" i="42"/>
  <c r="AL344" i="42"/>
  <c r="AL383" i="42"/>
  <c r="AL395" i="42"/>
  <c r="AL408" i="42"/>
  <c r="AL421" i="42"/>
  <c r="AL433" i="42"/>
  <c r="AL477" i="42"/>
  <c r="AL521" i="42"/>
  <c r="AL558" i="42"/>
  <c r="AL571" i="42"/>
  <c r="AL586" i="42"/>
  <c r="AL604" i="42"/>
  <c r="AM12" i="42"/>
  <c r="AM26" i="42"/>
  <c r="AM40" i="42"/>
  <c r="AM52" i="42"/>
  <c r="AM64" i="42"/>
  <c r="AM77" i="42"/>
  <c r="AM93" i="42"/>
  <c r="AM115" i="42"/>
  <c r="AM131" i="42"/>
  <c r="AM146" i="42"/>
  <c r="AM161" i="42"/>
  <c r="AM176" i="42"/>
  <c r="AM188" i="42"/>
  <c r="AM200" i="42"/>
  <c r="AM215" i="42"/>
  <c r="AM229" i="42"/>
  <c r="AM262" i="42"/>
  <c r="AM287" i="42"/>
  <c r="AM302" i="42"/>
  <c r="AM316" i="42"/>
  <c r="AM345" i="42"/>
  <c r="AM384" i="42"/>
  <c r="AM397" i="42"/>
  <c r="AM409" i="42"/>
  <c r="AM422" i="42"/>
  <c r="AM434" i="42"/>
  <c r="AM479" i="42"/>
  <c r="AM530" i="42"/>
  <c r="AM559" i="42"/>
  <c r="AM574" i="42"/>
  <c r="AM587" i="42"/>
  <c r="AM605" i="42"/>
  <c r="AL12" i="42"/>
  <c r="AL26" i="42"/>
  <c r="AL40" i="42"/>
  <c r="AL52" i="42"/>
  <c r="AL64" i="42"/>
  <c r="AL77" i="42"/>
  <c r="AL93" i="42"/>
  <c r="AL115" i="42"/>
  <c r="AL131" i="42"/>
  <c r="AL146" i="42"/>
  <c r="AL161" i="42"/>
  <c r="AL176" i="42"/>
  <c r="AL188" i="42"/>
  <c r="AL200" i="42"/>
  <c r="AL215" i="42"/>
  <c r="AL229" i="42"/>
  <c r="AL262" i="42"/>
  <c r="AL287" i="42"/>
  <c r="AL302" i="42"/>
  <c r="AL316" i="42"/>
  <c r="AL345" i="42"/>
  <c r="AL384" i="42"/>
  <c r="AL397" i="42"/>
  <c r="AL409" i="42"/>
  <c r="AL422" i="42"/>
  <c r="AL434" i="42"/>
  <c r="AL479" i="42"/>
  <c r="AL530" i="42"/>
  <c r="AL559" i="42"/>
  <c r="AL574" i="42"/>
  <c r="AL587" i="42"/>
  <c r="AL605" i="42"/>
  <c r="AM13" i="42"/>
  <c r="AM27" i="42"/>
  <c r="AM41" i="42"/>
  <c r="AM53" i="42"/>
  <c r="AM65" i="42"/>
  <c r="AM78" i="42"/>
  <c r="AM94" i="42"/>
  <c r="AM116" i="42"/>
  <c r="AM132" i="42"/>
  <c r="AM147" i="42"/>
  <c r="AM162" i="42"/>
  <c r="AM177" i="42"/>
  <c r="AM189" i="42"/>
  <c r="AM201" i="42"/>
  <c r="AM216" i="42"/>
  <c r="AM230" i="42"/>
  <c r="AM270" i="42"/>
  <c r="AM290" i="42"/>
  <c r="AM303" i="42"/>
  <c r="AM319" i="42"/>
  <c r="AM346" i="42"/>
  <c r="AM385" i="42"/>
  <c r="AM398" i="42"/>
  <c r="AM410" i="42"/>
  <c r="AM423" i="42"/>
  <c r="AM436" i="42"/>
  <c r="AM480" i="42"/>
  <c r="AM543" i="42"/>
  <c r="AM560" i="42"/>
  <c r="AM575" i="42"/>
  <c r="AM590" i="42"/>
  <c r="AM606" i="42"/>
  <c r="AL13" i="42"/>
  <c r="AL27" i="42"/>
  <c r="AL41" i="42"/>
  <c r="AL53" i="42"/>
  <c r="AL65" i="42"/>
  <c r="AL78" i="42"/>
  <c r="AL94" i="42"/>
  <c r="AL116" i="42"/>
  <c r="AL132" i="42"/>
  <c r="AL147" i="42"/>
  <c r="AL162" i="42"/>
  <c r="AL177" i="42"/>
  <c r="AL189" i="42"/>
  <c r="AL201" i="42"/>
  <c r="AL216" i="42"/>
  <c r="AL230" i="42"/>
  <c r="AL270" i="42"/>
  <c r="AL290" i="42"/>
  <c r="AL303" i="42"/>
  <c r="AL319" i="42"/>
  <c r="AL346" i="42"/>
  <c r="AL385" i="42"/>
  <c r="AL398" i="42"/>
  <c r="AL410" i="42"/>
  <c r="AL423" i="42"/>
  <c r="AL436" i="42"/>
  <c r="AL480" i="42"/>
  <c r="AL543" i="42"/>
  <c r="AL560" i="42"/>
  <c r="AL575" i="42"/>
  <c r="AL590" i="42"/>
  <c r="AM15" i="42"/>
  <c r="AM28" i="42"/>
  <c r="AM42" i="42"/>
  <c r="AM54" i="42"/>
  <c r="AM67" i="42"/>
  <c r="AM79" i="42"/>
  <c r="AM95" i="42"/>
  <c r="AM117" i="42"/>
  <c r="AM136" i="42"/>
  <c r="AM148" i="42"/>
  <c r="AM163" i="42"/>
  <c r="AM178" i="42"/>
  <c r="AM190" i="42"/>
  <c r="AM202" i="42"/>
  <c r="AM217" i="42"/>
  <c r="AM232" i="42"/>
  <c r="AM271" i="42"/>
  <c r="AM292" i="42"/>
  <c r="AM304" i="42"/>
  <c r="AM322" i="42"/>
  <c r="AM357" i="42"/>
  <c r="AM386" i="42"/>
  <c r="AM399" i="42"/>
  <c r="AM411" i="42"/>
  <c r="AM424" i="42"/>
  <c r="AM438" i="42"/>
  <c r="AM483" i="42"/>
  <c r="AM545" i="42"/>
  <c r="AM561" i="42"/>
  <c r="AM576" i="42"/>
  <c r="AM591" i="42"/>
  <c r="AM488" i="42"/>
  <c r="AL276" i="42"/>
  <c r="AM464" i="42"/>
  <c r="AL542" i="42"/>
  <c r="AL348" i="42"/>
  <c r="AM447" i="42"/>
  <c r="AM339" i="42"/>
  <c r="AM231" i="42"/>
  <c r="AL330" i="42"/>
  <c r="AL596" i="42"/>
  <c r="AL524" i="42"/>
  <c r="AM321" i="42"/>
  <c r="AM105" i="42"/>
  <c r="AM87" i="42"/>
  <c r="AL504" i="42"/>
  <c r="AL496" i="42"/>
  <c r="AM596" i="42"/>
  <c r="AM542" i="42"/>
  <c r="AM524" i="42"/>
  <c r="AM504" i="42"/>
  <c r="AL497" i="42"/>
  <c r="AL489" i="42"/>
  <c r="AL473" i="42"/>
  <c r="AL448" i="42"/>
  <c r="AL412" i="42"/>
  <c r="AL376" i="42"/>
  <c r="AM348" i="42"/>
  <c r="AL340" i="42"/>
  <c r="AM330" i="42"/>
  <c r="AM276" i="42"/>
  <c r="AL268" i="42"/>
  <c r="AL106" i="42"/>
  <c r="AL88" i="42"/>
  <c r="AM589" i="42"/>
  <c r="AM553" i="42"/>
  <c r="AM547" i="42"/>
  <c r="AM541" i="42"/>
  <c r="AM535" i="42"/>
  <c r="AM529" i="42"/>
  <c r="AM517" i="42"/>
  <c r="AL511" i="42"/>
  <c r="AM503" i="42"/>
  <c r="AM495" i="42"/>
  <c r="AM471" i="42"/>
  <c r="AL463" i="42"/>
  <c r="AM455" i="42"/>
  <c r="AL447" i="42"/>
  <c r="AM437" i="42"/>
  <c r="AM365" i="42"/>
  <c r="AM347" i="42"/>
  <c r="AL339" i="42"/>
  <c r="AM329" i="42"/>
  <c r="AL321" i="42"/>
  <c r="AM311" i="42"/>
  <c r="AM275" i="42"/>
  <c r="AL267" i="42"/>
  <c r="AL231" i="42"/>
  <c r="AM221" i="42"/>
  <c r="AL159" i="42"/>
  <c r="AL105" i="42"/>
  <c r="AL87" i="42"/>
  <c r="AL589" i="42"/>
  <c r="AL553" i="42"/>
  <c r="AL547" i="42"/>
  <c r="AL541" i="42"/>
  <c r="AL535" i="42"/>
  <c r="AL529" i="42"/>
  <c r="AL517" i="42"/>
  <c r="AM510" i="42"/>
  <c r="AL503" i="42"/>
  <c r="AL495" i="42"/>
  <c r="AM486" i="42"/>
  <c r="AL471" i="42"/>
  <c r="AM462" i="42"/>
  <c r="AL455" i="42"/>
  <c r="AL445" i="42"/>
  <c r="AL437" i="42"/>
  <c r="AL373" i="42"/>
  <c r="AL365" i="42"/>
  <c r="AL355" i="42"/>
  <c r="AL347" i="42"/>
  <c r="AL337" i="42"/>
  <c r="AL329" i="42"/>
  <c r="AL311" i="42"/>
  <c r="AL283" i="42"/>
  <c r="AL275" i="42"/>
  <c r="AL265" i="42"/>
  <c r="AL221" i="42"/>
  <c r="AL211" i="42"/>
  <c r="AL157" i="42"/>
  <c r="AL85" i="42"/>
  <c r="AM594" i="42"/>
  <c r="AM588" i="42"/>
  <c r="AM546" i="42"/>
  <c r="AM540" i="42"/>
  <c r="AM516" i="42"/>
  <c r="AL510" i="42"/>
  <c r="AM494" i="42"/>
  <c r="AL486" i="42"/>
  <c r="AL478" i="42"/>
  <c r="AM470" i="42"/>
  <c r="AL462" i="42"/>
  <c r="AM444" i="42"/>
  <c r="AM354" i="42"/>
  <c r="AM336" i="42"/>
  <c r="AM318" i="42"/>
  <c r="AL310" i="42"/>
  <c r="AM282" i="42"/>
  <c r="AL274" i="42"/>
  <c r="AM264" i="42"/>
  <c r="AL256" i="42"/>
  <c r="AL238" i="42"/>
  <c r="AM210" i="42"/>
  <c r="AL166" i="42"/>
  <c r="AM120" i="42"/>
  <c r="AL112" i="42"/>
  <c r="AM66" i="42"/>
  <c r="AL594" i="42"/>
  <c r="AL588" i="42"/>
  <c r="AL546" i="42"/>
  <c r="AL540" i="42"/>
  <c r="AL516" i="42"/>
  <c r="AM509" i="42"/>
  <c r="AM501" i="42"/>
  <c r="AM485" i="42"/>
  <c r="AL469" i="42"/>
  <c r="AM453" i="42"/>
  <c r="AL444" i="42"/>
  <c r="AM435" i="42"/>
  <c r="AL354" i="42"/>
  <c r="AL336" i="42"/>
  <c r="AM327" i="42"/>
  <c r="AL318" i="42"/>
  <c r="AM291" i="42"/>
  <c r="AL282" i="42"/>
  <c r="AL264" i="42"/>
  <c r="AM237" i="42"/>
  <c r="AL210" i="42"/>
  <c r="AL120" i="42"/>
  <c r="AM111" i="42"/>
  <c r="AL66" i="42"/>
  <c r="AM581" i="42"/>
  <c r="AM539" i="42"/>
  <c r="AM515" i="42"/>
  <c r="AL509" i="42"/>
  <c r="AL501" i="42"/>
  <c r="AM492" i="42"/>
  <c r="AL485" i="42"/>
  <c r="AM468" i="42"/>
  <c r="AL453" i="42"/>
  <c r="AL435" i="42"/>
  <c r="AM353" i="42"/>
  <c r="AM335" i="42"/>
  <c r="AL327" i="42"/>
  <c r="AM317" i="42"/>
  <c r="AL291" i="42"/>
  <c r="AM263" i="42"/>
  <c r="AL237" i="42"/>
  <c r="AM119" i="42"/>
  <c r="AL111" i="42"/>
  <c r="AL581" i="42"/>
  <c r="AL539" i="42"/>
  <c r="AL515" i="42"/>
  <c r="AL508" i="42"/>
  <c r="AM500" i="42"/>
  <c r="AL492" i="42"/>
  <c r="AM476" i="42"/>
  <c r="AL468" i="42"/>
  <c r="AL460" i="42"/>
  <c r="AL451" i="42"/>
  <c r="AL379" i="42"/>
  <c r="AL353" i="42"/>
  <c r="AL335" i="42"/>
  <c r="AL325" i="42"/>
  <c r="AL317" i="42"/>
  <c r="AL289" i="42"/>
  <c r="AL263" i="42"/>
  <c r="AL119" i="42"/>
  <c r="AL109" i="42"/>
  <c r="AL607" i="42"/>
  <c r="AL14" i="42"/>
  <c r="AL32" i="42"/>
  <c r="AL98" i="42"/>
  <c r="AL104" i="42"/>
  <c r="AL134" i="42"/>
  <c r="AL158" i="42"/>
  <c r="AL236" i="42"/>
  <c r="AL266" i="42"/>
  <c r="AL320" i="42"/>
  <c r="AL326" i="42"/>
  <c r="AL338" i="42"/>
  <c r="AL356" i="42"/>
  <c r="AL446" i="42"/>
  <c r="AL452" i="42"/>
  <c r="AL458" i="42"/>
  <c r="AL464" i="42"/>
  <c r="AL470" i="42"/>
  <c r="AL476" i="42"/>
  <c r="AL482" i="42"/>
  <c r="AL488" i="42"/>
  <c r="AL494" i="42"/>
  <c r="AL500" i="42"/>
  <c r="AM544" i="42"/>
  <c r="AM538" i="42"/>
  <c r="AM532" i="42"/>
  <c r="AM526" i="42"/>
  <c r="AM520" i="42"/>
  <c r="AM514" i="42"/>
  <c r="AM507" i="42"/>
  <c r="AL499" i="42"/>
  <c r="AM491" i="42"/>
  <c r="AL475" i="42"/>
  <c r="AM467" i="42"/>
  <c r="AM459" i="42"/>
  <c r="AM450" i="42"/>
  <c r="AL442" i="42"/>
  <c r="AL370" i="42"/>
  <c r="AM360" i="42"/>
  <c r="AL352" i="42"/>
  <c r="AM342" i="42"/>
  <c r="AM288" i="42"/>
  <c r="AL244" i="42"/>
  <c r="AM126" i="42"/>
  <c r="AM108" i="42"/>
  <c r="AL544" i="42"/>
  <c r="AL538" i="42"/>
  <c r="AL532" i="42"/>
  <c r="AL526" i="42"/>
  <c r="AL520" i="42"/>
  <c r="AL514" i="42"/>
  <c r="AL507" i="42"/>
  <c r="AL491" i="42"/>
  <c r="AM474" i="42"/>
  <c r="AL467" i="42"/>
  <c r="AL459" i="42"/>
  <c r="AL450" i="42"/>
  <c r="AM441" i="42"/>
  <c r="AL360" i="42"/>
  <c r="AM351" i="42"/>
  <c r="AL342" i="42"/>
  <c r="AL288" i="42"/>
  <c r="AM135" i="42"/>
  <c r="AL126" i="42"/>
  <c r="AL108" i="42"/>
  <c r="AM597" i="42"/>
  <c r="AM519" i="42"/>
  <c r="AM513" i="42"/>
  <c r="AL490" i="42"/>
  <c r="AM482" i="42"/>
  <c r="AL474" i="42"/>
  <c r="AL466" i="42"/>
  <c r="AM458" i="42"/>
  <c r="AL441" i="42"/>
  <c r="AL351" i="42"/>
  <c r="AM341" i="42"/>
  <c r="AM269" i="42"/>
  <c r="AL135" i="42"/>
  <c r="AM125" i="42"/>
  <c r="AM107" i="42"/>
  <c r="AM85" i="42"/>
  <c r="AM97" i="42"/>
  <c r="AM109" i="42"/>
  <c r="AM133" i="42"/>
  <c r="AM157" i="42"/>
  <c r="AM211" i="42"/>
  <c r="AM223" i="42"/>
  <c r="AM265" i="42"/>
  <c r="AM283" i="42"/>
  <c r="AM289" i="42"/>
  <c r="AM325" i="42"/>
  <c r="AM337" i="42"/>
  <c r="AM349" i="42"/>
  <c r="AM355" i="42"/>
  <c r="AM367" i="42"/>
  <c r="AM373" i="42"/>
  <c r="AM379" i="42"/>
  <c r="AM439" i="42"/>
  <c r="AM445" i="42"/>
  <c r="AM451" i="42"/>
  <c r="AM457" i="42"/>
  <c r="AM463" i="42"/>
  <c r="AM469" i="42"/>
  <c r="AM475" i="42"/>
  <c r="AM481" i="42"/>
  <c r="AM499" i="42"/>
  <c r="AM505" i="42"/>
  <c r="AM511" i="42"/>
  <c r="AM607" i="42"/>
  <c r="AM14" i="42"/>
  <c r="AM32" i="42"/>
  <c r="AM98" i="42"/>
  <c r="AM104" i="42"/>
  <c r="AM134" i="42"/>
  <c r="AM158" i="42"/>
  <c r="AM236" i="42"/>
  <c r="AM266" i="42"/>
  <c r="AM320" i="42"/>
  <c r="AM326" i="42"/>
  <c r="AM338" i="42"/>
  <c r="AM356" i="42"/>
  <c r="AM446" i="42"/>
  <c r="AM452" i="42"/>
  <c r="AM88" i="42"/>
  <c r="AM106" i="42"/>
  <c r="AM112" i="42"/>
  <c r="AM166" i="42"/>
  <c r="AM238" i="42"/>
  <c r="AM244" i="42"/>
  <c r="AM256" i="42"/>
  <c r="AM268" i="42"/>
  <c r="AM274" i="42"/>
  <c r="AM310" i="42"/>
  <c r="AM340" i="42"/>
  <c r="AM352" i="42"/>
  <c r="AM370" i="42"/>
  <c r="AM376" i="42"/>
  <c r="AM412" i="42"/>
  <c r="AM442" i="42"/>
  <c r="AM448" i="42"/>
  <c r="AM460" i="42"/>
  <c r="AM466" i="42"/>
  <c r="AM478" i="42"/>
  <c r="AM490" i="42"/>
  <c r="AM496" i="42"/>
  <c r="AM508" i="42"/>
  <c r="AL597" i="42"/>
  <c r="AL519" i="42"/>
  <c r="AL513" i="42"/>
  <c r="AL505" i="42"/>
  <c r="AM497" i="42"/>
  <c r="AM489" i="42"/>
  <c r="AL481" i="42"/>
  <c r="AM473" i="42"/>
  <c r="AL457" i="42"/>
  <c r="AL439" i="42"/>
  <c r="AL367" i="42"/>
  <c r="AL349" i="42"/>
  <c r="AL341" i="42"/>
  <c r="AL269" i="42"/>
  <c r="AL223" i="42"/>
  <c r="AL133" i="42"/>
  <c r="AL125" i="42"/>
  <c r="AL107" i="42"/>
  <c r="AL97" i="42"/>
  <c r="AE614" i="42"/>
  <c r="AB614" i="42"/>
  <c r="AK310" i="41"/>
  <c r="AK760" i="41"/>
  <c r="AK336" i="41"/>
  <c r="AK818" i="41"/>
  <c r="AK384" i="41"/>
  <c r="AK885" i="41"/>
  <c r="AK415" i="41"/>
  <c r="AK912" i="41"/>
  <c r="AK8" i="41"/>
  <c r="AK440" i="41"/>
  <c r="AK952" i="41"/>
  <c r="AK34" i="41"/>
  <c r="AK474" i="41"/>
  <c r="AK1001" i="41"/>
  <c r="AK853" i="41"/>
  <c r="AK160" i="41"/>
  <c r="AK543" i="41"/>
  <c r="AK1066" i="41"/>
  <c r="AK360" i="41"/>
  <c r="AK190" i="41"/>
  <c r="AK597" i="41"/>
  <c r="AK226" i="41"/>
  <c r="AK629" i="41"/>
  <c r="AK1061" i="41"/>
  <c r="AK257" i="41"/>
  <c r="AK665" i="41"/>
  <c r="AK285" i="41"/>
  <c r="AK125" i="41"/>
  <c r="AK614" i="41"/>
  <c r="AK5" i="41"/>
  <c r="AK30" i="41"/>
  <c r="AK158" i="41"/>
  <c r="AK188" i="41"/>
  <c r="AK224" i="41"/>
  <c r="AK255" i="41"/>
  <c r="AK283" i="41"/>
  <c r="AK308" i="41"/>
  <c r="AK334" i="41"/>
  <c r="AK358" i="41"/>
  <c r="AK383" i="41"/>
  <c r="AK411" i="41"/>
  <c r="AK439" i="41"/>
  <c r="AK472" i="41"/>
  <c r="AK539" i="41"/>
  <c r="AK594" i="41"/>
  <c r="AK628" i="41"/>
  <c r="AK662" i="41"/>
  <c r="AK701" i="41"/>
  <c r="AK757" i="41"/>
  <c r="AK816" i="41"/>
  <c r="AK850" i="41"/>
  <c r="AK883" i="41"/>
  <c r="AK911" i="41"/>
  <c r="AK950" i="41"/>
  <c r="AK996" i="41"/>
  <c r="AK1063" i="41"/>
  <c r="AL19" i="41"/>
  <c r="AL62" i="41"/>
  <c r="AL171" i="41"/>
  <c r="AL200" i="41"/>
  <c r="AL240" i="41"/>
  <c r="AL268" i="41"/>
  <c r="AL296" i="41"/>
  <c r="AL321" i="41"/>
  <c r="AL347" i="41"/>
  <c r="AL369" i="41"/>
  <c r="AL394" i="41"/>
  <c r="AL427" i="41"/>
  <c r="AL452" i="41"/>
  <c r="AL495" i="41"/>
  <c r="AL568" i="41"/>
  <c r="AL619" i="41"/>
  <c r="AL646" i="41"/>
  <c r="AL687" i="41"/>
  <c r="AL715" i="41"/>
  <c r="AL793" i="41"/>
  <c r="AL829" i="41"/>
  <c r="AL863" i="41"/>
  <c r="AL897" i="41"/>
  <c r="AL920" i="41"/>
  <c r="AL981" i="41"/>
  <c r="AL1020" i="41"/>
  <c r="AK154" i="41"/>
  <c r="AK682" i="41"/>
  <c r="AK10" i="41"/>
  <c r="AK53" i="41"/>
  <c r="AK162" i="41"/>
  <c r="AK192" i="41"/>
  <c r="AK228" i="41"/>
  <c r="AK259" i="41"/>
  <c r="AK287" i="41"/>
  <c r="AK312" i="41"/>
  <c r="AK338" i="41"/>
  <c r="AK361" i="41"/>
  <c r="AK386" i="41"/>
  <c r="AK416" i="41"/>
  <c r="AK441" i="41"/>
  <c r="AK476" i="41"/>
  <c r="AK546" i="41"/>
  <c r="AK602" i="41"/>
  <c r="AK631" i="41"/>
  <c r="AK679" i="41"/>
  <c r="AK706" i="41"/>
  <c r="AK785" i="41"/>
  <c r="AK820" i="41"/>
  <c r="AK855" i="41"/>
  <c r="AK887" i="41"/>
  <c r="AK914" i="41"/>
  <c r="AK954" i="41"/>
  <c r="AK1003" i="41"/>
  <c r="AK1068" i="41"/>
  <c r="AL23" i="41"/>
  <c r="AL66" i="41"/>
  <c r="AL179" i="41"/>
  <c r="AL206" i="41"/>
  <c r="AL245" i="41"/>
  <c r="AL272" i="41"/>
  <c r="AL300" i="41"/>
  <c r="AL326" i="41"/>
  <c r="AL351" i="41"/>
  <c r="AL373" i="41"/>
  <c r="AL403" i="41"/>
  <c r="AL432" i="41"/>
  <c r="AL458" i="41"/>
  <c r="AL527" i="41"/>
  <c r="AL580" i="41"/>
  <c r="AL621" i="41"/>
  <c r="AL651" i="41"/>
  <c r="AL693" i="41"/>
  <c r="AL720" i="41"/>
  <c r="AL798" i="41"/>
  <c r="AL834" i="41"/>
  <c r="AL868" i="41"/>
  <c r="AL904" i="41"/>
  <c r="AL935" i="41"/>
  <c r="AL985" i="41"/>
  <c r="AL1048" i="41"/>
  <c r="AK241" i="41"/>
  <c r="AK751" i="41"/>
  <c r="AK15" i="41"/>
  <c r="AK58" i="41"/>
  <c r="AK166" i="41"/>
  <c r="AK196" i="41"/>
  <c r="AK236" i="41"/>
  <c r="AK263" i="41"/>
  <c r="AK291" i="41"/>
  <c r="AK317" i="41"/>
  <c r="AK343" i="41"/>
  <c r="AK365" i="41"/>
  <c r="AK390" i="41"/>
  <c r="AK423" i="41"/>
  <c r="AK444" i="41"/>
  <c r="AK491" i="41"/>
  <c r="AK559" i="41"/>
  <c r="AK606" i="41"/>
  <c r="AK636" i="41"/>
  <c r="AK683" i="41"/>
  <c r="AK711" i="41"/>
  <c r="AK789" i="41"/>
  <c r="AK824" i="41"/>
  <c r="AK859" i="41"/>
  <c r="AK892" i="41"/>
  <c r="AK918" i="41"/>
  <c r="AK961" i="41"/>
  <c r="AK1015" i="41"/>
  <c r="AK1074" i="41"/>
  <c r="AL27" i="41"/>
  <c r="AL70" i="41"/>
  <c r="AL183" i="41"/>
  <c r="AL210" i="41"/>
  <c r="AL250" i="41"/>
  <c r="AL276" i="41"/>
  <c r="AL303" i="41"/>
  <c r="AL330" i="41"/>
  <c r="AL354" i="41"/>
  <c r="AL377" i="41"/>
  <c r="AL407" i="41"/>
  <c r="AL437" i="41"/>
  <c r="AL462" i="41"/>
  <c r="AL532" i="41"/>
  <c r="AL586" i="41"/>
  <c r="AL626" i="41"/>
  <c r="AL657" i="41"/>
  <c r="AL697" i="41"/>
  <c r="AL744" i="41"/>
  <c r="AL802" i="41"/>
  <c r="AL842" i="41"/>
  <c r="AL878" i="41"/>
  <c r="AL909" i="41"/>
  <c r="AL943" i="41"/>
  <c r="AL989" i="41"/>
  <c r="AL1059" i="41"/>
  <c r="AK13" i="41"/>
  <c r="AK261" i="41"/>
  <c r="AK388" i="41"/>
  <c r="AK549" i="41"/>
  <c r="AK857" i="41"/>
  <c r="AK990" i="41"/>
  <c r="AK271" i="41"/>
  <c r="AK773" i="41"/>
  <c r="AK17" i="41"/>
  <c r="AK60" i="41"/>
  <c r="AK168" i="41"/>
  <c r="AK198" i="41"/>
  <c r="AK238" i="41"/>
  <c r="AK265" i="41"/>
  <c r="AK294" i="41"/>
  <c r="AK319" i="41"/>
  <c r="AK345" i="41"/>
  <c r="AK367" i="41"/>
  <c r="AK392" i="41"/>
  <c r="AK425" i="41"/>
  <c r="AK446" i="41"/>
  <c r="AK493" i="41"/>
  <c r="AK562" i="41"/>
  <c r="AK618" i="41"/>
  <c r="AK644" i="41"/>
  <c r="AK685" i="41"/>
  <c r="AK713" i="41"/>
  <c r="AK791" i="41"/>
  <c r="AK826" i="41"/>
  <c r="AK861" i="41"/>
  <c r="AK895" i="41"/>
  <c r="AK919" i="41"/>
  <c r="AK966" i="41"/>
  <c r="AK1019" i="41"/>
  <c r="AK1076" i="41"/>
  <c r="AL29" i="41"/>
  <c r="AL72" i="41"/>
  <c r="AL185" i="41"/>
  <c r="AL222" i="41"/>
  <c r="AL252" i="41"/>
  <c r="AL280" i="41"/>
  <c r="AL305" i="41"/>
  <c r="AL332" i="41"/>
  <c r="AL356" i="41"/>
  <c r="AL379" i="41"/>
  <c r="AL409" i="41"/>
  <c r="AL438" i="41"/>
  <c r="AL464" i="41"/>
  <c r="AL535" i="41"/>
  <c r="AL588" i="41"/>
  <c r="AL627" i="41"/>
  <c r="AL660" i="41"/>
  <c r="AL699" i="41"/>
  <c r="AL746" i="41"/>
  <c r="AL813" i="41"/>
  <c r="AL846" i="41"/>
  <c r="AL881" i="41"/>
  <c r="AL910" i="41"/>
  <c r="AL946" i="41"/>
  <c r="AL992" i="41"/>
  <c r="AL1061" i="41"/>
  <c r="AK340" i="41"/>
  <c r="AK787" i="41"/>
  <c r="AK862" i="41"/>
  <c r="AK16" i="41"/>
  <c r="AK313" i="41"/>
  <c r="AK854" i="41"/>
  <c r="AK19" i="41"/>
  <c r="AK62" i="41"/>
  <c r="AK171" i="41"/>
  <c r="AK200" i="41"/>
  <c r="AK240" i="41"/>
  <c r="AK268" i="41"/>
  <c r="AK296" i="41"/>
  <c r="AK321" i="41"/>
  <c r="AK347" i="41"/>
  <c r="AK369" i="41"/>
  <c r="AK394" i="41"/>
  <c r="AK427" i="41"/>
  <c r="AK452" i="41"/>
  <c r="AK495" i="41"/>
  <c r="AK568" i="41"/>
  <c r="AK619" i="41"/>
  <c r="AK646" i="41"/>
  <c r="AK687" i="41"/>
  <c r="AK715" i="41"/>
  <c r="AK793" i="41"/>
  <c r="AK829" i="41"/>
  <c r="AK863" i="41"/>
  <c r="AK897" i="41"/>
  <c r="AK920" i="41"/>
  <c r="AK981" i="41"/>
  <c r="AK1020" i="41"/>
  <c r="AL5" i="41"/>
  <c r="AL30" i="41"/>
  <c r="AL158" i="41"/>
  <c r="AL188" i="41"/>
  <c r="AL224" i="41"/>
  <c r="AL255" i="41"/>
  <c r="AL283" i="41"/>
  <c r="AL308" i="41"/>
  <c r="AL334" i="41"/>
  <c r="AL358" i="41"/>
  <c r="AL383" i="41"/>
  <c r="AL411" i="41"/>
  <c r="AL439" i="41"/>
  <c r="AL472" i="41"/>
  <c r="AL539" i="41"/>
  <c r="AL594" i="41"/>
  <c r="AL628" i="41"/>
  <c r="AL662" i="41"/>
  <c r="AL701" i="41"/>
  <c r="AL757" i="41"/>
  <c r="AL816" i="41"/>
  <c r="AL850" i="41"/>
  <c r="AL883" i="41"/>
  <c r="AL911" i="41"/>
  <c r="AL950" i="41"/>
  <c r="AL996" i="41"/>
  <c r="AL1063" i="41"/>
  <c r="AK55" i="41"/>
  <c r="AK234" i="41"/>
  <c r="AK363" i="41"/>
  <c r="AK443" i="41"/>
  <c r="AK605" i="41"/>
  <c r="AK708" i="41"/>
  <c r="AK889" i="41"/>
  <c r="AK1070" i="41"/>
  <c r="AK856" i="41"/>
  <c r="AK39" i="41"/>
  <c r="AK350" i="41"/>
  <c r="AK947" i="41"/>
  <c r="AK21" i="41"/>
  <c r="AK64" i="41"/>
  <c r="AK173" i="41"/>
  <c r="AK204" i="41"/>
  <c r="AK242" i="41"/>
  <c r="AK270" i="41"/>
  <c r="AK298" i="41"/>
  <c r="AK323" i="41"/>
  <c r="AK349" i="41"/>
  <c r="AK371" i="41"/>
  <c r="AK401" i="41"/>
  <c r="AK429" i="41"/>
  <c r="AK456" i="41"/>
  <c r="AK524" i="41"/>
  <c r="AK571" i="41"/>
  <c r="AK620" i="41"/>
  <c r="AK648" i="41"/>
  <c r="AK690" i="41"/>
  <c r="AK718" i="41"/>
  <c r="AK795" i="41"/>
  <c r="AK832" i="41"/>
  <c r="AK866" i="41"/>
  <c r="AK899" i="41"/>
  <c r="AK922" i="41"/>
  <c r="AK983" i="41"/>
  <c r="AK1039" i="41"/>
  <c r="AL8" i="41"/>
  <c r="AL34" i="41"/>
  <c r="AL160" i="41"/>
  <c r="AL190" i="41"/>
  <c r="AL226" i="41"/>
  <c r="AL257" i="41"/>
  <c r="AL285" i="41"/>
  <c r="AL310" i="41"/>
  <c r="AL336" i="41"/>
  <c r="AL360" i="41"/>
  <c r="AL384" i="41"/>
  <c r="AL415" i="41"/>
  <c r="AL440" i="41"/>
  <c r="AL474" i="41"/>
  <c r="AL543" i="41"/>
  <c r="AL597" i="41"/>
  <c r="AL629" i="41"/>
  <c r="AL665" i="41"/>
  <c r="AL704" i="41"/>
  <c r="AL760" i="41"/>
  <c r="AL818" i="41"/>
  <c r="AL853" i="41"/>
  <c r="AL885" i="41"/>
  <c r="AL912" i="41"/>
  <c r="AL952" i="41"/>
  <c r="AL1001" i="41"/>
  <c r="AL1066" i="41"/>
  <c r="AK314" i="41"/>
  <c r="AK917" i="41"/>
  <c r="AK851" i="41"/>
  <c r="AK52" i="41"/>
  <c r="AK395" i="41"/>
  <c r="AK973" i="41"/>
  <c r="AK23" i="41"/>
  <c r="AK66" i="41"/>
  <c r="AK179" i="41"/>
  <c r="AK206" i="41"/>
  <c r="AK245" i="41"/>
  <c r="AK272" i="41"/>
  <c r="AK300" i="41"/>
  <c r="AK326" i="41"/>
  <c r="AK351" i="41"/>
  <c r="AK373" i="41"/>
  <c r="AK403" i="41"/>
  <c r="AK432" i="41"/>
  <c r="AK458" i="41"/>
  <c r="AK527" i="41"/>
  <c r="AK580" i="41"/>
  <c r="AK621" i="41"/>
  <c r="AK651" i="41"/>
  <c r="AK693" i="41"/>
  <c r="AK720" i="41"/>
  <c r="AK798" i="41"/>
  <c r="AK834" i="41"/>
  <c r="AK868" i="41"/>
  <c r="AK904" i="41"/>
  <c r="AK935" i="41"/>
  <c r="AK985" i="41"/>
  <c r="AK1048" i="41"/>
  <c r="AL10" i="41"/>
  <c r="AL53" i="41"/>
  <c r="AL162" i="41"/>
  <c r="AL192" i="41"/>
  <c r="AL228" i="41"/>
  <c r="AL259" i="41"/>
  <c r="AL287" i="41"/>
  <c r="AL312" i="41"/>
  <c r="AL338" i="41"/>
  <c r="AL361" i="41"/>
  <c r="AL386" i="41"/>
  <c r="AL416" i="41"/>
  <c r="AL441" i="41"/>
  <c r="AL476" i="41"/>
  <c r="AL546" i="41"/>
  <c r="AL602" i="41"/>
  <c r="AL631" i="41"/>
  <c r="AL679" i="41"/>
  <c r="AL706" i="41"/>
  <c r="AL785" i="41"/>
  <c r="AL820" i="41"/>
  <c r="AL855" i="41"/>
  <c r="AL887" i="41"/>
  <c r="AL914" i="41"/>
  <c r="AL954" i="41"/>
  <c r="AL1003" i="41"/>
  <c r="AL1068" i="41"/>
  <c r="AK194" i="41"/>
  <c r="AK418" i="41"/>
  <c r="AK634" i="41"/>
  <c r="AK959" i="41"/>
  <c r="AK702" i="41"/>
  <c r="AK75" i="41"/>
  <c r="AK457" i="41"/>
  <c r="AK1013" i="41"/>
  <c r="AK25" i="41"/>
  <c r="AK68" i="41"/>
  <c r="AK181" i="41"/>
  <c r="AK208" i="41"/>
  <c r="AK247" i="41"/>
  <c r="AK274" i="41"/>
  <c r="AK301" i="41"/>
  <c r="AK328" i="41"/>
  <c r="AK352" i="41"/>
  <c r="AK375" i="41"/>
  <c r="AK405" i="41"/>
  <c r="AK436" i="41"/>
  <c r="AK460" i="41"/>
  <c r="AK530" i="41"/>
  <c r="AK582" i="41"/>
  <c r="AK623" i="41"/>
  <c r="AK653" i="41"/>
  <c r="AK695" i="41"/>
  <c r="AK738" i="41"/>
  <c r="AK800" i="41"/>
  <c r="AK836" i="41"/>
  <c r="AK870" i="41"/>
  <c r="AK907" i="41"/>
  <c r="AK941" i="41"/>
  <c r="AK987" i="41"/>
  <c r="AK1051" i="41"/>
  <c r="AL13" i="41"/>
  <c r="AL55" i="41"/>
  <c r="AL164" i="41"/>
  <c r="AL194" i="41"/>
  <c r="AL234" i="41"/>
  <c r="AL261" i="41"/>
  <c r="AL289" i="41"/>
  <c r="AL314" i="41"/>
  <c r="AL340" i="41"/>
  <c r="AL363" i="41"/>
  <c r="AL388" i="41"/>
  <c r="AL418" i="41"/>
  <c r="AL443" i="41"/>
  <c r="AL489" i="41"/>
  <c r="AL549" i="41"/>
  <c r="AL605" i="41"/>
  <c r="AL634" i="41"/>
  <c r="AL681" i="41"/>
  <c r="AL708" i="41"/>
  <c r="AL787" i="41"/>
  <c r="AL822" i="41"/>
  <c r="AL857" i="41"/>
  <c r="AL889" i="41"/>
  <c r="AL917" i="41"/>
  <c r="AL959" i="41"/>
  <c r="AL1012" i="41"/>
  <c r="AL1070" i="41"/>
  <c r="AK164" i="41"/>
  <c r="AK289" i="41"/>
  <c r="AK489" i="41"/>
  <c r="AK681" i="41"/>
  <c r="AK822" i="41"/>
  <c r="AK1012" i="41"/>
  <c r="AK88" i="41"/>
  <c r="AK523" i="41"/>
  <c r="AK1037" i="41"/>
  <c r="AK27" i="41"/>
  <c r="AK70" i="41"/>
  <c r="AK183" i="41"/>
  <c r="AK210" i="41"/>
  <c r="AK250" i="41"/>
  <c r="AK276" i="41"/>
  <c r="AK303" i="41"/>
  <c r="AK330" i="41"/>
  <c r="AK354" i="41"/>
  <c r="AK377" i="41"/>
  <c r="AK407" i="41"/>
  <c r="AK437" i="41"/>
  <c r="AK462" i="41"/>
  <c r="AK532" i="41"/>
  <c r="AK586" i="41"/>
  <c r="AK626" i="41"/>
  <c r="AK657" i="41"/>
  <c r="AK697" i="41"/>
  <c r="AK744" i="41"/>
  <c r="AK802" i="41"/>
  <c r="AK842" i="41"/>
  <c r="AK878" i="41"/>
  <c r="AK909" i="41"/>
  <c r="AK943" i="41"/>
  <c r="AK989" i="41"/>
  <c r="AK1059" i="41"/>
  <c r="AL15" i="41"/>
  <c r="AL58" i="41"/>
  <c r="AL166" i="41"/>
  <c r="AL196" i="41"/>
  <c r="AL236" i="41"/>
  <c r="AL263" i="41"/>
  <c r="AL291" i="41"/>
  <c r="AL317" i="41"/>
  <c r="AL343" i="41"/>
  <c r="AL365" i="41"/>
  <c r="AL390" i="41"/>
  <c r="AL423" i="41"/>
  <c r="AL444" i="41"/>
  <c r="AL491" i="41"/>
  <c r="AL559" i="41"/>
  <c r="AL606" i="41"/>
  <c r="AL636" i="41"/>
  <c r="AL683" i="41"/>
  <c r="AL711" i="41"/>
  <c r="AL789" i="41"/>
  <c r="AL824" i="41"/>
  <c r="AL859" i="41"/>
  <c r="AL892" i="41"/>
  <c r="AL918" i="41"/>
  <c r="AL961" i="41"/>
  <c r="AL1015" i="41"/>
  <c r="AL1074" i="41"/>
  <c r="AK113" i="41"/>
  <c r="AK553" i="41"/>
  <c r="AK1075" i="41"/>
  <c r="AK29" i="41"/>
  <c r="AK72" i="41"/>
  <c r="AK185" i="41"/>
  <c r="AK222" i="41"/>
  <c r="AK252" i="41"/>
  <c r="AK280" i="41"/>
  <c r="AK305" i="41"/>
  <c r="AK332" i="41"/>
  <c r="AK356" i="41"/>
  <c r="AK379" i="41"/>
  <c r="AK409" i="41"/>
  <c r="AK438" i="41"/>
  <c r="AK464" i="41"/>
  <c r="AK535" i="41"/>
  <c r="AK588" i="41"/>
  <c r="AK627" i="41"/>
  <c r="AK660" i="41"/>
  <c r="AK699" i="41"/>
  <c r="AK746" i="41"/>
  <c r="AK813" i="41"/>
  <c r="AK846" i="41"/>
  <c r="AK881" i="41"/>
  <c r="AK910" i="41"/>
  <c r="AK946" i="41"/>
  <c r="AK992" i="41"/>
  <c r="AL17" i="41"/>
  <c r="AL60" i="41"/>
  <c r="AL168" i="41"/>
  <c r="AL198" i="41"/>
  <c r="AL238" i="41"/>
  <c r="AL265" i="41"/>
  <c r="AL294" i="41"/>
  <c r="AL319" i="41"/>
  <c r="AL345" i="41"/>
  <c r="AL367" i="41"/>
  <c r="AL392" i="41"/>
  <c r="AL425" i="41"/>
  <c r="AL446" i="41"/>
  <c r="AL493" i="41"/>
  <c r="AL562" i="41"/>
  <c r="AL618" i="41"/>
  <c r="AL644" i="41"/>
  <c r="AL685" i="41"/>
  <c r="AL713" i="41"/>
  <c r="AL791" i="41"/>
  <c r="AL826" i="41"/>
  <c r="AL861" i="41"/>
  <c r="AL895" i="41"/>
  <c r="AL919" i="41"/>
  <c r="AL966" i="41"/>
  <c r="AL1019" i="41"/>
  <c r="AK14" i="41"/>
  <c r="AK38" i="41"/>
  <c r="AK51" i="41"/>
  <c r="AK74" i="41"/>
  <c r="AK87" i="41"/>
  <c r="AK112" i="41"/>
  <c r="AK124" i="41"/>
  <c r="AK139" i="41"/>
  <c r="AK153" i="41"/>
  <c r="AK199" i="41"/>
  <c r="AK237" i="41"/>
  <c r="AK269" i="41"/>
  <c r="AK309" i="41"/>
  <c r="AK346" i="41"/>
  <c r="AK393" i="41"/>
  <c r="AK445" i="41"/>
  <c r="AK517" i="41"/>
  <c r="AK552" i="41"/>
  <c r="AK613" i="41"/>
  <c r="AK650" i="41"/>
  <c r="AK678" i="41"/>
  <c r="AK719" i="41"/>
  <c r="AK748" i="41"/>
  <c r="AK771" i="41"/>
  <c r="AK849" i="41"/>
  <c r="AK945" i="41"/>
  <c r="AK971" i="41"/>
  <c r="AK1010" i="41"/>
  <c r="AK1036" i="41"/>
  <c r="AK1071" i="41"/>
  <c r="AL3" i="41"/>
  <c r="AL44" i="41"/>
  <c r="AL86" i="41"/>
  <c r="AL128" i="41"/>
  <c r="AL167" i="41"/>
  <c r="AL229" i="41"/>
  <c r="AL288" i="41"/>
  <c r="AL346" i="41"/>
  <c r="AL404" i="41"/>
  <c r="AL536" i="41"/>
  <c r="AL643" i="41"/>
  <c r="AL773" i="41"/>
  <c r="AL49" i="41"/>
  <c r="AL130" i="41"/>
  <c r="AL237" i="41"/>
  <c r="AL650" i="41"/>
  <c r="AK18" i="41"/>
  <c r="AK40" i="41"/>
  <c r="AK54" i="41"/>
  <c r="AK76" i="41"/>
  <c r="AK89" i="41"/>
  <c r="AK114" i="41"/>
  <c r="AK127" i="41"/>
  <c r="AK141" i="41"/>
  <c r="AK156" i="41"/>
  <c r="AK205" i="41"/>
  <c r="AK244" i="41"/>
  <c r="AK273" i="41"/>
  <c r="AK318" i="41"/>
  <c r="AK355" i="41"/>
  <c r="AK397" i="41"/>
  <c r="AK459" i="41"/>
  <c r="AK526" i="41"/>
  <c r="AK558" i="41"/>
  <c r="AK615" i="41"/>
  <c r="AK658" i="41"/>
  <c r="AK686" i="41"/>
  <c r="AK722" i="41"/>
  <c r="AK752" i="41"/>
  <c r="AK775" i="41"/>
  <c r="AK873" i="41"/>
  <c r="AK948" i="41"/>
  <c r="AK976" i="41"/>
  <c r="AK1016" i="41"/>
  <c r="AK1038" i="41"/>
  <c r="AK1077" i="41"/>
  <c r="AL12" i="41"/>
  <c r="AL50" i="41"/>
  <c r="AL90" i="41"/>
  <c r="AL135" i="41"/>
  <c r="AL170" i="41"/>
  <c r="AL241" i="41"/>
  <c r="AL302" i="41"/>
  <c r="AL355" i="41"/>
  <c r="AL424" i="41"/>
  <c r="AL552" i="41"/>
  <c r="AL661" i="41"/>
  <c r="AL884" i="41"/>
  <c r="AL408" i="41"/>
  <c r="AK22" i="41"/>
  <c r="AK42" i="41"/>
  <c r="AK56" i="41"/>
  <c r="AK77" i="41"/>
  <c r="AK90" i="41"/>
  <c r="AK115" i="41"/>
  <c r="AK128" i="41"/>
  <c r="AK142" i="41"/>
  <c r="AK163" i="41"/>
  <c r="AK209" i="41"/>
  <c r="AK246" i="41"/>
  <c r="AK281" i="41"/>
  <c r="AK320" i="41"/>
  <c r="AK359" i="41"/>
  <c r="AK400" i="41"/>
  <c r="AK461" i="41"/>
  <c r="AK531" i="41"/>
  <c r="AK561" i="41"/>
  <c r="AK616" i="41"/>
  <c r="AK659" i="41"/>
  <c r="AK689" i="41"/>
  <c r="AK724" i="41"/>
  <c r="AK753" i="41"/>
  <c r="AK781" i="41"/>
  <c r="AK884" i="41"/>
  <c r="AK949" i="41"/>
  <c r="AK977" i="41"/>
  <c r="AK1018" i="41"/>
  <c r="AK1041" i="41"/>
  <c r="AK1078" i="41"/>
  <c r="AL14" i="41"/>
  <c r="AL51" i="41"/>
  <c r="AL102" i="41"/>
  <c r="AL136" i="41"/>
  <c r="AL175" i="41"/>
  <c r="AL249" i="41"/>
  <c r="AL304" i="41"/>
  <c r="AL359" i="41"/>
  <c r="AL426" i="41"/>
  <c r="AL553" i="41"/>
  <c r="AL663" i="41"/>
  <c r="AL938" i="41"/>
  <c r="AK579" i="41"/>
  <c r="AK24" i="41"/>
  <c r="AK43" i="41"/>
  <c r="AK57" i="41"/>
  <c r="AK78" i="41"/>
  <c r="AK101" i="41"/>
  <c r="AK116" i="41"/>
  <c r="AK129" i="41"/>
  <c r="AK144" i="41"/>
  <c r="AK165" i="41"/>
  <c r="AK212" i="41"/>
  <c r="AK248" i="41"/>
  <c r="AK284" i="41"/>
  <c r="AK322" i="41"/>
  <c r="AK366" i="41"/>
  <c r="AK404" i="41"/>
  <c r="AK463" i="41"/>
  <c r="AK533" i="41"/>
  <c r="AK570" i="41"/>
  <c r="AK622" i="41"/>
  <c r="AK661" i="41"/>
  <c r="AK694" i="41"/>
  <c r="AK726" i="41"/>
  <c r="AK754" i="41"/>
  <c r="AK783" i="41"/>
  <c r="AK903" i="41"/>
  <c r="AK953" i="41"/>
  <c r="AK978" i="41"/>
  <c r="AK1023" i="41"/>
  <c r="AK1043" i="41"/>
  <c r="AK1079" i="41"/>
  <c r="AL16" i="41"/>
  <c r="AL56" i="41"/>
  <c r="AL110" i="41"/>
  <c r="AL137" i="41"/>
  <c r="AL180" i="41"/>
  <c r="AL251" i="41"/>
  <c r="AL309" i="41"/>
  <c r="AL370" i="41"/>
  <c r="AL434" i="41"/>
  <c r="AL561" i="41"/>
  <c r="AL668" i="41"/>
  <c r="AL956" i="41"/>
  <c r="AL541" i="41"/>
  <c r="AK808" i="41"/>
  <c r="AK3" i="41"/>
  <c r="AK26" i="41"/>
  <c r="AK44" i="41"/>
  <c r="AK59" i="41"/>
  <c r="AK79" i="41"/>
  <c r="AK102" i="41"/>
  <c r="AK117" i="41"/>
  <c r="AK130" i="41"/>
  <c r="AK145" i="41"/>
  <c r="AK167" i="41"/>
  <c r="AK216" i="41"/>
  <c r="AK249" i="41"/>
  <c r="AK288" i="41"/>
  <c r="AK324" i="41"/>
  <c r="AK368" i="41"/>
  <c r="AK408" i="41"/>
  <c r="AK471" i="41"/>
  <c r="AK534" i="41"/>
  <c r="AK587" i="41"/>
  <c r="AK630" i="41"/>
  <c r="AK663" i="41"/>
  <c r="AK696" i="41"/>
  <c r="AK728" i="41"/>
  <c r="AK756" i="41"/>
  <c r="AK786" i="41"/>
  <c r="AK916" i="41"/>
  <c r="AK956" i="41"/>
  <c r="AK979" i="41"/>
  <c r="AK1024" i="41"/>
  <c r="AK1045" i="41"/>
  <c r="AK1081" i="41"/>
  <c r="AL22" i="41"/>
  <c r="AL59" i="41"/>
  <c r="AL111" i="41"/>
  <c r="AL140" i="41"/>
  <c r="AL203" i="41"/>
  <c r="AL253" i="41"/>
  <c r="AL313" i="41"/>
  <c r="AL372" i="41"/>
  <c r="AL461" i="41"/>
  <c r="AL590" i="41"/>
  <c r="AL677" i="41"/>
  <c r="AL971" i="41"/>
  <c r="AK937" i="41"/>
  <c r="AK803" i="41"/>
  <c r="AK514" i="41"/>
  <c r="AK4" i="41"/>
  <c r="AK28" i="41"/>
  <c r="AK45" i="41"/>
  <c r="AK61" i="41"/>
  <c r="AK80" i="41"/>
  <c r="AK103" i="41"/>
  <c r="AK118" i="41"/>
  <c r="AK132" i="41"/>
  <c r="AK146" i="41"/>
  <c r="AK169" i="41"/>
  <c r="AK218" i="41"/>
  <c r="AK251" i="41"/>
  <c r="AK293" i="41"/>
  <c r="AK327" i="41"/>
  <c r="AK370" i="41"/>
  <c r="AK414" i="41"/>
  <c r="AK475" i="41"/>
  <c r="AK536" i="41"/>
  <c r="AK589" i="41"/>
  <c r="AK635" i="41"/>
  <c r="AK666" i="41"/>
  <c r="AK698" i="41"/>
  <c r="AK731" i="41"/>
  <c r="AK759" i="41"/>
  <c r="AK797" i="41"/>
  <c r="AK921" i="41"/>
  <c r="AK958" i="41"/>
  <c r="AK982" i="41"/>
  <c r="AK1025" i="41"/>
  <c r="AK1050" i="41"/>
  <c r="AK1083" i="41"/>
  <c r="AL26" i="41"/>
  <c r="AL71" i="41"/>
  <c r="AL112" i="41"/>
  <c r="AL142" i="41"/>
  <c r="AL205" i="41"/>
  <c r="AL258" i="41"/>
  <c r="AL322" i="41"/>
  <c r="AL374" i="41"/>
  <c r="AL463" i="41"/>
  <c r="AL591" i="41"/>
  <c r="AL678" i="41"/>
  <c r="AL988" i="41"/>
  <c r="AL348" i="41"/>
  <c r="AK799" i="41"/>
  <c r="AK431" i="41"/>
  <c r="AK6" i="41"/>
  <c r="AK31" i="41"/>
  <c r="AK46" i="41"/>
  <c r="AK65" i="41"/>
  <c r="AK81" i="41"/>
  <c r="AK104" i="41"/>
  <c r="AK119" i="41"/>
  <c r="AK133" i="41"/>
  <c r="AK147" i="41"/>
  <c r="AK172" i="41"/>
  <c r="AK221" i="41"/>
  <c r="AK254" i="41"/>
  <c r="AK295" i="41"/>
  <c r="AK331" i="41"/>
  <c r="AK372" i="41"/>
  <c r="AK417" i="41"/>
  <c r="AK486" i="41"/>
  <c r="AK538" i="41"/>
  <c r="AK590" i="41"/>
  <c r="AK639" i="41"/>
  <c r="AK668" i="41"/>
  <c r="AK700" i="41"/>
  <c r="AK732" i="41"/>
  <c r="AK762" i="41"/>
  <c r="AK807" i="41"/>
  <c r="AK928" i="41"/>
  <c r="AK963" i="41"/>
  <c r="AK988" i="41"/>
  <c r="AK1026" i="41"/>
  <c r="AK1052" i="41"/>
  <c r="AK1088" i="41"/>
  <c r="AL36" i="41"/>
  <c r="AL73" i="41"/>
  <c r="AL115" i="41"/>
  <c r="AL147" i="41"/>
  <c r="AL207" i="41"/>
  <c r="AL262" i="41"/>
  <c r="AL324" i="41"/>
  <c r="AL381" i="41"/>
  <c r="AL475" i="41"/>
  <c r="AL608" i="41"/>
  <c r="AL686" i="41"/>
  <c r="AL1016" i="41"/>
  <c r="AL11" i="41"/>
  <c r="AL87" i="41"/>
  <c r="AL169" i="41"/>
  <c r="AL819" i="41"/>
  <c r="AK905" i="41"/>
  <c r="AK768" i="41"/>
  <c r="AK7" i="41"/>
  <c r="AK32" i="41"/>
  <c r="AK47" i="41"/>
  <c r="AK67" i="41"/>
  <c r="AK82" i="41"/>
  <c r="AK106" i="41"/>
  <c r="AK120" i="41"/>
  <c r="AK134" i="41"/>
  <c r="AK148" i="41"/>
  <c r="AK175" i="41"/>
  <c r="AK223" i="41"/>
  <c r="AK258" i="41"/>
  <c r="AK297" i="41"/>
  <c r="AK335" i="41"/>
  <c r="AK376" i="41"/>
  <c r="AK424" i="41"/>
  <c r="AK492" i="41"/>
  <c r="AK541" i="41"/>
  <c r="AK591" i="41"/>
  <c r="AK641" i="41"/>
  <c r="AK670" i="41"/>
  <c r="AK705" i="41"/>
  <c r="AK733" i="41"/>
  <c r="AK765" i="41"/>
  <c r="AK819" i="41"/>
  <c r="AK930" i="41"/>
  <c r="AK964" i="41"/>
  <c r="AK997" i="41"/>
  <c r="AK1028" i="41"/>
  <c r="AK1053" i="41"/>
  <c r="AK1089" i="41"/>
  <c r="AL37" i="41"/>
  <c r="AL74" i="41"/>
  <c r="AL117" i="41"/>
  <c r="AL148" i="41"/>
  <c r="AL212" i="41"/>
  <c r="AL271" i="41"/>
  <c r="AL325" i="41"/>
  <c r="AL385" i="41"/>
  <c r="AL496" i="41"/>
  <c r="AL615" i="41"/>
  <c r="AL709" i="41"/>
  <c r="AL1094" i="41"/>
  <c r="AL1082" i="41"/>
  <c r="AL1060" i="41"/>
  <c r="AL1042" i="41"/>
  <c r="AL1029" i="41"/>
  <c r="AL1014" i="41"/>
  <c r="AL984" i="41"/>
  <c r="AL970" i="41"/>
  <c r="AL955" i="41"/>
  <c r="AL936" i="41"/>
  <c r="AL877" i="41"/>
  <c r="AL812" i="41"/>
  <c r="AL772" i="41"/>
  <c r="AL758" i="41"/>
  <c r="AL737" i="41"/>
  <c r="AL725" i="41"/>
  <c r="AL707" i="41"/>
  <c r="AL684" i="41"/>
  <c r="AL667" i="41"/>
  <c r="AL649" i="41"/>
  <c r="AL625" i="41"/>
  <c r="AL604" i="41"/>
  <c r="AL560" i="41"/>
  <c r="AL540" i="41"/>
  <c r="AL521" i="41"/>
  <c r="AL473" i="41"/>
  <c r="AL433" i="41"/>
  <c r="AL402" i="41"/>
  <c r="AL378" i="41"/>
  <c r="AL353" i="41"/>
  <c r="AL329" i="41"/>
  <c r="AL307" i="41"/>
  <c r="AL282" i="41"/>
  <c r="AL256" i="41"/>
  <c r="AL235" i="41"/>
  <c r="AL211" i="41"/>
  <c r="AL174" i="41"/>
  <c r="AL151" i="41"/>
  <c r="AL139" i="41"/>
  <c r="AL127" i="41"/>
  <c r="AL114" i="41"/>
  <c r="AL89" i="41"/>
  <c r="AL76" i="41"/>
  <c r="AL54" i="41"/>
  <c r="AL40" i="41"/>
  <c r="AL18" i="41"/>
  <c r="AL1093" i="41"/>
  <c r="AL1081" i="41"/>
  <c r="AL1058" i="41"/>
  <c r="AL1041" i="41"/>
  <c r="AL1028" i="41"/>
  <c r="AL1013" i="41"/>
  <c r="AL982" i="41"/>
  <c r="AL969" i="41"/>
  <c r="AL953" i="41"/>
  <c r="AL934" i="41"/>
  <c r="AL873" i="41"/>
  <c r="AL807" i="41"/>
  <c r="AL771" i="41"/>
  <c r="AL756" i="41"/>
  <c r="AL736" i="41"/>
  <c r="AL724" i="41"/>
  <c r="AL705" i="41"/>
  <c r="AL682" i="41"/>
  <c r="AL666" i="41"/>
  <c r="AL647" i="41"/>
  <c r="AL622" i="41"/>
  <c r="AL601" i="41"/>
  <c r="AL558" i="41"/>
  <c r="AL538" i="41"/>
  <c r="AL517" i="41"/>
  <c r="AL471" i="41"/>
  <c r="AL430" i="41"/>
  <c r="AL400" i="41"/>
  <c r="AL376" i="41"/>
  <c r="AL350" i="41"/>
  <c r="AL327" i="41"/>
  <c r="AL306" i="41"/>
  <c r="AL281" i="41"/>
  <c r="AL254" i="41"/>
  <c r="AL230" i="41"/>
  <c r="AL209" i="41"/>
  <c r="AL172" i="41"/>
  <c r="AL150" i="41"/>
  <c r="AL138" i="41"/>
  <c r="AL125" i="41"/>
  <c r="AL113" i="41"/>
  <c r="AL88" i="41"/>
  <c r="AL75" i="41"/>
  <c r="AL52" i="41"/>
  <c r="AL1092" i="41"/>
  <c r="AL1080" i="41"/>
  <c r="AL1055" i="41"/>
  <c r="AL1040" i="41"/>
  <c r="AL1027" i="41"/>
  <c r="AL1011" i="41"/>
  <c r="AL980" i="41"/>
  <c r="AL968" i="41"/>
  <c r="AL951" i="41"/>
  <c r="AL933" i="41"/>
  <c r="AL865" i="41"/>
  <c r="AL805" i="41"/>
  <c r="AL770" i="41"/>
  <c r="AL755" i="41"/>
  <c r="AL735" i="41"/>
  <c r="AL723" i="41"/>
  <c r="AL703" i="41"/>
  <c r="AL680" i="41"/>
  <c r="AL664" i="41"/>
  <c r="AL645" i="41"/>
  <c r="AL617" i="41"/>
  <c r="AL600" i="41"/>
  <c r="AL555" i="41"/>
  <c r="AL537" i="41"/>
  <c r="AL515" i="41"/>
  <c r="AL467" i="41"/>
  <c r="AL428" i="41"/>
  <c r="AL1091" i="41"/>
  <c r="AL1079" i="41"/>
  <c r="AL1054" i="41"/>
  <c r="AL1038" i="41"/>
  <c r="AL1026" i="41"/>
  <c r="AL1010" i="41"/>
  <c r="AL979" i="41"/>
  <c r="AL967" i="41"/>
  <c r="AL949" i="41"/>
  <c r="AL930" i="41"/>
  <c r="AL854" i="41"/>
  <c r="AL797" i="41"/>
  <c r="AL769" i="41"/>
  <c r="AL754" i="41"/>
  <c r="AL734" i="41"/>
  <c r="AL722" i="41"/>
  <c r="AL700" i="41"/>
  <c r="AL1090" i="41"/>
  <c r="AL1078" i="41"/>
  <c r="AL1053" i="41"/>
  <c r="AL1037" i="41"/>
  <c r="AL1025" i="41"/>
  <c r="AL1009" i="41"/>
  <c r="AL978" i="41"/>
  <c r="AL965" i="41"/>
  <c r="AL948" i="41"/>
  <c r="AL928" i="41"/>
  <c r="AL849" i="41"/>
  <c r="AL786" i="41"/>
  <c r="AL767" i="41"/>
  <c r="AL753" i="41"/>
  <c r="AL733" i="41"/>
  <c r="AL721" i="41"/>
  <c r="AL698" i="41"/>
  <c r="AL1089" i="41"/>
  <c r="AL1077" i="41"/>
  <c r="AL1052" i="41"/>
  <c r="AL1036" i="41"/>
  <c r="AL1024" i="41"/>
  <c r="AL1008" i="41"/>
  <c r="AL977" i="41"/>
  <c r="AL964" i="41"/>
  <c r="AL947" i="41"/>
  <c r="AL921" i="41"/>
  <c r="AL848" i="41"/>
  <c r="AL783" i="41"/>
  <c r="AL766" i="41"/>
  <c r="AL752" i="41"/>
  <c r="AL732" i="41"/>
  <c r="AL719" i="41"/>
  <c r="AL696" i="41"/>
  <c r="AL674" i="41"/>
  <c r="AL659" i="41"/>
  <c r="AL641" i="41"/>
  <c r="AL614" i="41"/>
  <c r="AL589" i="41"/>
  <c r="AL551" i="41"/>
  <c r="AL533" i="41"/>
  <c r="AL494" i="41"/>
  <c r="AL459" i="41"/>
  <c r="AL417" i="41"/>
  <c r="AL393" i="41"/>
  <c r="AL368" i="41"/>
  <c r="AL342" i="41"/>
  <c r="AL320" i="41"/>
  <c r="AL297" i="41"/>
  <c r="AL269" i="41"/>
  <c r="AL248" i="41"/>
  <c r="AL223" i="41"/>
  <c r="AL199" i="41"/>
  <c r="AL165" i="41"/>
  <c r="AL146" i="41"/>
  <c r="AL134" i="41"/>
  <c r="AL121" i="41"/>
  <c r="AL107" i="41"/>
  <c r="AL83" i="41"/>
  <c r="AL69" i="41"/>
  <c r="AL48" i="41"/>
  <c r="AL33" i="41"/>
  <c r="AL9" i="41"/>
  <c r="AL1088" i="41"/>
  <c r="AL1075" i="41"/>
  <c r="AL1050" i="41"/>
  <c r="AL1035" i="41"/>
  <c r="AL1023" i="41"/>
  <c r="AL1007" i="41"/>
  <c r="AL976" i="41"/>
  <c r="AL963" i="41"/>
  <c r="AL945" i="41"/>
  <c r="AL916" i="41"/>
  <c r="AL847" i="41"/>
  <c r="AL781" i="41"/>
  <c r="AL765" i="41"/>
  <c r="AL751" i="41"/>
  <c r="AL731" i="41"/>
  <c r="AL717" i="41"/>
  <c r="AL694" i="41"/>
  <c r="AL673" i="41"/>
  <c r="AL658" i="41"/>
  <c r="AL639" i="41"/>
  <c r="AL613" i="41"/>
  <c r="AL587" i="41"/>
  <c r="AL550" i="41"/>
  <c r="AL531" i="41"/>
  <c r="AL492" i="41"/>
  <c r="AL457" i="41"/>
  <c r="AL414" i="41"/>
  <c r="AL391" i="41"/>
  <c r="AL366" i="41"/>
  <c r="AL341" i="41"/>
  <c r="AL318" i="41"/>
  <c r="AL295" i="41"/>
  <c r="AL267" i="41"/>
  <c r="AL246" i="41"/>
  <c r="AL221" i="41"/>
  <c r="AL186" i="41"/>
  <c r="AL163" i="41"/>
  <c r="AL145" i="41"/>
  <c r="AL133" i="41"/>
  <c r="AL120" i="41"/>
  <c r="AL106" i="41"/>
  <c r="AL82" i="41"/>
  <c r="AL67" i="41"/>
  <c r="AL47" i="41"/>
  <c r="AL32" i="41"/>
  <c r="AL7" i="41"/>
  <c r="AL1087" i="41"/>
  <c r="AL1073" i="41"/>
  <c r="AL1049" i="41"/>
  <c r="AL1034" i="41"/>
  <c r="AL1022" i="41"/>
  <c r="AL1006" i="41"/>
  <c r="AL975" i="41"/>
  <c r="AL962" i="41"/>
  <c r="AL944" i="41"/>
  <c r="AL913" i="41"/>
  <c r="AL843" i="41"/>
  <c r="AL779" i="41"/>
  <c r="AL764" i="41"/>
  <c r="AL750" i="41"/>
  <c r="AL730" i="41"/>
  <c r="AL716" i="41"/>
  <c r="AL692" i="41"/>
  <c r="AL672" i="41"/>
  <c r="AL656" i="41"/>
  <c r="AL638" i="41"/>
  <c r="AL612" i="41"/>
  <c r="AL573" i="41"/>
  <c r="AL547" i="41"/>
  <c r="AL529" i="41"/>
  <c r="AL490" i="41"/>
  <c r="AL455" i="41"/>
  <c r="AL412" i="41"/>
  <c r="AL389" i="41"/>
  <c r="AL364" i="41"/>
  <c r="AL339" i="41"/>
  <c r="AL316" i="41"/>
  <c r="AL293" i="41"/>
  <c r="AL266" i="41"/>
  <c r="AL244" i="41"/>
  <c r="AL218" i="41"/>
  <c r="AL184" i="41"/>
  <c r="AL156" i="41"/>
  <c r="AL144" i="41"/>
  <c r="AL132" i="41"/>
  <c r="AL119" i="41"/>
  <c r="AL104" i="41"/>
  <c r="AL81" i="41"/>
  <c r="AL65" i="41"/>
  <c r="AL46" i="41"/>
  <c r="AL31" i="41"/>
  <c r="AL6" i="41"/>
  <c r="AL1086" i="41"/>
  <c r="AL1072" i="41"/>
  <c r="AL1046" i="41"/>
  <c r="AL1033" i="41"/>
  <c r="AL1021" i="41"/>
  <c r="AL1005" i="41"/>
  <c r="AL974" i="41"/>
  <c r="AL960" i="41"/>
  <c r="AL942" i="41"/>
  <c r="AL908" i="41"/>
  <c r="AL841" i="41"/>
  <c r="AL776" i="41"/>
  <c r="AL763" i="41"/>
  <c r="AL749" i="41"/>
  <c r="AL729" i="41"/>
  <c r="AL714" i="41"/>
  <c r="AL691" i="41"/>
  <c r="AL671" i="41"/>
  <c r="AL655" i="41"/>
  <c r="AL637" i="41"/>
  <c r="AL611" i="41"/>
  <c r="AL572" i="41"/>
  <c r="AL545" i="41"/>
  <c r="AL528" i="41"/>
  <c r="AL488" i="41"/>
  <c r="AL447" i="41"/>
  <c r="AL410" i="41"/>
  <c r="AL387" i="41"/>
  <c r="AL362" i="41"/>
  <c r="AL337" i="41"/>
  <c r="AL315" i="41"/>
  <c r="AL290" i="41"/>
  <c r="AL264" i="41"/>
  <c r="AL243" i="41"/>
  <c r="AL217" i="41"/>
  <c r="AL182" i="41"/>
  <c r="AL155" i="41"/>
  <c r="AL143" i="41"/>
  <c r="AL131" i="41"/>
  <c r="AL118" i="41"/>
  <c r="AL103" i="41"/>
  <c r="AL80" i="41"/>
  <c r="AL61" i="41"/>
  <c r="AL45" i="41"/>
  <c r="AL28" i="41"/>
  <c r="AL4" i="41"/>
  <c r="AL1085" i="41"/>
  <c r="AL1071" i="41"/>
  <c r="AL1045" i="41"/>
  <c r="AL1032" i="41"/>
  <c r="AL1018" i="41"/>
  <c r="AL997" i="41"/>
  <c r="AL973" i="41"/>
  <c r="AL958" i="41"/>
  <c r="AL940" i="41"/>
  <c r="AL903" i="41"/>
  <c r="AL839" i="41"/>
  <c r="AL775" i="41"/>
  <c r="AL762" i="41"/>
  <c r="AL748" i="41"/>
  <c r="AL728" i="41"/>
  <c r="AL712" i="41"/>
  <c r="AL689" i="41"/>
  <c r="AL670" i="41"/>
  <c r="AL654" i="41"/>
  <c r="AL635" i="41"/>
  <c r="AL610" i="41"/>
  <c r="AL570" i="41"/>
  <c r="AL544" i="41"/>
  <c r="AL526" i="41"/>
  <c r="AL486" i="41"/>
  <c r="AL445" i="41"/>
  <c r="AL1084" i="41"/>
  <c r="AL1064" i="41"/>
  <c r="AL1044" i="41"/>
  <c r="AL1031" i="41"/>
  <c r="AL1017" i="41"/>
  <c r="AL991" i="41"/>
  <c r="AL972" i="41"/>
  <c r="AL957" i="41"/>
  <c r="AL939" i="41"/>
  <c r="AL894" i="41"/>
  <c r="AL831" i="41"/>
  <c r="AL774" i="41"/>
  <c r="AL761" i="41"/>
  <c r="AL747" i="41"/>
  <c r="AL727" i="41"/>
  <c r="AL710" i="41"/>
  <c r="AL688" i="41"/>
  <c r="AL669" i="41"/>
  <c r="AL652" i="41"/>
  <c r="AL633" i="41"/>
  <c r="AL609" i="41"/>
  <c r="AL566" i="41"/>
  <c r="AL542" i="41"/>
  <c r="AL525" i="41"/>
  <c r="AL477" i="41"/>
  <c r="AL435" i="41"/>
  <c r="AL406" i="41"/>
  <c r="AL382" i="41"/>
  <c r="AL357" i="41"/>
  <c r="AL333" i="41"/>
  <c r="AL311" i="41"/>
  <c r="AL286" i="41"/>
  <c r="AL260" i="41"/>
  <c r="AL239" i="41"/>
  <c r="AL215" i="41"/>
  <c r="AL178" i="41"/>
  <c r="AL153" i="41"/>
  <c r="AL141" i="41"/>
  <c r="AL129" i="41"/>
  <c r="AL116" i="41"/>
  <c r="AL101" i="41"/>
  <c r="AL78" i="41"/>
  <c r="AL57" i="41"/>
  <c r="AL43" i="41"/>
  <c r="AL24" i="41"/>
  <c r="AL299" i="41"/>
  <c r="AK9" i="41"/>
  <c r="AK33" i="41"/>
  <c r="AK48" i="41"/>
  <c r="AK69" i="41"/>
  <c r="AK83" i="41"/>
  <c r="AK107" i="41"/>
  <c r="AK121" i="41"/>
  <c r="AK135" i="41"/>
  <c r="AK150" i="41"/>
  <c r="AK180" i="41"/>
  <c r="AK225" i="41"/>
  <c r="AK262" i="41"/>
  <c r="AK299" i="41"/>
  <c r="AK341" i="41"/>
  <c r="AK381" i="41"/>
  <c r="AK426" i="41"/>
  <c r="AK494" i="41"/>
  <c r="AK544" i="41"/>
  <c r="AK601" i="41"/>
  <c r="AK642" i="41"/>
  <c r="AK673" i="41"/>
  <c r="AK709" i="41"/>
  <c r="AK734" i="41"/>
  <c r="AK766" i="41"/>
  <c r="AK839" i="41"/>
  <c r="AK934" i="41"/>
  <c r="AK965" i="41"/>
  <c r="AK1007" i="41"/>
  <c r="AK1030" i="41"/>
  <c r="AK1054" i="41"/>
  <c r="AK1090" i="41"/>
  <c r="AL38" i="41"/>
  <c r="AL77" i="41"/>
  <c r="AL122" i="41"/>
  <c r="AL149" i="41"/>
  <c r="AL216" i="41"/>
  <c r="AL273" i="41"/>
  <c r="AL331" i="41"/>
  <c r="AL395" i="41"/>
  <c r="AL505" i="41"/>
  <c r="AL616" i="41"/>
  <c r="AL726" i="41"/>
  <c r="AL1043" i="41"/>
  <c r="AK11" i="41"/>
  <c r="AK36" i="41"/>
  <c r="AK49" i="41"/>
  <c r="AK71" i="41"/>
  <c r="AK84" i="41"/>
  <c r="AK110" i="41"/>
  <c r="AK122" i="41"/>
  <c r="AK136" i="41"/>
  <c r="AK151" i="41"/>
  <c r="AK184" i="41"/>
  <c r="AK227" i="41"/>
  <c r="AK266" i="41"/>
  <c r="AK302" i="41"/>
  <c r="AK342" i="41"/>
  <c r="AK385" i="41"/>
  <c r="AK430" i="41"/>
  <c r="AK496" i="41"/>
  <c r="AK550" i="41"/>
  <c r="AK608" i="41"/>
  <c r="AK643" i="41"/>
  <c r="AK674" i="41"/>
  <c r="AK712" i="41"/>
  <c r="AK736" i="41"/>
  <c r="AK767" i="41"/>
  <c r="AK847" i="41"/>
  <c r="AK938" i="41"/>
  <c r="AK967" i="41"/>
  <c r="AK1008" i="41"/>
  <c r="AK1032" i="41"/>
  <c r="AK1058" i="41"/>
  <c r="AL39" i="41"/>
  <c r="AL79" i="41"/>
  <c r="AL123" i="41"/>
  <c r="AL152" i="41"/>
  <c r="AL225" i="41"/>
  <c r="AL275" i="41"/>
  <c r="AL335" i="41"/>
  <c r="AL397" i="41"/>
  <c r="AL523" i="41"/>
  <c r="AL630" i="41"/>
  <c r="AL743" i="41"/>
  <c r="AL1062" i="41"/>
  <c r="AK1092" i="41"/>
  <c r="AK1080" i="41"/>
  <c r="AK1055" i="41"/>
  <c r="AK1040" i="41"/>
  <c r="AK1027" i="41"/>
  <c r="AK1011" i="41"/>
  <c r="AK980" i="41"/>
  <c r="AK968" i="41"/>
  <c r="AK951" i="41"/>
  <c r="AK933" i="41"/>
  <c r="AK865" i="41"/>
  <c r="AK805" i="41"/>
  <c r="AK770" i="41"/>
  <c r="AK755" i="41"/>
  <c r="AK735" i="41"/>
  <c r="AK723" i="41"/>
  <c r="AK703" i="41"/>
  <c r="AK680" i="41"/>
  <c r="AK664" i="41"/>
  <c r="AK645" i="41"/>
  <c r="AK617" i="41"/>
  <c r="AK600" i="41"/>
  <c r="AK555" i="41"/>
  <c r="AK537" i="41"/>
  <c r="AK515" i="41"/>
  <c r="AK467" i="41"/>
  <c r="AK428" i="41"/>
  <c r="AK398" i="41"/>
  <c r="AK374" i="41"/>
  <c r="AK348" i="41"/>
  <c r="AK325" i="41"/>
  <c r="AK304" i="41"/>
  <c r="AK275" i="41"/>
  <c r="AK253" i="41"/>
  <c r="AK229" i="41"/>
  <c r="AK207" i="41"/>
  <c r="AK170" i="41"/>
  <c r="AK149" i="41"/>
  <c r="AK137" i="41"/>
  <c r="AK1087" i="41"/>
  <c r="AK1073" i="41"/>
  <c r="AK1049" i="41"/>
  <c r="AK1034" i="41"/>
  <c r="AK1022" i="41"/>
  <c r="AK1006" i="41"/>
  <c r="AK975" i="41"/>
  <c r="AK962" i="41"/>
  <c r="AK944" i="41"/>
  <c r="AK913" i="41"/>
  <c r="AK843" i="41"/>
  <c r="AK779" i="41"/>
  <c r="AK764" i="41"/>
  <c r="AK750" i="41"/>
  <c r="AK730" i="41"/>
  <c r="AK716" i="41"/>
  <c r="AK692" i="41"/>
  <c r="AK672" i="41"/>
  <c r="AK656" i="41"/>
  <c r="AK638" i="41"/>
  <c r="AK612" i="41"/>
  <c r="AK573" i="41"/>
  <c r="AK547" i="41"/>
  <c r="AK529" i="41"/>
  <c r="AK490" i="41"/>
  <c r="AK455" i="41"/>
  <c r="AK412" i="41"/>
  <c r="AK389" i="41"/>
  <c r="AK364" i="41"/>
  <c r="AK339" i="41"/>
  <c r="AK316" i="41"/>
  <c r="AK1086" i="41"/>
  <c r="AK1072" i="41"/>
  <c r="AK1046" i="41"/>
  <c r="AK1033" i="41"/>
  <c r="AK1021" i="41"/>
  <c r="AK1005" i="41"/>
  <c r="AK974" i="41"/>
  <c r="AK960" i="41"/>
  <c r="AK942" i="41"/>
  <c r="AK908" i="41"/>
  <c r="AK841" i="41"/>
  <c r="AK776" i="41"/>
  <c r="AK763" i="41"/>
  <c r="AK749" i="41"/>
  <c r="AK729" i="41"/>
  <c r="AK714" i="41"/>
  <c r="AK691" i="41"/>
  <c r="AK671" i="41"/>
  <c r="AK655" i="41"/>
  <c r="AK637" i="41"/>
  <c r="AK611" i="41"/>
  <c r="AK572" i="41"/>
  <c r="AK545" i="41"/>
  <c r="AK528" i="41"/>
  <c r="AK488" i="41"/>
  <c r="AK447" i="41"/>
  <c r="AK410" i="41"/>
  <c r="AK387" i="41"/>
  <c r="AK362" i="41"/>
  <c r="AK337" i="41"/>
  <c r="AK315" i="41"/>
  <c r="AK290" i="41"/>
  <c r="AK264" i="41"/>
  <c r="AK243" i="41"/>
  <c r="AK217" i="41"/>
  <c r="AK182" i="41"/>
  <c r="AK155" i="41"/>
  <c r="AK143" i="41"/>
  <c r="AK131" i="41"/>
  <c r="AK1085" i="41"/>
  <c r="AK1084" i="41"/>
  <c r="AK1064" i="41"/>
  <c r="AK1044" i="41"/>
  <c r="AK1031" i="41"/>
  <c r="AK1017" i="41"/>
  <c r="AK991" i="41"/>
  <c r="AK972" i="41"/>
  <c r="AK957" i="41"/>
  <c r="AK939" i="41"/>
  <c r="AK894" i="41"/>
  <c r="AK831" i="41"/>
  <c r="AK774" i="41"/>
  <c r="AK761" i="41"/>
  <c r="AK747" i="41"/>
  <c r="AK727" i="41"/>
  <c r="AK710" i="41"/>
  <c r="AK688" i="41"/>
  <c r="AK669" i="41"/>
  <c r="AK652" i="41"/>
  <c r="AK633" i="41"/>
  <c r="AK609" i="41"/>
  <c r="AK566" i="41"/>
  <c r="AK542" i="41"/>
  <c r="AK525" i="41"/>
  <c r="AK477" i="41"/>
  <c r="AK435" i="41"/>
  <c r="AK406" i="41"/>
  <c r="AK382" i="41"/>
  <c r="AK357" i="41"/>
  <c r="AK333" i="41"/>
  <c r="AK311" i="41"/>
  <c r="AK286" i="41"/>
  <c r="AK260" i="41"/>
  <c r="AK239" i="41"/>
  <c r="AK215" i="41"/>
  <c r="AK178" i="41"/>
  <c r="AK1094" i="41"/>
  <c r="AK1082" i="41"/>
  <c r="AK1060" i="41"/>
  <c r="AK1042" i="41"/>
  <c r="AK1029" i="41"/>
  <c r="AK1014" i="41"/>
  <c r="AK984" i="41"/>
  <c r="AK970" i="41"/>
  <c r="AK955" i="41"/>
  <c r="AK936" i="41"/>
  <c r="AK877" i="41"/>
  <c r="AK812" i="41"/>
  <c r="AK772" i="41"/>
  <c r="AK758" i="41"/>
  <c r="AK737" i="41"/>
  <c r="AK725" i="41"/>
  <c r="AK707" i="41"/>
  <c r="AK684" i="41"/>
  <c r="AK667" i="41"/>
  <c r="AK649" i="41"/>
  <c r="AK625" i="41"/>
  <c r="AK604" i="41"/>
  <c r="AK560" i="41"/>
  <c r="AK540" i="41"/>
  <c r="AK521" i="41"/>
  <c r="AK473" i="41"/>
  <c r="AK433" i="41"/>
  <c r="AK402" i="41"/>
  <c r="AK378" i="41"/>
  <c r="AK353" i="41"/>
  <c r="AK329" i="41"/>
  <c r="AK307" i="41"/>
  <c r="AK282" i="41"/>
  <c r="AK256" i="41"/>
  <c r="AK235" i="41"/>
  <c r="AK211" i="41"/>
  <c r="AK174" i="41"/>
  <c r="AK12" i="41"/>
  <c r="AK37" i="41"/>
  <c r="AK50" i="41"/>
  <c r="AK73" i="41"/>
  <c r="AK86" i="41"/>
  <c r="AK111" i="41"/>
  <c r="AK123" i="41"/>
  <c r="AK138" i="41"/>
  <c r="AK152" i="41"/>
  <c r="AK186" i="41"/>
  <c r="AK230" i="41"/>
  <c r="AK267" i="41"/>
  <c r="AK306" i="41"/>
  <c r="AK344" i="41"/>
  <c r="AK391" i="41"/>
  <c r="AK434" i="41"/>
  <c r="AK505" i="41"/>
  <c r="AK551" i="41"/>
  <c r="AK610" i="41"/>
  <c r="AK647" i="41"/>
  <c r="AK677" i="41"/>
  <c r="AK717" i="41"/>
  <c r="AK743" i="41"/>
  <c r="AK769" i="41"/>
  <c r="AK848" i="41"/>
  <c r="AK940" i="41"/>
  <c r="AK969" i="41"/>
  <c r="AK1009" i="41"/>
  <c r="AK1035" i="41"/>
  <c r="AK1062" i="41"/>
  <c r="AK1093" i="41"/>
  <c r="AL42" i="41"/>
  <c r="AL84" i="41"/>
  <c r="AL124" i="41"/>
  <c r="AL154" i="41"/>
  <c r="AL227" i="41"/>
  <c r="AL284" i="41"/>
  <c r="AL344" i="41"/>
  <c r="AL398" i="41"/>
  <c r="AL534" i="41"/>
  <c r="AL642" i="41"/>
  <c r="AL759" i="41"/>
  <c r="AL1083" i="41"/>
  <c r="AL901" i="41"/>
  <c r="AK888" i="41"/>
  <c r="AK845" i="41"/>
  <c r="AK932" i="41"/>
  <c r="AK745" i="41"/>
  <c r="AK640" i="41"/>
  <c r="AK577" i="41"/>
  <c r="AK504" i="41"/>
  <c r="AL821" i="41"/>
  <c r="AK931" i="41"/>
  <c r="AK882" i="41"/>
  <c r="AK576" i="41"/>
  <c r="AK503" i="41"/>
  <c r="AK279" i="41"/>
  <c r="AK924" i="41"/>
  <c r="AK880" i="41"/>
  <c r="AK567" i="41"/>
  <c r="AK195" i="41"/>
  <c r="AK1067" i="41"/>
  <c r="AK1004" i="41"/>
  <c r="AK879" i="41"/>
  <c r="AK778" i="41"/>
  <c r="AK480" i="41"/>
  <c r="AK871" i="41"/>
  <c r="AK823" i="41"/>
  <c r="AK449" i="41"/>
  <c r="AL157" i="41"/>
  <c r="AK1057" i="41"/>
  <c r="AK1000" i="41"/>
  <c r="AK925" i="41"/>
  <c r="AK874" i="41"/>
  <c r="AK792" i="41"/>
  <c r="AK675" i="41"/>
  <c r="AK63" i="41"/>
  <c r="AL1056" i="41"/>
  <c r="AL993" i="41"/>
  <c r="AL902" i="41"/>
  <c r="AL879" i="41"/>
  <c r="AL548" i="41"/>
  <c r="AK923" i="41"/>
  <c r="AK815" i="41"/>
  <c r="AK599" i="41"/>
  <c r="AL986" i="41"/>
  <c r="AL896" i="41"/>
  <c r="AL876" i="41"/>
  <c r="AL809" i="41"/>
  <c r="AK995" i="41"/>
  <c r="AK867" i="41"/>
  <c r="AK840" i="41"/>
  <c r="AK814" i="41"/>
  <c r="AK784" i="41"/>
  <c r="AK598" i="41"/>
  <c r="AK557" i="41"/>
  <c r="AK522" i="41"/>
  <c r="AK484" i="41"/>
  <c r="AL875" i="41"/>
  <c r="AL851" i="41"/>
  <c r="AL396" i="41"/>
  <c r="AK1069" i="41"/>
  <c r="AK893" i="41"/>
  <c r="AK864" i="41"/>
  <c r="AK809" i="41"/>
  <c r="AK592" i="41"/>
  <c r="AK556" i="41"/>
  <c r="AK519" i="41"/>
  <c r="AK483" i="41"/>
  <c r="AK159" i="41"/>
  <c r="AL1069" i="41"/>
  <c r="AL806" i="41"/>
  <c r="AL514" i="41"/>
  <c r="AL1047" i="41"/>
  <c r="AL915" i="41"/>
  <c r="AL893" i="41"/>
  <c r="AL869" i="41"/>
  <c r="AL794" i="41"/>
  <c r="AL593" i="41"/>
  <c r="AL1067" i="41"/>
  <c r="AL890" i="41"/>
  <c r="AL867" i="41"/>
  <c r="AL97" i="41"/>
  <c r="AK509" i="41"/>
  <c r="AL999" i="41"/>
  <c r="AL792" i="41"/>
  <c r="AL578" i="41"/>
  <c r="AL479" i="41"/>
  <c r="AK468" i="41"/>
  <c r="AL998" i="41"/>
  <c r="AL932" i="41"/>
  <c r="AL888" i="41"/>
  <c r="AL864" i="41"/>
  <c r="AL838" i="41"/>
  <c r="AL780" i="41"/>
  <c r="AL577" i="41"/>
  <c r="AL478" i="41"/>
  <c r="AK419" i="41"/>
  <c r="AK99" i="41"/>
  <c r="AL837" i="41"/>
  <c r="AL564" i="41"/>
  <c r="AK413" i="41"/>
  <c r="AK94" i="41"/>
  <c r="AL995" i="41"/>
  <c r="AL929" i="41"/>
  <c r="AL906" i="41"/>
  <c r="AL882" i="41"/>
  <c r="AL862" i="41"/>
  <c r="AL778" i="41"/>
  <c r="AL563" i="41"/>
  <c r="AL35" i="41"/>
  <c r="AK1002" i="41"/>
  <c r="AK569" i="41"/>
  <c r="AK231" i="41"/>
  <c r="AL1057" i="41"/>
  <c r="AL994" i="41"/>
  <c r="AL927" i="41"/>
  <c r="AK1065" i="41"/>
  <c r="AK929" i="41"/>
  <c r="AK915" i="41"/>
  <c r="AK900" i="41"/>
  <c r="AK852" i="41"/>
  <c r="AK835" i="41"/>
  <c r="AK804" i="41"/>
  <c r="AK739" i="41"/>
  <c r="AK563" i="41"/>
  <c r="AK520" i="41"/>
  <c r="AK497" i="41"/>
  <c r="AK478" i="41"/>
  <c r="AK450" i="41"/>
  <c r="AK396" i="41"/>
  <c r="AK214" i="41"/>
  <c r="AK999" i="41"/>
  <c r="AK927" i="41"/>
  <c r="AK898" i="41"/>
  <c r="AK833" i="41"/>
  <c r="AK817" i="41"/>
  <c r="AK624" i="41"/>
  <c r="AK603" i="41"/>
  <c r="AK516" i="41"/>
  <c r="AK448" i="41"/>
  <c r="AK420" i="41"/>
  <c r="AK202" i="41"/>
  <c r="AK442" i="41"/>
  <c r="AK481" i="41"/>
  <c r="AK498" i="41"/>
  <c r="AK510" i="41"/>
  <c r="AK565" i="41"/>
  <c r="AK1047" i="41"/>
  <c r="AK994" i="41"/>
  <c r="AK876" i="41"/>
  <c r="AK844" i="41"/>
  <c r="AK828" i="41"/>
  <c r="AK811" i="41"/>
  <c r="AK796" i="41"/>
  <c r="AK780" i="41"/>
  <c r="AK575" i="41"/>
  <c r="AK508" i="41"/>
  <c r="AK466" i="41"/>
  <c r="AK906" i="41"/>
  <c r="AK891" i="41"/>
  <c r="AK875" i="41"/>
  <c r="AK858" i="41"/>
  <c r="AK827" i="41"/>
  <c r="AK810" i="41"/>
  <c r="AK676" i="41"/>
  <c r="AK593" i="41"/>
  <c r="AK574" i="41"/>
  <c r="AK507" i="41"/>
  <c r="AK485" i="41"/>
  <c r="AE1104" i="41"/>
  <c r="AK901" i="41"/>
  <c r="AK886" i="41"/>
  <c r="AK869" i="41"/>
  <c r="AK838" i="41"/>
  <c r="AK821" i="41"/>
  <c r="AK790" i="41"/>
  <c r="AK742" i="41"/>
  <c r="AK564" i="41"/>
  <c r="AK502" i="41"/>
  <c r="AK479" i="41"/>
  <c r="AK454" i="41"/>
  <c r="AK399" i="41"/>
  <c r="AK219" i="41"/>
  <c r="AL576" i="41"/>
  <c r="AL512" i="41"/>
  <c r="AL96" i="41"/>
  <c r="AL926" i="41"/>
  <c r="AL900" i="41"/>
  <c r="AL874" i="41"/>
  <c r="AL777" i="41"/>
  <c r="AL675" i="41"/>
  <c r="AL603" i="41"/>
  <c r="AL575" i="41"/>
  <c r="AL510" i="41"/>
  <c r="AL454" i="41"/>
  <c r="AL95" i="41"/>
  <c r="AL1065" i="41"/>
  <c r="AL1004" i="41"/>
  <c r="AL925" i="41"/>
  <c r="AL886" i="41"/>
  <c r="AL860" i="41"/>
  <c r="AL833" i="41"/>
  <c r="AL804" i="41"/>
  <c r="AL790" i="41"/>
  <c r="AL632" i="41"/>
  <c r="AL574" i="41"/>
  <c r="AL507" i="41"/>
  <c r="AL470" i="41"/>
  <c r="AL431" i="41"/>
  <c r="AL94" i="41"/>
  <c r="AL990" i="41"/>
  <c r="AL937" i="41"/>
  <c r="AL924" i="41"/>
  <c r="AL898" i="41"/>
  <c r="AL872" i="41"/>
  <c r="AL817" i="41"/>
  <c r="AL803" i="41"/>
  <c r="AL745" i="41"/>
  <c r="AL702" i="41"/>
  <c r="AL506" i="41"/>
  <c r="AL469" i="41"/>
  <c r="AL202" i="41"/>
  <c r="AL92" i="41"/>
  <c r="AL93" i="41"/>
  <c r="AL105" i="41"/>
  <c r="AL177" i="41"/>
  <c r="AL189" i="41"/>
  <c r="AL201" i="41"/>
  <c r="AL213" i="41"/>
  <c r="AL453" i="41"/>
  <c r="AL465" i="41"/>
  <c r="AL501" i="41"/>
  <c r="AL513" i="41"/>
  <c r="AL98" i="41"/>
  <c r="AL63" i="41"/>
  <c r="AL99" i="41"/>
  <c r="AL159" i="41"/>
  <c r="AL100" i="41"/>
  <c r="AL220" i="41"/>
  <c r="AL232" i="41"/>
  <c r="AL292" i="41"/>
  <c r="AL448" i="41"/>
  <c r="AL484" i="41"/>
  <c r="AL508" i="41"/>
  <c r="AL520" i="41"/>
  <c r="AL556" i="41"/>
  <c r="AL592" i="41"/>
  <c r="AL640" i="41"/>
  <c r="AL676" i="41"/>
  <c r="AL784" i="41"/>
  <c r="AL796" i="41"/>
  <c r="AL808" i="41"/>
  <c r="AL844" i="41"/>
  <c r="AL856" i="41"/>
  <c r="AL880" i="41"/>
  <c r="AL1000" i="41"/>
  <c r="AL41" i="41"/>
  <c r="AL161" i="41"/>
  <c r="AL197" i="41"/>
  <c r="AL233" i="41"/>
  <c r="AL413" i="41"/>
  <c r="AL449" i="41"/>
  <c r="AL485" i="41"/>
  <c r="AL497" i="41"/>
  <c r="AL509" i="41"/>
  <c r="AL126" i="41"/>
  <c r="AL450" i="41"/>
  <c r="AL91" i="41"/>
  <c r="AL187" i="41"/>
  <c r="AL451" i="41"/>
  <c r="AL487" i="41"/>
  <c r="AL499" i="41"/>
  <c r="AL511" i="41"/>
  <c r="AL583" i="41"/>
  <c r="AL595" i="41"/>
  <c r="AL607" i="41"/>
  <c r="AL739" i="41"/>
  <c r="AL799" i="41"/>
  <c r="AL811" i="41"/>
  <c r="AL823" i="41"/>
  <c r="AL835" i="41"/>
  <c r="AL1002" i="41"/>
  <c r="AL923" i="41"/>
  <c r="AL871" i="41"/>
  <c r="AL858" i="41"/>
  <c r="AL845" i="41"/>
  <c r="AL830" i="41"/>
  <c r="AL788" i="41"/>
  <c r="AL557" i="41"/>
  <c r="AL468" i="41"/>
  <c r="AL219" i="41"/>
  <c r="AL176" i="41"/>
  <c r="AL85" i="41"/>
  <c r="AL20" i="41"/>
  <c r="AL815" i="41"/>
  <c r="AL801" i="41"/>
  <c r="AL599" i="41"/>
  <c r="AL585" i="41"/>
  <c r="AL522" i="41"/>
  <c r="AL504" i="41"/>
  <c r="AL279" i="41"/>
  <c r="AL195" i="41"/>
  <c r="AL828" i="41"/>
  <c r="AL814" i="41"/>
  <c r="AL742" i="41"/>
  <c r="AL598" i="41"/>
  <c r="AL584" i="41"/>
  <c r="AL569" i="41"/>
  <c r="AL554" i="41"/>
  <c r="AL519" i="41"/>
  <c r="AL503" i="41"/>
  <c r="AL483" i="41"/>
  <c r="AL466" i="41"/>
  <c r="AL422" i="41"/>
  <c r="AL278" i="41"/>
  <c r="AL193" i="41"/>
  <c r="AL109" i="41"/>
  <c r="AL827" i="41"/>
  <c r="AL741" i="41"/>
  <c r="AL567" i="41"/>
  <c r="AL518" i="41"/>
  <c r="AL502" i="41"/>
  <c r="AL482" i="41"/>
  <c r="AL421" i="41"/>
  <c r="AL399" i="41"/>
  <c r="AL277" i="41"/>
  <c r="AL108" i="41"/>
  <c r="AL840" i="41"/>
  <c r="AL782" i="41"/>
  <c r="AL768" i="41"/>
  <c r="AL740" i="41"/>
  <c r="AL624" i="41"/>
  <c r="AL596" i="41"/>
  <c r="AL581" i="41"/>
  <c r="AL500" i="41"/>
  <c r="AL481" i="41"/>
  <c r="AL442" i="41"/>
  <c r="AL420" i="41"/>
  <c r="AL380" i="41"/>
  <c r="AL191" i="41"/>
  <c r="AL931" i="41"/>
  <c r="AL905" i="41"/>
  <c r="AL891" i="41"/>
  <c r="AL852" i="41"/>
  <c r="AL825" i="41"/>
  <c r="AL810" i="41"/>
  <c r="AL579" i="41"/>
  <c r="AL565" i="41"/>
  <c r="AL516" i="41"/>
  <c r="AL498" i="41"/>
  <c r="AL480" i="41"/>
  <c r="AL419" i="41"/>
  <c r="AL231" i="41"/>
  <c r="AL214" i="41"/>
  <c r="AB1104" i="41"/>
  <c r="AK998" i="41"/>
  <c r="AK986" i="41"/>
  <c r="AK926" i="41"/>
  <c r="AK902" i="41"/>
  <c r="AK890" i="41"/>
  <c r="AK830" i="41"/>
  <c r="AK806" i="41"/>
  <c r="AK794" i="41"/>
  <c r="AK782" i="41"/>
  <c r="AK578" i="41"/>
  <c r="AK554" i="41"/>
  <c r="AK518" i="41"/>
  <c r="AK506" i="41"/>
  <c r="AK482" i="41"/>
  <c r="AK470" i="41"/>
  <c r="AK422" i="41"/>
  <c r="AK278" i="41"/>
  <c r="AK98" i="41"/>
  <c r="AK469" i="41"/>
  <c r="AK421" i="41"/>
  <c r="AK277" i="41"/>
  <c r="AK193" i="41"/>
  <c r="AK157" i="41"/>
  <c r="AK109" i="41"/>
  <c r="AK97" i="41"/>
  <c r="AK85" i="41"/>
  <c r="AK108" i="41"/>
  <c r="AK96" i="41"/>
  <c r="AK191" i="41"/>
  <c r="AK95" i="41"/>
  <c r="AK35" i="41"/>
  <c r="AK993" i="41"/>
  <c r="AK837" i="41"/>
  <c r="AK825" i="41"/>
  <c r="AK801" i="41"/>
  <c r="AK777" i="41"/>
  <c r="AK741" i="41"/>
  <c r="AK585" i="41"/>
  <c r="AK513" i="41"/>
  <c r="AK501" i="41"/>
  <c r="AK465" i="41"/>
  <c r="AK453" i="41"/>
  <c r="AK213" i="41"/>
  <c r="AK201" i="41"/>
  <c r="AK189" i="41"/>
  <c r="AK177" i="41"/>
  <c r="AK105" i="41"/>
  <c r="AK93" i="41"/>
  <c r="AK896" i="41"/>
  <c r="AK872" i="41"/>
  <c r="AK860" i="41"/>
  <c r="AK788" i="41"/>
  <c r="AK740" i="41"/>
  <c r="AK632" i="41"/>
  <c r="AK596" i="41"/>
  <c r="AK584" i="41"/>
  <c r="AK548" i="41"/>
  <c r="AK512" i="41"/>
  <c r="AK500" i="41"/>
  <c r="AK380" i="41"/>
  <c r="AK176" i="41"/>
  <c r="AK92" i="41"/>
  <c r="AK20" i="41"/>
  <c r="AK607" i="41"/>
  <c r="AK595" i="41"/>
  <c r="AK583" i="41"/>
  <c r="AK511" i="41"/>
  <c r="AK499" i="41"/>
  <c r="AK487" i="41"/>
  <c r="AK451" i="41"/>
  <c r="AK187" i="41"/>
  <c r="AK91" i="41"/>
  <c r="AK126" i="41"/>
  <c r="AK233" i="41"/>
  <c r="AK197" i="41"/>
  <c r="AK161" i="41"/>
  <c r="AK41" i="41"/>
  <c r="AK292" i="41"/>
  <c r="AK232" i="41"/>
  <c r="AK220" i="41"/>
  <c r="AK100" i="41"/>
  <c r="C2" i="43"/>
  <c r="B2" i="43"/>
  <c r="AH609" i="42"/>
  <c r="AG609" i="42"/>
  <c r="AF609" i="42"/>
  <c r="AE609" i="42"/>
  <c r="AB609" i="42"/>
  <c r="AA609" i="42"/>
  <c r="Z609" i="42"/>
  <c r="F24" i="43" s="1"/>
  <c r="Y609" i="42"/>
  <c r="F23" i="43" s="1"/>
  <c r="X609" i="42"/>
  <c r="F22" i="43" s="1"/>
  <c r="W609" i="42"/>
  <c r="F20" i="43" s="1"/>
  <c r="V609" i="42"/>
  <c r="F19" i="43" s="1"/>
  <c r="U609" i="42"/>
  <c r="F18" i="43" s="1"/>
  <c r="T609" i="42"/>
  <c r="F17" i="43" s="1"/>
  <c r="S609" i="42"/>
  <c r="F15" i="43" s="1"/>
  <c r="Q609" i="42"/>
  <c r="F11" i="43" s="1"/>
  <c r="P609" i="42"/>
  <c r="F10" i="43" s="1"/>
  <c r="O609" i="42"/>
  <c r="F9" i="43" s="1"/>
  <c r="N609" i="42"/>
  <c r="F8" i="43" s="1"/>
  <c r="M609" i="42"/>
  <c r="F7" i="43" s="1"/>
  <c r="L609" i="42"/>
  <c r="F6" i="43" s="1"/>
  <c r="K609" i="42"/>
  <c r="F5" i="43" s="1"/>
  <c r="AJ608" i="42"/>
  <c r="R608" i="42"/>
  <c r="AJ606" i="42"/>
  <c r="R606" i="42"/>
  <c r="AJ605" i="42"/>
  <c r="R605" i="42"/>
  <c r="AJ604" i="42"/>
  <c r="R604" i="42"/>
  <c r="AJ603" i="42"/>
  <c r="R603" i="42"/>
  <c r="AJ602" i="42"/>
  <c r="R602" i="42"/>
  <c r="AJ601" i="42"/>
  <c r="R601" i="42"/>
  <c r="AJ600" i="42"/>
  <c r="R600" i="42"/>
  <c r="AJ599" i="42"/>
  <c r="R599" i="42"/>
  <c r="AJ598" i="42"/>
  <c r="R598" i="42"/>
  <c r="AJ597" i="42"/>
  <c r="R597" i="42"/>
  <c r="AJ596" i="42"/>
  <c r="R596" i="42"/>
  <c r="AJ595" i="42"/>
  <c r="R595" i="42"/>
  <c r="AJ594" i="42"/>
  <c r="R594" i="42"/>
  <c r="AJ593" i="42"/>
  <c r="R593" i="42"/>
  <c r="AJ592" i="42"/>
  <c r="R592" i="42"/>
  <c r="AJ591" i="42"/>
  <c r="R591" i="42"/>
  <c r="AJ590" i="42"/>
  <c r="R590" i="42"/>
  <c r="AJ589" i="42"/>
  <c r="R589" i="42"/>
  <c r="AJ588" i="42"/>
  <c r="R588" i="42"/>
  <c r="AJ587" i="42"/>
  <c r="R587" i="42"/>
  <c r="AJ586" i="42"/>
  <c r="R586" i="42"/>
  <c r="AJ585" i="42"/>
  <c r="R585" i="42"/>
  <c r="AJ584" i="42"/>
  <c r="R584" i="42"/>
  <c r="AJ583" i="42"/>
  <c r="R583" i="42"/>
  <c r="AJ582" i="42"/>
  <c r="R582" i="42"/>
  <c r="AJ581" i="42"/>
  <c r="R581" i="42"/>
  <c r="AJ580" i="42"/>
  <c r="R580" i="42"/>
  <c r="AJ579" i="42"/>
  <c r="R579" i="42"/>
  <c r="AJ578" i="42"/>
  <c r="R578" i="42"/>
  <c r="AJ577" i="42"/>
  <c r="R577" i="42"/>
  <c r="AJ576" i="42"/>
  <c r="R576" i="42"/>
  <c r="AJ575" i="42"/>
  <c r="R575" i="42"/>
  <c r="AJ574" i="42"/>
  <c r="R574" i="42"/>
  <c r="AJ573" i="42"/>
  <c r="R573" i="42"/>
  <c r="AJ572" i="42"/>
  <c r="R572" i="42"/>
  <c r="AJ571" i="42"/>
  <c r="R571" i="42"/>
  <c r="R570" i="42"/>
  <c r="AJ569" i="42"/>
  <c r="AJ570" i="42" s="1"/>
  <c r="R569" i="42"/>
  <c r="AJ568" i="42"/>
  <c r="R568" i="42"/>
  <c r="AJ567" i="42"/>
  <c r="R567" i="42"/>
  <c r="AJ566" i="42"/>
  <c r="R566" i="42"/>
  <c r="AJ565" i="42"/>
  <c r="R565" i="42"/>
  <c r="AJ564" i="42"/>
  <c r="R564" i="42"/>
  <c r="AJ563" i="42"/>
  <c r="R563" i="42"/>
  <c r="AJ562" i="42"/>
  <c r="R562" i="42"/>
  <c r="AJ561" i="42"/>
  <c r="R561" i="42"/>
  <c r="AJ560" i="42"/>
  <c r="R560" i="42"/>
  <c r="AJ559" i="42"/>
  <c r="R559" i="42"/>
  <c r="AJ558" i="42"/>
  <c r="R558" i="42"/>
  <c r="AJ557" i="42"/>
  <c r="R557" i="42"/>
  <c r="AJ556" i="42"/>
  <c r="R556" i="42"/>
  <c r="AJ555" i="42"/>
  <c r="R555" i="42"/>
  <c r="AJ554" i="42"/>
  <c r="R554" i="42"/>
  <c r="AJ553" i="42"/>
  <c r="R553" i="42"/>
  <c r="AJ552" i="42"/>
  <c r="R552" i="42"/>
  <c r="R551" i="42"/>
  <c r="AJ550" i="42"/>
  <c r="AJ551" i="42" s="1"/>
  <c r="R550" i="42"/>
  <c r="AJ549" i="42"/>
  <c r="R549" i="42"/>
  <c r="AJ548" i="42"/>
  <c r="R548" i="42"/>
  <c r="AJ547" i="42"/>
  <c r="R547" i="42"/>
  <c r="AJ546" i="42"/>
  <c r="R546" i="42"/>
  <c r="AJ545" i="42"/>
  <c r="R545" i="42"/>
  <c r="AJ544" i="42"/>
  <c r="R544" i="42"/>
  <c r="AJ543" i="42"/>
  <c r="R543" i="42"/>
  <c r="AJ542" i="42"/>
  <c r="R542" i="42"/>
  <c r="AJ541" i="42"/>
  <c r="R541" i="42"/>
  <c r="AJ540" i="42"/>
  <c r="R540" i="42"/>
  <c r="AJ539" i="42"/>
  <c r="R539" i="42"/>
  <c r="AJ538" i="42"/>
  <c r="R538" i="42"/>
  <c r="AJ537" i="42"/>
  <c r="R537" i="42"/>
  <c r="R536" i="42"/>
  <c r="AJ535" i="42"/>
  <c r="AJ536" i="42" s="1"/>
  <c r="R535" i="42"/>
  <c r="AJ534" i="42"/>
  <c r="R534" i="42"/>
  <c r="R533" i="42"/>
  <c r="AJ532" i="42"/>
  <c r="AJ533" i="42" s="1"/>
  <c r="R532" i="42"/>
  <c r="R531" i="42"/>
  <c r="AJ530" i="42"/>
  <c r="AJ531" i="42" s="1"/>
  <c r="R530" i="42"/>
  <c r="AJ529" i="42"/>
  <c r="R529" i="42"/>
  <c r="AJ528" i="42"/>
  <c r="R528" i="42"/>
  <c r="R527" i="42"/>
  <c r="AJ526" i="42"/>
  <c r="AJ527" i="42" s="1"/>
  <c r="R526" i="42"/>
  <c r="R525" i="42"/>
  <c r="AJ524" i="42"/>
  <c r="AJ525" i="42" s="1"/>
  <c r="R524" i="42"/>
  <c r="AJ523" i="42"/>
  <c r="R523" i="42"/>
  <c r="R522" i="42"/>
  <c r="AJ521" i="42"/>
  <c r="AJ522" i="42" s="1"/>
  <c r="R521" i="42"/>
  <c r="AJ520" i="42"/>
  <c r="R520" i="42"/>
  <c r="AJ519" i="42"/>
  <c r="R519" i="42"/>
  <c r="AJ518" i="42"/>
  <c r="R518" i="42"/>
  <c r="AJ517" i="42"/>
  <c r="R517" i="42"/>
  <c r="AJ516" i="42"/>
  <c r="R516" i="42"/>
  <c r="AJ515" i="42"/>
  <c r="R515" i="42"/>
  <c r="AJ514" i="42"/>
  <c r="R514" i="42"/>
  <c r="AJ513" i="42"/>
  <c r="R513" i="42"/>
  <c r="AJ512" i="42"/>
  <c r="R512" i="42"/>
  <c r="AJ511" i="42"/>
  <c r="R511" i="42"/>
  <c r="AJ510" i="42"/>
  <c r="R510" i="42"/>
  <c r="AJ509" i="42"/>
  <c r="R509" i="42"/>
  <c r="AJ508" i="42"/>
  <c r="R508" i="42"/>
  <c r="AJ507" i="42"/>
  <c r="R507" i="42"/>
  <c r="AJ506" i="42"/>
  <c r="R506" i="42"/>
  <c r="AJ505" i="42"/>
  <c r="R505" i="42"/>
  <c r="AJ504" i="42"/>
  <c r="R504" i="42"/>
  <c r="AJ503" i="42"/>
  <c r="R503" i="42"/>
  <c r="AJ502" i="42"/>
  <c r="R502" i="42"/>
  <c r="AJ501" i="42"/>
  <c r="R501" i="42"/>
  <c r="AJ500" i="42"/>
  <c r="R500" i="42"/>
  <c r="AJ499" i="42"/>
  <c r="R499" i="42"/>
  <c r="AJ498" i="42"/>
  <c r="R498" i="42"/>
  <c r="AJ497" i="42"/>
  <c r="R497" i="42"/>
  <c r="AJ496" i="42"/>
  <c r="R496" i="42"/>
  <c r="AJ495" i="42"/>
  <c r="R495" i="42"/>
  <c r="AJ494" i="42"/>
  <c r="R494" i="42"/>
  <c r="AJ493" i="42"/>
  <c r="R493" i="42"/>
  <c r="AJ492" i="42"/>
  <c r="R492" i="42"/>
  <c r="AJ491" i="42"/>
  <c r="R491" i="42"/>
  <c r="AJ490" i="42"/>
  <c r="R490" i="42"/>
  <c r="AJ489" i="42"/>
  <c r="R489" i="42"/>
  <c r="AJ488" i="42"/>
  <c r="R488" i="42"/>
  <c r="AJ487" i="42"/>
  <c r="R487" i="42"/>
  <c r="AJ486" i="42"/>
  <c r="R486" i="42"/>
  <c r="AJ485" i="42"/>
  <c r="R485" i="42"/>
  <c r="AJ484" i="42"/>
  <c r="R484" i="42"/>
  <c r="AJ483" i="42"/>
  <c r="R483" i="42"/>
  <c r="AJ482" i="42"/>
  <c r="R482" i="42"/>
  <c r="AJ481" i="42"/>
  <c r="R481" i="42"/>
  <c r="AJ480" i="42"/>
  <c r="R480" i="42"/>
  <c r="AJ479" i="42"/>
  <c r="R479" i="42"/>
  <c r="AJ478" i="42"/>
  <c r="R478" i="42"/>
  <c r="AJ477" i="42"/>
  <c r="R477" i="42"/>
  <c r="AJ476" i="42"/>
  <c r="R476" i="42"/>
  <c r="AJ475" i="42"/>
  <c r="R475" i="42"/>
  <c r="AJ474" i="42"/>
  <c r="R474" i="42"/>
  <c r="AJ473" i="42"/>
  <c r="R473" i="42"/>
  <c r="AJ472" i="42"/>
  <c r="R472" i="42"/>
  <c r="AJ471" i="42"/>
  <c r="R471" i="42"/>
  <c r="AJ470" i="42"/>
  <c r="R470" i="42"/>
  <c r="AJ469" i="42"/>
  <c r="R469" i="42"/>
  <c r="AJ468" i="42"/>
  <c r="R468" i="42"/>
  <c r="AJ467" i="42"/>
  <c r="R467" i="42"/>
  <c r="AJ466" i="42"/>
  <c r="R466" i="42"/>
  <c r="AJ465" i="42"/>
  <c r="R465" i="42"/>
  <c r="AJ464" i="42"/>
  <c r="R464" i="42"/>
  <c r="AJ463" i="42"/>
  <c r="R463" i="42"/>
  <c r="AJ462" i="42"/>
  <c r="R462" i="42"/>
  <c r="AJ461" i="42"/>
  <c r="R461" i="42"/>
  <c r="AJ460" i="42"/>
  <c r="R460" i="42"/>
  <c r="AJ459" i="42"/>
  <c r="R459" i="42"/>
  <c r="AJ458" i="42"/>
  <c r="R458" i="42"/>
  <c r="AJ457" i="42"/>
  <c r="R457" i="42"/>
  <c r="AJ456" i="42"/>
  <c r="R456" i="42"/>
  <c r="AJ455" i="42"/>
  <c r="R455" i="42"/>
  <c r="AJ454" i="42"/>
  <c r="R454" i="42"/>
  <c r="AJ453" i="42"/>
  <c r="R453" i="42"/>
  <c r="AJ452" i="42"/>
  <c r="R452" i="42"/>
  <c r="AJ451" i="42"/>
  <c r="R451" i="42"/>
  <c r="AJ450" i="42"/>
  <c r="R450" i="42"/>
  <c r="AJ449" i="42"/>
  <c r="R449" i="42"/>
  <c r="AJ448" i="42"/>
  <c r="R448" i="42"/>
  <c r="AJ447" i="42"/>
  <c r="R447" i="42"/>
  <c r="AJ446" i="42"/>
  <c r="R446" i="42"/>
  <c r="AJ445" i="42"/>
  <c r="R445" i="42"/>
  <c r="AJ444" i="42"/>
  <c r="R444" i="42"/>
  <c r="AJ443" i="42"/>
  <c r="R443" i="42"/>
  <c r="AJ442" i="42"/>
  <c r="R442" i="42"/>
  <c r="AJ441" i="42"/>
  <c r="R441" i="42"/>
  <c r="AJ440" i="42"/>
  <c r="R440" i="42"/>
  <c r="AJ439" i="42"/>
  <c r="R439" i="42"/>
  <c r="AJ438" i="42"/>
  <c r="R438" i="42"/>
  <c r="AJ437" i="42"/>
  <c r="R437" i="42"/>
  <c r="AJ436" i="42"/>
  <c r="R436" i="42"/>
  <c r="AJ435" i="42"/>
  <c r="R435" i="42"/>
  <c r="AJ434" i="42"/>
  <c r="R434" i="42"/>
  <c r="AJ433" i="42"/>
  <c r="R433" i="42"/>
  <c r="AJ432" i="42"/>
  <c r="R432" i="42"/>
  <c r="AJ431" i="42"/>
  <c r="R431" i="42"/>
  <c r="AJ430" i="42"/>
  <c r="R430" i="42"/>
  <c r="AJ429" i="42"/>
  <c r="R429" i="42"/>
  <c r="AJ428" i="42"/>
  <c r="R428" i="42"/>
  <c r="AJ427" i="42"/>
  <c r="R427" i="42"/>
  <c r="AJ426" i="42"/>
  <c r="R426" i="42"/>
  <c r="AJ425" i="42"/>
  <c r="R425" i="42"/>
  <c r="AJ424" i="42"/>
  <c r="R424" i="42"/>
  <c r="AJ423" i="42"/>
  <c r="R423" i="42"/>
  <c r="AJ422" i="42"/>
  <c r="R422" i="42"/>
  <c r="AJ421" i="42"/>
  <c r="R421" i="42"/>
  <c r="AJ420" i="42"/>
  <c r="R420" i="42"/>
  <c r="AJ419" i="42"/>
  <c r="R419" i="42"/>
  <c r="AJ418" i="42"/>
  <c r="R418" i="42"/>
  <c r="AJ417" i="42"/>
  <c r="R417" i="42"/>
  <c r="AJ416" i="42"/>
  <c r="R416" i="42"/>
  <c r="AJ415" i="42"/>
  <c r="R415" i="42"/>
  <c r="AJ414" i="42"/>
  <c r="R414" i="42"/>
  <c r="AJ413" i="42"/>
  <c r="R413" i="42"/>
  <c r="AJ412" i="42"/>
  <c r="R412" i="42"/>
  <c r="AJ411" i="42"/>
  <c r="R411" i="42"/>
  <c r="AJ410" i="42"/>
  <c r="R410" i="42"/>
  <c r="AJ409" i="42"/>
  <c r="R409" i="42"/>
  <c r="AJ408" i="42"/>
  <c r="R408" i="42"/>
  <c r="AJ407" i="42"/>
  <c r="R407" i="42"/>
  <c r="AJ406" i="42"/>
  <c r="R406" i="42"/>
  <c r="AJ405" i="42"/>
  <c r="R405" i="42"/>
  <c r="AJ404" i="42"/>
  <c r="R404" i="42"/>
  <c r="AJ403" i="42"/>
  <c r="R403" i="42"/>
  <c r="AJ402" i="42"/>
  <c r="R402" i="42"/>
  <c r="AJ401" i="42"/>
  <c r="R401" i="42"/>
  <c r="AJ400" i="42"/>
  <c r="R400" i="42"/>
  <c r="AJ399" i="42"/>
  <c r="R399" i="42"/>
  <c r="AJ398" i="42"/>
  <c r="R398" i="42"/>
  <c r="AJ397" i="42"/>
  <c r="R397" i="42"/>
  <c r="R396" i="42"/>
  <c r="AJ395" i="42"/>
  <c r="AJ396" i="42" s="1"/>
  <c r="R395" i="42"/>
  <c r="AJ394" i="42"/>
  <c r="R394" i="42"/>
  <c r="AJ393" i="42"/>
  <c r="R393" i="42"/>
  <c r="AJ392" i="42"/>
  <c r="R392" i="42"/>
  <c r="AJ391" i="42"/>
  <c r="R391" i="42"/>
  <c r="AJ390" i="42"/>
  <c r="R390" i="42"/>
  <c r="AJ389" i="42"/>
  <c r="R389" i="42"/>
  <c r="AJ388" i="42"/>
  <c r="R388" i="42"/>
  <c r="AJ387" i="42"/>
  <c r="R387" i="42"/>
  <c r="AJ386" i="42"/>
  <c r="R386" i="42"/>
  <c r="AJ385" i="42"/>
  <c r="R385" i="42"/>
  <c r="AJ384" i="42"/>
  <c r="R384" i="42"/>
  <c r="AJ383" i="42"/>
  <c r="R383" i="42"/>
  <c r="AJ382" i="42"/>
  <c r="R382" i="42"/>
  <c r="AJ381" i="42"/>
  <c r="R381" i="42"/>
  <c r="AJ380" i="42"/>
  <c r="R380" i="42"/>
  <c r="AJ379" i="42"/>
  <c r="R379" i="42"/>
  <c r="AJ378" i="42"/>
  <c r="R378" i="42"/>
  <c r="R377" i="42"/>
  <c r="AJ376" i="42"/>
  <c r="AJ377" i="42" s="1"/>
  <c r="R376" i="42"/>
  <c r="AJ375" i="42"/>
  <c r="R375" i="42"/>
  <c r="R374" i="42"/>
  <c r="AJ373" i="42"/>
  <c r="AJ374" i="42" s="1"/>
  <c r="R373" i="42"/>
  <c r="R372" i="42"/>
  <c r="AJ371" i="42"/>
  <c r="AJ372" i="42" s="1"/>
  <c r="R371" i="42"/>
  <c r="AJ370" i="42"/>
  <c r="R370" i="42"/>
  <c r="AJ369" i="42"/>
  <c r="R369" i="42"/>
  <c r="R368" i="42"/>
  <c r="AJ367" i="42"/>
  <c r="AJ368" i="42" s="1"/>
  <c r="R367" i="42"/>
  <c r="R366" i="42"/>
  <c r="AJ365" i="42"/>
  <c r="AJ366" i="42" s="1"/>
  <c r="R365" i="42"/>
  <c r="AJ364" i="42"/>
  <c r="R364" i="42"/>
  <c r="R363" i="42"/>
  <c r="AJ362" i="42"/>
  <c r="AJ363" i="42" s="1"/>
  <c r="R362" i="42"/>
  <c r="AJ361" i="42"/>
  <c r="R361" i="42"/>
  <c r="AJ360" i="42"/>
  <c r="R360" i="42"/>
  <c r="AJ359" i="42"/>
  <c r="R359" i="42"/>
  <c r="AJ358" i="42"/>
  <c r="R358" i="42"/>
  <c r="AJ357" i="42"/>
  <c r="R357" i="42"/>
  <c r="AJ356" i="42"/>
  <c r="R356" i="42"/>
  <c r="AJ355" i="42"/>
  <c r="R355" i="42"/>
  <c r="AJ354" i="42"/>
  <c r="R354" i="42"/>
  <c r="AJ353" i="42"/>
  <c r="R353" i="42"/>
  <c r="AJ352" i="42"/>
  <c r="R352" i="42"/>
  <c r="AJ351" i="42"/>
  <c r="R351" i="42"/>
  <c r="AJ350" i="42"/>
  <c r="R350" i="42"/>
  <c r="AJ349" i="42"/>
  <c r="R349" i="42"/>
  <c r="AJ348" i="42"/>
  <c r="R348" i="42"/>
  <c r="AJ347" i="42"/>
  <c r="R347" i="42"/>
  <c r="AJ346" i="42"/>
  <c r="R346" i="42"/>
  <c r="AJ345" i="42"/>
  <c r="R345" i="42"/>
  <c r="AJ344" i="42"/>
  <c r="R344" i="42"/>
  <c r="AJ343" i="42"/>
  <c r="R343" i="42"/>
  <c r="AJ342" i="42"/>
  <c r="R342" i="42"/>
  <c r="AJ341" i="42"/>
  <c r="R341" i="42"/>
  <c r="AJ340" i="42"/>
  <c r="R340" i="42"/>
  <c r="AJ339" i="42"/>
  <c r="R339" i="42"/>
  <c r="AJ338" i="42"/>
  <c r="R338" i="42"/>
  <c r="AJ337" i="42"/>
  <c r="R337" i="42"/>
  <c r="AJ336" i="42"/>
  <c r="R336" i="42"/>
  <c r="AJ335" i="42"/>
  <c r="R335" i="42"/>
  <c r="AJ334" i="42"/>
  <c r="R334" i="42"/>
  <c r="AJ333" i="42"/>
  <c r="R333" i="42"/>
  <c r="AJ332" i="42"/>
  <c r="R332" i="42"/>
  <c r="AJ331" i="42"/>
  <c r="R331" i="42"/>
  <c r="AJ330" i="42"/>
  <c r="R330" i="42"/>
  <c r="AJ329" i="42"/>
  <c r="R329" i="42"/>
  <c r="AJ328" i="42"/>
  <c r="R328" i="42"/>
  <c r="AJ327" i="42"/>
  <c r="R327" i="42"/>
  <c r="AJ326" i="42"/>
  <c r="R326" i="42"/>
  <c r="AJ325" i="42"/>
  <c r="R325" i="42"/>
  <c r="AJ324" i="42"/>
  <c r="R324" i="42"/>
  <c r="AJ323" i="42"/>
  <c r="R323" i="42"/>
  <c r="AJ322" i="42"/>
  <c r="R322" i="42"/>
  <c r="AJ321" i="42"/>
  <c r="R321" i="42"/>
  <c r="AJ320" i="42"/>
  <c r="R320" i="42"/>
  <c r="AJ319" i="42"/>
  <c r="R319" i="42"/>
  <c r="AJ318" i="42"/>
  <c r="R318" i="42"/>
  <c r="AJ317" i="42"/>
  <c r="R317" i="42"/>
  <c r="AJ316" i="42"/>
  <c r="R316" i="42"/>
  <c r="AJ315" i="42"/>
  <c r="R315" i="42"/>
  <c r="AJ314" i="42"/>
  <c r="R314" i="42"/>
  <c r="AJ313" i="42"/>
  <c r="R313" i="42"/>
  <c r="AJ312" i="42"/>
  <c r="R312" i="42"/>
  <c r="AJ311" i="42"/>
  <c r="R311" i="42"/>
  <c r="AJ310" i="42"/>
  <c r="R310" i="42"/>
  <c r="AJ309" i="42"/>
  <c r="R309" i="42"/>
  <c r="AJ308" i="42"/>
  <c r="R308" i="42"/>
  <c r="AJ307" i="42"/>
  <c r="R307" i="42"/>
  <c r="AJ306" i="42"/>
  <c r="R306" i="42"/>
  <c r="AJ305" i="42"/>
  <c r="R305" i="42"/>
  <c r="AJ304" i="42"/>
  <c r="R304" i="42"/>
  <c r="AJ303" i="42"/>
  <c r="R303" i="42"/>
  <c r="AJ302" i="42"/>
  <c r="R302" i="42"/>
  <c r="AJ301" i="42"/>
  <c r="R301" i="42"/>
  <c r="AJ300" i="42"/>
  <c r="R300" i="42"/>
  <c r="AJ299" i="42"/>
  <c r="R299" i="42"/>
  <c r="AJ298" i="42"/>
  <c r="R298" i="42"/>
  <c r="AJ297" i="42"/>
  <c r="R297" i="42"/>
  <c r="AJ296" i="42"/>
  <c r="R296" i="42"/>
  <c r="AJ295" i="42"/>
  <c r="R295" i="42"/>
  <c r="AJ294" i="42"/>
  <c r="R294" i="42"/>
  <c r="AJ293" i="42"/>
  <c r="R293" i="42"/>
  <c r="AJ292" i="42"/>
  <c r="R292" i="42"/>
  <c r="AJ291" i="42"/>
  <c r="R291" i="42"/>
  <c r="AJ290" i="42"/>
  <c r="R290" i="42"/>
  <c r="AJ289" i="42"/>
  <c r="R289" i="42"/>
  <c r="AJ288" i="42"/>
  <c r="R288" i="42"/>
  <c r="AJ287" i="42"/>
  <c r="R287" i="42"/>
  <c r="AJ286" i="42"/>
  <c r="R286" i="42"/>
  <c r="AJ285" i="42"/>
  <c r="R285" i="42"/>
  <c r="AJ284" i="42"/>
  <c r="R284" i="42"/>
  <c r="AJ283" i="42"/>
  <c r="R283" i="42"/>
  <c r="AJ282" i="42"/>
  <c r="R282" i="42"/>
  <c r="AJ281" i="42"/>
  <c r="R281" i="42"/>
  <c r="AJ280" i="42"/>
  <c r="R280" i="42"/>
  <c r="AJ279" i="42"/>
  <c r="R279" i="42"/>
  <c r="AJ278" i="42"/>
  <c r="R278" i="42"/>
  <c r="R277" i="42"/>
  <c r="AJ276" i="42"/>
  <c r="AJ277" i="42" s="1"/>
  <c r="R276" i="42"/>
  <c r="AJ275" i="42"/>
  <c r="R275" i="42"/>
  <c r="AJ274" i="42"/>
  <c r="R274" i="42"/>
  <c r="AJ273" i="42"/>
  <c r="R273" i="42"/>
  <c r="AJ272" i="42"/>
  <c r="R272" i="42"/>
  <c r="AJ271" i="42"/>
  <c r="R271" i="42"/>
  <c r="AJ270" i="42"/>
  <c r="R270" i="42"/>
  <c r="AJ269" i="42"/>
  <c r="R269" i="42"/>
  <c r="AJ268" i="42"/>
  <c r="R268" i="42"/>
  <c r="AJ267" i="42"/>
  <c r="R267" i="42"/>
  <c r="AJ266" i="42"/>
  <c r="R266" i="42"/>
  <c r="AJ265" i="42"/>
  <c r="R265" i="42"/>
  <c r="AJ264" i="42"/>
  <c r="R264" i="42"/>
  <c r="AJ263" i="42"/>
  <c r="R263" i="42"/>
  <c r="AJ262" i="42"/>
  <c r="R262" i="42"/>
  <c r="R261" i="42"/>
  <c r="AJ260" i="42"/>
  <c r="AJ261" i="42" s="1"/>
  <c r="R260" i="42"/>
  <c r="R259" i="42"/>
  <c r="AJ258" i="42"/>
  <c r="AJ259" i="42" s="1"/>
  <c r="R258" i="42"/>
  <c r="AJ257" i="42"/>
  <c r="R257" i="42"/>
  <c r="AJ256" i="42"/>
  <c r="R256" i="42"/>
  <c r="AJ255" i="42"/>
  <c r="R255" i="42"/>
  <c r="AJ254" i="42"/>
  <c r="R254" i="42"/>
  <c r="AJ253" i="42"/>
  <c r="R253" i="42"/>
  <c r="AJ252" i="42"/>
  <c r="R252" i="42"/>
  <c r="AJ251" i="42"/>
  <c r="R251" i="42"/>
  <c r="AJ250" i="42"/>
  <c r="R250" i="42"/>
  <c r="AJ249" i="42"/>
  <c r="R249" i="42"/>
  <c r="AJ248" i="42"/>
  <c r="R248" i="42"/>
  <c r="AJ247" i="42"/>
  <c r="R247" i="42"/>
  <c r="AJ246" i="42"/>
  <c r="R246" i="42"/>
  <c r="AJ245" i="42"/>
  <c r="R245" i="42"/>
  <c r="AJ244" i="42"/>
  <c r="R244" i="42"/>
  <c r="AJ243" i="42"/>
  <c r="R243" i="42"/>
  <c r="AJ242" i="42"/>
  <c r="R242" i="42"/>
  <c r="AJ241" i="42"/>
  <c r="R241" i="42"/>
  <c r="AJ240" i="42"/>
  <c r="R240" i="42"/>
  <c r="AJ239" i="42"/>
  <c r="R239" i="42"/>
  <c r="AJ238" i="42"/>
  <c r="R238" i="42"/>
  <c r="AJ237" i="42"/>
  <c r="R237" i="42"/>
  <c r="AJ236" i="42"/>
  <c r="R236" i="42"/>
  <c r="AJ235" i="42"/>
  <c r="R235" i="42"/>
  <c r="R234" i="42"/>
  <c r="AJ233" i="42"/>
  <c r="AJ234" i="42" s="1"/>
  <c r="R233" i="42"/>
  <c r="AJ232" i="42"/>
  <c r="R232" i="42"/>
  <c r="AJ231" i="42"/>
  <c r="R231" i="42"/>
  <c r="AJ230" i="42"/>
  <c r="R230" i="42"/>
  <c r="AJ229" i="42"/>
  <c r="R229" i="42"/>
  <c r="AJ228" i="42"/>
  <c r="R228" i="42"/>
  <c r="AJ227" i="42"/>
  <c r="R227" i="42"/>
  <c r="AJ226" i="42"/>
  <c r="R226" i="42"/>
  <c r="AJ225" i="42"/>
  <c r="R225" i="42"/>
  <c r="AJ224" i="42"/>
  <c r="R224" i="42"/>
  <c r="AJ223" i="42"/>
  <c r="R223" i="42"/>
  <c r="AJ222" i="42"/>
  <c r="R222" i="42"/>
  <c r="AJ221" i="42"/>
  <c r="R221" i="42"/>
  <c r="AJ220" i="42"/>
  <c r="R220" i="42"/>
  <c r="AJ219" i="42"/>
  <c r="R219" i="42"/>
  <c r="AJ218" i="42"/>
  <c r="R218" i="42"/>
  <c r="AJ217" i="42"/>
  <c r="R217" i="42"/>
  <c r="AJ216" i="42"/>
  <c r="R216" i="42"/>
  <c r="AJ215" i="42"/>
  <c r="R215" i="42"/>
  <c r="AJ214" i="42"/>
  <c r="R214" i="42"/>
  <c r="AJ213" i="42"/>
  <c r="R213" i="42"/>
  <c r="AJ212" i="42"/>
  <c r="R212" i="42"/>
  <c r="AJ211" i="42"/>
  <c r="R211" i="42"/>
  <c r="AJ210" i="42"/>
  <c r="R210" i="42"/>
  <c r="AJ209" i="42"/>
  <c r="R209" i="42"/>
  <c r="AJ208" i="42"/>
  <c r="R208" i="42"/>
  <c r="AJ207" i="42"/>
  <c r="R207" i="42"/>
  <c r="AJ206" i="42"/>
  <c r="R206" i="42"/>
  <c r="AJ205" i="42"/>
  <c r="R205" i="42"/>
  <c r="AJ204" i="42"/>
  <c r="R204" i="42"/>
  <c r="AJ203" i="42"/>
  <c r="R203" i="42"/>
  <c r="AJ202" i="42"/>
  <c r="R202" i="42"/>
  <c r="AJ201" i="42"/>
  <c r="R201" i="42"/>
  <c r="AJ200" i="42"/>
  <c r="R200" i="42"/>
  <c r="AJ199" i="42"/>
  <c r="R199" i="42"/>
  <c r="AJ198" i="42"/>
  <c r="R198" i="42"/>
  <c r="AJ197" i="42"/>
  <c r="R197" i="42"/>
  <c r="AJ196" i="42"/>
  <c r="R196" i="42"/>
  <c r="AJ195" i="42"/>
  <c r="R195" i="42"/>
  <c r="AJ194" i="42"/>
  <c r="R194" i="42"/>
  <c r="AJ193" i="42"/>
  <c r="R193" i="42"/>
  <c r="AJ192" i="42"/>
  <c r="R192" i="42"/>
  <c r="AJ191" i="42"/>
  <c r="R191" i="42"/>
  <c r="AJ190" i="42"/>
  <c r="R190" i="42"/>
  <c r="AJ189" i="42"/>
  <c r="R189" i="42"/>
  <c r="AJ188" i="42"/>
  <c r="R188" i="42"/>
  <c r="AJ187" i="42"/>
  <c r="R187" i="42"/>
  <c r="AJ186" i="42"/>
  <c r="R186" i="42"/>
  <c r="AJ185" i="42"/>
  <c r="R185" i="42"/>
  <c r="AJ184" i="42"/>
  <c r="R184" i="42"/>
  <c r="AJ183" i="42"/>
  <c r="R183" i="42"/>
  <c r="AJ182" i="42"/>
  <c r="R182" i="42"/>
  <c r="AJ181" i="42"/>
  <c r="R181" i="42"/>
  <c r="AJ180" i="42"/>
  <c r="R180" i="42"/>
  <c r="AJ179" i="42"/>
  <c r="R179" i="42"/>
  <c r="AJ178" i="42"/>
  <c r="R178" i="42"/>
  <c r="AJ177" i="42"/>
  <c r="R177" i="42"/>
  <c r="AJ176" i="42"/>
  <c r="R176" i="42"/>
  <c r="AJ175" i="42"/>
  <c r="R175" i="42"/>
  <c r="R174" i="42"/>
  <c r="AJ173" i="42"/>
  <c r="AJ174" i="42" s="1"/>
  <c r="R173" i="42"/>
  <c r="AJ172" i="42"/>
  <c r="R172" i="42"/>
  <c r="AJ171" i="42"/>
  <c r="R171" i="42"/>
  <c r="AJ170" i="42"/>
  <c r="R170" i="42"/>
  <c r="R169" i="42"/>
  <c r="AJ168" i="42"/>
  <c r="AJ169" i="42" s="1"/>
  <c r="R168" i="42"/>
  <c r="AJ167" i="42"/>
  <c r="R167" i="42"/>
  <c r="AJ166" i="42"/>
  <c r="R166" i="42"/>
  <c r="AJ165" i="42"/>
  <c r="R165" i="42"/>
  <c r="AJ164" i="42"/>
  <c r="R164" i="42"/>
  <c r="AJ163" i="42"/>
  <c r="R163" i="42"/>
  <c r="AJ162" i="42"/>
  <c r="R162" i="42"/>
  <c r="AJ161" i="42"/>
  <c r="R161" i="42"/>
  <c r="AJ160" i="42"/>
  <c r="R160" i="42"/>
  <c r="AJ159" i="42"/>
  <c r="R159" i="42"/>
  <c r="AJ158" i="42"/>
  <c r="R158" i="42"/>
  <c r="AJ157" i="42"/>
  <c r="R157" i="42"/>
  <c r="AJ156" i="42"/>
  <c r="R156" i="42"/>
  <c r="AJ155" i="42"/>
  <c r="R155" i="42"/>
  <c r="AJ154" i="42"/>
  <c r="R154" i="42"/>
  <c r="AJ153" i="42"/>
  <c r="R153" i="42"/>
  <c r="AJ152" i="42"/>
  <c r="R152" i="42"/>
  <c r="AJ151" i="42"/>
  <c r="R151" i="42"/>
  <c r="AJ150" i="42"/>
  <c r="R150" i="42"/>
  <c r="AJ149" i="42"/>
  <c r="R149" i="42"/>
  <c r="AJ148" i="42"/>
  <c r="R148" i="42"/>
  <c r="AJ147" i="42"/>
  <c r="R147" i="42"/>
  <c r="AJ146" i="42"/>
  <c r="R146" i="42"/>
  <c r="AJ145" i="42"/>
  <c r="R145" i="42"/>
  <c r="AJ144" i="42"/>
  <c r="R144" i="42"/>
  <c r="AJ143" i="42"/>
  <c r="R143" i="42"/>
  <c r="AJ142" i="42"/>
  <c r="R142" i="42"/>
  <c r="AJ141" i="42"/>
  <c r="R141" i="42"/>
  <c r="AJ140" i="42"/>
  <c r="R140" i="42"/>
  <c r="AJ139" i="42"/>
  <c r="R139" i="42"/>
  <c r="AJ138" i="42"/>
  <c r="R138" i="42"/>
  <c r="AJ137" i="42"/>
  <c r="R137" i="42"/>
  <c r="AJ136" i="42"/>
  <c r="R136" i="42"/>
  <c r="AJ135" i="42"/>
  <c r="R135" i="42"/>
  <c r="AJ134" i="42"/>
  <c r="R134" i="42"/>
  <c r="AJ133" i="42"/>
  <c r="R133" i="42"/>
  <c r="AJ132" i="42"/>
  <c r="R132" i="42"/>
  <c r="AJ131" i="42"/>
  <c r="R131" i="42"/>
  <c r="AJ130" i="42"/>
  <c r="R130" i="42"/>
  <c r="AJ129" i="42"/>
  <c r="R129" i="42"/>
  <c r="AJ128" i="42"/>
  <c r="R128" i="42"/>
  <c r="AJ127" i="42"/>
  <c r="R127" i="42"/>
  <c r="AJ126" i="42"/>
  <c r="R126" i="42"/>
  <c r="AJ125" i="42"/>
  <c r="R125" i="42"/>
  <c r="AJ124" i="42"/>
  <c r="R124" i="42"/>
  <c r="AJ123" i="42"/>
  <c r="R123" i="42"/>
  <c r="AJ122" i="42"/>
  <c r="R122" i="42"/>
  <c r="AJ121" i="42"/>
  <c r="R121" i="42"/>
  <c r="AJ120" i="42"/>
  <c r="R120" i="42"/>
  <c r="AJ119" i="42"/>
  <c r="R119" i="42"/>
  <c r="AJ118" i="42"/>
  <c r="R118" i="42"/>
  <c r="AJ117" i="42"/>
  <c r="R117" i="42"/>
  <c r="AJ116" i="42"/>
  <c r="R116" i="42"/>
  <c r="AJ115" i="42"/>
  <c r="R115" i="42"/>
  <c r="AJ114" i="42"/>
  <c r="R114" i="42"/>
  <c r="AJ113" i="42"/>
  <c r="R113" i="42"/>
  <c r="AJ112" i="42"/>
  <c r="R112" i="42"/>
  <c r="AJ111" i="42"/>
  <c r="R111" i="42"/>
  <c r="AJ110" i="42"/>
  <c r="R110" i="42"/>
  <c r="AJ109" i="42"/>
  <c r="R109" i="42"/>
  <c r="AJ108" i="42"/>
  <c r="R108" i="42"/>
  <c r="AJ107" i="42"/>
  <c r="R107" i="42"/>
  <c r="AJ106" i="42"/>
  <c r="R106" i="42"/>
  <c r="AJ105" i="42"/>
  <c r="R105" i="42"/>
  <c r="AJ104" i="42"/>
  <c r="R104" i="42"/>
  <c r="AJ103" i="42"/>
  <c r="R103" i="42"/>
  <c r="AJ102" i="42"/>
  <c r="R102" i="42"/>
  <c r="AJ101" i="42"/>
  <c r="R101" i="42"/>
  <c r="AJ100" i="42"/>
  <c r="R100" i="42"/>
  <c r="AJ99" i="42"/>
  <c r="R99" i="42"/>
  <c r="AJ98" i="42"/>
  <c r="R98" i="42"/>
  <c r="AJ97" i="42"/>
  <c r="R97" i="42"/>
  <c r="AJ96" i="42"/>
  <c r="R96" i="42"/>
  <c r="AJ95" i="42"/>
  <c r="R95" i="42"/>
  <c r="AJ94" i="42"/>
  <c r="R94" i="42"/>
  <c r="AJ93" i="42"/>
  <c r="R93" i="42"/>
  <c r="AJ92" i="42"/>
  <c r="R92" i="42"/>
  <c r="AJ91" i="42"/>
  <c r="R91" i="42"/>
  <c r="AJ90" i="42"/>
  <c r="R90" i="42"/>
  <c r="AJ89" i="42"/>
  <c r="R89" i="42"/>
  <c r="AJ88" i="42"/>
  <c r="R88" i="42"/>
  <c r="AJ87" i="42"/>
  <c r="R87" i="42"/>
  <c r="R86" i="42"/>
  <c r="AJ85" i="42"/>
  <c r="AJ86" i="42" s="1"/>
  <c r="R85" i="42"/>
  <c r="AJ84" i="42"/>
  <c r="R84" i="42"/>
  <c r="AJ83" i="42"/>
  <c r="R83" i="42"/>
  <c r="AJ82" i="42"/>
  <c r="R82" i="42"/>
  <c r="AJ81" i="42"/>
  <c r="R81" i="42"/>
  <c r="AJ80" i="42"/>
  <c r="R80" i="42"/>
  <c r="AJ79" i="42"/>
  <c r="R79" i="42"/>
  <c r="AJ78" i="42"/>
  <c r="R78" i="42"/>
  <c r="AJ77" i="42"/>
  <c r="R77" i="42"/>
  <c r="AJ76" i="42"/>
  <c r="R76" i="42"/>
  <c r="AJ75" i="42"/>
  <c r="R75" i="42"/>
  <c r="AJ74" i="42"/>
  <c r="R74" i="42"/>
  <c r="AJ73" i="42"/>
  <c r="R73" i="42"/>
  <c r="AJ72" i="42"/>
  <c r="R72" i="42"/>
  <c r="AJ71" i="42"/>
  <c r="R71" i="42"/>
  <c r="AJ70" i="42"/>
  <c r="R70" i="42"/>
  <c r="AJ69" i="42"/>
  <c r="R69" i="42"/>
  <c r="AJ68" i="42"/>
  <c r="R68" i="42"/>
  <c r="AJ67" i="42"/>
  <c r="R67" i="42"/>
  <c r="AJ66" i="42"/>
  <c r="R66" i="42"/>
  <c r="AJ65" i="42"/>
  <c r="R65" i="42"/>
  <c r="AJ64" i="42"/>
  <c r="R64" i="42"/>
  <c r="AJ63" i="42"/>
  <c r="R63" i="42"/>
  <c r="AJ62" i="42"/>
  <c r="R62" i="42"/>
  <c r="AJ61" i="42"/>
  <c r="R61" i="42"/>
  <c r="AJ60" i="42"/>
  <c r="R60" i="42"/>
  <c r="AJ59" i="42"/>
  <c r="R59" i="42"/>
  <c r="AJ58" i="42"/>
  <c r="R58" i="42"/>
  <c r="AJ57" i="42"/>
  <c r="R57" i="42"/>
  <c r="AJ56" i="42"/>
  <c r="R56" i="42"/>
  <c r="AJ55" i="42"/>
  <c r="R55" i="42"/>
  <c r="AJ54" i="42"/>
  <c r="R54" i="42"/>
  <c r="AJ53" i="42"/>
  <c r="R53" i="42"/>
  <c r="AJ52" i="42"/>
  <c r="R52" i="42"/>
  <c r="AJ51" i="42"/>
  <c r="R51" i="42"/>
  <c r="AJ50" i="42"/>
  <c r="R50" i="42"/>
  <c r="AJ49" i="42"/>
  <c r="R49" i="42"/>
  <c r="AJ48" i="42"/>
  <c r="R48" i="42"/>
  <c r="AJ47" i="42"/>
  <c r="R47" i="42"/>
  <c r="AJ46" i="42"/>
  <c r="R46" i="42"/>
  <c r="AJ45" i="42"/>
  <c r="R45" i="42"/>
  <c r="AJ44" i="42"/>
  <c r="R44" i="42"/>
  <c r="AJ43" i="42"/>
  <c r="R43" i="42"/>
  <c r="AJ42" i="42"/>
  <c r="R42" i="42"/>
  <c r="AJ41" i="42"/>
  <c r="R41" i="42"/>
  <c r="AJ40" i="42"/>
  <c r="R40" i="42"/>
  <c r="AJ39" i="42"/>
  <c r="R39" i="42"/>
  <c r="AJ38" i="42"/>
  <c r="R38" i="42"/>
  <c r="AJ37" i="42"/>
  <c r="R37" i="42"/>
  <c r="AJ36" i="42"/>
  <c r="R36" i="42"/>
  <c r="AJ35" i="42"/>
  <c r="R35" i="42"/>
  <c r="AJ34" i="42"/>
  <c r="R34" i="42"/>
  <c r="AJ33" i="42"/>
  <c r="R33" i="42"/>
  <c r="AJ32" i="42"/>
  <c r="R32" i="42"/>
  <c r="AJ31" i="42"/>
  <c r="R31" i="42"/>
  <c r="AJ30" i="42"/>
  <c r="R30" i="42"/>
  <c r="AJ29" i="42"/>
  <c r="R29" i="42"/>
  <c r="AJ28" i="42"/>
  <c r="R28" i="42"/>
  <c r="AJ27" i="42"/>
  <c r="R27" i="42"/>
  <c r="AJ26" i="42"/>
  <c r="R26" i="42"/>
  <c r="AJ25" i="42"/>
  <c r="R25" i="42"/>
  <c r="AJ24" i="42"/>
  <c r="R24" i="42"/>
  <c r="AJ23" i="42"/>
  <c r="R23" i="42"/>
  <c r="AJ22" i="42"/>
  <c r="R22" i="42"/>
  <c r="AJ21" i="42"/>
  <c r="R21" i="42"/>
  <c r="AJ20" i="42"/>
  <c r="R20" i="42"/>
  <c r="AJ19" i="42"/>
  <c r="R19" i="42"/>
  <c r="AJ18" i="42"/>
  <c r="R18" i="42"/>
  <c r="AJ17" i="42"/>
  <c r="R17" i="42"/>
  <c r="AJ16" i="42"/>
  <c r="R16" i="42"/>
  <c r="AJ15" i="42"/>
  <c r="R15" i="42"/>
  <c r="AJ14" i="42"/>
  <c r="R14" i="42"/>
  <c r="AJ13" i="42"/>
  <c r="R13" i="42"/>
  <c r="AJ12" i="42"/>
  <c r="R12" i="42"/>
  <c r="AJ11" i="42"/>
  <c r="R11" i="42"/>
  <c r="AJ10" i="42"/>
  <c r="R10" i="42"/>
  <c r="AJ9" i="42"/>
  <c r="R9" i="42"/>
  <c r="AJ8" i="42"/>
  <c r="R8" i="42"/>
  <c r="AJ7" i="42"/>
  <c r="R7" i="42"/>
  <c r="AJ6" i="42"/>
  <c r="R6" i="42"/>
  <c r="AJ5" i="42"/>
  <c r="R5" i="42"/>
  <c r="AJ4" i="42"/>
  <c r="R4" i="42"/>
  <c r="AJ3" i="42"/>
  <c r="R3" i="42"/>
  <c r="AH1095" i="41"/>
  <c r="AG1095" i="41"/>
  <c r="AF1095" i="41"/>
  <c r="AE1095" i="41"/>
  <c r="AB1095" i="41"/>
  <c r="AA1095" i="41"/>
  <c r="Z1095" i="41"/>
  <c r="E24" i="43" s="1"/>
  <c r="Y1095" i="41"/>
  <c r="E23" i="43" s="1"/>
  <c r="X1095" i="41"/>
  <c r="E22" i="43" s="1"/>
  <c r="W1095" i="41"/>
  <c r="E20" i="43" s="1"/>
  <c r="V1095" i="41"/>
  <c r="E19" i="43" s="1"/>
  <c r="U1095" i="41"/>
  <c r="E18" i="43" s="1"/>
  <c r="T1095" i="41"/>
  <c r="E17" i="43" s="1"/>
  <c r="S1095" i="41"/>
  <c r="E15" i="43" s="1"/>
  <c r="Q1095" i="41"/>
  <c r="E11" i="43" s="1"/>
  <c r="P1095" i="41"/>
  <c r="E10" i="43" s="1"/>
  <c r="O1095" i="41"/>
  <c r="E9" i="43" s="1"/>
  <c r="N1095" i="41"/>
  <c r="E8" i="43" s="1"/>
  <c r="M1095" i="41"/>
  <c r="E7" i="43" s="1"/>
  <c r="L1095" i="41"/>
  <c r="E6" i="43" s="1"/>
  <c r="K1095" i="41"/>
  <c r="E5" i="43" s="1"/>
  <c r="AJ1094" i="41"/>
  <c r="R1094" i="41"/>
  <c r="AJ1093" i="41"/>
  <c r="R1093" i="41"/>
  <c r="AJ1092" i="41"/>
  <c r="R1092" i="41"/>
  <c r="AJ1091" i="41"/>
  <c r="R1091" i="41"/>
  <c r="AJ1090" i="41"/>
  <c r="R1090" i="41"/>
  <c r="AJ1089" i="41"/>
  <c r="R1089" i="41"/>
  <c r="AJ1088" i="41"/>
  <c r="R1088" i="41"/>
  <c r="AJ1087" i="41"/>
  <c r="R1087" i="41"/>
  <c r="AJ1086" i="41"/>
  <c r="R1086" i="41"/>
  <c r="AJ1085" i="41"/>
  <c r="R1085" i="41"/>
  <c r="AJ1084" i="41"/>
  <c r="R1084" i="41"/>
  <c r="AJ1083" i="41"/>
  <c r="R1083" i="41"/>
  <c r="AJ1082" i="41"/>
  <c r="R1082" i="41"/>
  <c r="AJ1081" i="41"/>
  <c r="R1081" i="41"/>
  <c r="AJ1080" i="41"/>
  <c r="R1080" i="41"/>
  <c r="AJ1079" i="41"/>
  <c r="R1079" i="41"/>
  <c r="AJ1078" i="41"/>
  <c r="R1078" i="41"/>
  <c r="AJ1077" i="41"/>
  <c r="R1077" i="41"/>
  <c r="R1076" i="41"/>
  <c r="AJ1075" i="41"/>
  <c r="AJ1076" i="41" s="1"/>
  <c r="R1075" i="41"/>
  <c r="R1074" i="41"/>
  <c r="AJ1073" i="41"/>
  <c r="AJ1074" i="41" s="1"/>
  <c r="R1073" i="41"/>
  <c r="AJ1072" i="41"/>
  <c r="R1072" i="41"/>
  <c r="AJ1071" i="41"/>
  <c r="R1071" i="41"/>
  <c r="R1070" i="41"/>
  <c r="AJ1069" i="41"/>
  <c r="AJ1070" i="41" s="1"/>
  <c r="R1069" i="41"/>
  <c r="R1068" i="41"/>
  <c r="AJ1067" i="41"/>
  <c r="AJ1068" i="41" s="1"/>
  <c r="R1067" i="41"/>
  <c r="AJ1066" i="41"/>
  <c r="R1066" i="41"/>
  <c r="AJ1065" i="41"/>
  <c r="R1065" i="41"/>
  <c r="AJ1064" i="41"/>
  <c r="R1064" i="41"/>
  <c r="R1063" i="41"/>
  <c r="AJ1062" i="41"/>
  <c r="AJ1063" i="41" s="1"/>
  <c r="R1062" i="41"/>
  <c r="R1061" i="41"/>
  <c r="AJ1060" i="41"/>
  <c r="AJ1061" i="41" s="1"/>
  <c r="R1060" i="41"/>
  <c r="R1059" i="41"/>
  <c r="AJ1058" i="41"/>
  <c r="AJ1059" i="41" s="1"/>
  <c r="R1058" i="41"/>
  <c r="AJ1057" i="41"/>
  <c r="R1057" i="41"/>
  <c r="AJ1056" i="41"/>
  <c r="R1056" i="41"/>
  <c r="AJ1055" i="41"/>
  <c r="R1055" i="41"/>
  <c r="AJ1054" i="41"/>
  <c r="R1054" i="41"/>
  <c r="AJ1053" i="41"/>
  <c r="R1053" i="41"/>
  <c r="AJ1052" i="41"/>
  <c r="R1052" i="41"/>
  <c r="R1051" i="41"/>
  <c r="AJ1050" i="41"/>
  <c r="AJ1051" i="41" s="1"/>
  <c r="R1050" i="41"/>
  <c r="AJ1049" i="41"/>
  <c r="R1049" i="41"/>
  <c r="R1048" i="41"/>
  <c r="AJ1047" i="41"/>
  <c r="AJ1048" i="41" s="1"/>
  <c r="R1047" i="41"/>
  <c r="AJ1046" i="41"/>
  <c r="R1046" i="41"/>
  <c r="AJ1045" i="41"/>
  <c r="R1045" i="41"/>
  <c r="AJ1044" i="41"/>
  <c r="R1044" i="41"/>
  <c r="AJ1043" i="41"/>
  <c r="R1043" i="41"/>
  <c r="AJ1042" i="41"/>
  <c r="R1042" i="41"/>
  <c r="AJ1041" i="41"/>
  <c r="R1041" i="41"/>
  <c r="AJ1040" i="41"/>
  <c r="R1040" i="41"/>
  <c r="R1039" i="41"/>
  <c r="AJ1038" i="41"/>
  <c r="AJ1039" i="41" s="1"/>
  <c r="R1038" i="41"/>
  <c r="AJ1037" i="41"/>
  <c r="R1037" i="41"/>
  <c r="AJ1036" i="41"/>
  <c r="R1036" i="41"/>
  <c r="AJ1035" i="41"/>
  <c r="R1035" i="41"/>
  <c r="AJ1034" i="41"/>
  <c r="R1034" i="41"/>
  <c r="AJ1033" i="41"/>
  <c r="R1033" i="41"/>
  <c r="AJ1032" i="41"/>
  <c r="R1032" i="41"/>
  <c r="AJ1031" i="41"/>
  <c r="R1031" i="41"/>
  <c r="AJ1030" i="41"/>
  <c r="R1030" i="41"/>
  <c r="AJ1029" i="41"/>
  <c r="R1029" i="41"/>
  <c r="AJ1028" i="41"/>
  <c r="R1028" i="41"/>
  <c r="AJ1027" i="41"/>
  <c r="R1027" i="41"/>
  <c r="AJ1026" i="41"/>
  <c r="R1026" i="41"/>
  <c r="AJ1025" i="41"/>
  <c r="R1025" i="41"/>
  <c r="AJ1024" i="41"/>
  <c r="R1024" i="41"/>
  <c r="AJ1023" i="41"/>
  <c r="R1023" i="41"/>
  <c r="AJ1022" i="41"/>
  <c r="R1022" i="41"/>
  <c r="AJ1021" i="41"/>
  <c r="R1021" i="41"/>
  <c r="AJ1020" i="41"/>
  <c r="R1020" i="41"/>
  <c r="AJ1019" i="41"/>
  <c r="R1019" i="41"/>
  <c r="AJ1018" i="41"/>
  <c r="R1018" i="41"/>
  <c r="AJ1017" i="41"/>
  <c r="R1017" i="41"/>
  <c r="AJ1016" i="41"/>
  <c r="R1016" i="41"/>
  <c r="R1015" i="41"/>
  <c r="AJ1014" i="41"/>
  <c r="AJ1015" i="41" s="1"/>
  <c r="R1014" i="41"/>
  <c r="AJ1013" i="41"/>
  <c r="R1013" i="41"/>
  <c r="AJ1012" i="41"/>
  <c r="R1012" i="41"/>
  <c r="AJ1011" i="41"/>
  <c r="R1011" i="41"/>
  <c r="AJ1010" i="41"/>
  <c r="R1010" i="41"/>
  <c r="AJ1009" i="41"/>
  <c r="R1009" i="41"/>
  <c r="AJ1008" i="41"/>
  <c r="R1008" i="41"/>
  <c r="AJ1007" i="41"/>
  <c r="R1007" i="41"/>
  <c r="AJ1006" i="41"/>
  <c r="R1006" i="41"/>
  <c r="AJ1005" i="41"/>
  <c r="R1005" i="41"/>
  <c r="AJ1004" i="41"/>
  <c r="R1004" i="41"/>
  <c r="R1003" i="41"/>
  <c r="AJ1002" i="41"/>
  <c r="AJ1003" i="41" s="1"/>
  <c r="R1002" i="41"/>
  <c r="R1001" i="41"/>
  <c r="AJ1000" i="41"/>
  <c r="AJ1001" i="41" s="1"/>
  <c r="R1000" i="41"/>
  <c r="AJ999" i="41"/>
  <c r="R999" i="41"/>
  <c r="AJ998" i="41"/>
  <c r="R998" i="41"/>
  <c r="AJ997" i="41"/>
  <c r="R997" i="41"/>
  <c r="R996" i="41"/>
  <c r="AJ995" i="41"/>
  <c r="AJ996" i="41" s="1"/>
  <c r="R995" i="41"/>
  <c r="AJ994" i="41"/>
  <c r="R994" i="41"/>
  <c r="AJ993" i="41"/>
  <c r="R993" i="41"/>
  <c r="R992" i="41"/>
  <c r="AJ991" i="41"/>
  <c r="AJ992" i="41" s="1"/>
  <c r="R991" i="41"/>
  <c r="AJ990" i="41"/>
  <c r="R990" i="41"/>
  <c r="R989" i="41"/>
  <c r="AJ988" i="41"/>
  <c r="AJ989" i="41" s="1"/>
  <c r="R988" i="41"/>
  <c r="R987" i="41"/>
  <c r="AJ986" i="41"/>
  <c r="AJ987" i="41" s="1"/>
  <c r="R986" i="41"/>
  <c r="R985" i="41"/>
  <c r="AJ984" i="41"/>
  <c r="AJ985" i="41" s="1"/>
  <c r="R984" i="41"/>
  <c r="R983" i="41"/>
  <c r="AJ982" i="41"/>
  <c r="AJ983" i="41" s="1"/>
  <c r="R982" i="41"/>
  <c r="R981" i="41"/>
  <c r="AJ980" i="41"/>
  <c r="AJ981" i="41" s="1"/>
  <c r="R980" i="41"/>
  <c r="AJ979" i="41"/>
  <c r="R979" i="41"/>
  <c r="AJ978" i="41"/>
  <c r="R978" i="41"/>
  <c r="AJ977" i="41"/>
  <c r="R977" i="41"/>
  <c r="AJ976" i="41"/>
  <c r="R976" i="41"/>
  <c r="AJ975" i="41"/>
  <c r="R975" i="41"/>
  <c r="AJ974" i="41"/>
  <c r="R974" i="41"/>
  <c r="AJ973" i="41"/>
  <c r="R973" i="41"/>
  <c r="AJ972" i="41"/>
  <c r="R972" i="41"/>
  <c r="AJ971" i="41"/>
  <c r="R971" i="41"/>
  <c r="AJ970" i="41"/>
  <c r="R970" i="41"/>
  <c r="AJ969" i="41"/>
  <c r="R969" i="41"/>
  <c r="AJ968" i="41"/>
  <c r="R968" i="41"/>
  <c r="AJ967" i="41"/>
  <c r="R967" i="41"/>
  <c r="R966" i="41"/>
  <c r="AJ965" i="41"/>
  <c r="AJ966" i="41" s="1"/>
  <c r="R965" i="41"/>
  <c r="AJ964" i="41"/>
  <c r="R964" i="41"/>
  <c r="AJ963" i="41"/>
  <c r="R963" i="41"/>
  <c r="AJ962" i="41"/>
  <c r="R962" i="41"/>
  <c r="R961" i="41"/>
  <c r="AJ960" i="41"/>
  <c r="AJ961" i="41" s="1"/>
  <c r="R960" i="41"/>
  <c r="R959" i="41"/>
  <c r="AJ958" i="41"/>
  <c r="AJ959" i="41" s="1"/>
  <c r="R958" i="41"/>
  <c r="AJ957" i="41"/>
  <c r="R957" i="41"/>
  <c r="AJ956" i="41"/>
  <c r="R956" i="41"/>
  <c r="AJ955" i="41"/>
  <c r="R955" i="41"/>
  <c r="R954" i="41"/>
  <c r="AJ953" i="41"/>
  <c r="AJ954" i="41" s="1"/>
  <c r="R953" i="41"/>
  <c r="R952" i="41"/>
  <c r="AJ951" i="41"/>
  <c r="AJ952" i="41" s="1"/>
  <c r="R951" i="41"/>
  <c r="R950" i="41"/>
  <c r="AJ949" i="41"/>
  <c r="AJ950" i="41" s="1"/>
  <c r="R949" i="41"/>
  <c r="AJ948" i="41"/>
  <c r="R948" i="41"/>
  <c r="AJ947" i="41"/>
  <c r="R947" i="41"/>
  <c r="R946" i="41"/>
  <c r="AJ945" i="41"/>
  <c r="AJ946" i="41" s="1"/>
  <c r="R945" i="41"/>
  <c r="AJ944" i="41"/>
  <c r="R944" i="41"/>
  <c r="R943" i="41"/>
  <c r="AJ942" i="41"/>
  <c r="AJ943" i="41" s="1"/>
  <c r="R942" i="41"/>
  <c r="R941" i="41"/>
  <c r="AJ940" i="41"/>
  <c r="AJ941" i="41" s="1"/>
  <c r="R940" i="41"/>
  <c r="AJ939" i="41"/>
  <c r="R939" i="41"/>
  <c r="AJ938" i="41"/>
  <c r="R938" i="41"/>
  <c r="AJ937" i="41"/>
  <c r="R937" i="41"/>
  <c r="AJ936" i="41"/>
  <c r="R936" i="41"/>
  <c r="AJ935" i="41"/>
  <c r="R935" i="41"/>
  <c r="AJ934" i="41"/>
  <c r="R934" i="41"/>
  <c r="AJ933" i="41"/>
  <c r="R933" i="41"/>
  <c r="AJ932" i="41"/>
  <c r="R932" i="41"/>
  <c r="AJ931" i="41"/>
  <c r="R931" i="41"/>
  <c r="AJ930" i="41"/>
  <c r="R930" i="41"/>
  <c r="AJ929" i="41"/>
  <c r="R929" i="41"/>
  <c r="AJ928" i="41"/>
  <c r="R928" i="41"/>
  <c r="AJ927" i="41"/>
  <c r="R927" i="41"/>
  <c r="AJ926" i="41"/>
  <c r="R926" i="41"/>
  <c r="AJ925" i="41"/>
  <c r="R925" i="41"/>
  <c r="AJ924" i="41"/>
  <c r="R924" i="41"/>
  <c r="AJ923" i="41"/>
  <c r="R923" i="41"/>
  <c r="AJ922" i="41"/>
  <c r="R922" i="41"/>
  <c r="AJ921" i="41"/>
  <c r="R921" i="41"/>
  <c r="AJ920" i="41"/>
  <c r="R920" i="41"/>
  <c r="AJ919" i="41"/>
  <c r="R919" i="41"/>
  <c r="AJ918" i="41"/>
  <c r="R918" i="41"/>
  <c r="R917" i="41"/>
  <c r="AJ916" i="41"/>
  <c r="AJ917" i="41" s="1"/>
  <c r="R916" i="41"/>
  <c r="AJ915" i="41"/>
  <c r="R915" i="41"/>
  <c r="AJ914" i="41"/>
  <c r="R914" i="41"/>
  <c r="AJ913" i="41"/>
  <c r="R913" i="41"/>
  <c r="AJ912" i="41"/>
  <c r="R912" i="41"/>
  <c r="AJ911" i="41"/>
  <c r="R911" i="41"/>
  <c r="AJ910" i="41"/>
  <c r="R910" i="41"/>
  <c r="R909" i="41"/>
  <c r="AJ908" i="41"/>
  <c r="AJ909" i="41" s="1"/>
  <c r="R908" i="41"/>
  <c r="R907" i="41"/>
  <c r="AJ906" i="41"/>
  <c r="AJ907" i="41" s="1"/>
  <c r="R906" i="41"/>
  <c r="AJ905" i="41"/>
  <c r="R905" i="41"/>
  <c r="R904" i="41"/>
  <c r="AJ903" i="41"/>
  <c r="AJ904" i="41" s="1"/>
  <c r="R903" i="41"/>
  <c r="AJ902" i="41"/>
  <c r="R902" i="41"/>
  <c r="AJ901" i="41"/>
  <c r="R901" i="41"/>
  <c r="AJ900" i="41"/>
  <c r="R900" i="41"/>
  <c r="R899" i="41"/>
  <c r="AJ898" i="41"/>
  <c r="AJ899" i="41" s="1"/>
  <c r="R898" i="41"/>
  <c r="R897" i="41"/>
  <c r="AJ896" i="41"/>
  <c r="AJ897" i="41" s="1"/>
  <c r="R896" i="41"/>
  <c r="R895" i="41"/>
  <c r="AJ894" i="41"/>
  <c r="AJ895" i="41" s="1"/>
  <c r="R894" i="41"/>
  <c r="AJ893" i="41"/>
  <c r="R893" i="41"/>
  <c r="R892" i="41"/>
  <c r="AJ891" i="41"/>
  <c r="AJ892" i="41" s="1"/>
  <c r="R891" i="41"/>
  <c r="AJ890" i="41"/>
  <c r="R890" i="41"/>
  <c r="R889" i="41"/>
  <c r="AJ888" i="41"/>
  <c r="AJ889" i="41" s="1"/>
  <c r="R888" i="41"/>
  <c r="R887" i="41"/>
  <c r="AJ886" i="41"/>
  <c r="AJ887" i="41" s="1"/>
  <c r="R886" i="41"/>
  <c r="R885" i="41"/>
  <c r="AJ884" i="41"/>
  <c r="AJ885" i="41" s="1"/>
  <c r="R884" i="41"/>
  <c r="R883" i="41"/>
  <c r="AJ882" i="41"/>
  <c r="AJ883" i="41" s="1"/>
  <c r="R882" i="41"/>
  <c r="R881" i="41"/>
  <c r="AJ880" i="41"/>
  <c r="AJ881" i="41" s="1"/>
  <c r="R880" i="41"/>
  <c r="AJ879" i="41"/>
  <c r="R879" i="41"/>
  <c r="R878" i="41"/>
  <c r="AJ877" i="41"/>
  <c r="AJ878" i="41" s="1"/>
  <c r="R877" i="41"/>
  <c r="AJ876" i="41"/>
  <c r="R876" i="41"/>
  <c r="AJ875" i="41"/>
  <c r="R875" i="41"/>
  <c r="AJ874" i="41"/>
  <c r="R874" i="41"/>
  <c r="AJ873" i="41"/>
  <c r="R873" i="41"/>
  <c r="AJ872" i="41"/>
  <c r="R872" i="41"/>
  <c r="AJ871" i="41"/>
  <c r="R871" i="41"/>
  <c r="R870" i="41"/>
  <c r="AJ869" i="41"/>
  <c r="AJ870" i="41" s="1"/>
  <c r="R869" i="41"/>
  <c r="R868" i="41"/>
  <c r="AJ867" i="41"/>
  <c r="AJ868" i="41" s="1"/>
  <c r="R867" i="41"/>
  <c r="R866" i="41"/>
  <c r="AJ865" i="41"/>
  <c r="AJ866" i="41" s="1"/>
  <c r="R865" i="41"/>
  <c r="AJ864" i="41"/>
  <c r="R864" i="41"/>
  <c r="R863" i="41"/>
  <c r="AJ862" i="41"/>
  <c r="AJ863" i="41" s="1"/>
  <c r="R862" i="41"/>
  <c r="R861" i="41"/>
  <c r="AJ860" i="41"/>
  <c r="AJ861" i="41" s="1"/>
  <c r="R860" i="41"/>
  <c r="R859" i="41"/>
  <c r="AJ858" i="41"/>
  <c r="AJ859" i="41" s="1"/>
  <c r="R858" i="41"/>
  <c r="R857" i="41"/>
  <c r="AJ856" i="41"/>
  <c r="AJ857" i="41" s="1"/>
  <c r="R856" i="41"/>
  <c r="R855" i="41"/>
  <c r="AJ854" i="41"/>
  <c r="AJ855" i="41" s="1"/>
  <c r="R854" i="41"/>
  <c r="R853" i="41"/>
  <c r="AJ852" i="41"/>
  <c r="AJ853" i="41" s="1"/>
  <c r="R852" i="41"/>
  <c r="AJ851" i="41"/>
  <c r="R851" i="41"/>
  <c r="R850" i="41"/>
  <c r="AJ849" i="41"/>
  <c r="AJ850" i="41" s="1"/>
  <c r="R849" i="41"/>
  <c r="AJ848" i="41"/>
  <c r="R848" i="41"/>
  <c r="AJ847" i="41"/>
  <c r="R847" i="41"/>
  <c r="R846" i="41"/>
  <c r="AJ845" i="41"/>
  <c r="AJ846" i="41" s="1"/>
  <c r="R845" i="41"/>
  <c r="AJ844" i="41"/>
  <c r="R844" i="41"/>
  <c r="AJ843" i="41"/>
  <c r="R843" i="41"/>
  <c r="R842" i="41"/>
  <c r="AJ841" i="41"/>
  <c r="AJ842" i="41" s="1"/>
  <c r="R841" i="41"/>
  <c r="AJ840" i="41"/>
  <c r="R840" i="41"/>
  <c r="AJ839" i="41"/>
  <c r="R839" i="41"/>
  <c r="AJ838" i="41"/>
  <c r="R838" i="41"/>
  <c r="AJ837" i="41"/>
  <c r="R837" i="41"/>
  <c r="R836" i="41"/>
  <c r="AJ835" i="41"/>
  <c r="AJ836" i="41" s="1"/>
  <c r="R835" i="41"/>
  <c r="R834" i="41"/>
  <c r="AJ833" i="41"/>
  <c r="AJ834" i="41" s="1"/>
  <c r="R833" i="41"/>
  <c r="R832" i="41"/>
  <c r="AJ831" i="41"/>
  <c r="AJ832" i="41" s="1"/>
  <c r="R831" i="41"/>
  <c r="AJ830" i="41"/>
  <c r="R830" i="41"/>
  <c r="R829" i="41"/>
  <c r="AJ828" i="41"/>
  <c r="AJ829" i="41" s="1"/>
  <c r="R828" i="41"/>
  <c r="AJ827" i="41"/>
  <c r="R827" i="41"/>
  <c r="R826" i="41"/>
  <c r="AJ825" i="41"/>
  <c r="AJ826" i="41" s="1"/>
  <c r="R825" i="41"/>
  <c r="R824" i="41"/>
  <c r="AJ823" i="41"/>
  <c r="AJ824" i="41" s="1"/>
  <c r="R823" i="41"/>
  <c r="R822" i="41"/>
  <c r="AJ821" i="41"/>
  <c r="AJ822" i="41" s="1"/>
  <c r="R821" i="41"/>
  <c r="R820" i="41"/>
  <c r="AJ819" i="41"/>
  <c r="AJ820" i="41" s="1"/>
  <c r="R819" i="41"/>
  <c r="R818" i="41"/>
  <c r="AJ817" i="41"/>
  <c r="AJ818" i="41" s="1"/>
  <c r="R817" i="41"/>
  <c r="R816" i="41"/>
  <c r="AJ815" i="41"/>
  <c r="AJ816" i="41" s="1"/>
  <c r="R815" i="41"/>
  <c r="AJ814" i="41"/>
  <c r="R814" i="41"/>
  <c r="R813" i="41"/>
  <c r="AJ812" i="41"/>
  <c r="AJ813" i="41" s="1"/>
  <c r="R812" i="41"/>
  <c r="AJ811" i="41"/>
  <c r="R811" i="41"/>
  <c r="AJ810" i="41"/>
  <c r="R810" i="41"/>
  <c r="AJ809" i="41"/>
  <c r="R809" i="41"/>
  <c r="AJ808" i="41"/>
  <c r="R808" i="41"/>
  <c r="AJ807" i="41"/>
  <c r="R807" i="41"/>
  <c r="AJ806" i="41"/>
  <c r="R806" i="41"/>
  <c r="AJ805" i="41"/>
  <c r="R805" i="41"/>
  <c r="AJ804" i="41"/>
  <c r="R804" i="41"/>
  <c r="AJ803" i="41"/>
  <c r="R803" i="41"/>
  <c r="R802" i="41"/>
  <c r="AJ801" i="41"/>
  <c r="AJ802" i="41" s="1"/>
  <c r="R801" i="41"/>
  <c r="R800" i="41"/>
  <c r="AJ799" i="41"/>
  <c r="AJ800" i="41" s="1"/>
  <c r="R799" i="41"/>
  <c r="R798" i="41"/>
  <c r="AJ797" i="41"/>
  <c r="AJ798" i="41" s="1"/>
  <c r="R797" i="41"/>
  <c r="AJ796" i="41"/>
  <c r="R796" i="41"/>
  <c r="R795" i="41"/>
  <c r="AJ794" i="41"/>
  <c r="AJ795" i="41" s="1"/>
  <c r="R794" i="41"/>
  <c r="R793" i="41"/>
  <c r="AJ792" i="41"/>
  <c r="AJ793" i="41" s="1"/>
  <c r="R792" i="41"/>
  <c r="R791" i="41"/>
  <c r="AJ790" i="41"/>
  <c r="AJ791" i="41" s="1"/>
  <c r="R790" i="41"/>
  <c r="R789" i="41"/>
  <c r="AJ788" i="41"/>
  <c r="AJ789" i="41" s="1"/>
  <c r="R788" i="41"/>
  <c r="R787" i="41"/>
  <c r="AJ786" i="41"/>
  <c r="AJ787" i="41" s="1"/>
  <c r="R786" i="41"/>
  <c r="R785" i="41"/>
  <c r="AJ784" i="41"/>
  <c r="AJ785" i="41" s="1"/>
  <c r="R784" i="41"/>
  <c r="AJ783" i="41"/>
  <c r="R783" i="41"/>
  <c r="AJ782" i="41"/>
  <c r="R782" i="41"/>
  <c r="AJ781" i="41"/>
  <c r="R781" i="41"/>
  <c r="AJ780" i="41"/>
  <c r="R780" i="41"/>
  <c r="AJ779" i="41"/>
  <c r="R779" i="41"/>
  <c r="AJ778" i="41"/>
  <c r="R778" i="41"/>
  <c r="AJ777" i="41"/>
  <c r="R777" i="41"/>
  <c r="AJ776" i="41"/>
  <c r="R776" i="41"/>
  <c r="AJ775" i="41"/>
  <c r="R775" i="41"/>
  <c r="AJ774" i="41"/>
  <c r="R774" i="41"/>
  <c r="AJ773" i="41"/>
  <c r="R773" i="41"/>
  <c r="AJ772" i="41"/>
  <c r="R772" i="41"/>
  <c r="AJ771" i="41"/>
  <c r="R771" i="41"/>
  <c r="AJ770" i="41"/>
  <c r="R770" i="41"/>
  <c r="AJ769" i="41"/>
  <c r="R769" i="41"/>
  <c r="AJ768" i="41"/>
  <c r="R768" i="41"/>
  <c r="AJ767" i="41"/>
  <c r="R767" i="41"/>
  <c r="AJ766" i="41"/>
  <c r="R766" i="41"/>
  <c r="AJ765" i="41"/>
  <c r="R765" i="41"/>
  <c r="AJ764" i="41"/>
  <c r="R764" i="41"/>
  <c r="AJ763" i="41"/>
  <c r="R763" i="41"/>
  <c r="AJ762" i="41"/>
  <c r="R762" i="41"/>
  <c r="AJ761" i="41"/>
  <c r="R761" i="41"/>
  <c r="R760" i="41"/>
  <c r="AJ759" i="41"/>
  <c r="AJ760" i="41" s="1"/>
  <c r="R759" i="41"/>
  <c r="AJ758" i="41"/>
  <c r="R758" i="41"/>
  <c r="R757" i="41"/>
  <c r="AJ756" i="41"/>
  <c r="AJ757" i="41" s="1"/>
  <c r="R756" i="41"/>
  <c r="AJ755" i="41"/>
  <c r="R755" i="41"/>
  <c r="AJ754" i="41"/>
  <c r="R754" i="41"/>
  <c r="AJ753" i="41"/>
  <c r="R753" i="41"/>
  <c r="AJ752" i="41"/>
  <c r="R752" i="41"/>
  <c r="AJ751" i="41"/>
  <c r="R751" i="41"/>
  <c r="AJ750" i="41"/>
  <c r="R750" i="41"/>
  <c r="AJ749" i="41"/>
  <c r="R749" i="41"/>
  <c r="AJ748" i="41"/>
  <c r="R748" i="41"/>
  <c r="AJ747" i="41"/>
  <c r="R747" i="41"/>
  <c r="R746" i="41"/>
  <c r="AJ745" i="41"/>
  <c r="AJ746" i="41" s="1"/>
  <c r="R745" i="41"/>
  <c r="R744" i="41"/>
  <c r="AJ743" i="41"/>
  <c r="AJ744" i="41" s="1"/>
  <c r="R743" i="41"/>
  <c r="AJ742" i="41"/>
  <c r="R742" i="41"/>
  <c r="AJ741" i="41"/>
  <c r="R741" i="41"/>
  <c r="AJ740" i="41"/>
  <c r="R740" i="41"/>
  <c r="AJ739" i="41"/>
  <c r="R739" i="41"/>
  <c r="R738" i="41"/>
  <c r="AJ737" i="41"/>
  <c r="AJ738" i="41" s="1"/>
  <c r="R737" i="41"/>
  <c r="AJ736" i="41"/>
  <c r="R736" i="41"/>
  <c r="AJ735" i="41"/>
  <c r="R735" i="41"/>
  <c r="AJ734" i="41"/>
  <c r="R734" i="41"/>
  <c r="AJ733" i="41"/>
  <c r="R733" i="41"/>
  <c r="AJ732" i="41"/>
  <c r="R732" i="41"/>
  <c r="AJ731" i="41"/>
  <c r="R731" i="41"/>
  <c r="AJ730" i="41"/>
  <c r="R730" i="41"/>
  <c r="AJ729" i="41"/>
  <c r="R729" i="41"/>
  <c r="AJ728" i="41"/>
  <c r="R728" i="41"/>
  <c r="AJ727" i="41"/>
  <c r="R727" i="41"/>
  <c r="AJ726" i="41"/>
  <c r="R726" i="41"/>
  <c r="AJ725" i="41"/>
  <c r="R725" i="41"/>
  <c r="AJ724" i="41"/>
  <c r="R724" i="41"/>
  <c r="AJ723" i="41"/>
  <c r="R723" i="41"/>
  <c r="AJ722" i="41"/>
  <c r="R722" i="41"/>
  <c r="AJ721" i="41"/>
  <c r="R721" i="41"/>
  <c r="R720" i="41"/>
  <c r="AJ719" i="41"/>
  <c r="AJ720" i="41" s="1"/>
  <c r="R719" i="41"/>
  <c r="R718" i="41"/>
  <c r="AJ717" i="41"/>
  <c r="AJ718" i="41" s="1"/>
  <c r="R717" i="41"/>
  <c r="AJ716" i="41"/>
  <c r="R716" i="41"/>
  <c r="R715" i="41"/>
  <c r="AJ714" i="41"/>
  <c r="AJ715" i="41" s="1"/>
  <c r="R714" i="41"/>
  <c r="R713" i="41"/>
  <c r="AJ712" i="41"/>
  <c r="AJ713" i="41" s="1"/>
  <c r="R712" i="41"/>
  <c r="R711" i="41"/>
  <c r="AJ710" i="41"/>
  <c r="AJ711" i="41" s="1"/>
  <c r="R710" i="41"/>
  <c r="AJ709" i="41"/>
  <c r="R709" i="41"/>
  <c r="R708" i="41"/>
  <c r="AJ707" i="41"/>
  <c r="AJ708" i="41" s="1"/>
  <c r="R707" i="41"/>
  <c r="R706" i="41"/>
  <c r="AJ705" i="41"/>
  <c r="AJ706" i="41" s="1"/>
  <c r="R705" i="41"/>
  <c r="R704" i="41"/>
  <c r="R703" i="41"/>
  <c r="AJ702" i="41"/>
  <c r="AJ703" i="41" s="1"/>
  <c r="AJ704" i="41" s="1"/>
  <c r="R702" i="41"/>
  <c r="R701" i="41"/>
  <c r="AJ700" i="41"/>
  <c r="AJ701" i="41" s="1"/>
  <c r="R700" i="41"/>
  <c r="R699" i="41"/>
  <c r="AJ698" i="41"/>
  <c r="AJ699" i="41" s="1"/>
  <c r="R698" i="41"/>
  <c r="R697" i="41"/>
  <c r="AJ696" i="41"/>
  <c r="AJ697" i="41" s="1"/>
  <c r="R696" i="41"/>
  <c r="R695" i="41"/>
  <c r="AJ694" i="41"/>
  <c r="AJ695" i="41" s="1"/>
  <c r="R694" i="41"/>
  <c r="R693" i="41"/>
  <c r="AJ692" i="41"/>
  <c r="AJ693" i="41" s="1"/>
  <c r="R692" i="41"/>
  <c r="AJ691" i="41"/>
  <c r="R691" i="41"/>
  <c r="R690" i="41"/>
  <c r="AJ689" i="41"/>
  <c r="AJ690" i="41" s="1"/>
  <c r="R689" i="41"/>
  <c r="AJ688" i="41"/>
  <c r="R688" i="41"/>
  <c r="R687" i="41"/>
  <c r="AJ686" i="41"/>
  <c r="AJ687" i="41" s="1"/>
  <c r="R686" i="41"/>
  <c r="R685" i="41"/>
  <c r="AJ684" i="41"/>
  <c r="AJ685" i="41" s="1"/>
  <c r="R684" i="41"/>
  <c r="R683" i="41"/>
  <c r="AJ682" i="41"/>
  <c r="AJ683" i="41" s="1"/>
  <c r="R682" i="41"/>
  <c r="R681" i="41"/>
  <c r="AJ680" i="41"/>
  <c r="AJ681" i="41" s="1"/>
  <c r="R680" i="41"/>
  <c r="R679" i="41"/>
  <c r="AJ678" i="41"/>
  <c r="AJ679" i="41" s="1"/>
  <c r="R678" i="41"/>
  <c r="AJ677" i="41"/>
  <c r="R677" i="41"/>
  <c r="AJ676" i="41"/>
  <c r="R676" i="41"/>
  <c r="AJ675" i="41"/>
  <c r="R675" i="41"/>
  <c r="AJ674" i="41"/>
  <c r="R674" i="41"/>
  <c r="AJ673" i="41"/>
  <c r="R673" i="41"/>
  <c r="AJ672" i="41"/>
  <c r="R672" i="41"/>
  <c r="AJ671" i="41"/>
  <c r="R671" i="41"/>
  <c r="AJ670" i="41"/>
  <c r="R670" i="41"/>
  <c r="AJ669" i="41"/>
  <c r="R669" i="41"/>
  <c r="AJ668" i="41"/>
  <c r="R668" i="41"/>
  <c r="AJ667" i="41"/>
  <c r="R667" i="41"/>
  <c r="AJ666" i="41"/>
  <c r="R666" i="41"/>
  <c r="AJ665" i="41"/>
  <c r="R665" i="41"/>
  <c r="AJ664" i="41"/>
  <c r="R664" i="41"/>
  <c r="AJ663" i="41"/>
  <c r="R663" i="41"/>
  <c r="AJ662" i="41"/>
  <c r="R662" i="41"/>
  <c r="AJ661" i="41"/>
  <c r="R661" i="41"/>
  <c r="R660" i="41"/>
  <c r="AJ659" i="41"/>
  <c r="AJ660" i="41" s="1"/>
  <c r="R659" i="41"/>
  <c r="AJ658" i="41"/>
  <c r="R658" i="41"/>
  <c r="AJ657" i="41"/>
  <c r="R657" i="41"/>
  <c r="AJ656" i="41"/>
  <c r="R656" i="41"/>
  <c r="AJ655" i="41"/>
  <c r="R655" i="41"/>
  <c r="AJ654" i="41"/>
  <c r="R654" i="41"/>
  <c r="R653" i="41"/>
  <c r="AJ652" i="41"/>
  <c r="AJ653" i="41" s="1"/>
  <c r="R652" i="41"/>
  <c r="R651" i="41"/>
  <c r="AJ650" i="41"/>
  <c r="AJ651" i="41" s="1"/>
  <c r="R650" i="41"/>
  <c r="AJ649" i="41"/>
  <c r="R649" i="41"/>
  <c r="R648" i="41"/>
  <c r="AJ647" i="41"/>
  <c r="AJ648" i="41" s="1"/>
  <c r="R647" i="41"/>
  <c r="R646" i="41"/>
  <c r="AJ645" i="41"/>
  <c r="AJ646" i="41" s="1"/>
  <c r="R645" i="41"/>
  <c r="R644" i="41"/>
  <c r="AJ643" i="41"/>
  <c r="AJ644" i="41" s="1"/>
  <c r="R643" i="41"/>
  <c r="AJ642" i="41"/>
  <c r="R642" i="41"/>
  <c r="R641" i="41"/>
  <c r="AJ640" i="41"/>
  <c r="AJ641" i="41" s="1"/>
  <c r="R640" i="41"/>
  <c r="AJ639" i="41"/>
  <c r="R639" i="41"/>
  <c r="AJ638" i="41"/>
  <c r="R638" i="41"/>
  <c r="AJ637" i="41"/>
  <c r="R637" i="41"/>
  <c r="R636" i="41"/>
  <c r="AJ635" i="41"/>
  <c r="AJ636" i="41" s="1"/>
  <c r="R635" i="41"/>
  <c r="R634" i="41"/>
  <c r="AJ633" i="41"/>
  <c r="AJ634" i="41" s="1"/>
  <c r="R633" i="41"/>
  <c r="AJ632" i="41"/>
  <c r="R632" i="41"/>
  <c r="AJ631" i="41"/>
  <c r="R631" i="41"/>
  <c r="AJ630" i="41"/>
  <c r="R630" i="41"/>
  <c r="AJ629" i="41"/>
  <c r="R629" i="41"/>
  <c r="AJ628" i="41"/>
  <c r="R628" i="41"/>
  <c r="AJ627" i="41"/>
  <c r="R627" i="41"/>
  <c r="R626" i="41"/>
  <c r="AJ625" i="41"/>
  <c r="AJ626" i="41" s="1"/>
  <c r="R625" i="41"/>
  <c r="AJ624" i="41"/>
  <c r="R624" i="41"/>
  <c r="AJ623" i="41"/>
  <c r="R623" i="41"/>
  <c r="AJ622" i="41"/>
  <c r="R622" i="41"/>
  <c r="AJ621" i="41"/>
  <c r="R621" i="41"/>
  <c r="AJ620" i="41"/>
  <c r="R620" i="41"/>
  <c r="AJ619" i="41"/>
  <c r="R619" i="41"/>
  <c r="R618" i="41"/>
  <c r="AJ617" i="41"/>
  <c r="AJ618" i="41" s="1"/>
  <c r="R617" i="41"/>
  <c r="AJ616" i="41"/>
  <c r="R616" i="41"/>
  <c r="AJ615" i="41"/>
  <c r="R615" i="41"/>
  <c r="AJ614" i="41"/>
  <c r="R614" i="41"/>
  <c r="AJ613" i="41"/>
  <c r="R613" i="41"/>
  <c r="AJ612" i="41"/>
  <c r="R612" i="41"/>
  <c r="AJ611" i="41"/>
  <c r="R611" i="41"/>
  <c r="AJ610" i="41"/>
  <c r="R610" i="41"/>
  <c r="AJ609" i="41"/>
  <c r="R609" i="41"/>
  <c r="AJ608" i="41"/>
  <c r="R608" i="41"/>
  <c r="AJ607" i="41"/>
  <c r="R607" i="41"/>
  <c r="AJ606" i="41"/>
  <c r="R606" i="41"/>
  <c r="AJ605" i="41"/>
  <c r="R605" i="41"/>
  <c r="AJ604" i="41"/>
  <c r="R604" i="41"/>
  <c r="AJ603" i="41"/>
  <c r="R603" i="41"/>
  <c r="R602" i="41"/>
  <c r="AJ601" i="41"/>
  <c r="AJ602" i="41" s="1"/>
  <c r="R601" i="41"/>
  <c r="AJ600" i="41"/>
  <c r="R600" i="41"/>
  <c r="AJ599" i="41"/>
  <c r="R599" i="41"/>
  <c r="AJ598" i="41"/>
  <c r="R598" i="41"/>
  <c r="R597" i="41"/>
  <c r="AJ596" i="41"/>
  <c r="AJ597" i="41" s="1"/>
  <c r="R596" i="41"/>
  <c r="AJ595" i="41"/>
  <c r="R595" i="41"/>
  <c r="AJ594" i="41"/>
  <c r="R594" i="41"/>
  <c r="AJ593" i="41"/>
  <c r="R593" i="41"/>
  <c r="AJ592" i="41"/>
  <c r="R592" i="41"/>
  <c r="AJ591" i="41"/>
  <c r="R591" i="41"/>
  <c r="AJ590" i="41"/>
  <c r="R590" i="41"/>
  <c r="AJ589" i="41"/>
  <c r="R589" i="41"/>
  <c r="R588" i="41"/>
  <c r="AJ587" i="41"/>
  <c r="AJ588" i="41" s="1"/>
  <c r="R587" i="41"/>
  <c r="R586" i="41"/>
  <c r="AJ585" i="41"/>
  <c r="AJ586" i="41" s="1"/>
  <c r="R585" i="41"/>
  <c r="AJ584" i="41"/>
  <c r="R584" i="41"/>
  <c r="AJ583" i="41"/>
  <c r="R583" i="41"/>
  <c r="AJ582" i="41"/>
  <c r="R582" i="41"/>
  <c r="AJ581" i="41"/>
  <c r="R581" i="41"/>
  <c r="AJ580" i="41"/>
  <c r="R580" i="41"/>
  <c r="AJ579" i="41"/>
  <c r="R579" i="41"/>
  <c r="AJ578" i="41"/>
  <c r="R578" i="41"/>
  <c r="AJ577" i="41"/>
  <c r="R577" i="41"/>
  <c r="AJ576" i="41"/>
  <c r="R576" i="41"/>
  <c r="AJ575" i="41"/>
  <c r="R575" i="41"/>
  <c r="AJ574" i="41"/>
  <c r="R574" i="41"/>
  <c r="AJ573" i="41"/>
  <c r="R573" i="41"/>
  <c r="AJ572" i="41"/>
  <c r="R572" i="41"/>
  <c r="R571" i="41"/>
  <c r="AJ570" i="41"/>
  <c r="AJ571" i="41" s="1"/>
  <c r="R570" i="41"/>
  <c r="AJ569" i="41"/>
  <c r="R569" i="41"/>
  <c r="R568" i="41"/>
  <c r="AJ567" i="41"/>
  <c r="AJ568" i="41" s="1"/>
  <c r="R567" i="41"/>
  <c r="AJ566" i="41"/>
  <c r="R566" i="41"/>
  <c r="AJ565" i="41"/>
  <c r="R565" i="41"/>
  <c r="AJ564" i="41"/>
  <c r="R564" i="41"/>
  <c r="AJ563" i="41"/>
  <c r="R563" i="41"/>
  <c r="R562" i="41"/>
  <c r="AJ561" i="41"/>
  <c r="AJ562" i="41" s="1"/>
  <c r="R561" i="41"/>
  <c r="AJ560" i="41"/>
  <c r="R560" i="41"/>
  <c r="R559" i="41"/>
  <c r="AJ558" i="41"/>
  <c r="AJ559" i="41" s="1"/>
  <c r="R558" i="41"/>
  <c r="AJ557" i="41"/>
  <c r="R557" i="41"/>
  <c r="AJ556" i="41"/>
  <c r="R556" i="41"/>
  <c r="AJ555" i="41"/>
  <c r="R555" i="41"/>
  <c r="AJ554" i="41"/>
  <c r="R554" i="41"/>
  <c r="AJ553" i="41"/>
  <c r="R553" i="41"/>
  <c r="AJ552" i="41"/>
  <c r="R552" i="41"/>
  <c r="AJ551" i="41"/>
  <c r="R551" i="41"/>
  <c r="AJ550" i="41"/>
  <c r="R550" i="41"/>
  <c r="R549" i="41"/>
  <c r="AJ548" i="41"/>
  <c r="AJ549" i="41" s="1"/>
  <c r="R548" i="41"/>
  <c r="AJ547" i="41"/>
  <c r="R547" i="41"/>
  <c r="AJ546" i="41"/>
  <c r="R546" i="41"/>
  <c r="AJ545" i="41"/>
  <c r="R545" i="41"/>
  <c r="AJ544" i="41"/>
  <c r="R544" i="41"/>
  <c r="R543" i="41"/>
  <c r="AJ542" i="41"/>
  <c r="AJ543" i="41" s="1"/>
  <c r="R542" i="41"/>
  <c r="AJ541" i="41"/>
  <c r="R541" i="41"/>
  <c r="AJ540" i="41"/>
  <c r="R540" i="41"/>
  <c r="R539" i="41"/>
  <c r="AJ538" i="41"/>
  <c r="AJ539" i="41" s="1"/>
  <c r="R538" i="41"/>
  <c r="AJ537" i="41"/>
  <c r="R537" i="41"/>
  <c r="AJ536" i="41"/>
  <c r="R536" i="41"/>
  <c r="R535" i="41"/>
  <c r="AJ534" i="41"/>
  <c r="AJ535" i="41" s="1"/>
  <c r="R534" i="41"/>
  <c r="AJ533" i="41"/>
  <c r="R533" i="41"/>
  <c r="R532" i="41"/>
  <c r="AJ531" i="41"/>
  <c r="AJ532" i="41" s="1"/>
  <c r="R531" i="41"/>
  <c r="R530" i="41"/>
  <c r="AJ529" i="41"/>
  <c r="AJ530" i="41" s="1"/>
  <c r="R529" i="41"/>
  <c r="AJ528" i="41"/>
  <c r="R528" i="41"/>
  <c r="R527" i="41"/>
  <c r="AJ526" i="41"/>
  <c r="AJ527" i="41" s="1"/>
  <c r="R526" i="41"/>
  <c r="AJ525" i="41"/>
  <c r="R525" i="41"/>
  <c r="R524" i="41"/>
  <c r="AJ523" i="41"/>
  <c r="AJ524" i="41" s="1"/>
  <c r="R523" i="41"/>
  <c r="AJ522" i="41"/>
  <c r="R522" i="41"/>
  <c r="AJ521" i="41"/>
  <c r="R521" i="41"/>
  <c r="AJ520" i="41"/>
  <c r="R520" i="41"/>
  <c r="AJ519" i="41"/>
  <c r="R519" i="41"/>
  <c r="AJ518" i="41"/>
  <c r="R518" i="41"/>
  <c r="AJ517" i="41"/>
  <c r="R517" i="41"/>
  <c r="AJ516" i="41"/>
  <c r="R516" i="41"/>
  <c r="AJ515" i="41"/>
  <c r="R515" i="41"/>
  <c r="AJ514" i="41"/>
  <c r="R514" i="41"/>
  <c r="AJ513" i="41"/>
  <c r="R513" i="41"/>
  <c r="AJ512" i="41"/>
  <c r="R512" i="41"/>
  <c r="AJ511" i="41"/>
  <c r="R511" i="41"/>
  <c r="AJ510" i="41"/>
  <c r="R510" i="41"/>
  <c r="AJ509" i="41"/>
  <c r="R509" i="41"/>
  <c r="AJ508" i="41"/>
  <c r="R508" i="41"/>
  <c r="AJ507" i="41"/>
  <c r="R507" i="41"/>
  <c r="AJ506" i="41"/>
  <c r="R506" i="41"/>
  <c r="AJ505" i="41"/>
  <c r="R505" i="41"/>
  <c r="AJ504" i="41"/>
  <c r="R504" i="41"/>
  <c r="AJ503" i="41"/>
  <c r="R503" i="41"/>
  <c r="AJ502" i="41"/>
  <c r="R502" i="41"/>
  <c r="AJ501" i="41"/>
  <c r="R501" i="41"/>
  <c r="AJ500" i="41"/>
  <c r="R500" i="41"/>
  <c r="AJ499" i="41"/>
  <c r="R499" i="41"/>
  <c r="AJ498" i="41"/>
  <c r="R498" i="41"/>
  <c r="AJ497" i="41"/>
  <c r="R497" i="41"/>
  <c r="AJ496" i="41"/>
  <c r="R496" i="41"/>
  <c r="R495" i="41"/>
  <c r="AJ494" i="41"/>
  <c r="AJ495" i="41" s="1"/>
  <c r="R494" i="41"/>
  <c r="R493" i="41"/>
  <c r="AJ492" i="41"/>
  <c r="AJ493" i="41" s="1"/>
  <c r="R492" i="41"/>
  <c r="R491" i="41"/>
  <c r="AJ490" i="41"/>
  <c r="AJ491" i="41" s="1"/>
  <c r="R490" i="41"/>
  <c r="R489" i="41"/>
  <c r="AJ488" i="41"/>
  <c r="AJ489" i="41" s="1"/>
  <c r="R488" i="41"/>
  <c r="AJ487" i="41"/>
  <c r="R487" i="41"/>
  <c r="AJ486" i="41"/>
  <c r="R486" i="41"/>
  <c r="AJ485" i="41"/>
  <c r="R485" i="41"/>
  <c r="AJ484" i="41"/>
  <c r="R484" i="41"/>
  <c r="AJ483" i="41"/>
  <c r="R483" i="41"/>
  <c r="AJ482" i="41"/>
  <c r="R482" i="41"/>
  <c r="AJ481" i="41"/>
  <c r="R481" i="41"/>
  <c r="AJ480" i="41"/>
  <c r="R480" i="41"/>
  <c r="AJ479" i="41"/>
  <c r="R479" i="41"/>
  <c r="AJ478" i="41"/>
  <c r="R478" i="41"/>
  <c r="AJ477" i="41"/>
  <c r="R477" i="41"/>
  <c r="R476" i="41"/>
  <c r="AJ475" i="41"/>
  <c r="AJ476" i="41" s="1"/>
  <c r="R475" i="41"/>
  <c r="R474" i="41"/>
  <c r="AJ473" i="41"/>
  <c r="AJ474" i="41" s="1"/>
  <c r="R473" i="41"/>
  <c r="R472" i="41"/>
  <c r="AJ471" i="41"/>
  <c r="AJ472" i="41" s="1"/>
  <c r="R471" i="41"/>
  <c r="AJ470" i="41"/>
  <c r="R470" i="41"/>
  <c r="AJ469" i="41"/>
  <c r="R469" i="41"/>
  <c r="AJ468" i="41"/>
  <c r="R468" i="41"/>
  <c r="AJ467" i="41"/>
  <c r="R467" i="41"/>
  <c r="AJ466" i="41"/>
  <c r="R466" i="41"/>
  <c r="AJ465" i="41"/>
  <c r="R465" i="41"/>
  <c r="R464" i="41"/>
  <c r="AJ463" i="41"/>
  <c r="AJ464" i="41" s="1"/>
  <c r="R463" i="41"/>
  <c r="R462" i="41"/>
  <c r="AJ461" i="41"/>
  <c r="AJ462" i="41" s="1"/>
  <c r="R461" i="41"/>
  <c r="R460" i="41"/>
  <c r="AJ459" i="41"/>
  <c r="AJ460" i="41" s="1"/>
  <c r="R459" i="41"/>
  <c r="R458" i="41"/>
  <c r="AJ457" i="41"/>
  <c r="AJ458" i="41" s="1"/>
  <c r="R457" i="41"/>
  <c r="R456" i="41"/>
  <c r="AJ455" i="41"/>
  <c r="AJ456" i="41" s="1"/>
  <c r="R455" i="41"/>
  <c r="AJ454" i="41"/>
  <c r="R454" i="41"/>
  <c r="AJ453" i="41"/>
  <c r="R453" i="41"/>
  <c r="R452" i="41"/>
  <c r="AJ451" i="41"/>
  <c r="AJ452" i="41" s="1"/>
  <c r="R451" i="41"/>
  <c r="AJ450" i="41"/>
  <c r="R450" i="41"/>
  <c r="AJ449" i="41"/>
  <c r="R449" i="41"/>
  <c r="AJ448" i="41"/>
  <c r="R448" i="41"/>
  <c r="AJ447" i="41"/>
  <c r="R447" i="41"/>
  <c r="R446" i="41"/>
  <c r="AJ445" i="41"/>
  <c r="AJ446" i="41" s="1"/>
  <c r="R445" i="41"/>
  <c r="AJ444" i="41"/>
  <c r="R444" i="41"/>
  <c r="AJ443" i="41"/>
  <c r="R443" i="41"/>
  <c r="AJ442" i="41"/>
  <c r="R442" i="41"/>
  <c r="AJ441" i="41"/>
  <c r="R441" i="41"/>
  <c r="AJ440" i="41"/>
  <c r="R440" i="41"/>
  <c r="AJ439" i="41"/>
  <c r="R439" i="41"/>
  <c r="AJ438" i="41"/>
  <c r="R438" i="41"/>
  <c r="AJ437" i="41"/>
  <c r="R437" i="41"/>
  <c r="R436" i="41"/>
  <c r="AJ435" i="41"/>
  <c r="AJ436" i="41" s="1"/>
  <c r="R435" i="41"/>
  <c r="AJ434" i="41"/>
  <c r="R434" i="41"/>
  <c r="AJ433" i="41"/>
  <c r="R433" i="41"/>
  <c r="AJ432" i="41"/>
  <c r="R432" i="41"/>
  <c r="AJ431" i="41"/>
  <c r="R431" i="41"/>
  <c r="AJ430" i="41"/>
  <c r="R430" i="41"/>
  <c r="R429" i="41"/>
  <c r="AJ428" i="41"/>
  <c r="AJ429" i="41" s="1"/>
  <c r="R428" i="41"/>
  <c r="R427" i="41"/>
  <c r="AJ426" i="41"/>
  <c r="AJ427" i="41" s="1"/>
  <c r="R426" i="41"/>
  <c r="R425" i="41"/>
  <c r="AJ424" i="41"/>
  <c r="AJ425" i="41" s="1"/>
  <c r="R424" i="41"/>
  <c r="AJ423" i="41"/>
  <c r="R423" i="41"/>
  <c r="AJ422" i="41"/>
  <c r="R422" i="41"/>
  <c r="AJ421" i="41"/>
  <c r="R421" i="41"/>
  <c r="AJ420" i="41"/>
  <c r="R420" i="41"/>
  <c r="AJ419" i="41"/>
  <c r="R419" i="41"/>
  <c r="R418" i="41"/>
  <c r="AJ417" i="41"/>
  <c r="AJ418" i="41" s="1"/>
  <c r="R417" i="41"/>
  <c r="AJ416" i="41"/>
  <c r="R416" i="41"/>
  <c r="R415" i="41"/>
  <c r="AJ414" i="41"/>
  <c r="AJ415" i="41" s="1"/>
  <c r="R414" i="41"/>
  <c r="AJ413" i="41"/>
  <c r="R413" i="41"/>
  <c r="AJ412" i="41"/>
  <c r="R412" i="41"/>
  <c r="R411" i="41"/>
  <c r="AJ410" i="41"/>
  <c r="AJ411" i="41" s="1"/>
  <c r="R410" i="41"/>
  <c r="R409" i="41"/>
  <c r="AJ408" i="41"/>
  <c r="AJ409" i="41" s="1"/>
  <c r="R408" i="41"/>
  <c r="R407" i="41"/>
  <c r="AJ406" i="41"/>
  <c r="AJ407" i="41" s="1"/>
  <c r="R406" i="41"/>
  <c r="R405" i="41"/>
  <c r="AJ404" i="41"/>
  <c r="AJ405" i="41" s="1"/>
  <c r="R404" i="41"/>
  <c r="R403" i="41"/>
  <c r="AJ402" i="41"/>
  <c r="AJ403" i="41" s="1"/>
  <c r="R402" i="41"/>
  <c r="R401" i="41"/>
  <c r="AJ400" i="41"/>
  <c r="AJ401" i="41" s="1"/>
  <c r="R400" i="41"/>
  <c r="AJ399" i="41"/>
  <c r="R399" i="41"/>
  <c r="AJ398" i="41"/>
  <c r="R398" i="41"/>
  <c r="AJ397" i="41"/>
  <c r="R397" i="41"/>
  <c r="AJ396" i="41"/>
  <c r="R396" i="41"/>
  <c r="AJ395" i="41"/>
  <c r="R395" i="41"/>
  <c r="R394" i="41"/>
  <c r="AJ393" i="41"/>
  <c r="AJ394" i="41" s="1"/>
  <c r="R393" i="41"/>
  <c r="R392" i="41"/>
  <c r="AJ391" i="41"/>
  <c r="AJ392" i="41" s="1"/>
  <c r="R391" i="41"/>
  <c r="R390" i="41"/>
  <c r="AJ389" i="41"/>
  <c r="AJ390" i="41" s="1"/>
  <c r="R389" i="41"/>
  <c r="R388" i="41"/>
  <c r="AJ387" i="41"/>
  <c r="AJ388" i="41" s="1"/>
  <c r="R387" i="41"/>
  <c r="R386" i="41"/>
  <c r="AJ385" i="41"/>
  <c r="AJ386" i="41" s="1"/>
  <c r="R385" i="41"/>
  <c r="AJ384" i="41"/>
  <c r="R384" i="41"/>
  <c r="R383" i="41"/>
  <c r="AJ382" i="41"/>
  <c r="AJ383" i="41" s="1"/>
  <c r="R382" i="41"/>
  <c r="AJ381" i="41"/>
  <c r="R381" i="41"/>
  <c r="AJ380" i="41"/>
  <c r="R380" i="41"/>
  <c r="R379" i="41"/>
  <c r="AJ378" i="41"/>
  <c r="AJ379" i="41" s="1"/>
  <c r="R378" i="41"/>
  <c r="R377" i="41"/>
  <c r="AJ376" i="41"/>
  <c r="AJ377" i="41" s="1"/>
  <c r="R376" i="41"/>
  <c r="R375" i="41"/>
  <c r="AJ374" i="41"/>
  <c r="AJ375" i="41" s="1"/>
  <c r="R374" i="41"/>
  <c r="R373" i="41"/>
  <c r="AJ372" i="41"/>
  <c r="AJ373" i="41" s="1"/>
  <c r="R372" i="41"/>
  <c r="R371" i="41"/>
  <c r="AJ370" i="41"/>
  <c r="AJ371" i="41" s="1"/>
  <c r="R370" i="41"/>
  <c r="R369" i="41"/>
  <c r="AJ368" i="41"/>
  <c r="AJ369" i="41" s="1"/>
  <c r="R368" i="41"/>
  <c r="R367" i="41"/>
  <c r="AJ366" i="41"/>
  <c r="AJ367" i="41" s="1"/>
  <c r="R366" i="41"/>
  <c r="R365" i="41"/>
  <c r="AJ364" i="41"/>
  <c r="AJ365" i="41" s="1"/>
  <c r="R364" i="41"/>
  <c r="R363" i="41"/>
  <c r="AJ362" i="41"/>
  <c r="AJ363" i="41" s="1"/>
  <c r="R362" i="41"/>
  <c r="AJ361" i="41"/>
  <c r="R361" i="41"/>
  <c r="R360" i="41"/>
  <c r="AJ359" i="41"/>
  <c r="AJ360" i="41" s="1"/>
  <c r="R359" i="41"/>
  <c r="R358" i="41"/>
  <c r="AJ357" i="41"/>
  <c r="AJ358" i="41" s="1"/>
  <c r="R357" i="41"/>
  <c r="R356" i="41"/>
  <c r="AJ355" i="41"/>
  <c r="AJ356" i="41" s="1"/>
  <c r="R355" i="41"/>
  <c r="R354" i="41"/>
  <c r="AJ353" i="41"/>
  <c r="AJ354" i="41" s="1"/>
  <c r="R353" i="41"/>
  <c r="AJ352" i="41"/>
  <c r="R352" i="41"/>
  <c r="R351" i="41"/>
  <c r="AJ350" i="41"/>
  <c r="AJ351" i="41" s="1"/>
  <c r="R350" i="41"/>
  <c r="R349" i="41"/>
  <c r="AJ348" i="41"/>
  <c r="AJ349" i="41" s="1"/>
  <c r="R348" i="41"/>
  <c r="R347" i="41"/>
  <c r="AJ346" i="41"/>
  <c r="AJ347" i="41" s="1"/>
  <c r="R346" i="41"/>
  <c r="R345" i="41"/>
  <c r="AJ344" i="41"/>
  <c r="AJ345" i="41" s="1"/>
  <c r="R344" i="41"/>
  <c r="R343" i="41"/>
  <c r="AJ342" i="41"/>
  <c r="AJ343" i="41" s="1"/>
  <c r="R342" i="41"/>
  <c r="AJ341" i="41"/>
  <c r="R341" i="41"/>
  <c r="R340" i="41"/>
  <c r="AJ339" i="41"/>
  <c r="AJ340" i="41" s="1"/>
  <c r="R339" i="41"/>
  <c r="R338" i="41"/>
  <c r="AJ337" i="41"/>
  <c r="AJ338" i="41" s="1"/>
  <c r="R337" i="41"/>
  <c r="R336" i="41"/>
  <c r="AJ335" i="41"/>
  <c r="AJ336" i="41" s="1"/>
  <c r="R335" i="41"/>
  <c r="R334" i="41"/>
  <c r="AJ333" i="41"/>
  <c r="AJ334" i="41" s="1"/>
  <c r="R333" i="41"/>
  <c r="R332" i="41"/>
  <c r="AJ331" i="41"/>
  <c r="AJ332" i="41" s="1"/>
  <c r="R331" i="41"/>
  <c r="R330" i="41"/>
  <c r="AJ329" i="41"/>
  <c r="AJ330" i="41" s="1"/>
  <c r="R329" i="41"/>
  <c r="R328" i="41"/>
  <c r="AJ327" i="41"/>
  <c r="AJ328" i="41" s="1"/>
  <c r="R327" i="41"/>
  <c r="R326" i="41"/>
  <c r="AJ325" i="41"/>
  <c r="AJ326" i="41" s="1"/>
  <c r="R325" i="41"/>
  <c r="AJ324" i="41"/>
  <c r="R324" i="41"/>
  <c r="R323" i="41"/>
  <c r="AJ322" i="41"/>
  <c r="AJ323" i="41" s="1"/>
  <c r="R322" i="41"/>
  <c r="R321" i="41"/>
  <c r="AJ320" i="41"/>
  <c r="AJ321" i="41" s="1"/>
  <c r="R320" i="41"/>
  <c r="R319" i="41"/>
  <c r="AJ318" i="41"/>
  <c r="AJ319" i="41" s="1"/>
  <c r="R318" i="41"/>
  <c r="R317" i="41"/>
  <c r="AJ316" i="41"/>
  <c r="AJ317" i="41" s="1"/>
  <c r="R316" i="41"/>
  <c r="AJ315" i="41"/>
  <c r="R315" i="41"/>
  <c r="R314" i="41"/>
  <c r="AJ313" i="41"/>
  <c r="AJ314" i="41" s="1"/>
  <c r="R313" i="41"/>
  <c r="R312" i="41"/>
  <c r="AJ311" i="41"/>
  <c r="AJ312" i="41" s="1"/>
  <c r="R311" i="41"/>
  <c r="R310" i="41"/>
  <c r="AJ309" i="41"/>
  <c r="AJ310" i="41" s="1"/>
  <c r="R309" i="41"/>
  <c r="R308" i="41"/>
  <c r="AJ307" i="41"/>
  <c r="AJ308" i="41" s="1"/>
  <c r="R307" i="41"/>
  <c r="AJ306" i="41"/>
  <c r="R306" i="41"/>
  <c r="R305" i="41"/>
  <c r="AJ304" i="41"/>
  <c r="AJ305" i="41" s="1"/>
  <c r="R304" i="41"/>
  <c r="R303" i="41"/>
  <c r="AJ302" i="41"/>
  <c r="AJ303" i="41" s="1"/>
  <c r="R302" i="41"/>
  <c r="AJ301" i="41"/>
  <c r="R301" i="41"/>
  <c r="R300" i="41"/>
  <c r="AJ299" i="41"/>
  <c r="AJ300" i="41" s="1"/>
  <c r="R299" i="41"/>
  <c r="R298" i="41"/>
  <c r="AJ297" i="41"/>
  <c r="AJ298" i="41" s="1"/>
  <c r="R297" i="41"/>
  <c r="R296" i="41"/>
  <c r="AJ295" i="41"/>
  <c r="AJ296" i="41" s="1"/>
  <c r="R295" i="41"/>
  <c r="AJ294" i="41"/>
  <c r="R294" i="41"/>
  <c r="AJ293" i="41"/>
  <c r="R293" i="41"/>
  <c r="AJ292" i="41"/>
  <c r="R292" i="41"/>
  <c r="R291" i="41"/>
  <c r="AJ290" i="41"/>
  <c r="AJ291" i="41" s="1"/>
  <c r="R290" i="41"/>
  <c r="R289" i="41"/>
  <c r="AJ288" i="41"/>
  <c r="AJ289" i="41" s="1"/>
  <c r="R288" i="41"/>
  <c r="R287" i="41"/>
  <c r="AJ286" i="41"/>
  <c r="AJ287" i="41" s="1"/>
  <c r="R286" i="41"/>
  <c r="R285" i="41"/>
  <c r="AJ284" i="41"/>
  <c r="AJ285" i="41" s="1"/>
  <c r="R284" i="41"/>
  <c r="R283" i="41"/>
  <c r="AJ282" i="41"/>
  <c r="AJ283" i="41" s="1"/>
  <c r="R282" i="41"/>
  <c r="AJ281" i="41"/>
  <c r="R281" i="41"/>
  <c r="R280" i="41"/>
  <c r="AJ279" i="41"/>
  <c r="AJ280" i="41" s="1"/>
  <c r="R279" i="41"/>
  <c r="AJ278" i="41"/>
  <c r="R278" i="41"/>
  <c r="AJ277" i="41"/>
  <c r="R277" i="41"/>
  <c r="R276" i="41"/>
  <c r="AJ275" i="41"/>
  <c r="AJ276" i="41" s="1"/>
  <c r="R275" i="41"/>
  <c r="R274" i="41"/>
  <c r="AJ273" i="41"/>
  <c r="AJ274" i="41" s="1"/>
  <c r="R273" i="41"/>
  <c r="R272" i="41"/>
  <c r="AJ271" i="41"/>
  <c r="AJ272" i="41" s="1"/>
  <c r="R271" i="41"/>
  <c r="R270" i="41"/>
  <c r="AJ269" i="41"/>
  <c r="AJ270" i="41" s="1"/>
  <c r="R269" i="41"/>
  <c r="R268" i="41"/>
  <c r="AJ267" i="41"/>
  <c r="AJ268" i="41" s="1"/>
  <c r="R267" i="41"/>
  <c r="AJ266" i="41"/>
  <c r="R266" i="41"/>
  <c r="R265" i="41"/>
  <c r="AJ264" i="41"/>
  <c r="AJ265" i="41" s="1"/>
  <c r="R264" i="41"/>
  <c r="R263" i="41"/>
  <c r="AJ262" i="41"/>
  <c r="AJ263" i="41" s="1"/>
  <c r="R262" i="41"/>
  <c r="R261" i="41"/>
  <c r="AJ260" i="41"/>
  <c r="AJ261" i="41" s="1"/>
  <c r="R260" i="41"/>
  <c r="R259" i="41"/>
  <c r="AJ258" i="41"/>
  <c r="AJ259" i="41" s="1"/>
  <c r="R258" i="41"/>
  <c r="R257" i="41"/>
  <c r="AJ256" i="41"/>
  <c r="AJ257" i="41" s="1"/>
  <c r="R256" i="41"/>
  <c r="R255" i="41"/>
  <c r="AJ254" i="41"/>
  <c r="AJ255" i="41" s="1"/>
  <c r="R254" i="41"/>
  <c r="AJ253" i="41"/>
  <c r="R253" i="41"/>
  <c r="R252" i="41"/>
  <c r="AJ251" i="41"/>
  <c r="AJ252" i="41" s="1"/>
  <c r="R251" i="41"/>
  <c r="R250" i="41"/>
  <c r="AJ249" i="41"/>
  <c r="AJ250" i="41" s="1"/>
  <c r="R249" i="41"/>
  <c r="AJ248" i="41"/>
  <c r="R248" i="41"/>
  <c r="R247" i="41"/>
  <c r="AJ246" i="41"/>
  <c r="AJ247" i="41" s="1"/>
  <c r="R246" i="41"/>
  <c r="R245" i="41"/>
  <c r="AJ244" i="41"/>
  <c r="AJ245" i="41" s="1"/>
  <c r="R244" i="41"/>
  <c r="AJ243" i="41"/>
  <c r="R243" i="41"/>
  <c r="R242" i="41"/>
  <c r="AJ241" i="41"/>
  <c r="AJ242" i="41" s="1"/>
  <c r="R241" i="41"/>
  <c r="R240" i="41"/>
  <c r="AJ239" i="41"/>
  <c r="AJ240" i="41" s="1"/>
  <c r="R239" i="41"/>
  <c r="R238" i="41"/>
  <c r="AJ237" i="41"/>
  <c r="AJ238" i="41" s="1"/>
  <c r="R237" i="41"/>
  <c r="R236" i="41"/>
  <c r="AJ235" i="41"/>
  <c r="AJ236" i="41" s="1"/>
  <c r="R235" i="41"/>
  <c r="R234" i="41"/>
  <c r="AJ233" i="41"/>
  <c r="AJ234" i="41" s="1"/>
  <c r="R233" i="41"/>
  <c r="AJ232" i="41"/>
  <c r="R232" i="41"/>
  <c r="AJ231" i="41"/>
  <c r="R231" i="41"/>
  <c r="AJ230" i="41"/>
  <c r="R230" i="41"/>
  <c r="AJ229" i="41"/>
  <c r="R229" i="41"/>
  <c r="R228" i="41"/>
  <c r="AJ227" i="41"/>
  <c r="AJ228" i="41" s="1"/>
  <c r="R227" i="41"/>
  <c r="R226" i="41"/>
  <c r="AJ225" i="41"/>
  <c r="AJ226" i="41" s="1"/>
  <c r="R225" i="41"/>
  <c r="R224" i="41"/>
  <c r="AJ223" i="41"/>
  <c r="AJ224" i="41" s="1"/>
  <c r="R223" i="41"/>
  <c r="R222" i="41"/>
  <c r="AJ221" i="41"/>
  <c r="AJ222" i="41" s="1"/>
  <c r="R221" i="41"/>
  <c r="AJ220" i="41"/>
  <c r="R220" i="41"/>
  <c r="AJ219" i="41"/>
  <c r="R219" i="41"/>
  <c r="AJ218" i="41"/>
  <c r="R218" i="41"/>
  <c r="AJ217" i="41"/>
  <c r="R217" i="41"/>
  <c r="AJ216" i="41"/>
  <c r="R216" i="41"/>
  <c r="AJ215" i="41"/>
  <c r="R215" i="41"/>
  <c r="AJ214" i="41"/>
  <c r="R214" i="41"/>
  <c r="AJ213" i="41"/>
  <c r="R213" i="41"/>
  <c r="AJ212" i="41"/>
  <c r="R212" i="41"/>
  <c r="AJ211" i="41"/>
  <c r="R211" i="41"/>
  <c r="R210" i="41"/>
  <c r="AJ209" i="41"/>
  <c r="AJ210" i="41" s="1"/>
  <c r="R209" i="41"/>
  <c r="R208" i="41"/>
  <c r="AJ207" i="41"/>
  <c r="AJ208" i="41" s="1"/>
  <c r="R207" i="41"/>
  <c r="R206" i="41"/>
  <c r="AJ205" i="41"/>
  <c r="AJ206" i="41" s="1"/>
  <c r="R205" i="41"/>
  <c r="R204" i="41"/>
  <c r="AJ203" i="41"/>
  <c r="AJ204" i="41" s="1"/>
  <c r="R203" i="41"/>
  <c r="AJ202" i="41"/>
  <c r="R202" i="41"/>
  <c r="AJ201" i="41"/>
  <c r="R201" i="41"/>
  <c r="R200" i="41"/>
  <c r="AJ199" i="41"/>
  <c r="AJ200" i="41" s="1"/>
  <c r="R199" i="41"/>
  <c r="R198" i="41"/>
  <c r="AJ197" i="41"/>
  <c r="AJ198" i="41" s="1"/>
  <c r="R197" i="41"/>
  <c r="R196" i="41"/>
  <c r="AJ195" i="41"/>
  <c r="AJ196" i="41" s="1"/>
  <c r="R195" i="41"/>
  <c r="R194" i="41"/>
  <c r="AJ193" i="41"/>
  <c r="AJ194" i="41" s="1"/>
  <c r="R193" i="41"/>
  <c r="R192" i="41"/>
  <c r="AJ191" i="41"/>
  <c r="AJ192" i="41" s="1"/>
  <c r="R191" i="41"/>
  <c r="R190" i="41"/>
  <c r="AJ189" i="41"/>
  <c r="AJ190" i="41" s="1"/>
  <c r="R189" i="41"/>
  <c r="R188" i="41"/>
  <c r="AJ187" i="41"/>
  <c r="AJ188" i="41" s="1"/>
  <c r="R187" i="41"/>
  <c r="AJ186" i="41"/>
  <c r="R186" i="41"/>
  <c r="R185" i="41"/>
  <c r="AJ184" i="41"/>
  <c r="AJ185" i="41" s="1"/>
  <c r="R184" i="41"/>
  <c r="R183" i="41"/>
  <c r="AJ182" i="41"/>
  <c r="AJ183" i="41" s="1"/>
  <c r="R182" i="41"/>
  <c r="R181" i="41"/>
  <c r="AJ180" i="41"/>
  <c r="AJ181" i="41" s="1"/>
  <c r="R180" i="41"/>
  <c r="R179" i="41"/>
  <c r="AJ178" i="41"/>
  <c r="AJ179" i="41" s="1"/>
  <c r="R178" i="41"/>
  <c r="AJ177" i="41"/>
  <c r="R177" i="41"/>
  <c r="AJ176" i="41"/>
  <c r="R176" i="41"/>
  <c r="AJ175" i="41"/>
  <c r="R175" i="41"/>
  <c r="AJ174" i="41"/>
  <c r="R174" i="41"/>
  <c r="R173" i="41"/>
  <c r="AJ172" i="41"/>
  <c r="AJ173" i="41" s="1"/>
  <c r="R172" i="41"/>
  <c r="R171" i="41"/>
  <c r="AJ170" i="41"/>
  <c r="AJ171" i="41" s="1"/>
  <c r="R170" i="41"/>
  <c r="AJ169" i="41"/>
  <c r="R169" i="41"/>
  <c r="R168" i="41"/>
  <c r="AJ167" i="41"/>
  <c r="AJ168" i="41" s="1"/>
  <c r="R167" i="41"/>
  <c r="R166" i="41"/>
  <c r="AJ165" i="41"/>
  <c r="AJ166" i="41" s="1"/>
  <c r="R165" i="41"/>
  <c r="R164" i="41"/>
  <c r="AJ163" i="41"/>
  <c r="AJ164" i="41" s="1"/>
  <c r="R163" i="41"/>
  <c r="AJ162" i="41"/>
  <c r="R162" i="41"/>
  <c r="AJ161" i="41"/>
  <c r="R161" i="41"/>
  <c r="AJ160" i="41"/>
  <c r="R160" i="41"/>
  <c r="AJ159" i="41"/>
  <c r="R159" i="41"/>
  <c r="R158" i="41"/>
  <c r="AJ157" i="41"/>
  <c r="AJ158" i="41" s="1"/>
  <c r="R157" i="41"/>
  <c r="AJ156" i="41"/>
  <c r="R156" i="41"/>
  <c r="AJ155" i="41"/>
  <c r="R155" i="41"/>
  <c r="AJ154" i="41"/>
  <c r="R154" i="41"/>
  <c r="AJ153" i="41"/>
  <c r="R153" i="41"/>
  <c r="AJ152" i="41"/>
  <c r="R152" i="41"/>
  <c r="AJ151" i="41"/>
  <c r="R151" i="41"/>
  <c r="AJ150" i="41"/>
  <c r="R150" i="41"/>
  <c r="AJ149" i="41"/>
  <c r="R149" i="41"/>
  <c r="AJ148" i="41"/>
  <c r="R148" i="41"/>
  <c r="AJ147" i="41"/>
  <c r="R147" i="41"/>
  <c r="AJ146" i="41"/>
  <c r="R146" i="41"/>
  <c r="AJ145" i="41"/>
  <c r="R145" i="41"/>
  <c r="AJ144" i="41"/>
  <c r="R144" i="41"/>
  <c r="AJ143" i="41"/>
  <c r="R143" i="41"/>
  <c r="AJ142" i="41"/>
  <c r="R142" i="41"/>
  <c r="AJ141" i="41"/>
  <c r="R141" i="41"/>
  <c r="AJ140" i="41"/>
  <c r="R140" i="41"/>
  <c r="AJ139" i="41"/>
  <c r="R139" i="41"/>
  <c r="AJ138" i="41"/>
  <c r="R138" i="41"/>
  <c r="AJ137" i="41"/>
  <c r="R137" i="41"/>
  <c r="AJ136" i="41"/>
  <c r="R136" i="41"/>
  <c r="AJ135" i="41"/>
  <c r="R135" i="41"/>
  <c r="AJ134" i="41"/>
  <c r="R134" i="41"/>
  <c r="AJ133" i="41"/>
  <c r="R133" i="41"/>
  <c r="AJ132" i="41"/>
  <c r="R132" i="41"/>
  <c r="AJ131" i="41"/>
  <c r="R131" i="41"/>
  <c r="AJ130" i="41"/>
  <c r="R130" i="41"/>
  <c r="AJ129" i="41"/>
  <c r="R129" i="41"/>
  <c r="AJ128" i="41"/>
  <c r="R128" i="41"/>
  <c r="AJ127" i="41"/>
  <c r="R127" i="41"/>
  <c r="AJ126" i="41"/>
  <c r="R126" i="41"/>
  <c r="AJ125" i="41"/>
  <c r="R125" i="41"/>
  <c r="AJ124" i="41"/>
  <c r="R124" i="41"/>
  <c r="AJ123" i="41"/>
  <c r="R123" i="41"/>
  <c r="AJ122" i="41"/>
  <c r="R122" i="41"/>
  <c r="AJ121" i="41"/>
  <c r="R121" i="41"/>
  <c r="AJ120" i="41"/>
  <c r="R120" i="41"/>
  <c r="AJ119" i="41"/>
  <c r="R119" i="41"/>
  <c r="AJ118" i="41"/>
  <c r="R118" i="41"/>
  <c r="AJ117" i="41"/>
  <c r="R117" i="41"/>
  <c r="AJ116" i="41"/>
  <c r="R116" i="41"/>
  <c r="AJ115" i="41"/>
  <c r="R115" i="41"/>
  <c r="AJ114" i="41"/>
  <c r="R114" i="41"/>
  <c r="AJ113" i="41"/>
  <c r="R113" i="41"/>
  <c r="AJ112" i="41"/>
  <c r="R112" i="41"/>
  <c r="AJ111" i="41"/>
  <c r="R111" i="41"/>
  <c r="AJ110" i="41"/>
  <c r="R110" i="41"/>
  <c r="AJ109" i="41"/>
  <c r="R109" i="41"/>
  <c r="AJ108" i="41"/>
  <c r="R108" i="41"/>
  <c r="AJ107" i="41"/>
  <c r="R107" i="41"/>
  <c r="AJ106" i="41"/>
  <c r="R106" i="41"/>
  <c r="AJ105" i="41"/>
  <c r="R105" i="41"/>
  <c r="AJ104" i="41"/>
  <c r="R104" i="41"/>
  <c r="AJ103" i="41"/>
  <c r="R103" i="41"/>
  <c r="AJ102" i="41"/>
  <c r="R102" i="41"/>
  <c r="AJ101" i="41"/>
  <c r="R101" i="41"/>
  <c r="AJ100" i="41"/>
  <c r="R100" i="41"/>
  <c r="AJ99" i="41"/>
  <c r="R99" i="41"/>
  <c r="AJ98" i="41"/>
  <c r="R98" i="41"/>
  <c r="AJ97" i="41"/>
  <c r="R97" i="41"/>
  <c r="AJ96" i="41"/>
  <c r="R96" i="41"/>
  <c r="AJ95" i="41"/>
  <c r="R95" i="41"/>
  <c r="AJ94" i="41"/>
  <c r="R94" i="41"/>
  <c r="AJ93" i="41"/>
  <c r="R93" i="41"/>
  <c r="AJ92" i="41"/>
  <c r="R92" i="41"/>
  <c r="AJ91" i="41"/>
  <c r="R91" i="41"/>
  <c r="AJ90" i="41"/>
  <c r="R90" i="41"/>
  <c r="AJ89" i="41"/>
  <c r="R89" i="41"/>
  <c r="AJ88" i="41"/>
  <c r="R88" i="41"/>
  <c r="AJ87" i="41"/>
  <c r="R87" i="41"/>
  <c r="AJ86" i="41"/>
  <c r="R86" i="41"/>
  <c r="AJ85" i="41"/>
  <c r="R85" i="41"/>
  <c r="AJ84" i="41"/>
  <c r="R84" i="41"/>
  <c r="AJ83" i="41"/>
  <c r="R83" i="41"/>
  <c r="AJ82" i="41"/>
  <c r="R82" i="41"/>
  <c r="AJ81" i="41"/>
  <c r="R81" i="41"/>
  <c r="AJ80" i="41"/>
  <c r="R80" i="41"/>
  <c r="AJ79" i="41"/>
  <c r="R79" i="41"/>
  <c r="AJ78" i="41"/>
  <c r="R78" i="41"/>
  <c r="AJ77" i="41"/>
  <c r="R77" i="41"/>
  <c r="AJ76" i="41"/>
  <c r="R76" i="41"/>
  <c r="AJ75" i="41"/>
  <c r="R75" i="41"/>
  <c r="AJ74" i="41"/>
  <c r="R74" i="41"/>
  <c r="AJ73" i="41"/>
  <c r="R73" i="41"/>
  <c r="AJ72" i="41"/>
  <c r="R72" i="41"/>
  <c r="AJ71" i="41"/>
  <c r="R71" i="41"/>
  <c r="R70" i="41"/>
  <c r="AJ69" i="41"/>
  <c r="AJ70" i="41" s="1"/>
  <c r="R69" i="41"/>
  <c r="R68" i="41"/>
  <c r="AJ67" i="41"/>
  <c r="AJ68" i="41" s="1"/>
  <c r="R67" i="41"/>
  <c r="R66" i="41"/>
  <c r="AJ65" i="41"/>
  <c r="AJ66" i="41" s="1"/>
  <c r="R65" i="41"/>
  <c r="R64" i="41"/>
  <c r="AJ63" i="41"/>
  <c r="AJ64" i="41" s="1"/>
  <c r="R63" i="41"/>
  <c r="R62" i="41"/>
  <c r="AJ61" i="41"/>
  <c r="AJ62" i="41" s="1"/>
  <c r="R61" i="41"/>
  <c r="R60" i="41"/>
  <c r="AJ59" i="41"/>
  <c r="AJ60" i="41" s="1"/>
  <c r="R59" i="41"/>
  <c r="R58" i="41"/>
  <c r="AJ57" i="41"/>
  <c r="AJ58" i="41" s="1"/>
  <c r="R57" i="41"/>
  <c r="AJ56" i="41"/>
  <c r="R56" i="41"/>
  <c r="R55" i="41"/>
  <c r="AJ54" i="41"/>
  <c r="AJ55" i="41" s="1"/>
  <c r="R54" i="41"/>
  <c r="R53" i="41"/>
  <c r="AJ52" i="41"/>
  <c r="AJ53" i="41" s="1"/>
  <c r="R52" i="41"/>
  <c r="AJ51" i="41"/>
  <c r="R51" i="41"/>
  <c r="AJ50" i="41"/>
  <c r="R50" i="41"/>
  <c r="AJ49" i="41"/>
  <c r="R49" i="41"/>
  <c r="AJ48" i="41"/>
  <c r="R48" i="41"/>
  <c r="AJ47" i="41"/>
  <c r="R47" i="41"/>
  <c r="AJ46" i="41"/>
  <c r="R46" i="41"/>
  <c r="AJ45" i="41"/>
  <c r="R45" i="41"/>
  <c r="AJ44" i="41"/>
  <c r="R44" i="41"/>
  <c r="AJ43" i="41"/>
  <c r="R43" i="41"/>
  <c r="AJ42" i="41"/>
  <c r="R42" i="41"/>
  <c r="AJ41" i="41"/>
  <c r="R41" i="41"/>
  <c r="R1098" i="41" s="1"/>
  <c r="AJ40" i="41"/>
  <c r="R40" i="41"/>
  <c r="AJ39" i="41"/>
  <c r="R39" i="41"/>
  <c r="AJ38" i="41"/>
  <c r="R38" i="41"/>
  <c r="AJ37" i="41"/>
  <c r="R37" i="41"/>
  <c r="AJ36" i="41"/>
  <c r="R36" i="41"/>
  <c r="AJ35" i="41"/>
  <c r="R35" i="41"/>
  <c r="R34" i="41"/>
  <c r="AJ33" i="41"/>
  <c r="AJ34" i="41" s="1"/>
  <c r="R33" i="41"/>
  <c r="AJ32" i="41"/>
  <c r="R32" i="41"/>
  <c r="AJ31" i="41"/>
  <c r="R31" i="41"/>
  <c r="AJ30" i="41"/>
  <c r="R30" i="41"/>
  <c r="R29" i="41"/>
  <c r="AJ28" i="41"/>
  <c r="AJ29" i="41" s="1"/>
  <c r="R28" i="41"/>
  <c r="R27" i="41"/>
  <c r="AJ26" i="41"/>
  <c r="AJ27" i="41" s="1"/>
  <c r="R26" i="41"/>
  <c r="R25" i="41"/>
  <c r="AJ24" i="41"/>
  <c r="AJ25" i="41" s="1"/>
  <c r="R24" i="41"/>
  <c r="R23" i="41"/>
  <c r="AJ22" i="41"/>
  <c r="AJ23" i="41" s="1"/>
  <c r="R22" i="41"/>
  <c r="R21" i="41"/>
  <c r="AJ20" i="41"/>
  <c r="AJ21" i="41" s="1"/>
  <c r="R20" i="41"/>
  <c r="R19" i="41"/>
  <c r="AJ18" i="41"/>
  <c r="AJ19" i="41" s="1"/>
  <c r="R18" i="41"/>
  <c r="R17" i="41"/>
  <c r="AJ16" i="41"/>
  <c r="AJ17" i="41" s="1"/>
  <c r="R16" i="41"/>
  <c r="R15" i="41"/>
  <c r="AJ14" i="41"/>
  <c r="AJ15" i="41" s="1"/>
  <c r="R14" i="41"/>
  <c r="R13" i="41"/>
  <c r="AJ12" i="41"/>
  <c r="AJ13" i="41" s="1"/>
  <c r="R12" i="41"/>
  <c r="AJ11" i="41"/>
  <c r="R11" i="41"/>
  <c r="R10" i="41"/>
  <c r="AJ9" i="41"/>
  <c r="AJ10" i="41" s="1"/>
  <c r="R9" i="41"/>
  <c r="R8" i="41"/>
  <c r="AJ7" i="41"/>
  <c r="AJ8" i="41" s="1"/>
  <c r="R7" i="41"/>
  <c r="AJ6" i="41"/>
  <c r="R6" i="41"/>
  <c r="R5" i="41"/>
  <c r="AJ4" i="41"/>
  <c r="AJ5" i="41" s="1"/>
  <c r="R4" i="41"/>
  <c r="AJ3" i="41"/>
  <c r="R3" i="41"/>
  <c r="R609" i="42" l="1"/>
  <c r="F12" i="43" s="1"/>
  <c r="AL1098" i="41"/>
  <c r="E29" i="43" s="1"/>
  <c r="AL1102" i="41" s="1"/>
  <c r="R1095" i="41"/>
  <c r="E12" i="43" s="1"/>
  <c r="AL1097" i="41"/>
  <c r="E28" i="43" s="1"/>
  <c r="AL1101" i="41" s="1"/>
  <c r="AK1097" i="41"/>
  <c r="E26" i="43" s="1"/>
  <c r="AK1101" i="41" s="1"/>
  <c r="AL1099" i="41"/>
  <c r="AK1099" i="41"/>
  <c r="AK1098" i="41"/>
  <c r="E27" i="43" s="1"/>
  <c r="AK1102" i="41" s="1"/>
  <c r="D40" i="40" l="1"/>
  <c r="D39" i="40"/>
  <c r="C40" i="40"/>
  <c r="D38" i="40"/>
  <c r="C39" i="40"/>
  <c r="C38" i="40"/>
  <c r="E33" i="40"/>
  <c r="D33" i="40"/>
  <c r="C33" i="40"/>
  <c r="D29" i="40" l="1"/>
  <c r="C29" i="40"/>
  <c r="AR8" i="29"/>
  <c r="BB7" i="29"/>
  <c r="BB8" i="29" s="1"/>
  <c r="AS7" i="29"/>
  <c r="AS8" i="29" s="1"/>
  <c r="AR7" i="29"/>
  <c r="AI7" i="29"/>
  <c r="AJ7" i="29" s="1"/>
  <c r="AJ8" i="29" s="1"/>
  <c r="AH7" i="29"/>
  <c r="AH8" i="29" s="1"/>
  <c r="Y8" i="29"/>
  <c r="Y7" i="29"/>
  <c r="Z7" i="29" s="1"/>
  <c r="Z8" i="29" s="1"/>
  <c r="X7" i="29"/>
  <c r="X8" i="29"/>
  <c r="O7" i="29"/>
  <c r="O8" i="29" s="1"/>
  <c r="J8" i="29"/>
  <c r="J7" i="29"/>
  <c r="E21" i="28"/>
  <c r="C15" i="28"/>
  <c r="E14" i="28"/>
  <c r="D14" i="28"/>
  <c r="D15" i="28" s="1"/>
  <c r="C14" i="28"/>
  <c r="B14" i="28"/>
  <c r="C12" i="28"/>
  <c r="C13" i="28" s="1"/>
  <c r="D12" i="28"/>
  <c r="D13" i="28" s="1"/>
  <c r="E12" i="28"/>
  <c r="E13" i="28" s="1"/>
  <c r="B12" i="28"/>
  <c r="B13" i="28" s="1"/>
  <c r="AF12" i="25"/>
  <c r="AF13" i="25"/>
  <c r="AF14" i="25"/>
  <c r="AF15" i="25"/>
  <c r="AF16" i="25"/>
  <c r="AF17" i="25"/>
  <c r="AF18" i="25"/>
  <c r="AF19" i="25"/>
  <c r="AF20" i="25"/>
  <c r="AF11" i="25"/>
  <c r="E6" i="25" s="1"/>
  <c r="E7" i="25" s="1"/>
  <c r="Z12" i="25"/>
  <c r="AA12" i="25" s="1"/>
  <c r="Z13" i="25"/>
  <c r="AA13" i="25" s="1"/>
  <c r="Z14" i="25"/>
  <c r="AA14" i="25" s="1"/>
  <c r="Z15" i="25"/>
  <c r="AA15" i="25" s="1"/>
  <c r="Z16" i="25"/>
  <c r="AA16" i="25" s="1"/>
  <c r="Z17" i="25"/>
  <c r="AA17" i="25" s="1"/>
  <c r="Z18" i="25"/>
  <c r="AA18" i="25" s="1"/>
  <c r="Z19" i="25"/>
  <c r="AA19" i="25" s="1"/>
  <c r="Z20" i="25"/>
  <c r="AA20" i="25" s="1"/>
  <c r="Z11" i="25"/>
  <c r="AA11" i="25" s="1"/>
  <c r="AS6" i="22"/>
  <c r="AS7" i="22" s="1"/>
  <c r="AT6" i="22"/>
  <c r="AT7" i="22" s="1"/>
  <c r="AU6" i="22"/>
  <c r="AU7" i="22" s="1"/>
  <c r="AV6" i="22"/>
  <c r="AV7" i="22" s="1"/>
  <c r="AR6" i="22"/>
  <c r="AR7" i="22" s="1"/>
  <c r="AV4" i="22"/>
  <c r="AV5" i="22" s="1"/>
  <c r="AU4" i="22"/>
  <c r="AU5" i="22" s="1"/>
  <c r="AT4" i="22"/>
  <c r="AS4" i="22"/>
  <c r="AR4" i="22"/>
  <c r="AR5" i="22"/>
  <c r="AT5" i="22"/>
  <c r="AS5" i="22"/>
  <c r="G6" i="38"/>
  <c r="F4" i="38"/>
  <c r="G4" i="38" s="1"/>
  <c r="F5" i="38"/>
  <c r="G5" i="38" s="1"/>
  <c r="F6" i="38"/>
  <c r="F3" i="38"/>
  <c r="G3" i="38" s="1"/>
  <c r="G11" i="38"/>
  <c r="G14" i="38"/>
  <c r="G17" i="38"/>
  <c r="G10" i="38"/>
  <c r="F11" i="38"/>
  <c r="F12" i="38"/>
  <c r="G12" i="38" s="1"/>
  <c r="F13" i="38"/>
  <c r="G13" i="38" s="1"/>
  <c r="F14" i="38"/>
  <c r="F15" i="38"/>
  <c r="G15" i="38" s="1"/>
  <c r="F16" i="38"/>
  <c r="G16" i="38" s="1"/>
  <c r="F17" i="38"/>
  <c r="F18" i="38"/>
  <c r="G18" i="38" s="1"/>
  <c r="F19" i="38"/>
  <c r="G19" i="38" s="1"/>
  <c r="F10" i="38"/>
  <c r="K33" i="36"/>
  <c r="K34" i="36"/>
  <c r="AO35" i="38"/>
  <c r="AP35" i="38" s="1"/>
  <c r="AO34" i="38"/>
  <c r="AP34" i="38" s="1"/>
  <c r="AO33" i="38"/>
  <c r="AP33" i="38" s="1"/>
  <c r="AO32" i="38"/>
  <c r="AP32" i="38" s="1"/>
  <c r="AO31" i="38"/>
  <c r="AP31" i="38" s="1"/>
  <c r="AO30" i="38"/>
  <c r="AP30" i="38" s="1"/>
  <c r="AO27" i="38"/>
  <c r="AP27" i="38" s="1"/>
  <c r="AO26" i="38"/>
  <c r="AP26" i="38" s="1"/>
  <c r="AO29" i="38"/>
  <c r="AP29" i="38" s="1"/>
  <c r="AO28" i="38"/>
  <c r="AP28" i="38" s="1"/>
  <c r="E4" i="36"/>
  <c r="F4" i="36" s="1"/>
  <c r="E5" i="36"/>
  <c r="F5" i="36" s="1"/>
  <c r="E6" i="36"/>
  <c r="F6" i="36" s="1"/>
  <c r="E3" i="36"/>
  <c r="F3" i="36" s="1"/>
  <c r="E11" i="36"/>
  <c r="F11" i="36" s="1"/>
  <c r="E12" i="36"/>
  <c r="F12" i="36" s="1"/>
  <c r="E13" i="36"/>
  <c r="F13" i="36" s="1"/>
  <c r="E14" i="36"/>
  <c r="F14" i="36" s="1"/>
  <c r="E15" i="36"/>
  <c r="F15" i="36" s="1"/>
  <c r="E16" i="36"/>
  <c r="F16" i="36" s="1"/>
  <c r="E17" i="36"/>
  <c r="F17" i="36" s="1"/>
  <c r="E18" i="36"/>
  <c r="F18" i="36" s="1"/>
  <c r="E19" i="36"/>
  <c r="F19" i="36" s="1"/>
  <c r="E10" i="36"/>
  <c r="F10" i="36" s="1"/>
  <c r="J27" i="36"/>
  <c r="K27" i="36" s="1"/>
  <c r="J26" i="36"/>
  <c r="K26" i="36" s="1"/>
  <c r="J35" i="36"/>
  <c r="K35" i="36" s="1"/>
  <c r="J32" i="36"/>
  <c r="K32" i="36" s="1"/>
  <c r="J31" i="36"/>
  <c r="K31" i="36" s="1"/>
  <c r="J30" i="36"/>
  <c r="K30" i="36" s="1"/>
  <c r="J29" i="36"/>
  <c r="K29" i="36" s="1"/>
  <c r="J28" i="36"/>
  <c r="K28" i="36" s="1"/>
  <c r="X66" i="18"/>
  <c r="X68" i="18" s="1"/>
  <c r="K66" i="18"/>
  <c r="K68" i="18" s="1"/>
  <c r="AB669" i="10"/>
  <c r="AB2" i="10"/>
  <c r="G66" i="18" s="1"/>
  <c r="G68" i="18" s="1"/>
  <c r="N4" i="30"/>
  <c r="M4" i="30"/>
  <c r="L4" i="30"/>
  <c r="K4" i="30"/>
  <c r="A1" i="30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J5" i="29"/>
  <c r="A1" i="29"/>
  <c r="B27" i="28" s="1"/>
  <c r="B28" i="28"/>
  <c r="D21" i="28"/>
  <c r="C19" i="28"/>
  <c r="C20" i="28" s="1"/>
  <c r="B19" i="28"/>
  <c r="D19" i="28" s="1"/>
  <c r="G11" i="28"/>
  <c r="F11" i="28"/>
  <c r="E11" i="28"/>
  <c r="E15" i="28" s="1"/>
  <c r="D11" i="28"/>
  <c r="C11" i="28"/>
  <c r="B11" i="28"/>
  <c r="B15" i="28" s="1"/>
  <c r="C63" i="18"/>
  <c r="F13" i="14"/>
  <c r="E13" i="14"/>
  <c r="D13" i="14"/>
  <c r="D12" i="14"/>
  <c r="F11" i="14"/>
  <c r="D11" i="14"/>
  <c r="D10" i="14"/>
  <c r="D9" i="14"/>
  <c r="D8" i="14"/>
  <c r="E7" i="14"/>
  <c r="D7" i="14"/>
  <c r="F6" i="14"/>
  <c r="D6" i="14"/>
  <c r="E5" i="14"/>
  <c r="D5" i="14"/>
  <c r="F4" i="14"/>
  <c r="D4" i="14"/>
  <c r="B6" i="11"/>
  <c r="B5" i="11"/>
  <c r="B4" i="11"/>
  <c r="B3" i="11"/>
  <c r="H14" i="28" l="1"/>
  <c r="H15" i="28" s="1"/>
  <c r="H12" i="28"/>
  <c r="AI8" i="29"/>
  <c r="P7" i="29"/>
  <c r="P8" i="29" s="1"/>
  <c r="AT7" i="29"/>
  <c r="AT8" i="29" s="1"/>
  <c r="AB670" i="10"/>
  <c r="AB673" i="10"/>
  <c r="F29" i="28"/>
  <c r="H11" i="28"/>
  <c r="C29" i="28"/>
  <c r="F6" i="25"/>
  <c r="F7" i="25" s="1"/>
  <c r="D6" i="25"/>
  <c r="D7" i="25" s="1"/>
  <c r="M6" i="25"/>
  <c r="M7" i="25" s="1"/>
  <c r="L6" i="25"/>
  <c r="L7" i="25" s="1"/>
  <c r="K6" i="25"/>
  <c r="K7" i="25" s="1"/>
  <c r="J6" i="25"/>
  <c r="J7" i="25" s="1"/>
  <c r="I6" i="25"/>
  <c r="I7" i="25" s="1"/>
  <c r="H6" i="25"/>
  <c r="H7" i="25" s="1"/>
  <c r="G6" i="25"/>
  <c r="G7" i="25" s="1"/>
  <c r="AB8" i="10"/>
  <c r="AB22" i="10" s="1"/>
  <c r="AB23" i="10" s="1"/>
  <c r="AB27" i="10" s="1"/>
  <c r="AB11" i="10"/>
  <c r="AB30" i="10"/>
  <c r="C2" i="21"/>
  <c r="E2" i="21" s="1"/>
  <c r="F2" i="21" s="1"/>
  <c r="B20" i="28"/>
  <c r="D20" i="28" s="1"/>
  <c r="D29" i="28" s="1"/>
  <c r="E19" i="28" l="1"/>
  <c r="H13" i="28"/>
  <c r="B29" i="28"/>
  <c r="G2" i="21"/>
  <c r="C3" i="21" s="1"/>
  <c r="E3" i="21" s="1"/>
  <c r="F3" i="21" s="1"/>
  <c r="E20" i="28" l="1"/>
  <c r="E29" i="28" s="1"/>
  <c r="G3" i="21"/>
  <c r="C4" i="21" s="1"/>
  <c r="E4" i="21" l="1"/>
  <c r="G4" i="21" s="1"/>
  <c r="C5" i="21" s="1"/>
  <c r="E5" i="21" s="1"/>
  <c r="F4" i="21" l="1"/>
  <c r="G5" i="21"/>
  <c r="C6" i="21" s="1"/>
  <c r="E6" i="21" s="1"/>
  <c r="F5" i="21" l="1"/>
  <c r="F6" i="21"/>
  <c r="G6" i="21" l="1"/>
  <c r="C7" i="21" s="1"/>
  <c r="E7" i="21" s="1"/>
  <c r="F7" i="21" l="1"/>
  <c r="G7" i="21" l="1"/>
  <c r="C8" i="21" s="1"/>
  <c r="E8" i="21" s="1"/>
  <c r="F8" i="21" l="1"/>
  <c r="G8" i="21" l="1"/>
  <c r="C9" i="21" s="1"/>
  <c r="E9" i="21" s="1"/>
  <c r="F9" i="21" l="1"/>
  <c r="G9" i="21" l="1"/>
  <c r="C10" i="21" s="1"/>
  <c r="E10" i="21" s="1"/>
  <c r="F10" i="21" l="1"/>
  <c r="G10" i="21" l="1"/>
  <c r="C11" i="21" s="1"/>
  <c r="E11" i="21" l="1"/>
  <c r="F11" i="21" s="1"/>
  <c r="G11" i="21" l="1"/>
  <c r="C12" i="21" s="1"/>
  <c r="E12" i="21" s="1"/>
  <c r="F12" i="21" s="1"/>
  <c r="G12" i="21" l="1"/>
  <c r="C13" i="21" s="1"/>
  <c r="E13" i="21" s="1"/>
  <c r="F13" i="21" l="1"/>
  <c r="G13" i="21"/>
  <c r="C14" i="21" s="1"/>
  <c r="E14" i="21" s="1"/>
  <c r="G14" i="21" l="1"/>
  <c r="C15" i="21" s="1"/>
  <c r="E15" i="21" l="1"/>
  <c r="G15" i="21" s="1"/>
  <c r="C16" i="21" s="1"/>
  <c r="E16" i="21" s="1"/>
  <c r="F16" i="21" s="1"/>
  <c r="F14" i="21"/>
  <c r="G16" i="21" l="1"/>
  <c r="C17" i="21" s="1"/>
  <c r="E17" i="21" s="1"/>
  <c r="F17" i="21" s="1"/>
  <c r="F15" i="21"/>
  <c r="G17" i="21" l="1"/>
  <c r="C18" i="21" s="1"/>
  <c r="E18" i="21" s="1"/>
  <c r="F18" i="21" s="1"/>
  <c r="G18" i="21" l="1"/>
  <c r="C19" i="21" s="1"/>
  <c r="E19" i="21" s="1"/>
  <c r="F19" i="21" l="1"/>
  <c r="G19" i="21" l="1"/>
  <c r="C20" i="21" s="1"/>
  <c r="E20" i="21" s="1"/>
  <c r="F20" i="21" l="1"/>
  <c r="G20" i="21"/>
  <c r="C21" i="21" s="1"/>
  <c r="E21" i="21" s="1"/>
  <c r="F21" i="21" l="1"/>
  <c r="G21" i="21" l="1"/>
  <c r="C22" i="21" s="1"/>
  <c r="E22" i="21" s="1"/>
  <c r="F22" i="21" l="1"/>
  <c r="G22" i="21"/>
  <c r="C23" i="21" s="1"/>
  <c r="E23" i="21" s="1"/>
  <c r="F23" i="21" l="1"/>
  <c r="G23" i="21" l="1"/>
  <c r="C24" i="21" s="1"/>
  <c r="E24" i="21" s="1"/>
  <c r="F24" i="21" l="1"/>
  <c r="G24" i="21" l="1"/>
  <c r="C25" i="21" s="1"/>
  <c r="E25" i="21" s="1"/>
  <c r="F25" i="21" l="1"/>
  <c r="G25" i="21" l="1"/>
  <c r="C26" i="21" s="1"/>
  <c r="E26" i="21" s="1"/>
  <c r="F26" i="21" l="1"/>
  <c r="G26" i="21" l="1"/>
  <c r="C27" i="21" s="1"/>
  <c r="E27" i="21" s="1"/>
  <c r="F27" i="21" l="1"/>
  <c r="G27" i="21" l="1"/>
  <c r="C28" i="21" s="1"/>
  <c r="E28" i="21" s="1"/>
  <c r="F28" i="21"/>
  <c r="G28" i="21" l="1"/>
  <c r="C29" i="21" s="1"/>
  <c r="E29" i="21" s="1"/>
  <c r="F29" i="21" l="1"/>
  <c r="G29" i="21"/>
  <c r="C30" i="21" s="1"/>
  <c r="E30" i="21" s="1"/>
  <c r="F30" i="21" l="1"/>
  <c r="G30" i="21" l="1"/>
  <c r="C31" i="21" s="1"/>
  <c r="E31" i="21" s="1"/>
  <c r="F31" i="21" l="1"/>
  <c r="G31" i="21"/>
  <c r="C32" i="21" s="1"/>
  <c r="E32" i="21" s="1"/>
  <c r="F32" i="21" l="1"/>
  <c r="G32" i="21"/>
  <c r="C33" i="21" s="1"/>
  <c r="E33" i="21" s="1"/>
  <c r="F33" i="21" l="1"/>
  <c r="G33" i="21" l="1"/>
  <c r="C34" i="21" s="1"/>
  <c r="E34" i="21" s="1"/>
  <c r="F34" i="21" l="1"/>
  <c r="G34" i="21"/>
  <c r="C35" i="21" s="1"/>
  <c r="E35" i="21" s="1"/>
  <c r="F35" i="21" l="1"/>
  <c r="G35" i="21" l="1"/>
  <c r="C36" i="21" s="1"/>
  <c r="E36" i="21" s="1"/>
  <c r="F36" i="21" l="1"/>
  <c r="G36" i="21" l="1"/>
  <c r="C37" i="21" s="1"/>
  <c r="E37" i="21" s="1"/>
  <c r="F37" i="21" l="1"/>
  <c r="G37" i="21" l="1"/>
  <c r="C38" i="21" s="1"/>
  <c r="E38" i="21" l="1"/>
  <c r="F38" i="21" s="1"/>
  <c r="G38" i="21"/>
  <c r="C39" i="21" s="1"/>
  <c r="E39" i="21" l="1"/>
  <c r="F39" i="21" s="1"/>
  <c r="G39" i="21" l="1"/>
  <c r="C40" i="21" s="1"/>
  <c r="E40" i="21"/>
  <c r="F40" i="21" s="1"/>
  <c r="G40" i="21" l="1"/>
  <c r="C41" i="21" s="1"/>
  <c r="E41" i="21" s="1"/>
  <c r="F41" i="21" s="1"/>
  <c r="G41" i="21" l="1"/>
  <c r="C42" i="21" s="1"/>
  <c r="E42" i="21"/>
  <c r="F42" i="21" s="1"/>
  <c r="G42" i="21" l="1"/>
  <c r="C43" i="21" s="1"/>
  <c r="E43" i="21" l="1"/>
  <c r="F43" i="21" s="1"/>
  <c r="G43" i="21" l="1"/>
  <c r="C44" i="21" s="1"/>
  <c r="E44" i="21" s="1"/>
  <c r="F44" i="21" s="1"/>
  <c r="G44" i="21" l="1"/>
  <c r="C45" i="21" s="1"/>
  <c r="E45" i="21" l="1"/>
  <c r="F45" i="21" s="1"/>
  <c r="G45" i="21" l="1"/>
  <c r="C46" i="21" s="1"/>
  <c r="E46" i="21" s="1"/>
  <c r="F46" i="21" s="1"/>
  <c r="G46" i="21" l="1"/>
  <c r="C47" i="21" s="1"/>
  <c r="E47" i="21" l="1"/>
  <c r="F47" i="21" s="1"/>
  <c r="G47" i="21" l="1"/>
  <c r="C48" i="21" s="1"/>
  <c r="E48" i="21"/>
  <c r="F48" i="21" s="1"/>
  <c r="G48" i="21" l="1"/>
  <c r="C49" i="21" s="1"/>
  <c r="E49" i="21"/>
  <c r="F49" i="21" s="1"/>
  <c r="G49" i="21" l="1"/>
  <c r="C50" i="21" s="1"/>
  <c r="E50" i="21"/>
  <c r="F50" i="21" s="1"/>
  <c r="G50" i="21" l="1"/>
  <c r="C51" i="21" s="1"/>
  <c r="E51" i="21" l="1"/>
  <c r="F51" i="21" s="1"/>
  <c r="G51" i="21" l="1"/>
  <c r="C52" i="21" s="1"/>
  <c r="E52" i="21"/>
  <c r="F52" i="21" s="1"/>
  <c r="G52" i="21" l="1"/>
  <c r="C53" i="21" s="1"/>
  <c r="E53" i="21"/>
  <c r="F53" i="21" s="1"/>
  <c r="G53" i="21" l="1"/>
  <c r="C54" i="21" s="1"/>
  <c r="E54" i="21"/>
  <c r="F54" i="21" s="1"/>
  <c r="G54" i="21" l="1"/>
  <c r="C55" i="21" s="1"/>
  <c r="E55" i="21" l="1"/>
  <c r="F55" i="21" s="1"/>
  <c r="G55" i="21" l="1"/>
  <c r="C56" i="21" s="1"/>
  <c r="E56" i="21" l="1"/>
  <c r="F56" i="21" s="1"/>
  <c r="G56" i="21" l="1"/>
  <c r="C57" i="21" s="1"/>
  <c r="E57" i="21" l="1"/>
  <c r="F57" i="21" s="1"/>
  <c r="G57" i="21" l="1"/>
  <c r="C58" i="21" s="1"/>
  <c r="E58" i="21"/>
  <c r="F58" i="21" s="1"/>
  <c r="G58" i="21" l="1"/>
  <c r="C59" i="21" s="1"/>
  <c r="E59" i="21" s="1"/>
  <c r="F59" i="21" l="1"/>
  <c r="G59" i="21"/>
  <c r="C60" i="21" s="1"/>
  <c r="E60" i="21" s="1"/>
  <c r="F60" i="21" l="1"/>
  <c r="G60" i="21"/>
  <c r="C61" i="21" s="1"/>
  <c r="E61" i="21" s="1"/>
  <c r="F61" i="21" l="1"/>
  <c r="G61" i="21"/>
</calcChain>
</file>

<file path=xl/sharedStrings.xml><?xml version="1.0" encoding="utf-8"?>
<sst xmlns="http://schemas.openxmlformats.org/spreadsheetml/2006/main" count="81945" uniqueCount="2795">
  <si>
    <t>Schedule Number</t>
  </si>
  <si>
    <t>Equipment Periodic Payment</t>
  </si>
  <si>
    <t>$50,000.00</t>
  </si>
  <si>
    <t>Incremental Borrowing Rate</t>
  </si>
  <si>
    <t>Lease Start Date</t>
  </si>
  <si>
    <t>Lease Term (in months)(contract)</t>
  </si>
  <si>
    <t>2022 Finance Vanilla lease</t>
  </si>
  <si>
    <t>Ledger Date</t>
  </si>
  <si>
    <t>FX Conversion Date</t>
  </si>
  <si>
    <t>FX Rate Type</t>
  </si>
  <si>
    <t>Transactional Currency</t>
  </si>
  <si>
    <t>Functional Currency</t>
  </si>
  <si>
    <t>Reporting Currency</t>
  </si>
  <si>
    <t>Segment1</t>
  </si>
  <si>
    <t>Segment2</t>
  </si>
  <si>
    <t>Segment3</t>
  </si>
  <si>
    <t>Segment4</t>
  </si>
  <si>
    <t>Segment5</t>
  </si>
  <si>
    <t>Segment6</t>
  </si>
  <si>
    <t>Segment7</t>
  </si>
  <si>
    <t>Segment8</t>
  </si>
  <si>
    <t>Segment9</t>
  </si>
  <si>
    <t>Segment10</t>
  </si>
  <si>
    <t>Segment11</t>
  </si>
  <si>
    <t>AccountDescription</t>
  </si>
  <si>
    <t>DR</t>
  </si>
  <si>
    <t>CR</t>
  </si>
  <si>
    <t>Comments</t>
  </si>
  <si>
    <t>Posting Code</t>
  </si>
  <si>
    <t>JEShortDesc</t>
  </si>
  <si>
    <t>LedgerEntrySubId</t>
  </si>
  <si>
    <t>LedgerEntryId</t>
  </si>
  <si>
    <t>Status</t>
  </si>
  <si>
    <t>ExternalDocumentId</t>
  </si>
  <si>
    <t>10/01/2022</t>
  </si>
  <si>
    <t>Spot Rate</t>
  </si>
  <si>
    <t>USD</t>
  </si>
  <si>
    <t>13001</t>
  </si>
  <si>
    <t>TBD</t>
  </si>
  <si>
    <t>0000</t>
  </si>
  <si>
    <t>123456</t>
  </si>
  <si>
    <t>Office</t>
  </si>
  <si>
    <t>Finance Lease asset</t>
  </si>
  <si>
    <t>Capital Lease Modification Takedown</t>
  </si>
  <si>
    <t>New</t>
  </si>
  <si>
    <t>Finance Lease obligation - LT</t>
  </si>
  <si>
    <t>Weighted Avg Rate</t>
  </si>
  <si>
    <t>Interest expense</t>
  </si>
  <si>
    <t>Interest Accrual</t>
  </si>
  <si>
    <t>Interest accrued</t>
  </si>
  <si>
    <t>Depreciation expense</t>
  </si>
  <si>
    <t>Capital Lease Depreciation Expense Recognition</t>
  </si>
  <si>
    <t>Accumulated depreciation - Finance Lease</t>
  </si>
  <si>
    <t>Capital Long Term to Short Term Reclass</t>
  </si>
  <si>
    <t>Finance Lease obligation - ST</t>
  </si>
  <si>
    <t>Capital Long Term from Short Term Reversal</t>
  </si>
  <si>
    <t>Schedule 2022 Finance Vanilla lease</t>
  </si>
  <si>
    <t>Payment</t>
  </si>
  <si>
    <t>Accounts Payable Clearing</t>
  </si>
  <si>
    <t>10/31/2022</t>
  </si>
  <si>
    <t>11/01/2022</t>
  </si>
  <si>
    <t>11/30/2022</t>
  </si>
  <si>
    <t>12/01/2022</t>
  </si>
  <si>
    <t>12/31/2022</t>
  </si>
  <si>
    <t>01/01/2023</t>
  </si>
  <si>
    <t>01/31/2023</t>
  </si>
  <si>
    <t>02/01/2023</t>
  </si>
  <si>
    <t>02/28/2023</t>
  </si>
  <si>
    <t>03/01/2023</t>
  </si>
  <si>
    <t>03/31/2023</t>
  </si>
  <si>
    <t>04/01/2023</t>
  </si>
  <si>
    <t>04/30/2023</t>
  </si>
  <si>
    <t>05/01/2023</t>
  </si>
  <si>
    <t>05/31/2023</t>
  </si>
  <si>
    <t>06/01/2023</t>
  </si>
  <si>
    <t>06/30/2023</t>
  </si>
  <si>
    <t>07/01/2023</t>
  </si>
  <si>
    <t>07/31/2023</t>
  </si>
  <si>
    <t>08/01/2023</t>
  </si>
  <si>
    <t>08/31/2023</t>
  </si>
  <si>
    <t>09/01/2023</t>
  </si>
  <si>
    <t>09/30/2023</t>
  </si>
  <si>
    <t>10/01/2023</t>
  </si>
  <si>
    <t>10/31/2023</t>
  </si>
  <si>
    <t>11/01/2023</t>
  </si>
  <si>
    <t>11/30/2023</t>
  </si>
  <si>
    <t>12/01/2023</t>
  </si>
  <si>
    <t>12/31/2023</t>
  </si>
  <si>
    <t>01/01/2024</t>
  </si>
  <si>
    <t>01/31/2024</t>
  </si>
  <si>
    <t>02/01/2024</t>
  </si>
  <si>
    <t>02/29/2024</t>
  </si>
  <si>
    <t>03/01/2024</t>
  </si>
  <si>
    <t>03/31/2024</t>
  </si>
  <si>
    <t>04/01/2024</t>
  </si>
  <si>
    <t>04/30/2024</t>
  </si>
  <si>
    <t>05/01/2024</t>
  </si>
  <si>
    <t>05/31/2024</t>
  </si>
  <si>
    <t>06/01/2024</t>
  </si>
  <si>
    <t>06/30/2024</t>
  </si>
  <si>
    <t>07/01/2024</t>
  </si>
  <si>
    <t>07/31/2024</t>
  </si>
  <si>
    <t>08/01/2024</t>
  </si>
  <si>
    <t>08/31/2024</t>
  </si>
  <si>
    <t>09/01/2024</t>
  </si>
  <si>
    <t>09/30/2024</t>
  </si>
  <si>
    <t>10/01/2024</t>
  </si>
  <si>
    <t>10/31/2024</t>
  </si>
  <si>
    <t>11/01/2024</t>
  </si>
  <si>
    <t>11/30/2024</t>
  </si>
  <si>
    <t>12/01/2024</t>
  </si>
  <si>
    <t>12/31/2024</t>
  </si>
  <si>
    <t>01/01/2025</t>
  </si>
  <si>
    <t>01/31/2025</t>
  </si>
  <si>
    <t>02/01/2025</t>
  </si>
  <si>
    <t>02/28/2025</t>
  </si>
  <si>
    <t>03/01/2025</t>
  </si>
  <si>
    <t>03/31/2025</t>
  </si>
  <si>
    <t>04/01/2025</t>
  </si>
  <si>
    <t>04/30/2025</t>
  </si>
  <si>
    <t>05/01/2025</t>
  </si>
  <si>
    <t>05/31/2025</t>
  </si>
  <si>
    <t>06/01/2025</t>
  </si>
  <si>
    <t>06/30/2025</t>
  </si>
  <si>
    <t>07/01/2025</t>
  </si>
  <si>
    <t>07/31/2025</t>
  </si>
  <si>
    <t>08/01/2025</t>
  </si>
  <si>
    <t>08/31/2025</t>
  </si>
  <si>
    <t>09/01/2025</t>
  </si>
  <si>
    <t>09/30/2025</t>
  </si>
  <si>
    <t>10/01/2025</t>
  </si>
  <si>
    <t>10/31/2025</t>
  </si>
  <si>
    <t>11/01/2025</t>
  </si>
  <si>
    <t>11/30/2025</t>
  </si>
  <si>
    <t>12/01/2025</t>
  </si>
  <si>
    <t>12/31/2025</t>
  </si>
  <si>
    <t>01/01/2026</t>
  </si>
  <si>
    <t>01/31/2026</t>
  </si>
  <si>
    <t>02/01/2026</t>
  </si>
  <si>
    <t>02/28/2026</t>
  </si>
  <si>
    <t>03/01/2026</t>
  </si>
  <si>
    <t>03/31/2026</t>
  </si>
  <si>
    <t>04/01/2026</t>
  </si>
  <si>
    <t>04/30/2026</t>
  </si>
  <si>
    <t>05/01/2026</t>
  </si>
  <si>
    <t>05/31/2026</t>
  </si>
  <si>
    <t>06/01/2026</t>
  </si>
  <si>
    <t>06/30/2026</t>
  </si>
  <si>
    <t>07/01/2026</t>
  </si>
  <si>
    <t>07/31/2026</t>
  </si>
  <si>
    <t>08/01/2026</t>
  </si>
  <si>
    <t>08/31/2026</t>
  </si>
  <si>
    <t>09/01/2026</t>
  </si>
  <si>
    <t>09/30/2026</t>
  </si>
  <si>
    <t>10/01/2026</t>
  </si>
  <si>
    <t>10/31/2026</t>
  </si>
  <si>
    <t>11/01/2026</t>
  </si>
  <si>
    <t>11/30/2026</t>
  </si>
  <si>
    <t>12/01/2026</t>
  </si>
  <si>
    <t>12/31/2026</t>
  </si>
  <si>
    <t>Fields to total:</t>
  </si>
  <si>
    <t xml:space="preserve">Ledger Entries Tab </t>
  </si>
  <si>
    <t>Adjusting Entries Tab</t>
  </si>
  <si>
    <t xml:space="preserve"> </t>
  </si>
  <si>
    <t>Row Count</t>
  </si>
  <si>
    <t>Ledger Export</t>
  </si>
  <si>
    <t>Requested By:</t>
  </si>
  <si>
    <t>ngupta</t>
  </si>
  <si>
    <t>Report Completed At:</t>
  </si>
  <si>
    <t>Parameter</t>
  </si>
  <si>
    <t>Value Specified</t>
  </si>
  <si>
    <t>Description</t>
  </si>
  <si>
    <t>As At</t>
  </si>
  <si>
    <t>Starting Fiscal Year</t>
  </si>
  <si>
    <t>2022</t>
  </si>
  <si>
    <t>Starting Period</t>
  </si>
  <si>
    <t>0</t>
  </si>
  <si>
    <t>January</t>
  </si>
  <si>
    <t># of Months of Lease Expense to Transfer</t>
  </si>
  <si>
    <t>1000</t>
  </si>
  <si>
    <t>Level of Detail</t>
  </si>
  <si>
    <t>SCHEDULE</t>
  </si>
  <si>
    <t>ExcludeBoth</t>
  </si>
  <si>
    <t>Include Adjusting Entries</t>
  </si>
  <si>
    <t>All</t>
  </si>
  <si>
    <t>Schedule #</t>
  </si>
  <si>
    <t>Exclude Tags</t>
  </si>
  <si>
    <t xml:space="preserve">Entity </t>
  </si>
  <si>
    <t>Cost Center</t>
  </si>
  <si>
    <t>Business Unit</t>
  </si>
  <si>
    <t>Country</t>
  </si>
  <si>
    <t>Lessee</t>
  </si>
  <si>
    <t>Set of Books</t>
  </si>
  <si>
    <t>144</t>
  </si>
  <si>
    <t>Acme 842</t>
  </si>
  <si>
    <t>Show deals denominated in</t>
  </si>
  <si>
    <t>GL Segment 1</t>
  </si>
  <si>
    <t>GL Segment 2</t>
  </si>
  <si>
    <t>GL Segment 3</t>
  </si>
  <si>
    <t>GL Segment 4</t>
  </si>
  <si>
    <t>GL Segment 5</t>
  </si>
  <si>
    <t>GL Segment 6</t>
  </si>
  <si>
    <t>GL Segment 7</t>
  </si>
  <si>
    <t>GL Segment 8</t>
  </si>
  <si>
    <t>GL Segment 9</t>
  </si>
  <si>
    <t>GL Segment 10</t>
  </si>
  <si>
    <t>GL Segment 11</t>
  </si>
  <si>
    <t>Exclude entries not yet transferred</t>
  </si>
  <si>
    <t>N</t>
  </si>
  <si>
    <t>Exclude entries transferred but not yet posted</t>
  </si>
  <si>
    <t>Exclude entries transferred and posted</t>
  </si>
  <si>
    <t>SCHEDULE NAME</t>
  </si>
  <si>
    <t>Row Labels</t>
  </si>
  <si>
    <t>(blank)</t>
  </si>
  <si>
    <t>Grand Total</t>
  </si>
  <si>
    <t>Sum of DR</t>
  </si>
  <si>
    <t>Sum of CR</t>
  </si>
  <si>
    <t>(All)</t>
  </si>
  <si>
    <t>DIFF</t>
  </si>
  <si>
    <t>ASSETS</t>
  </si>
  <si>
    <t>EXPENSES</t>
  </si>
  <si>
    <t>01/01/2022</t>
  </si>
  <si>
    <t>6.5.152002958.152002958</t>
  </si>
  <si>
    <t>LA0002TNT0000001</t>
  </si>
  <si>
    <t>6.7.152002956.152002956</t>
  </si>
  <si>
    <t>12.5.152002004.152002004</t>
  </si>
  <si>
    <t>LA0002TNT0000002</t>
  </si>
  <si>
    <t>12.6.152001566.152001566</t>
  </si>
  <si>
    <t>01/31/2022</t>
  </si>
  <si>
    <t>8.1.152003093.152003093</t>
  </si>
  <si>
    <t>LA0002TNT0000003</t>
  </si>
  <si>
    <t>8.4.152003093.152003093</t>
  </si>
  <si>
    <t>10.1.152002963.152002963</t>
  </si>
  <si>
    <t>LA0002TNT0000004</t>
  </si>
  <si>
    <t>10.4.152002963.152002963</t>
  </si>
  <si>
    <t>11.4.152003447.152003447</t>
  </si>
  <si>
    <t>LA0002TNT0000005</t>
  </si>
  <si>
    <t>11.7.152003447.152003447</t>
  </si>
  <si>
    <t>02/01/2022</t>
  </si>
  <si>
    <t>11.10.152003448.152003448</t>
  </si>
  <si>
    <t>LA0002TNT0000006</t>
  </si>
  <si>
    <t>11.13.152003448.152003448</t>
  </si>
  <si>
    <t>12.4.152003095.152003095</t>
  </si>
  <si>
    <t>LA0002TNT0000007</t>
  </si>
  <si>
    <t>12.5.152003096.152003096</t>
  </si>
  <si>
    <t>12.6.152001507.152001507</t>
  </si>
  <si>
    <t>02/28/2022</t>
  </si>
  <si>
    <t>8.1.152003099.152003099</t>
  </si>
  <si>
    <t>LA0002TNT0000008</t>
  </si>
  <si>
    <t>8.4.152003099.152003099</t>
  </si>
  <si>
    <t>10.1.152002964.152002964</t>
  </si>
  <si>
    <t>LA0002TNT0000009</t>
  </si>
  <si>
    <t>10.4.152002964.152002964</t>
  </si>
  <si>
    <t>11.4.152003451.152003451</t>
  </si>
  <si>
    <t>LA0002TNT000000A</t>
  </si>
  <si>
    <t>11.7.152003451.152003451</t>
  </si>
  <si>
    <t>03/01/2022</t>
  </si>
  <si>
    <t>11.10.152003452.152003452</t>
  </si>
  <si>
    <t>LA0002TNT000000B</t>
  </si>
  <si>
    <t>11.13.152003452.152003452</t>
  </si>
  <si>
    <t>12.4.152003101.152003101</t>
  </si>
  <si>
    <t>LA0002TNT000000C</t>
  </si>
  <si>
    <t>12.5.152003102.152003102</t>
  </si>
  <si>
    <t>12.6.152001508.152001508</t>
  </si>
  <si>
    <t>03/31/2022</t>
  </si>
  <si>
    <t>8.1.152003105.152003105</t>
  </si>
  <si>
    <t>LA0002TNT000000D</t>
  </si>
  <si>
    <t>8.4.152003105.152003105</t>
  </si>
  <si>
    <t>10.1.152002965.152002965</t>
  </si>
  <si>
    <t>LA0002TNT000000E</t>
  </si>
  <si>
    <t>10.4.152002965.152002965</t>
  </si>
  <si>
    <t>11.4.152003455.152003455</t>
  </si>
  <si>
    <t>LA0002TNT000000F</t>
  </si>
  <si>
    <t>11.7.152003455.152003455</t>
  </si>
  <si>
    <t>04/01/2022</t>
  </si>
  <si>
    <t>11.10.152003456.152003456</t>
  </si>
  <si>
    <t>LA0002TNT0000010</t>
  </si>
  <si>
    <t>11.13.152003456.152003456</t>
  </si>
  <si>
    <t>12.4.152003107.152003107</t>
  </si>
  <si>
    <t>LA0002TNT0000011</t>
  </si>
  <si>
    <t>12.5.152003108.152003108</t>
  </si>
  <si>
    <t>12.6.152001509.152001509</t>
  </si>
  <si>
    <t>04/30/2022</t>
  </si>
  <si>
    <t>8.1.152003111.152003111</t>
  </si>
  <si>
    <t>LA0002TNT0000012</t>
  </si>
  <si>
    <t>8.4.152003111.152003111</t>
  </si>
  <si>
    <t>10.1.152002966.152002966</t>
  </si>
  <si>
    <t>LA0002TNT0000013</t>
  </si>
  <si>
    <t>10.4.152002966.152002966</t>
  </si>
  <si>
    <t>11.4.152003459.152003459</t>
  </si>
  <si>
    <t>LA0002TNT0000014</t>
  </si>
  <si>
    <t>11.7.152003459.152003459</t>
  </si>
  <si>
    <t>05/01/2022</t>
  </si>
  <si>
    <t>11.10.152003460.152003460</t>
  </si>
  <si>
    <t>LA0002TNT0000015</t>
  </si>
  <si>
    <t>11.13.152003460.152003460</t>
  </si>
  <si>
    <t>12.4.152003113.152003113</t>
  </si>
  <si>
    <t>LA0002TNT0000016</t>
  </si>
  <si>
    <t>12.5.152003114.152003114</t>
  </si>
  <si>
    <t>12.6.152001510.152001510</t>
  </si>
  <si>
    <t>05/31/2022</t>
  </si>
  <si>
    <t>8.1.152003117.152003117</t>
  </si>
  <si>
    <t>LA0002TNT0000017</t>
  </si>
  <si>
    <t>8.4.152003117.152003117</t>
  </si>
  <si>
    <t>10.1.152002967.152002967</t>
  </si>
  <si>
    <t>LA0002TNT0000018</t>
  </si>
  <si>
    <t>10.4.152002967.152002967</t>
  </si>
  <si>
    <t>11.4.152003463.152003463</t>
  </si>
  <si>
    <t>LA0002TNT0000019</t>
  </si>
  <si>
    <t>11.7.152003463.152003463</t>
  </si>
  <si>
    <t>06/01/2022</t>
  </si>
  <si>
    <t>11.10.152003464.152003464</t>
  </si>
  <si>
    <t>LA0002TNT000001A</t>
  </si>
  <si>
    <t>11.13.152003464.152003464</t>
  </si>
  <si>
    <t>12.4.152003119.152003119</t>
  </si>
  <si>
    <t>LA0002TNT000001B</t>
  </si>
  <si>
    <t>12.5.152003120.152003120</t>
  </si>
  <si>
    <t>12.6.152001511.152001511</t>
  </si>
  <si>
    <t>06/30/2022</t>
  </si>
  <si>
    <t>8.1.152003123.152003123</t>
  </si>
  <si>
    <t>LA0002TNT000001C</t>
  </si>
  <si>
    <t>8.4.152003123.152003123</t>
  </si>
  <si>
    <t>10.1.152002968.152002968</t>
  </si>
  <si>
    <t>LA0002TNT000001D</t>
  </si>
  <si>
    <t>10.4.152002968.152002968</t>
  </si>
  <si>
    <t>11.4.152003467.152003467</t>
  </si>
  <si>
    <t>LA0002TNT000001E</t>
  </si>
  <si>
    <t>11.7.152003467.152003467</t>
  </si>
  <si>
    <t>07/01/2022</t>
  </si>
  <si>
    <t>11.10.152003468.152003468</t>
  </si>
  <si>
    <t>LA0002TNT000001F</t>
  </si>
  <si>
    <t>11.13.152003468.152003468</t>
  </si>
  <si>
    <t>12.4.152003125.152003125</t>
  </si>
  <si>
    <t>LA0002TNT0000020</t>
  </si>
  <si>
    <t>12.5.152003126.152003126</t>
  </si>
  <si>
    <t>12.6.152001512.152001512</t>
  </si>
  <si>
    <t>07/31/2022</t>
  </si>
  <si>
    <t>8.1.152003129.152003129</t>
  </si>
  <si>
    <t>LA0002TNT0000021</t>
  </si>
  <si>
    <t>8.4.152003129.152003129</t>
  </si>
  <si>
    <t>10.1.152002969.152002969</t>
  </si>
  <si>
    <t>LA0002TNT0000022</t>
  </si>
  <si>
    <t>10.4.152002969.152002969</t>
  </si>
  <si>
    <t>11.4.152003471.152003471</t>
  </si>
  <si>
    <t>LA0002TNT0000023</t>
  </si>
  <si>
    <t>11.7.152003471.152003471</t>
  </si>
  <si>
    <t>08/01/2022</t>
  </si>
  <si>
    <t>11.10.152003472.152003472</t>
  </si>
  <si>
    <t>LA0002TNT0000024</t>
  </si>
  <si>
    <t>11.13.152003472.152003472</t>
  </si>
  <si>
    <t>12.4.152003131.152003131</t>
  </si>
  <si>
    <t>LA0002TNT0000025</t>
  </si>
  <si>
    <t>12.5.152003132.152003132</t>
  </si>
  <si>
    <t>12.6.152001513.152001513</t>
  </si>
  <si>
    <t>08/31/2022</t>
  </si>
  <si>
    <t>8.1.152003135.152003135</t>
  </si>
  <si>
    <t>LA0002TNT0000026</t>
  </si>
  <si>
    <t>8.4.152003135.152003135</t>
  </si>
  <si>
    <t>10.1.152002970.152002970</t>
  </si>
  <si>
    <t>LA0002TNT0000027</t>
  </si>
  <si>
    <t>10.4.152002970.152002970</t>
  </si>
  <si>
    <t>11.4.152003475.152003475</t>
  </si>
  <si>
    <t>LA0002TNT0000028</t>
  </si>
  <si>
    <t>11.7.152003475.152003475</t>
  </si>
  <si>
    <t>09/01/2022</t>
  </si>
  <si>
    <t>11.10.152003476.152003476</t>
  </si>
  <si>
    <t>LA0002TNT0000029</t>
  </si>
  <si>
    <t>11.13.152003476.152003476</t>
  </si>
  <si>
    <t>12.4.152003137.152003137</t>
  </si>
  <si>
    <t>LA0002TNT000002A</t>
  </si>
  <si>
    <t>12.5.152003138.152003138</t>
  </si>
  <si>
    <t>12.6.152001514.152001514</t>
  </si>
  <si>
    <t>09/30/2022</t>
  </si>
  <si>
    <t>8.1.152003141.152003141</t>
  </si>
  <si>
    <t>LA0002TNT000002B</t>
  </si>
  <si>
    <t>8.4.152003141.152003141</t>
  </si>
  <si>
    <t>10.1.152002971.152002971</t>
  </si>
  <si>
    <t>LA0002TNT000002C</t>
  </si>
  <si>
    <t>10.4.152002971.152002971</t>
  </si>
  <si>
    <t>11.4.152003479.152003479</t>
  </si>
  <si>
    <t>LA0002TNT000002D</t>
  </si>
  <si>
    <t>11.7.152003479.152003479</t>
  </si>
  <si>
    <t>11.10.152003480.152003480</t>
  </si>
  <si>
    <t>LA0002TNT000002E</t>
  </si>
  <si>
    <t>11.13.152003480.152003480</t>
  </si>
  <si>
    <t>12.4.152003143.152003143</t>
  </si>
  <si>
    <t>LA0002TNT000002F</t>
  </si>
  <si>
    <t>12.5.152003144.152003144</t>
  </si>
  <si>
    <t>12.6.152001515.152001515</t>
  </si>
  <si>
    <t>8.1.152003147.152003147</t>
  </si>
  <si>
    <t>LA0002TNT0000030</t>
  </si>
  <si>
    <t>8.4.152003147.152003147</t>
  </si>
  <si>
    <t>10.1.152002972.152002972</t>
  </si>
  <si>
    <t>LA0002TNT0000031</t>
  </si>
  <si>
    <t>10.4.152002972.152002972</t>
  </si>
  <si>
    <t>11.4.152003483.152003483</t>
  </si>
  <si>
    <t>LA0002TNT0000032</t>
  </si>
  <si>
    <t>11.7.152003483.152003483</t>
  </si>
  <si>
    <t>11.10.152003484.152003484</t>
  </si>
  <si>
    <t>LA0002TNT0000033</t>
  </si>
  <si>
    <t>11.13.152003484.152003484</t>
  </si>
  <si>
    <t>12.4.152003149.152003149</t>
  </si>
  <si>
    <t>LA0002TNT0000034</t>
  </si>
  <si>
    <t>12.5.152003150.152003150</t>
  </si>
  <si>
    <t>12.6.152001516.152001516</t>
  </si>
  <si>
    <t>8.1.152003153.152003153</t>
  </si>
  <si>
    <t>LA0002TNT0000035</t>
  </si>
  <si>
    <t>8.4.152003153.152003153</t>
  </si>
  <si>
    <t>10.1.152002973.152002973</t>
  </si>
  <si>
    <t>LA0002TNT0000036</t>
  </si>
  <si>
    <t>10.4.152002973.152002973</t>
  </si>
  <si>
    <t>11.4.152003487.152003487</t>
  </si>
  <si>
    <t>LA0002TNT0000037</t>
  </si>
  <si>
    <t>11.7.152003487.152003487</t>
  </si>
  <si>
    <t>11.10.152003488.152003488</t>
  </si>
  <si>
    <t>LA0002TNT0000038</t>
  </si>
  <si>
    <t>11.13.152003488.152003488</t>
  </si>
  <si>
    <t>12.4.152003155.152003155</t>
  </si>
  <si>
    <t>LA0002TNT0000039</t>
  </si>
  <si>
    <t>12.5.152003156.152003156</t>
  </si>
  <si>
    <t>12.6.152001517.152001517</t>
  </si>
  <si>
    <t>8.1.152003159.152003159</t>
  </si>
  <si>
    <t>LA0002TNT000003A</t>
  </si>
  <si>
    <t>8.4.152003159.152003159</t>
  </si>
  <si>
    <t>10.1.152002974.152002974</t>
  </si>
  <si>
    <t>LA0002TNT000003B</t>
  </si>
  <si>
    <t>10.4.152002974.152002974</t>
  </si>
  <si>
    <t>11.4.152003491.152003491</t>
  </si>
  <si>
    <t>LA0002TNT000003C</t>
  </si>
  <si>
    <t>11.7.152003491.152003491</t>
  </si>
  <si>
    <t>11.10.152003492.152003492</t>
  </si>
  <si>
    <t>LA0002TNT000003D</t>
  </si>
  <si>
    <t>11.13.152003492.152003492</t>
  </si>
  <si>
    <t>12.4.152003161.152003161</t>
  </si>
  <si>
    <t>LA0002TNT000003E</t>
  </si>
  <si>
    <t>12.5.152003162.152003162</t>
  </si>
  <si>
    <t>12.6.152001518.152001518</t>
  </si>
  <si>
    <t>8.1.152003165.152003165</t>
  </si>
  <si>
    <t>LA0002TNT000003F</t>
  </si>
  <si>
    <t>8.4.152003165.152003165</t>
  </si>
  <si>
    <t>10.1.152002975.152002975</t>
  </si>
  <si>
    <t>LA0002TNT0000040</t>
  </si>
  <si>
    <t>10.4.152002975.152002975</t>
  </si>
  <si>
    <t>11.4.152003495.152003495</t>
  </si>
  <si>
    <t>LA0002TNT0000041</t>
  </si>
  <si>
    <t>11.7.152003495.152003495</t>
  </si>
  <si>
    <t>11.10.152003496.152003496</t>
  </si>
  <si>
    <t>LA0002TNT0000042</t>
  </si>
  <si>
    <t>11.13.152003496.152003496</t>
  </si>
  <si>
    <t>12.4.152003167.152003167</t>
  </si>
  <si>
    <t>LA0002TNT0000043</t>
  </si>
  <si>
    <t>12.5.152003168.152003168</t>
  </si>
  <si>
    <t>12.6.152001519.152001519</t>
  </si>
  <si>
    <t>8.1.152003171.152003171</t>
  </si>
  <si>
    <t>LA0002TNT0000044</t>
  </si>
  <si>
    <t>8.4.152003171.152003171</t>
  </si>
  <si>
    <t>10.1.152002976.152002976</t>
  </si>
  <si>
    <t>LA0002TNT0000045</t>
  </si>
  <si>
    <t>10.4.152002976.152002976</t>
  </si>
  <si>
    <t>11.4.152003499.152003499</t>
  </si>
  <si>
    <t>LA0002TNT0000046</t>
  </si>
  <si>
    <t>11.7.152003499.152003499</t>
  </si>
  <si>
    <t>11.10.152003500.152003500</t>
  </si>
  <si>
    <t>LA0002TNT0000047</t>
  </si>
  <si>
    <t>11.13.152003500.152003500</t>
  </si>
  <si>
    <t>12.4.152003173.152003173</t>
  </si>
  <si>
    <t>LA0002TNT0000048</t>
  </si>
  <si>
    <t>12.5.152003174.152003174</t>
  </si>
  <si>
    <t>12.6.152001520.152001520</t>
  </si>
  <si>
    <t>8.1.152003177.152003177</t>
  </si>
  <si>
    <t>LA0002TNT0000049</t>
  </si>
  <si>
    <t>8.4.152003177.152003177</t>
  </si>
  <si>
    <t>10.1.152002977.152002977</t>
  </si>
  <si>
    <t>LA0002TNT000004A</t>
  </si>
  <si>
    <t>10.4.152002977.152002977</t>
  </si>
  <si>
    <t>11.4.152003503.152003503</t>
  </si>
  <si>
    <t>LA0002TNT000004B</t>
  </si>
  <si>
    <t>11.7.152003503.152003503</t>
  </si>
  <si>
    <t>11.10.152003504.152003504</t>
  </si>
  <si>
    <t>LA0002TNT000004C</t>
  </si>
  <si>
    <t>11.13.152003504.152003504</t>
  </si>
  <si>
    <t>12.4.152003179.152003179</t>
  </si>
  <si>
    <t>LA0002TNT000004D</t>
  </si>
  <si>
    <t>12.5.152003180.152003180</t>
  </si>
  <si>
    <t>12.6.152001521.152001521</t>
  </si>
  <si>
    <t>8.1.152003183.152003183</t>
  </si>
  <si>
    <t>LA0002TNT000004E</t>
  </si>
  <si>
    <t>8.4.152003183.152003183</t>
  </si>
  <si>
    <t>10.1.152002978.152002978</t>
  </si>
  <si>
    <t>LA0002TNT000004F</t>
  </si>
  <si>
    <t>10.4.152002978.152002978</t>
  </si>
  <si>
    <t>11.4.152003507.152003507</t>
  </si>
  <si>
    <t>LA0002TNT0000050</t>
  </si>
  <si>
    <t>11.7.152003507.152003507</t>
  </si>
  <si>
    <t>11.10.152003508.152003508</t>
  </si>
  <si>
    <t>LA0002TNT0000051</t>
  </si>
  <si>
    <t>11.13.152003508.152003508</t>
  </si>
  <si>
    <t>12.4.152003185.152003185</t>
  </si>
  <si>
    <t>LA0002TNT0000052</t>
  </si>
  <si>
    <t>12.5.152003186.152003186</t>
  </si>
  <si>
    <t>12.6.152001522.152001522</t>
  </si>
  <si>
    <t>8.1.152003189.152003189</t>
  </si>
  <si>
    <t>LA0002TNT0000053</t>
  </si>
  <si>
    <t>8.4.152003189.152003189</t>
  </si>
  <si>
    <t>10.1.152002979.152002979</t>
  </si>
  <si>
    <t>LA0002TNT0000054</t>
  </si>
  <si>
    <t>10.4.152002979.152002979</t>
  </si>
  <si>
    <t>11.4.152003511.152003511</t>
  </si>
  <si>
    <t>LA0002TNT0000055</t>
  </si>
  <si>
    <t>11.7.152003511.152003511</t>
  </si>
  <si>
    <t>11.10.152003512.152003512</t>
  </si>
  <si>
    <t>LA0002TNT0000056</t>
  </si>
  <si>
    <t>11.13.152003512.152003512</t>
  </si>
  <si>
    <t>12.4.152003191.152003191</t>
  </si>
  <si>
    <t>LA0002TNT0000057</t>
  </si>
  <si>
    <t>12.5.152003192.152003192</t>
  </si>
  <si>
    <t>12.6.152001523.152001523</t>
  </si>
  <si>
    <t>8.1.152003195.152003195</t>
  </si>
  <si>
    <t>LA0002TNT0000058</t>
  </si>
  <si>
    <t>8.4.152003195.152003195</t>
  </si>
  <si>
    <t>10.1.152002980.152002980</t>
  </si>
  <si>
    <t>LA0002TNT0000059</t>
  </si>
  <si>
    <t>10.4.152002980.152002980</t>
  </si>
  <si>
    <t>11.4.152003515.152003515</t>
  </si>
  <si>
    <t>LA0002TNT000005A</t>
  </si>
  <si>
    <t>11.7.152003515.152003515</t>
  </si>
  <si>
    <t>11.10.152003516.152003516</t>
  </si>
  <si>
    <t>LA0002TNT000005B</t>
  </si>
  <si>
    <t>11.13.152003516.152003516</t>
  </si>
  <si>
    <t>12.4.152003197.152003197</t>
  </si>
  <si>
    <t>LA0002TNT000005C</t>
  </si>
  <si>
    <t>12.5.152003198.152003198</t>
  </si>
  <si>
    <t>12.6.152001524.152001524</t>
  </si>
  <si>
    <t>8.1.152003201.152003201</t>
  </si>
  <si>
    <t>LA0002TNT000005D</t>
  </si>
  <si>
    <t>8.4.152003201.152003201</t>
  </si>
  <si>
    <t>10.1.152002981.152002981</t>
  </si>
  <si>
    <t>LA0002TNT000005E</t>
  </si>
  <si>
    <t>10.4.152002981.152002981</t>
  </si>
  <si>
    <t>11.4.152003519.152003519</t>
  </si>
  <si>
    <t>LA0002TNT000005F</t>
  </si>
  <si>
    <t>11.7.152003519.152003519</t>
  </si>
  <si>
    <t>11.10.152003520.152003520</t>
  </si>
  <si>
    <t>LA0002TNT0000060</t>
  </si>
  <si>
    <t>11.13.152003520.152003520</t>
  </si>
  <si>
    <t>12.4.152003203.152003203</t>
  </si>
  <si>
    <t>LA0002TNT0000061</t>
  </si>
  <si>
    <t>12.5.152003204.152003204</t>
  </si>
  <si>
    <t>12.6.152001525.152001525</t>
  </si>
  <si>
    <t>8.1.152003207.152003207</t>
  </si>
  <si>
    <t>LA0002TNT0000062</t>
  </si>
  <si>
    <t>8.4.152003207.152003207</t>
  </si>
  <si>
    <t>10.1.152002982.152002982</t>
  </si>
  <si>
    <t>LA0002TNT0000063</t>
  </si>
  <si>
    <t>10.4.152002982.152002982</t>
  </si>
  <si>
    <t>11.4.152003523.152003523</t>
  </si>
  <si>
    <t>LA0002TNT0000064</t>
  </si>
  <si>
    <t>11.7.152003523.152003523</t>
  </si>
  <si>
    <t>11.10.152003524.152003524</t>
  </si>
  <si>
    <t>LA0002TNT0000065</t>
  </si>
  <si>
    <t>11.13.152003524.152003524</t>
  </si>
  <si>
    <t>12.4.152003209.152003209</t>
  </si>
  <si>
    <t>LA0002TNT0000066</t>
  </si>
  <si>
    <t>12.5.152003210.152003210</t>
  </si>
  <si>
    <t>12.6.152001526.152001526</t>
  </si>
  <si>
    <t>8.1.152003213.152003213</t>
  </si>
  <si>
    <t>LA0002TNT0000067</t>
  </si>
  <si>
    <t>8.4.152003213.152003213</t>
  </si>
  <si>
    <t>10.1.152002983.152002983</t>
  </si>
  <si>
    <t>LA0002TNT0000068</t>
  </si>
  <si>
    <t>10.4.152002983.152002983</t>
  </si>
  <si>
    <t>11.4.152003527.152003527</t>
  </si>
  <si>
    <t>LA0002TNT0000069</t>
  </si>
  <si>
    <t>11.7.152003527.152003527</t>
  </si>
  <si>
    <t>11.10.152003528.152003528</t>
  </si>
  <si>
    <t>LA0002TNT000006A</t>
  </si>
  <si>
    <t>11.13.152003528.152003528</t>
  </si>
  <si>
    <t>12.4.152003215.152003215</t>
  </si>
  <si>
    <t>LA0002TNT000006B</t>
  </si>
  <si>
    <t>12.5.152003216.152003216</t>
  </si>
  <si>
    <t>12.6.152001527.152001527</t>
  </si>
  <si>
    <t>8.1.152003219.152003219</t>
  </si>
  <si>
    <t>LA0002TNT000006C</t>
  </si>
  <si>
    <t>8.4.152003219.152003219</t>
  </si>
  <si>
    <t>10.1.152002984.152002984</t>
  </si>
  <si>
    <t>LA0002TNT000006D</t>
  </si>
  <si>
    <t>10.4.152002984.152002984</t>
  </si>
  <si>
    <t>11.4.152003531.152003531</t>
  </si>
  <si>
    <t>LA0002TNT000006E</t>
  </si>
  <si>
    <t>11.7.152003531.152003531</t>
  </si>
  <si>
    <t>11.10.152003532.152003532</t>
  </si>
  <si>
    <t>LA0002TNT000006F</t>
  </si>
  <si>
    <t>11.13.152003532.152003532</t>
  </si>
  <si>
    <t>12.4.152003221.152003221</t>
  </si>
  <si>
    <t>LA0002TNT0000070</t>
  </si>
  <si>
    <t>12.5.152003222.152003222</t>
  </si>
  <si>
    <t>12.6.152001528.152001528</t>
  </si>
  <si>
    <t>8.1.152003225.152003225</t>
  </si>
  <si>
    <t>LA0002TNT0000071</t>
  </si>
  <si>
    <t>8.4.152003225.152003225</t>
  </si>
  <si>
    <t>10.1.152002985.152002985</t>
  </si>
  <si>
    <t>LA0002TNT0000072</t>
  </si>
  <si>
    <t>10.4.152002985.152002985</t>
  </si>
  <si>
    <t>11.4.152003535.152003535</t>
  </si>
  <si>
    <t>LA0002TNT0000073</t>
  </si>
  <si>
    <t>11.7.152003535.152003535</t>
  </si>
  <si>
    <t>11.10.152003536.152003536</t>
  </si>
  <si>
    <t>LA0002TNT0000074</t>
  </si>
  <si>
    <t>11.13.152003536.152003536</t>
  </si>
  <si>
    <t>12.4.152003227.152003227</t>
  </si>
  <si>
    <t>LA0002TNT0000075</t>
  </si>
  <si>
    <t>12.5.152003228.152003228</t>
  </si>
  <si>
    <t>12.6.152001529.152001529</t>
  </si>
  <si>
    <t>8.1.152003231.152003231</t>
  </si>
  <si>
    <t>LA0002TNT0000076</t>
  </si>
  <si>
    <t>8.4.152003231.152003231</t>
  </si>
  <si>
    <t>10.1.152002986.152002986</t>
  </si>
  <si>
    <t>LA0002TNT0000077</t>
  </si>
  <si>
    <t>10.4.152002986.152002986</t>
  </si>
  <si>
    <t>11.4.152003539.152003539</t>
  </si>
  <si>
    <t>LA0002TNT0000078</t>
  </si>
  <si>
    <t>11.7.152003539.152003539</t>
  </si>
  <si>
    <t>11.10.152003540.152003540</t>
  </si>
  <si>
    <t>LA0002TNT0000079</t>
  </si>
  <si>
    <t>11.13.152003540.152003540</t>
  </si>
  <si>
    <t>12.4.152003233.152003233</t>
  </si>
  <si>
    <t>LA0002TNT000007A</t>
  </si>
  <si>
    <t>12.5.152003234.152003234</t>
  </si>
  <si>
    <t>12.6.152001530.152001530</t>
  </si>
  <si>
    <t>8.1.152003237.152003237</t>
  </si>
  <si>
    <t>LA0002TNT000007B</t>
  </si>
  <si>
    <t>8.4.152003237.152003237</t>
  </si>
  <si>
    <t>10.1.152002987.152002987</t>
  </si>
  <si>
    <t>LA0002TNT000007C</t>
  </si>
  <si>
    <t>10.4.152002987.152002987</t>
  </si>
  <si>
    <t>11.4.152003543.152003543</t>
  </si>
  <si>
    <t>LA0002TNT000007D</t>
  </si>
  <si>
    <t>11.7.152003543.152003543</t>
  </si>
  <si>
    <t>11.10.152003544.152003544</t>
  </si>
  <si>
    <t>LA0002TNT000007E</t>
  </si>
  <si>
    <t>11.13.152003544.152003544</t>
  </si>
  <si>
    <t>12.4.152003239.152003239</t>
  </si>
  <si>
    <t>LA0002TNT000007F</t>
  </si>
  <si>
    <t>12.5.152003240.152003240</t>
  </si>
  <si>
    <t>12.6.152001531.152001531</t>
  </si>
  <si>
    <t>8.1.152003243.152003243</t>
  </si>
  <si>
    <t>LA0002TNT0000080</t>
  </si>
  <si>
    <t>8.4.152003243.152003243</t>
  </si>
  <si>
    <t>10.1.152002988.152002988</t>
  </si>
  <si>
    <t>LA0002TNT0000081</t>
  </si>
  <si>
    <t>10.4.152002988.152002988</t>
  </si>
  <si>
    <t>11.4.152003547.152003547</t>
  </si>
  <si>
    <t>LA0002TNT0000082</t>
  </si>
  <si>
    <t>11.7.152003547.152003547</t>
  </si>
  <si>
    <t>11.10.152003548.152003548</t>
  </si>
  <si>
    <t>LA0002TNT0000083</t>
  </si>
  <si>
    <t>11.13.152003548.152003548</t>
  </si>
  <si>
    <t>12.4.152003245.152003245</t>
  </si>
  <si>
    <t>LA0002TNT0000084</t>
  </si>
  <si>
    <t>12.5.152003246.152003246</t>
  </si>
  <si>
    <t>12.6.152001532.152001532</t>
  </si>
  <si>
    <t>8.1.152003249.152003249</t>
  </si>
  <si>
    <t>LA0002TNT0000085</t>
  </si>
  <si>
    <t>8.4.152003249.152003249</t>
  </si>
  <si>
    <t>10.1.152002989.152002989</t>
  </si>
  <si>
    <t>LA0002TNT0000086</t>
  </si>
  <si>
    <t>10.4.152002989.152002989</t>
  </si>
  <si>
    <t>11.4.152003551.152003551</t>
  </si>
  <si>
    <t>LA0002TNT0000087</t>
  </si>
  <si>
    <t>11.7.152003551.152003551</t>
  </si>
  <si>
    <t>11.10.152003552.152003552</t>
  </si>
  <si>
    <t>LA0002TNT0000088</t>
  </si>
  <si>
    <t>11.13.152003552.152003552</t>
  </si>
  <si>
    <t>12.4.152003251.152003251</t>
  </si>
  <si>
    <t>LA0002TNT0000089</t>
  </si>
  <si>
    <t>12.5.152003252.152003252</t>
  </si>
  <si>
    <t>12.6.152001533.152001533</t>
  </si>
  <si>
    <t>8.1.152003255.152003255</t>
  </si>
  <si>
    <t>LA0002TNT000008A</t>
  </si>
  <si>
    <t>8.4.152003255.152003255</t>
  </si>
  <si>
    <t>10.1.152002990.152002990</t>
  </si>
  <si>
    <t>LA0002TNT000008B</t>
  </si>
  <si>
    <t>10.4.152002990.152002990</t>
  </si>
  <si>
    <t>11.4.152003555.152003555</t>
  </si>
  <si>
    <t>LA0002TNT000008C</t>
  </si>
  <si>
    <t>11.7.152003555.152003555</t>
  </si>
  <si>
    <t>11.10.152003556.152003556</t>
  </si>
  <si>
    <t>LA0002TNT000008D</t>
  </si>
  <si>
    <t>11.13.152003556.152003556</t>
  </si>
  <si>
    <t>12.4.152003257.152003257</t>
  </si>
  <si>
    <t>LA0002TNT000008E</t>
  </si>
  <si>
    <t>12.5.152003258.152003258</t>
  </si>
  <si>
    <t>12.6.152001534.152001534</t>
  </si>
  <si>
    <t>8.1.152003261.152003261</t>
  </si>
  <si>
    <t>LA0002TNT000008F</t>
  </si>
  <si>
    <t>8.4.152003261.152003261</t>
  </si>
  <si>
    <t>10.1.152002991.152002991</t>
  </si>
  <si>
    <t>LA0002TNT0000090</t>
  </si>
  <si>
    <t>10.4.152002991.152002991</t>
  </si>
  <si>
    <t>11.4.152003559.152003559</t>
  </si>
  <si>
    <t>LA0002TNT0000091</t>
  </si>
  <si>
    <t>11.7.152003559.152003559</t>
  </si>
  <si>
    <t>11.10.152003560.152003560</t>
  </si>
  <si>
    <t>LA0002TNT0000092</t>
  </si>
  <si>
    <t>11.13.152003560.152003560</t>
  </si>
  <si>
    <t>12.4.152003263.152003263</t>
  </si>
  <si>
    <t>LA0002TNT0000093</t>
  </si>
  <si>
    <t>12.5.152003264.152003264</t>
  </si>
  <si>
    <t>12.6.152001535.152001535</t>
  </si>
  <si>
    <t>8.1.152003267.152003267</t>
  </si>
  <si>
    <t>LA0002TNT0000094</t>
  </si>
  <si>
    <t>8.4.152003267.152003267</t>
  </si>
  <si>
    <t>10.1.152002992.152002992</t>
  </si>
  <si>
    <t>LA0002TNT0000095</t>
  </si>
  <si>
    <t>10.4.152002992.152002992</t>
  </si>
  <si>
    <t>11.4.152003563.152003563</t>
  </si>
  <si>
    <t>LA0002TNT0000096</t>
  </si>
  <si>
    <t>11.7.152003563.152003563</t>
  </si>
  <si>
    <t>11.10.152003564.152003564</t>
  </si>
  <si>
    <t>LA0002TNT0000097</t>
  </si>
  <si>
    <t>11.13.152003564.152003564</t>
  </si>
  <si>
    <t>12.4.152003269.152003269</t>
  </si>
  <si>
    <t>LA0002TNT0000098</t>
  </si>
  <si>
    <t>12.5.152003270.152003270</t>
  </si>
  <si>
    <t>12.6.152001536.152001536</t>
  </si>
  <si>
    <t>8.1.152003273.152003273</t>
  </si>
  <si>
    <t>LA0002TNT0000099</t>
  </si>
  <si>
    <t>8.4.152003273.152003273</t>
  </si>
  <si>
    <t>10.1.152002993.152002993</t>
  </si>
  <si>
    <t>LA0002TNT000009A</t>
  </si>
  <si>
    <t>10.4.152002993.152002993</t>
  </si>
  <si>
    <t>11.4.152003567.152003567</t>
  </si>
  <si>
    <t>LA0002TNT000009B</t>
  </si>
  <si>
    <t>11.7.152003567.152003567</t>
  </si>
  <si>
    <t>11.10.152003568.152003568</t>
  </si>
  <si>
    <t>LA0002TNT000009C</t>
  </si>
  <si>
    <t>11.13.152003568.152003568</t>
  </si>
  <si>
    <t>12.4.152003275.152003275</t>
  </si>
  <si>
    <t>LA0002TNT000009D</t>
  </si>
  <si>
    <t>12.5.152003276.152003276</t>
  </si>
  <si>
    <t>12.6.152001537.152001537</t>
  </si>
  <si>
    <t>8.1.152003279.152003279</t>
  </si>
  <si>
    <t>LA0002TNT000009E</t>
  </si>
  <si>
    <t>8.4.152003279.152003279</t>
  </si>
  <si>
    <t>10.1.152002994.152002994</t>
  </si>
  <si>
    <t>LA0002TNT000009F</t>
  </si>
  <si>
    <t>10.4.152002994.152002994</t>
  </si>
  <si>
    <t>11.4.152003571.152003571</t>
  </si>
  <si>
    <t>LA0002TNT00000A0</t>
  </si>
  <si>
    <t>11.7.152003571.152003571</t>
  </si>
  <si>
    <t>11.10.152003572.152003572</t>
  </si>
  <si>
    <t>LA0002TNT00000A1</t>
  </si>
  <si>
    <t>11.13.152003572.152003572</t>
  </si>
  <si>
    <t>12.4.152003281.152003281</t>
  </si>
  <si>
    <t>LA0002TNT00000A2</t>
  </si>
  <si>
    <t>12.5.152003282.152003282</t>
  </si>
  <si>
    <t>12.6.152001538.152001538</t>
  </si>
  <si>
    <t>8.1.152003285.152003285</t>
  </si>
  <si>
    <t>LA0002TNT00000A3</t>
  </si>
  <si>
    <t>8.4.152003285.152003285</t>
  </si>
  <si>
    <t>10.1.152002995.152002995</t>
  </si>
  <si>
    <t>LA0002TNT00000A4</t>
  </si>
  <si>
    <t>10.4.152002995.152002995</t>
  </si>
  <si>
    <t>11.4.152003575.152003575</t>
  </si>
  <si>
    <t>LA0002TNT00000A5</t>
  </si>
  <si>
    <t>11.7.152003575.152003575</t>
  </si>
  <si>
    <t>11.10.152003576.152003576</t>
  </si>
  <si>
    <t>LA0002TNT00000A6</t>
  </si>
  <si>
    <t>11.13.152003576.152003576</t>
  </si>
  <si>
    <t>12.4.152003287.152003287</t>
  </si>
  <si>
    <t>LA0002TNT00000A7</t>
  </si>
  <si>
    <t>12.5.152003288.152003288</t>
  </si>
  <si>
    <t>12.6.152001539.152001539</t>
  </si>
  <si>
    <t>8.1.152003291.152003291</t>
  </si>
  <si>
    <t>LA0002TNT00000A8</t>
  </si>
  <si>
    <t>8.4.152003291.152003291</t>
  </si>
  <si>
    <t>10.1.152002996.152002996</t>
  </si>
  <si>
    <t>LA0002TNT00000A9</t>
  </si>
  <si>
    <t>10.4.152002996.152002996</t>
  </si>
  <si>
    <t>11.4.152003579.152003579</t>
  </si>
  <si>
    <t>LA0002TNT00000AA</t>
  </si>
  <si>
    <t>11.7.152003579.152003579</t>
  </si>
  <si>
    <t>11.10.152003580.152003580</t>
  </si>
  <si>
    <t>LA0002TNT00000AB</t>
  </si>
  <si>
    <t>11.13.152003580.152003580</t>
  </si>
  <si>
    <t>12.4.152003293.152003293</t>
  </si>
  <si>
    <t>LA0002TNT00000AC</t>
  </si>
  <si>
    <t>12.5.152003294.152003294</t>
  </si>
  <si>
    <t>12.6.152001540.152001540</t>
  </si>
  <si>
    <t>8.1.152003297.152003297</t>
  </si>
  <si>
    <t>LA0002TNT00000AD</t>
  </si>
  <si>
    <t>8.4.152003297.152003297</t>
  </si>
  <si>
    <t>10.1.152002997.152002997</t>
  </si>
  <si>
    <t>LA0002TNT00000AE</t>
  </si>
  <si>
    <t>10.4.152002997.152002997</t>
  </si>
  <si>
    <t>11.4.152003583.152003583</t>
  </si>
  <si>
    <t>LA0002TNT00000AF</t>
  </si>
  <si>
    <t>11.7.152003583.152003583</t>
  </si>
  <si>
    <t>11.10.152003584.152003584</t>
  </si>
  <si>
    <t>LA0002TNT00000B0</t>
  </si>
  <si>
    <t>11.13.152003584.152003584</t>
  </si>
  <si>
    <t>12.4.152003299.152003299</t>
  </si>
  <si>
    <t>LA0002TNT00000B1</t>
  </si>
  <si>
    <t>12.5.152003300.152003300</t>
  </si>
  <si>
    <t>12.6.152001541.152001541</t>
  </si>
  <si>
    <t>8.1.152003303.152003303</t>
  </si>
  <si>
    <t>LA0002TNT00000B2</t>
  </si>
  <si>
    <t>8.4.152003303.152003303</t>
  </si>
  <si>
    <t>10.1.152002998.152002998</t>
  </si>
  <si>
    <t>LA0002TNT00000B3</t>
  </si>
  <si>
    <t>10.4.152002998.152002998</t>
  </si>
  <si>
    <t>11.4.152003587.152003587</t>
  </si>
  <si>
    <t>LA0002TNT00000B4</t>
  </si>
  <si>
    <t>11.7.152003587.152003587</t>
  </si>
  <si>
    <t>11.10.152003588.152003588</t>
  </si>
  <si>
    <t>LA0002TNT00000B5</t>
  </si>
  <si>
    <t>11.13.152003588.152003588</t>
  </si>
  <si>
    <t>12.4.152003305.152003305</t>
  </si>
  <si>
    <t>LA0002TNT00000B6</t>
  </si>
  <si>
    <t>12.5.152003306.152003306</t>
  </si>
  <si>
    <t>12.6.152001542.152001542</t>
  </si>
  <si>
    <t>8.1.152003309.152003309</t>
  </si>
  <si>
    <t>LA0002TNT00000B7</t>
  </si>
  <si>
    <t>8.4.152003309.152003309</t>
  </si>
  <si>
    <t>10.1.152002999.152002999</t>
  </si>
  <si>
    <t>LA0002TNT00000B8</t>
  </si>
  <si>
    <t>10.4.152002999.152002999</t>
  </si>
  <si>
    <t>11.4.152003591.152003591</t>
  </si>
  <si>
    <t>LA0002TNT00000B9</t>
  </si>
  <si>
    <t>11.7.152003591.152003591</t>
  </si>
  <si>
    <t>11.10.152003592.152003592</t>
  </si>
  <si>
    <t>LA0002TNT00000BA</t>
  </si>
  <si>
    <t>11.13.152003592.152003592</t>
  </si>
  <si>
    <t>12.4.152003311.152003311</t>
  </si>
  <si>
    <t>LA0002TNT00000BB</t>
  </si>
  <si>
    <t>12.5.152003312.152003312</t>
  </si>
  <si>
    <t>12.6.152001543.152001543</t>
  </si>
  <si>
    <t>8.1.152003315.152003315</t>
  </si>
  <si>
    <t>LA0002TNT00000BC</t>
  </si>
  <si>
    <t>8.4.152003315.152003315</t>
  </si>
  <si>
    <t>10.1.152003000.152003000</t>
  </si>
  <si>
    <t>LA0002TNT00000BD</t>
  </si>
  <si>
    <t>10.4.152003000.152003000</t>
  </si>
  <si>
    <t>11.4.152003595.152003595</t>
  </si>
  <si>
    <t>LA0002TNT00000BE</t>
  </si>
  <si>
    <t>11.7.152003595.152003595</t>
  </si>
  <si>
    <t>11.10.152003596.152003596</t>
  </si>
  <si>
    <t>LA0002TNT00000BF</t>
  </si>
  <si>
    <t>11.13.152003596.152003596</t>
  </si>
  <si>
    <t>12.4.152003317.152003317</t>
  </si>
  <si>
    <t>LA0002TNT00000C0</t>
  </si>
  <si>
    <t>12.5.152003318.152003318</t>
  </si>
  <si>
    <t>12.6.152001544.152001544</t>
  </si>
  <si>
    <t>8.1.152003321.152003321</t>
  </si>
  <si>
    <t>LA0002TNT00000C1</t>
  </si>
  <si>
    <t>8.4.152003321.152003321</t>
  </si>
  <si>
    <t>10.1.152003001.152003001</t>
  </si>
  <si>
    <t>LA0002TNT00000C2</t>
  </si>
  <si>
    <t>10.4.152003001.152003001</t>
  </si>
  <si>
    <t>11.4.152003599.152003599</t>
  </si>
  <si>
    <t>LA0002TNT00000C3</t>
  </si>
  <si>
    <t>11.7.152003599.152003599</t>
  </si>
  <si>
    <t>11.10.152003600.152003600</t>
  </si>
  <si>
    <t>LA0002TNT00000C4</t>
  </si>
  <si>
    <t>11.13.152003600.152003600</t>
  </si>
  <si>
    <t>12.4.152003323.152003323</t>
  </si>
  <si>
    <t>LA0002TNT00000C5</t>
  </si>
  <si>
    <t>12.5.152003324.152003324</t>
  </si>
  <si>
    <t>12.6.152001545.152001545</t>
  </si>
  <si>
    <t>8.1.152003327.152003327</t>
  </si>
  <si>
    <t>LA0002TNT00000C6</t>
  </si>
  <si>
    <t>8.4.152003327.152003327</t>
  </si>
  <si>
    <t>10.1.152003002.152003002</t>
  </si>
  <si>
    <t>LA0002TNT00000C7</t>
  </si>
  <si>
    <t>10.4.152003002.152003002</t>
  </si>
  <si>
    <t>11.4.152003603.152003603</t>
  </si>
  <si>
    <t>LA0002TNT00000C8</t>
  </si>
  <si>
    <t>11.7.152003603.152003603</t>
  </si>
  <si>
    <t>11.10.152003604.152003604</t>
  </si>
  <si>
    <t>LA0002TNT00000C9</t>
  </si>
  <si>
    <t>11.13.152003604.152003604</t>
  </si>
  <si>
    <t>12.4.152003329.152003329</t>
  </si>
  <si>
    <t>LA0002TNT00000CA</t>
  </si>
  <si>
    <t>12.5.152003330.152003330</t>
  </si>
  <si>
    <t>12.6.152001546.152001546</t>
  </si>
  <si>
    <t>8.1.152003333.152003333</t>
  </si>
  <si>
    <t>LA0002TNT00000CB</t>
  </si>
  <si>
    <t>8.4.152003333.152003333</t>
  </si>
  <si>
    <t>10.1.152003003.152003003</t>
  </si>
  <si>
    <t>LA0002TNT00000CC</t>
  </si>
  <si>
    <t>10.4.152003003.152003003</t>
  </si>
  <si>
    <t>11.4.152003607.152003607</t>
  </si>
  <si>
    <t>LA0002TNT00000CD</t>
  </si>
  <si>
    <t>11.7.152003607.152003607</t>
  </si>
  <si>
    <t>11.10.152003608.152003608</t>
  </si>
  <si>
    <t>LA0002TNT00000CE</t>
  </si>
  <si>
    <t>11.13.152003608.152003608</t>
  </si>
  <si>
    <t>12.4.152003335.152003335</t>
  </si>
  <si>
    <t>LA0002TNT00000CF</t>
  </si>
  <si>
    <t>12.5.152003336.152003336</t>
  </si>
  <si>
    <t>12.6.152001547.152001547</t>
  </si>
  <si>
    <t>8.1.152003339.152003339</t>
  </si>
  <si>
    <t>LA0002TNT00000D0</t>
  </si>
  <si>
    <t>8.4.152003339.152003339</t>
  </si>
  <si>
    <t>10.1.152003004.152003004</t>
  </si>
  <si>
    <t>LA0002TNT00000D1</t>
  </si>
  <si>
    <t>10.4.152003004.152003004</t>
  </si>
  <si>
    <t>11.4.152003611.152003611</t>
  </si>
  <si>
    <t>LA0002TNT00000D2</t>
  </si>
  <si>
    <t>11.7.152003611.152003611</t>
  </si>
  <si>
    <t>11.10.152003612.152003612</t>
  </si>
  <si>
    <t>LA0002TNT00000D3</t>
  </si>
  <si>
    <t>11.13.152003612.152003612</t>
  </si>
  <si>
    <t>12.4.152003341.152003341</t>
  </si>
  <si>
    <t>LA0002TNT00000D4</t>
  </si>
  <si>
    <t>12.5.152003342.152003342</t>
  </si>
  <si>
    <t>12.6.152001548.152001548</t>
  </si>
  <si>
    <t>8.1.152003345.152003345</t>
  </si>
  <si>
    <t>LA0002TNT00000D5</t>
  </si>
  <si>
    <t>8.4.152003345.152003345</t>
  </si>
  <si>
    <t>10.1.152003005.152003005</t>
  </si>
  <si>
    <t>LA0002TNT00000D6</t>
  </si>
  <si>
    <t>10.4.152003005.152003005</t>
  </si>
  <si>
    <t>11.4.152003615.152003615</t>
  </si>
  <si>
    <t>LA0002TNT00000D7</t>
  </si>
  <si>
    <t>11.7.152003615.152003615</t>
  </si>
  <si>
    <t>11.10.152003616.152003616</t>
  </si>
  <si>
    <t>LA0002TNT00000D8</t>
  </si>
  <si>
    <t>11.13.152003616.152003616</t>
  </si>
  <si>
    <t>12.4.152003347.152003347</t>
  </si>
  <si>
    <t>LA0002TNT00000D9</t>
  </si>
  <si>
    <t>12.5.152003348.152003348</t>
  </si>
  <si>
    <t>12.6.152001549.152001549</t>
  </si>
  <si>
    <t>8.1.152003351.152003351</t>
  </si>
  <si>
    <t>LA0002TNT00000DA</t>
  </si>
  <si>
    <t>8.4.152003351.152003351</t>
  </si>
  <si>
    <t>10.1.152003006.152003006</t>
  </si>
  <si>
    <t>LA0002TNT00000DB</t>
  </si>
  <si>
    <t>10.4.152003006.152003006</t>
  </si>
  <si>
    <t>11.4.152003619.152003619</t>
  </si>
  <si>
    <t>LA0002TNT00000DC</t>
  </si>
  <si>
    <t>11.7.152003619.152003619</t>
  </si>
  <si>
    <t>11.10.152003620.152003620</t>
  </si>
  <si>
    <t>LA0002TNT00000DD</t>
  </si>
  <si>
    <t>11.13.152003620.152003620</t>
  </si>
  <si>
    <t>12.4.152003353.152003353</t>
  </si>
  <si>
    <t>LA0002TNT00000DE</t>
  </si>
  <si>
    <t>12.5.152003354.152003354</t>
  </si>
  <si>
    <t>12.6.152001550.152001550</t>
  </si>
  <si>
    <t>8.1.152003357.152003357</t>
  </si>
  <si>
    <t>LA0002TNT00000DF</t>
  </si>
  <si>
    <t>8.4.152003357.152003357</t>
  </si>
  <si>
    <t>10.1.152003007.152003007</t>
  </si>
  <si>
    <t>LA0002TNT00000E0</t>
  </si>
  <si>
    <t>10.4.152003007.152003007</t>
  </si>
  <si>
    <t>11.4.152003623.152003623</t>
  </si>
  <si>
    <t>LA0002TNT00000E1</t>
  </si>
  <si>
    <t>11.7.152003623.152003623</t>
  </si>
  <si>
    <t>11.10.152003624.152003624</t>
  </si>
  <si>
    <t>LA0002TNT00000E2</t>
  </si>
  <si>
    <t>11.13.152003624.152003624</t>
  </si>
  <si>
    <t>12.4.152003359.152003359</t>
  </si>
  <si>
    <t>LA0002TNT00000E3</t>
  </si>
  <si>
    <t>12.5.152003360.152003360</t>
  </si>
  <si>
    <t>12.6.152001551.152001551</t>
  </si>
  <si>
    <t>8.1.152003363.152003363</t>
  </si>
  <si>
    <t>LA0002TNT00000E4</t>
  </si>
  <si>
    <t>8.4.152003363.152003363</t>
  </si>
  <si>
    <t>10.1.152003008.152003008</t>
  </si>
  <si>
    <t>LA0002TNT00000E5</t>
  </si>
  <si>
    <t>10.4.152003008.152003008</t>
  </si>
  <si>
    <t>11.4.152003627.152003627</t>
  </si>
  <si>
    <t>LA0002TNT00000E6</t>
  </si>
  <si>
    <t>11.7.152003627.152003627</t>
  </si>
  <si>
    <t>11.10.152003628.152003628</t>
  </si>
  <si>
    <t>LA0002TNT00000E7</t>
  </si>
  <si>
    <t>11.13.152003628.152003628</t>
  </si>
  <si>
    <t>12.4.152003365.152003365</t>
  </si>
  <si>
    <t>LA0002TNT00000E8</t>
  </si>
  <si>
    <t>12.5.152003366.152003366</t>
  </si>
  <si>
    <t>12.6.152001552.152001552</t>
  </si>
  <si>
    <t>8.1.152003369.152003369</t>
  </si>
  <si>
    <t>LA0002TNT00000E9</t>
  </si>
  <si>
    <t>8.4.152003369.152003369</t>
  </si>
  <si>
    <t>10.1.152003009.152003009</t>
  </si>
  <si>
    <t>LA0002TNT00000EA</t>
  </si>
  <si>
    <t>10.4.152003009.152003009</t>
  </si>
  <si>
    <t>11.4.152003631.152003631</t>
  </si>
  <si>
    <t>LA0002TNT00000EB</t>
  </si>
  <si>
    <t>11.7.152003631.152003631</t>
  </si>
  <si>
    <t>11.10.152003632.152003632</t>
  </si>
  <si>
    <t>LA0002TNT00000EC</t>
  </si>
  <si>
    <t>11.13.152003632.152003632</t>
  </si>
  <si>
    <t>12.4.152003371.152003371</t>
  </si>
  <si>
    <t>LA0002TNT00000ED</t>
  </si>
  <si>
    <t>12.5.152003372.152003372</t>
  </si>
  <si>
    <t>12.6.152001553.152001553</t>
  </si>
  <si>
    <t>8.1.152003375.152003375</t>
  </si>
  <si>
    <t>LA0002TNT00000EE</t>
  </si>
  <si>
    <t>8.4.152003375.152003375</t>
  </si>
  <si>
    <t>10.1.152003010.152003010</t>
  </si>
  <si>
    <t>LA0002TNT00000EF</t>
  </si>
  <si>
    <t>10.4.152003010.152003010</t>
  </si>
  <si>
    <t>11.4.152003635.152003635</t>
  </si>
  <si>
    <t>LA0002TNT00000F0</t>
  </si>
  <si>
    <t>11.7.152003635.152003635</t>
  </si>
  <si>
    <t>11.10.152003636.152003636</t>
  </si>
  <si>
    <t>LA0002TNT00000F1</t>
  </si>
  <si>
    <t>11.13.152003636.152003636</t>
  </si>
  <si>
    <t>12.4.152003377.152003377</t>
  </si>
  <si>
    <t>LA0002TNT00000F2</t>
  </si>
  <si>
    <t>12.5.152003378.152003378</t>
  </si>
  <si>
    <t>12.6.152001554.152001554</t>
  </si>
  <si>
    <t>8.1.152003381.152003381</t>
  </si>
  <si>
    <t>LA0002TNT00000F3</t>
  </si>
  <si>
    <t>8.4.152003381.152003381</t>
  </si>
  <si>
    <t>10.1.152003011.152003011</t>
  </si>
  <si>
    <t>LA0002TNT00000F4</t>
  </si>
  <si>
    <t>10.4.152003011.152003011</t>
  </si>
  <si>
    <t>11.4.152003639.152003639</t>
  </si>
  <si>
    <t>LA0002TNT00000F5</t>
  </si>
  <si>
    <t>11.7.152003639.152003639</t>
  </si>
  <si>
    <t>11.10.152003640.152003640</t>
  </si>
  <si>
    <t>LA0002TNT00000F6</t>
  </si>
  <si>
    <t>11.13.152003640.152003640</t>
  </si>
  <si>
    <t>12.4.152003383.152003383</t>
  </si>
  <si>
    <t>LA0002TNT00000F7</t>
  </si>
  <si>
    <t>12.5.152003384.152003384</t>
  </si>
  <si>
    <t>12.6.152001555.152001555</t>
  </si>
  <si>
    <t>8.1.152003387.152003387</t>
  </si>
  <si>
    <t>LA0002TNT00000F8</t>
  </si>
  <si>
    <t>8.4.152003387.152003387</t>
  </si>
  <si>
    <t>10.1.152003012.152003012</t>
  </si>
  <si>
    <t>LA0002TNT00000F9</t>
  </si>
  <si>
    <t>10.4.152003012.152003012</t>
  </si>
  <si>
    <t>11.4.152003643.152003643</t>
  </si>
  <si>
    <t>LA0002TNT00000FA</t>
  </si>
  <si>
    <t>11.7.152003643.152003643</t>
  </si>
  <si>
    <t>11.10.152003644.152003644</t>
  </si>
  <si>
    <t>LA0002TNT00000FB</t>
  </si>
  <si>
    <t>11.13.152003644.152003644</t>
  </si>
  <si>
    <t>12.4.152003389.152003389</t>
  </si>
  <si>
    <t>LA0002TNT00000FC</t>
  </si>
  <si>
    <t>12.5.152003390.152003390</t>
  </si>
  <si>
    <t>12.6.152001556.152001556</t>
  </si>
  <si>
    <t>8.1.152003393.152003393</t>
  </si>
  <si>
    <t>LA0002TNT00000FD</t>
  </si>
  <si>
    <t>8.4.152003393.152003393</t>
  </si>
  <si>
    <t>10.1.152003013.152003013</t>
  </si>
  <si>
    <t>LA0002TNT00000FE</t>
  </si>
  <si>
    <t>10.4.152003013.152003013</t>
  </si>
  <si>
    <t>11.4.152003647.152003647</t>
  </si>
  <si>
    <t>LA0002TNT00000FF</t>
  </si>
  <si>
    <t>11.7.152003647.152003647</t>
  </si>
  <si>
    <t>11.10.152003648.152003648</t>
  </si>
  <si>
    <t>LA0002TNT0000100</t>
  </si>
  <si>
    <t>11.13.152003648.152003648</t>
  </si>
  <si>
    <t>12.4.152003395.152003395</t>
  </si>
  <si>
    <t>LA0002TNT0000101</t>
  </si>
  <si>
    <t>12.5.152003396.152003396</t>
  </si>
  <si>
    <t>12.6.152001557.152001557</t>
  </si>
  <si>
    <t>8.1.152003399.152003399</t>
  </si>
  <si>
    <t>LA0002TNT0000102</t>
  </si>
  <si>
    <t>8.4.152003399.152003399</t>
  </si>
  <si>
    <t>10.1.152003014.152003014</t>
  </si>
  <si>
    <t>LA0002TNT0000103</t>
  </si>
  <si>
    <t>10.4.152003014.152003014</t>
  </si>
  <si>
    <t>11.4.152003651.152003651</t>
  </si>
  <si>
    <t>LA0002TNT0000104</t>
  </si>
  <si>
    <t>11.7.152003651.152003651</t>
  </si>
  <si>
    <t>11.10.152003652.152003652</t>
  </si>
  <si>
    <t>LA0002TNT0000105</t>
  </si>
  <si>
    <t>11.13.152003652.152003652</t>
  </si>
  <si>
    <t>12.4.152003401.152003401</t>
  </si>
  <si>
    <t>LA0002TNT0000106</t>
  </si>
  <si>
    <t>12.5.152003402.152003402</t>
  </si>
  <si>
    <t>12.6.152001558.152001558</t>
  </si>
  <si>
    <t>8.1.152003405.152003405</t>
  </si>
  <si>
    <t>LA0002TNT0000107</t>
  </si>
  <si>
    <t>8.4.152003405.152003405</t>
  </si>
  <si>
    <t>10.1.152003015.152003015</t>
  </si>
  <si>
    <t>LA0002TNT0000108</t>
  </si>
  <si>
    <t>10.4.152003015.152003015</t>
  </si>
  <si>
    <t>11.4.152003655.152003655</t>
  </si>
  <si>
    <t>LA0002TNT0000109</t>
  </si>
  <si>
    <t>11.7.152003655.152003655</t>
  </si>
  <si>
    <t>11.10.152003656.152003656</t>
  </si>
  <si>
    <t>LA0002TNT000010A</t>
  </si>
  <si>
    <t>11.13.152003656.152003656</t>
  </si>
  <si>
    <t>12.4.152003407.152003407</t>
  </si>
  <si>
    <t>LA0002TNT000010B</t>
  </si>
  <si>
    <t>12.5.152003408.152003408</t>
  </si>
  <si>
    <t>12.6.152001559.152001559</t>
  </si>
  <si>
    <t>8.1.152003411.152003411</t>
  </si>
  <si>
    <t>LA0002TNT000010C</t>
  </si>
  <si>
    <t>8.4.152003411.152003411</t>
  </si>
  <si>
    <t>10.1.152003016.152003016</t>
  </si>
  <si>
    <t>LA0002TNT000010D</t>
  </si>
  <si>
    <t>10.4.152003016.152003016</t>
  </si>
  <si>
    <t>11.4.152003659.152003659</t>
  </si>
  <si>
    <t>LA0002TNT000010E</t>
  </si>
  <si>
    <t>11.7.152003659.152003659</t>
  </si>
  <si>
    <t>11.10.152003660.152003660</t>
  </si>
  <si>
    <t>LA0002TNT000010F</t>
  </si>
  <si>
    <t>11.13.152003660.152003660</t>
  </si>
  <si>
    <t>12.4.152003413.152003413</t>
  </si>
  <si>
    <t>LA0002TNT0000110</t>
  </si>
  <si>
    <t>12.5.152003414.152003414</t>
  </si>
  <si>
    <t>12.6.152001560.152001560</t>
  </si>
  <si>
    <t>8.1.152003417.152003417</t>
  </si>
  <si>
    <t>LA0002TNT0000111</t>
  </si>
  <si>
    <t>8.4.152003417.152003417</t>
  </si>
  <si>
    <t>10.1.152003017.152003017</t>
  </si>
  <si>
    <t>LA0002TNT0000112</t>
  </si>
  <si>
    <t>10.4.152003017.152003017</t>
  </si>
  <si>
    <t>11.4.152003663.152003663</t>
  </si>
  <si>
    <t>LA0002TNT0000113</t>
  </si>
  <si>
    <t>11.7.152003663.152003663</t>
  </si>
  <si>
    <t>11.10.152003664.152003664</t>
  </si>
  <si>
    <t>LA0002TNT0000114</t>
  </si>
  <si>
    <t>11.13.152003664.152003664</t>
  </si>
  <si>
    <t>12.4.152003419.152003419</t>
  </si>
  <si>
    <t>LA0002TNT0000115</t>
  </si>
  <si>
    <t>12.5.152003420.152003420</t>
  </si>
  <si>
    <t>12.6.152001561.152001561</t>
  </si>
  <si>
    <t>8.1.152003423.152003423</t>
  </si>
  <si>
    <t>LA0002TNT0000116</t>
  </si>
  <si>
    <t>8.4.152003423.152003423</t>
  </si>
  <si>
    <t>10.1.152003018.152003018</t>
  </si>
  <si>
    <t>LA0002TNT0000117</t>
  </si>
  <si>
    <t>10.4.152003018.152003018</t>
  </si>
  <si>
    <t>11.4.152003667.152003667</t>
  </si>
  <si>
    <t>LA0002TNT0000118</t>
  </si>
  <si>
    <t>11.7.152003667.152003667</t>
  </si>
  <si>
    <t>11.10.152003668.152003668</t>
  </si>
  <si>
    <t>LA0002TNT0000119</t>
  </si>
  <si>
    <t>11.13.152003668.152003668</t>
  </si>
  <si>
    <t>12.4.152003425.152003425</t>
  </si>
  <si>
    <t>LA0002TNT000011A</t>
  </si>
  <si>
    <t>12.5.152003426.152003426</t>
  </si>
  <si>
    <t>12.6.152001562.152001562</t>
  </si>
  <si>
    <t>8.1.152003429.152003429</t>
  </si>
  <si>
    <t>LA0002TNT000011B</t>
  </si>
  <si>
    <t>8.4.152003429.152003429</t>
  </si>
  <si>
    <t>10.1.152003019.152003019</t>
  </si>
  <si>
    <t>LA0002TNT000011C</t>
  </si>
  <si>
    <t>10.4.152003019.152003019</t>
  </si>
  <si>
    <t>11.4.152003671.152003671</t>
  </si>
  <si>
    <t>LA0002TNT000011D</t>
  </si>
  <si>
    <t>11.7.152003671.152003671</t>
  </si>
  <si>
    <t>11.10.152003672.152003672</t>
  </si>
  <si>
    <t>LA0002TNT000011E</t>
  </si>
  <si>
    <t>11.13.152003672.152003672</t>
  </si>
  <si>
    <t>12.4.152003431.152003431</t>
  </si>
  <si>
    <t>LA0002TNT000011F</t>
  </si>
  <si>
    <t>12.5.152003432.152003432</t>
  </si>
  <si>
    <t>12.6.152001563.152001563</t>
  </si>
  <si>
    <t>8.1.152003435.152003435</t>
  </si>
  <si>
    <t>LA0002TNT0000120</t>
  </si>
  <si>
    <t>8.4.152003435.152003435</t>
  </si>
  <si>
    <t>10.1.152003020.152003020</t>
  </si>
  <si>
    <t>LA0002TNT0000121</t>
  </si>
  <si>
    <t>10.4.152003020.152003020</t>
  </si>
  <si>
    <t>11.4.152003675.152003675</t>
  </si>
  <si>
    <t>LA0002TNT0000122</t>
  </si>
  <si>
    <t>11.7.152003675.152003675</t>
  </si>
  <si>
    <t>11.10.152003676.152003676</t>
  </si>
  <si>
    <t>LA0002TNT0000123</t>
  </si>
  <si>
    <t>11.13.152003676.152003676</t>
  </si>
  <si>
    <t>12.4.152003437.152003437</t>
  </si>
  <si>
    <t>LA0002TNT0000124</t>
  </si>
  <si>
    <t>12.5.152003438.152003438</t>
  </si>
  <si>
    <t>12.6.152001564.152001564</t>
  </si>
  <si>
    <t>8.1.152003441.152003441</t>
  </si>
  <si>
    <t>LA0002TNT0000125</t>
  </si>
  <si>
    <t>8.4.152003441.152003441</t>
  </si>
  <si>
    <t>10.1.152003021.152003021</t>
  </si>
  <si>
    <t>LA0002TNT0000126</t>
  </si>
  <si>
    <t>10.4.152003021.152003021</t>
  </si>
  <si>
    <t>11.4.152003679.152003679</t>
  </si>
  <si>
    <t>LA0002TNT0000127</t>
  </si>
  <si>
    <t>11.7.152003679.152003679</t>
  </si>
  <si>
    <t>11.10.152003680.152003680</t>
  </si>
  <si>
    <t>LA0002TNT0000128</t>
  </si>
  <si>
    <t>11.13.152003680.152003680</t>
  </si>
  <si>
    <t>12.4.152003443.152003443</t>
  </si>
  <si>
    <t>LA0002TNT0000129</t>
  </si>
  <si>
    <t>12.5.152003444.152003444</t>
  </si>
  <si>
    <t>12.6.152001565.152001565</t>
  </si>
  <si>
    <t>10.1.152003022.152003022</t>
  </si>
  <si>
    <t>LA0002TNT000012A</t>
  </si>
  <si>
    <t>10.4.152003022.152003022</t>
  </si>
  <si>
    <t>2023-01-30 11:23:04.0</t>
  </si>
  <si>
    <t>Straight Line 3-Year</t>
  </si>
  <si>
    <t>Office Equipment</t>
  </si>
  <si>
    <t>Initial Balance EGRV</t>
  </si>
  <si>
    <t>Initial Balance Purchase Option</t>
  </si>
  <si>
    <t>Main Lease Liability</t>
  </si>
  <si>
    <t>Avg. Monthly Depreciation</t>
  </si>
  <si>
    <t>ROU Asset:Depreciable Base</t>
  </si>
  <si>
    <t>Assume Salvage Value in depreciation</t>
  </si>
  <si>
    <t>Depreciation Method</t>
  </si>
  <si>
    <t>Depreciable Period</t>
  </si>
  <si>
    <t>Reasonably Certain EOT Option</t>
  </si>
  <si>
    <t>Reasonably Certain Holding Period</t>
  </si>
  <si>
    <t>Asset Types IBR</t>
  </si>
  <si>
    <t>Lease Term(Contract)</t>
  </si>
  <si>
    <t>Equipment Cost</t>
  </si>
  <si>
    <t>Asset Type</t>
  </si>
  <si>
    <t/>
  </si>
  <si>
    <t>Total Lease Incentives</t>
  </si>
  <si>
    <t>Total IDCs</t>
  </si>
  <si>
    <t>2539829.423163</t>
  </si>
  <si>
    <t>Initial ROU Asset Balance</t>
  </si>
  <si>
    <t>Initial Guaranteed Residual  Balance</t>
  </si>
  <si>
    <t>Initial Purchase Option Balance</t>
  </si>
  <si>
    <t>Initial Liability Balance</t>
  </si>
  <si>
    <t>Total Schedule Amounts Booked:</t>
  </si>
  <si>
    <t>Advance</t>
  </si>
  <si>
    <t>Advance/Arrears</t>
  </si>
  <si>
    <t>Estimated Residual Value Guarantee Payment</t>
  </si>
  <si>
    <t>Purchase Option Amount</t>
  </si>
  <si>
    <t>True/Operating Lease (FMV)</t>
  </si>
  <si>
    <t>Lease Type</t>
  </si>
  <si>
    <t>Reasonably Certain EOT Option Included</t>
  </si>
  <si>
    <t>Reasonable Certain Holding Period</t>
  </si>
  <si>
    <t>Lease inception</t>
  </si>
  <si>
    <t>Incremental Borrowing Rate (at Commencement)</t>
  </si>
  <si>
    <t>Incremental Borrowing Rate (as AsAt Date)</t>
  </si>
  <si>
    <t>Currency</t>
  </si>
  <si>
    <t>50000</t>
  </si>
  <si>
    <t>Monthly</t>
  </si>
  <si>
    <t>Payment Frequency</t>
  </si>
  <si>
    <t>1600000</t>
  </si>
  <si>
    <t>Exchange Rate</t>
  </si>
  <si>
    <t>Local Currency</t>
  </si>
  <si>
    <t>Schedule Information:</t>
  </si>
  <si>
    <t>Acme 16, Acme 17, Acme 840, Acme 842</t>
  </si>
  <si>
    <t>Ledgers Booked To:</t>
  </si>
  <si>
    <t>Capital</t>
  </si>
  <si>
    <t>Lease Classification as of AsAt Date</t>
  </si>
  <si>
    <t>ASC 842</t>
  </si>
  <si>
    <t>Accounting Standard</t>
  </si>
  <si>
    <t>Set Of Books</t>
  </si>
  <si>
    <t>Equipment</t>
  </si>
  <si>
    <t>Ending Depreciation expense Balance [DX]</t>
  </si>
  <si>
    <t>Depreciation expense [DX]</t>
  </si>
  <si>
    <t>Opening Depreciation expense Balance [DX]</t>
  </si>
  <si>
    <t>Ending Interest expense Balance [IX]</t>
  </si>
  <si>
    <t>Interest Accrual [IX]</t>
  </si>
  <si>
    <t>Opening Interest expense Balance [IX]</t>
  </si>
  <si>
    <t>Ending Interest accrued Balance [INT]</t>
  </si>
  <si>
    <t>Payment [INT]</t>
  </si>
  <si>
    <t>Interest Accrual [INT]</t>
  </si>
  <si>
    <t>Opening Interest accrued Balance [INT]</t>
  </si>
  <si>
    <t>Ending Accounts Payable Clearing Balance [AP]</t>
  </si>
  <si>
    <t>Base Payments [AP]</t>
  </si>
  <si>
    <t>Opening Accounts Payable Clearing Balance [AP]</t>
  </si>
  <si>
    <t>Ending Finance Lease liability (ST) Balance [FLST]</t>
  </si>
  <si>
    <t>Reversal from ST Liability [FLST]</t>
  </si>
  <si>
    <t>Reclassification of Main Liability to ST Liability [FLST]</t>
  </si>
  <si>
    <t>Opening Finance Lease liability (ST) Balance [FLST]</t>
  </si>
  <si>
    <t>Ending Finance Lease liability (LT) Balance [FLLT]</t>
  </si>
  <si>
    <t>Payment [FLLT]</t>
  </si>
  <si>
    <t>Capital Long Term from Short Term Reversal [FLLT]</t>
  </si>
  <si>
    <t>Capital Long Term to Short Term Reclass [FLLT]</t>
  </si>
  <si>
    <t>Capital Lease Modification Takedown [FLLT]</t>
  </si>
  <si>
    <t>Opening Finance Lease liability (LT) Balance [FLLT]</t>
  </si>
  <si>
    <t>Ending Finance Accum Depreciation Balance [FAD]</t>
  </si>
  <si>
    <t>Capital Lease Depreciation Expense Recognition [FAD]</t>
  </si>
  <si>
    <t>Opening Finance Accum Depreciation Balance [FAD]</t>
  </si>
  <si>
    <t>Ending Finance Lease asset Balance [FA]</t>
  </si>
  <si>
    <t>Asset Takedown [FA]</t>
  </si>
  <si>
    <t>Opening Finance Lease asset Balance [FA]</t>
  </si>
  <si>
    <t>Lease Genre</t>
  </si>
  <si>
    <t>Fiscal Month End Date</t>
  </si>
  <si>
    <t>Fiscal Month Number</t>
  </si>
  <si>
    <t>Lease Period</t>
  </si>
  <si>
    <t>Report Subsection</t>
  </si>
  <si>
    <t>Report Section</t>
  </si>
  <si>
    <t>60</t>
  </si>
  <si>
    <t># of Months of Entries to Show</t>
  </si>
  <si>
    <t>2023-01-30 14:34:14.0</t>
  </si>
  <si>
    <t>Accounting Workbook</t>
  </si>
  <si>
    <t>PV of Payments</t>
  </si>
  <si>
    <t>Interest accrual</t>
  </si>
  <si>
    <t>Depreciation</t>
  </si>
  <si>
    <t>LT/ST Reclass</t>
  </si>
  <si>
    <t>Interest</t>
  </si>
  <si>
    <t>Principal reduction</t>
  </si>
  <si>
    <t>Beginning Balance</t>
  </si>
  <si>
    <t xml:space="preserve">Interest </t>
  </si>
  <si>
    <t>Principal</t>
  </si>
  <si>
    <t>Ending Balance</t>
  </si>
  <si>
    <t>Date</t>
  </si>
  <si>
    <t xml:space="preserve">Fiscal Year by Schedule Number on Sum of Payment Amount </t>
  </si>
  <si>
    <t>Ledgerlist</t>
  </si>
  <si>
    <t>Deal Id</t>
  </si>
  <si>
    <t>status</t>
  </si>
  <si>
    <t>Currency Measured In</t>
  </si>
  <si>
    <t>Funder</t>
  </si>
  <si>
    <t>PR Number</t>
  </si>
  <si>
    <t>PO Number</t>
  </si>
  <si>
    <t>COA Signed</t>
  </si>
  <si>
    <t>Booking Ledger Date</t>
  </si>
  <si>
    <t>Effective End Date</t>
  </si>
  <si>
    <t>Term</t>
  </si>
  <si>
    <t>Original End Date</t>
  </si>
  <si>
    <t>Last Renewal Date</t>
  </si>
  <si>
    <t>Renewal Term</t>
  </si>
  <si>
    <t>Mos. Left</t>
  </si>
  <si>
    <t>Ledgers</t>
  </si>
  <si>
    <t>Lease Classification</t>
  </si>
  <si>
    <t>Product Category</t>
  </si>
  <si>
    <t>Initial Start Date</t>
  </si>
  <si>
    <t>Repayment Mode</t>
  </si>
  <si>
    <t xml:space="preserve">Original Equipment Cost </t>
  </si>
  <si>
    <t>Original Equipment Cost</t>
  </si>
  <si>
    <t xml:space="preserve">Current Lease Payment </t>
  </si>
  <si>
    <t>Current Lease Payment (Local)</t>
  </si>
  <si>
    <t>Acme 16,Acme 17,Acme 840,Acme 842</t>
  </si>
  <si>
    <t>128494</t>
  </si>
  <si>
    <t>Active</t>
  </si>
  <si>
    <t>Acme, Inc.</t>
  </si>
  <si>
    <t>A1 Leasing</t>
  </si>
  <si>
    <t>Acme Telecommunications HQ</t>
  </si>
  <si>
    <t>US</t>
  </si>
  <si>
    <t>1/1/2022</t>
  </si>
  <si>
    <t>13001----TBD-0000-##ACCOUNT##-Office</t>
  </si>
  <si>
    <t>##ACCOUNT##</t>
  </si>
  <si>
    <t>Report Parameters</t>
  </si>
  <si>
    <t xml:space="preserve">As At Date </t>
  </si>
  <si>
    <t xml:space="preserve">Start Month </t>
  </si>
  <si>
    <t xml:space="preserve">End  Month </t>
  </si>
  <si>
    <t>Exclude Status</t>
  </si>
  <si>
    <t>Report Using</t>
  </si>
  <si>
    <t>Reporting currency</t>
  </si>
  <si>
    <t xml:space="preserve">Show Deals Transacted in </t>
  </si>
  <si>
    <t>Show Evergreen Payments?</t>
  </si>
  <si>
    <t xml:space="preserve">Schedule Number </t>
  </si>
  <si>
    <t xml:space="preserve">Lessee </t>
  </si>
  <si>
    <t xml:space="preserve">Cost Center </t>
  </si>
  <si>
    <t xml:space="preserve">Month End Date by Schedule Number on Sum of Payment Amount </t>
  </si>
  <si>
    <t>Original Equipment Cost (Local)</t>
  </si>
  <si>
    <t>2022 January</t>
  </si>
  <si>
    <t>2022 February</t>
  </si>
  <si>
    <t>2022 March</t>
  </si>
  <si>
    <t>2022 April</t>
  </si>
  <si>
    <t>2022 May</t>
  </si>
  <si>
    <t>2022 June</t>
  </si>
  <si>
    <t>2022 July</t>
  </si>
  <si>
    <t>2022 August</t>
  </si>
  <si>
    <t>2022 September</t>
  </si>
  <si>
    <t>2022 October</t>
  </si>
  <si>
    <t>2022 November</t>
  </si>
  <si>
    <t>2022 December</t>
  </si>
  <si>
    <t>2023 January</t>
  </si>
  <si>
    <t>2023 February</t>
  </si>
  <si>
    <t>2023 March</t>
  </si>
  <si>
    <t>2023 April</t>
  </si>
  <si>
    <t>2023 May</t>
  </si>
  <si>
    <t>2023 June</t>
  </si>
  <si>
    <t>2023 July</t>
  </si>
  <si>
    <t>2023 August</t>
  </si>
  <si>
    <t>2023 September</t>
  </si>
  <si>
    <t>2023 October</t>
  </si>
  <si>
    <t>2023 November</t>
  </si>
  <si>
    <t>2023 December</t>
  </si>
  <si>
    <t>2024 January</t>
  </si>
  <si>
    <t>2024 February</t>
  </si>
  <si>
    <t>2024 March</t>
  </si>
  <si>
    <t>2024 April</t>
  </si>
  <si>
    <t>2024 May</t>
  </si>
  <si>
    <t>2024 June</t>
  </si>
  <si>
    <t>2024 July</t>
  </si>
  <si>
    <t>2024 August</t>
  </si>
  <si>
    <t>2024 September</t>
  </si>
  <si>
    <t>2024 October</t>
  </si>
  <si>
    <t>2024 November</t>
  </si>
  <si>
    <t>2024 December</t>
  </si>
  <si>
    <t>2025 January</t>
  </si>
  <si>
    <t>2025 February</t>
  </si>
  <si>
    <t>2025 March</t>
  </si>
  <si>
    <t>2025 April</t>
  </si>
  <si>
    <t>2025 May</t>
  </si>
  <si>
    <t>2025 June</t>
  </si>
  <si>
    <t>2025 July</t>
  </si>
  <si>
    <t>2025 August</t>
  </si>
  <si>
    <t>2025 September</t>
  </si>
  <si>
    <t>2025 October</t>
  </si>
  <si>
    <t>2025 November</t>
  </si>
  <si>
    <t>2025 December</t>
  </si>
  <si>
    <t>2026 January</t>
  </si>
  <si>
    <t>2026 February</t>
  </si>
  <si>
    <t>2026 March</t>
  </si>
  <si>
    <t>2026 April</t>
  </si>
  <si>
    <t>2026 May</t>
  </si>
  <si>
    <t>2026 June</t>
  </si>
  <si>
    <t>2026 July</t>
  </si>
  <si>
    <t>2026 August</t>
  </si>
  <si>
    <t>2026 September</t>
  </si>
  <si>
    <t>2026 October</t>
  </si>
  <si>
    <t>2026 November</t>
  </si>
  <si>
    <t>2026 December</t>
  </si>
  <si>
    <t>TBD - Interest accrued</t>
  </si>
  <si>
    <t>Office Equipment - Translation Adjustment - AP Clearing</t>
  </si>
  <si>
    <t>Office Equipment - Translation Adjustment</t>
  </si>
  <si>
    <t>123456 - Interest expense</t>
  </si>
  <si>
    <t>123456 - Finance Lease obligation - ST</t>
  </si>
  <si>
    <t>123456 - Finance Lease obligation - LT</t>
  </si>
  <si>
    <t>123456 - Finance Lease asset</t>
  </si>
  <si>
    <t>123456 - Depreciation expense</t>
  </si>
  <si>
    <t>123456 - Accumulated depreciation - Finance Lease</t>
  </si>
  <si>
    <t>123456 - Accounts Payable Clearing</t>
  </si>
  <si>
    <t>Schedule</t>
  </si>
  <si>
    <t>Schedule Trial Balance Account Number - Name by Schedule Number Sum on Amount</t>
  </si>
  <si>
    <t xml:space="preserve">Lease Genre </t>
  </si>
  <si>
    <t xml:space="preserve">Country </t>
  </si>
  <si>
    <t xml:space="preserve">Schedule </t>
  </si>
  <si>
    <t xml:space="preserve">Ledger </t>
  </si>
  <si>
    <t xml:space="preserve">Month End </t>
  </si>
  <si>
    <t>Deal Status</t>
  </si>
  <si>
    <t>Entity</t>
  </si>
  <si>
    <t>Financial Statement</t>
  </si>
  <si>
    <t>Statement Section</t>
  </si>
  <si>
    <t>Statement Sequencer</t>
  </si>
  <si>
    <t>Month End Date</t>
  </si>
  <si>
    <t>Account Code</t>
  </si>
  <si>
    <t>Account Description</t>
  </si>
  <si>
    <t>Amount</t>
  </si>
  <si>
    <t>Ledger Id</t>
  </si>
  <si>
    <t>GL Coding Convention</t>
  </si>
  <si>
    <t>Acme Telecommunications Inc.</t>
  </si>
  <si>
    <t>Balance Sheet</t>
  </si>
  <si>
    <t>Assets</t>
  </si>
  <si>
    <t>310</t>
  </si>
  <si>
    <t> </t>
  </si>
  <si>
    <t>210</t>
  </si>
  <si>
    <t>Income Statement</t>
  </si>
  <si>
    <t>CTA</t>
  </si>
  <si>
    <t>3650</t>
  </si>
  <si>
    <t>Translation Adjustment</t>
  </si>
  <si>
    <t>3655</t>
  </si>
  <si>
    <t>Translation Adjustment - AP Clearing</t>
  </si>
  <si>
    <t>Expenses</t>
  </si>
  <si>
    <t>2800</t>
  </si>
  <si>
    <t>2700</t>
  </si>
  <si>
    <t>Liabilities</t>
  </si>
  <si>
    <t>1200</t>
  </si>
  <si>
    <t>1910</t>
  </si>
  <si>
    <t>1810</t>
  </si>
  <si>
    <t>1600</t>
  </si>
  <si>
    <t xml:space="preserve">Schedule Trial Balance Analysis Grid </t>
  </si>
  <si>
    <t>Maturity Analysis</t>
  </si>
  <si>
    <t>Year 2023</t>
  </si>
  <si>
    <t>Year 2024</t>
  </si>
  <si>
    <t>Year 2025</t>
  </si>
  <si>
    <t>Year 2026</t>
  </si>
  <si>
    <t>Year 2027</t>
  </si>
  <si>
    <t>Remaining</t>
  </si>
  <si>
    <t>Total</t>
  </si>
  <si>
    <t>Undiscounted Cash Outflow</t>
  </si>
  <si>
    <t>Finance Leases</t>
  </si>
  <si>
    <t>Operating Leases</t>
  </si>
  <si>
    <t>Short Term Leases</t>
  </si>
  <si>
    <t>Low value Leases(IFRS Only)</t>
  </si>
  <si>
    <t>Variable Payments</t>
  </si>
  <si>
    <t>Future Dated Leases</t>
  </si>
  <si>
    <t>Total of all undiscounted payments</t>
  </si>
  <si>
    <t>Reconciliation</t>
  </si>
  <si>
    <t>Finance</t>
  </si>
  <si>
    <t>Operating Lease (ie Cap Op)</t>
  </si>
  <si>
    <t>Undiscounted Cash Flow</t>
  </si>
  <si>
    <t>Future Interest</t>
  </si>
  <si>
    <t>Remaining Liability Balance</t>
  </si>
  <si>
    <t>Control</t>
  </si>
  <si>
    <t>Count on Schedule# for the Detail tab</t>
  </si>
  <si>
    <t>Summation on IBR for the Detail tab</t>
  </si>
  <si>
    <t>Summation of all values</t>
  </si>
  <si>
    <t>Schedule#</t>
  </si>
  <si>
    <t>Ledger List</t>
  </si>
  <si>
    <t>Lessor</t>
  </si>
  <si>
    <t>Commencement Date</t>
  </si>
  <si>
    <t>Initial Term End Date</t>
  </si>
  <si>
    <t>Reasonably Certain Period End Date</t>
  </si>
  <si>
    <t>IBR</t>
  </si>
  <si>
    <t>IBR Take-Down Type</t>
  </si>
  <si>
    <t>Year 2023 Interest</t>
  </si>
  <si>
    <t>Year 2023 Principal</t>
  </si>
  <si>
    <t>Year 2023 Purchase Option or GRV or ARO Dismntl</t>
  </si>
  <si>
    <t>Year 2023 Capitalized-Operating Lease Rental Expense</t>
  </si>
  <si>
    <t>Year 2023  CapOp-Lease Rental Expense CapOp Depreciation</t>
  </si>
  <si>
    <t>Year 2023 Short Term Expense</t>
  </si>
  <si>
    <t>Year 2023 Low Value</t>
  </si>
  <si>
    <t>Year 2023 Variable Payments</t>
  </si>
  <si>
    <t>Year 2023 Payments for Future Dated Leases</t>
  </si>
  <si>
    <t>Year 2023 Base Payment</t>
  </si>
  <si>
    <t>Year 2024 Interest</t>
  </si>
  <si>
    <t>Year 2024 Principal</t>
  </si>
  <si>
    <t>Year 2024 Purchase Option or GRV or ARO Dismntl</t>
  </si>
  <si>
    <t>Year 2024 Capitalized-Operating Lease Rental Expense</t>
  </si>
  <si>
    <t>Year 2024  CapOp-Lease Rental Expense CapOp Depreciation</t>
  </si>
  <si>
    <t>Year 2024 Short Term Expense</t>
  </si>
  <si>
    <t>Year 2024 Low Value</t>
  </si>
  <si>
    <t>Year 2024 Variable Payments</t>
  </si>
  <si>
    <t>Year 2024 Payments for Future Dated Leases</t>
  </si>
  <si>
    <t>Year 2024 Base Payment</t>
  </si>
  <si>
    <t>Year 2025 Interest</t>
  </si>
  <si>
    <t>Year 2025 Principal</t>
  </si>
  <si>
    <t>Year 2025 Purchase Option or GRV or ARO Dismntl</t>
  </si>
  <si>
    <t>Year 2025 Capitalized-Operating Lease Rental Expense</t>
  </si>
  <si>
    <t>Year 2025  CapOp-Lease Rental Expense CapOp Depreciation</t>
  </si>
  <si>
    <t>Year 2025 Short Term Expense</t>
  </si>
  <si>
    <t>Year 2025 Low Value</t>
  </si>
  <si>
    <t>Year 2025 Variable Payments</t>
  </si>
  <si>
    <t>Year 2025 Payments for Future Dated Leases</t>
  </si>
  <si>
    <t>Year 2025 Base Payment</t>
  </si>
  <si>
    <t>Year 2026 Interest</t>
  </si>
  <si>
    <t>Year 2026 Principal</t>
  </si>
  <si>
    <t>Year 2026 Purchase Option or GRV or ARO Dismntl</t>
  </si>
  <si>
    <t>Year 2026 Capitalized-Operating Lease Rental Expense</t>
  </si>
  <si>
    <t>Year 2026  CapOp-Lease Rental Expense CapOp Depreciation</t>
  </si>
  <si>
    <t>Year 2026 Short Term Expense</t>
  </si>
  <si>
    <t>Year 2026 Low Value</t>
  </si>
  <si>
    <t>Year 2026 Variable Payments</t>
  </si>
  <si>
    <t>Year 2026 Payments for Future Dated Leases</t>
  </si>
  <si>
    <t>Year 2026 Base Payment</t>
  </si>
  <si>
    <t>Commence IBR</t>
  </si>
  <si>
    <t>Year 2023 Total Payment</t>
  </si>
  <si>
    <t>Year 2024 Total Payment</t>
  </si>
  <si>
    <t>Year 2025 Total Payment</t>
  </si>
  <si>
    <t>Year 2026 Total Payment</t>
  </si>
  <si>
    <t>Maturity Analysis Report</t>
  </si>
  <si>
    <t>2023-01-31 09:12:03.0</t>
  </si>
  <si>
    <t>2023</t>
  </si>
  <si>
    <t>Show Evergreen Deals?</t>
  </si>
  <si>
    <t xml:space="preserve">Report using </t>
  </si>
  <si>
    <t>Reporting</t>
  </si>
  <si>
    <t>Quantitative Analysis Report</t>
  </si>
  <si>
    <t>Prior Period Reporting ASAT</t>
  </si>
  <si>
    <t>12/31/2021</t>
  </si>
  <si>
    <t>Current Period Reporting ASAT</t>
  </si>
  <si>
    <t>Reporting Year</t>
  </si>
  <si>
    <t>Reporting Period</t>
  </si>
  <si>
    <t>Full Year</t>
  </si>
  <si>
    <t>Lease Cost</t>
  </si>
  <si>
    <t>Finance Lease Cost:</t>
  </si>
  <si>
    <t xml:space="preserve">    Amortization of Right of Use Assets</t>
  </si>
  <si>
    <t xml:space="preserve">    Interest on lease liabilities</t>
  </si>
  <si>
    <t>Capitalized Operating Lease Cost</t>
  </si>
  <si>
    <t>Short - Term Lease Cost</t>
  </si>
  <si>
    <t>Low Value Lease Cost</t>
  </si>
  <si>
    <t>Variable Lease Cost</t>
  </si>
  <si>
    <t>Sublease Income</t>
  </si>
  <si>
    <t>Total Lease Cost</t>
  </si>
  <si>
    <t>Other Information</t>
  </si>
  <si>
    <t>(Gains) and losses on sale and leaseback transactions, net</t>
  </si>
  <si>
    <t>Cash paid for amounts included in the measurement of lease liabilities:</t>
  </si>
  <si>
    <t xml:space="preserve">    Operating cash flows from finance leases</t>
  </si>
  <si>
    <t xml:space="preserve">    Operating cash flows from Capitalized Operating leases</t>
  </si>
  <si>
    <t xml:space="preserve">    Financing cash flows from finance leases</t>
  </si>
  <si>
    <t xml:space="preserve">   Operating cash flows from Variable Payments</t>
  </si>
  <si>
    <t>Right of use assets obtained in exchange for new  finance lease liabilities</t>
  </si>
  <si>
    <t>Right of use assets obtained in exchange for new Capitalized Operating lease liabilities</t>
  </si>
  <si>
    <t>Net ROU remeasurement</t>
  </si>
  <si>
    <t>Weighted average remaining lease term - finance leases (in Years)</t>
  </si>
  <si>
    <t>Weighted average remaining lease term - Capitalized Operating leases  (in Years)</t>
  </si>
  <si>
    <t>Weighted average discount rate - finance leases</t>
  </si>
  <si>
    <t>Weighted average discount rate - Capitalized Operating leases</t>
  </si>
  <si>
    <t>Unique # of Schedules for Yr1 and Yr2 tabs</t>
  </si>
  <si>
    <t>Summation on Remaining Lease Term(in Years) for Yr 1 and Yr 2 tabs</t>
  </si>
  <si>
    <t>Summation on IBR for Yr 1 and Yr 2 tabs</t>
  </si>
  <si>
    <t>Summation of Weighted Average amounts for each year for the Summary tab</t>
  </si>
  <si>
    <t>Finance Lease Cost:Amortization of Right of Use Assets</t>
  </si>
  <si>
    <t>Finance Lease Cost:Interest on Lease Liabilities</t>
  </si>
  <si>
    <t>Short Term Lease Cost</t>
  </si>
  <si>
    <t>Operating cash flows from finance leases</t>
  </si>
  <si>
    <t>Operating Cash flows from Capitalized Operating leases</t>
  </si>
  <si>
    <t>Financing cash flows from finance leases</t>
  </si>
  <si>
    <t>Operating cash flows from Variable payments</t>
  </si>
  <si>
    <t>Right of use assets obtained in exchange for new Finance lease liabilities</t>
  </si>
  <si>
    <t>Net ROU Remeasurement</t>
  </si>
  <si>
    <t>Remaining Lease Term (in Years)</t>
  </si>
  <si>
    <t>Total remaining liability</t>
  </si>
  <si>
    <t>Total Remaining Base Payments</t>
  </si>
  <si>
    <t>Reasonably Certain End-of-Life Payment</t>
  </si>
  <si>
    <t>Total Remaining Balance of Lease Payments</t>
  </si>
  <si>
    <t>Total Remaining Variable Payments</t>
  </si>
  <si>
    <t>APPEARANCE_COUNT</t>
  </si>
  <si>
    <t>Quantitative Analysis Detail by Schedule : Current Full Year Ending 31-DEC-22</t>
  </si>
  <si>
    <t>Quantitative Analysis Detail by Schedule : Prior Full Year Ending 31-DEC-21</t>
  </si>
  <si>
    <t>Reversal of January reclass</t>
  </si>
  <si>
    <t>Reversal of November reclass</t>
  </si>
  <si>
    <t>Validation</t>
  </si>
  <si>
    <t>Variance</t>
  </si>
  <si>
    <t>Month End by Statement Section on Sum of Amount</t>
  </si>
  <si>
    <t>January2022</t>
  </si>
  <si>
    <t>February2022</t>
  </si>
  <si>
    <t>March2022</t>
  </si>
  <si>
    <t>April2022</t>
  </si>
  <si>
    <t>May2022</t>
  </si>
  <si>
    <t>June2022</t>
  </si>
  <si>
    <t>July2022</t>
  </si>
  <si>
    <t>August2022</t>
  </si>
  <si>
    <t>September2022</t>
  </si>
  <si>
    <t>October2022</t>
  </si>
  <si>
    <t>November2022</t>
  </si>
  <si>
    <t>December2022</t>
  </si>
  <si>
    <t>January2023</t>
  </si>
  <si>
    <t>February2023</t>
  </si>
  <si>
    <t>March2023</t>
  </si>
  <si>
    <t>April2023</t>
  </si>
  <si>
    <t>May2023</t>
  </si>
  <si>
    <t>June2023</t>
  </si>
  <si>
    <t>July2023</t>
  </si>
  <si>
    <t>August2023</t>
  </si>
  <si>
    <t>September2023</t>
  </si>
  <si>
    <t>October2023</t>
  </si>
  <si>
    <t>November2023</t>
  </si>
  <si>
    <t>December2023</t>
  </si>
  <si>
    <t>January2024</t>
  </si>
  <si>
    <t>February2024</t>
  </si>
  <si>
    <t>March2024</t>
  </si>
  <si>
    <t>April2024</t>
  </si>
  <si>
    <t>May2024</t>
  </si>
  <si>
    <t>June2024</t>
  </si>
  <si>
    <t>July2024</t>
  </si>
  <si>
    <t>August2024</t>
  </si>
  <si>
    <t>September2024</t>
  </si>
  <si>
    <t>October2024</t>
  </si>
  <si>
    <t>November2024</t>
  </si>
  <si>
    <t>December2024</t>
  </si>
  <si>
    <t>January2025</t>
  </si>
  <si>
    <t>February2025</t>
  </si>
  <si>
    <t>March2025</t>
  </si>
  <si>
    <t>April2025</t>
  </si>
  <si>
    <t>May2025</t>
  </si>
  <si>
    <t>June2025</t>
  </si>
  <si>
    <t>July2025</t>
  </si>
  <si>
    <t>August2025</t>
  </si>
  <si>
    <t>September2025</t>
  </si>
  <si>
    <t>October2025</t>
  </si>
  <si>
    <t>November2025</t>
  </si>
  <si>
    <t>December2025</t>
  </si>
  <si>
    <t>January2026</t>
  </si>
  <si>
    <t>February2026</t>
  </si>
  <si>
    <t>March2026</t>
  </si>
  <si>
    <t>April2026</t>
  </si>
  <si>
    <t>May2026</t>
  </si>
  <si>
    <t>June2026</t>
  </si>
  <si>
    <t>July2026</t>
  </si>
  <si>
    <t>August2026</t>
  </si>
  <si>
    <t>September2026</t>
  </si>
  <si>
    <t>October2026</t>
  </si>
  <si>
    <t>November2026</t>
  </si>
  <si>
    <t>December2026</t>
  </si>
  <si>
    <t>Month End Date by Account Number and Name on Sum of Amount</t>
  </si>
  <si>
    <t>Account Number and Name</t>
  </si>
  <si>
    <t>Schedule Balance Trend Schedule Account</t>
  </si>
  <si>
    <t>Deal ID</t>
  </si>
  <si>
    <t>Ledger ID</t>
  </si>
  <si>
    <t>Per ledger export</t>
  </si>
  <si>
    <t>Per Month End Date by Schedule Number below</t>
  </si>
  <si>
    <t xml:space="preserve">Month Start </t>
  </si>
  <si>
    <t>Schedule Activity Trend Analysis Grid Portfolio Account</t>
  </si>
  <si>
    <t>COFA Signed</t>
  </si>
  <si>
    <t>Amount Financed</t>
  </si>
  <si>
    <t>Current Lease Payment</t>
  </si>
  <si>
    <t>Months Left</t>
  </si>
  <si>
    <t>FMV</t>
  </si>
  <si>
    <t>48</t>
  </si>
  <si>
    <t>Per payment report by month below</t>
  </si>
  <si>
    <t>Per ledger entries report</t>
  </si>
  <si>
    <t>Per below</t>
  </si>
  <si>
    <t>Per Payment report</t>
  </si>
  <si>
    <t>Per schedule account activity trend report</t>
  </si>
  <si>
    <t>As above</t>
  </si>
  <si>
    <t>Difference</t>
  </si>
  <si>
    <t>Per schedule account Balance report</t>
  </si>
  <si>
    <t>As per Schedule activity trend</t>
  </si>
  <si>
    <t>Disclosure Reports comparision with BI reports</t>
  </si>
  <si>
    <t>Total Payment</t>
  </si>
  <si>
    <t>Sch Acct Activity Trend</t>
  </si>
  <si>
    <t>Quantitative Analysis</t>
  </si>
  <si>
    <t>Finance Lease Cost</t>
  </si>
  <si>
    <t>Sum of Depreciation &amp; Interest Expenses</t>
  </si>
  <si>
    <t xml:space="preserve">Balance Sheet Accounts </t>
  </si>
  <si>
    <t>TB for single month</t>
  </si>
  <si>
    <t>Sch Acct Balance Trend</t>
  </si>
  <si>
    <t>Cash Flow</t>
  </si>
  <si>
    <t>Payment Report (BI)</t>
  </si>
  <si>
    <t>Monthly Activity</t>
  </si>
  <si>
    <t>Lease end date is 12/31/2026</t>
  </si>
  <si>
    <t>100-Annual Payment lease</t>
  </si>
  <si>
    <t>LeaseAccelerator Services</t>
  </si>
  <si>
    <t>Disposed</t>
  </si>
  <si>
    <t>Capitalized-Operating</t>
  </si>
  <si>
    <t>Remeasurement due to renewal which implicitly extended RCHP</t>
  </si>
  <si>
    <t>100-Mid month start lease</t>
  </si>
  <si>
    <t>Short Term</t>
  </si>
  <si>
    <t>100-Quarterly Payment lease</t>
  </si>
  <si>
    <t>200-1buyout lease</t>
  </si>
  <si>
    <t>200-AFUD lease</t>
  </si>
  <si>
    <t>200-Annual Payment lease</t>
  </si>
  <si>
    <t>200-Arrears lease</t>
  </si>
  <si>
    <t>200-Cap-Op Vanilla lease</t>
  </si>
  <si>
    <t>200-Currency lease</t>
  </si>
  <si>
    <t>200-Estimated GRV lease</t>
  </si>
  <si>
    <t>200-Finance Vanilla lease</t>
  </si>
  <si>
    <t>200-Interim Rent lease</t>
  </si>
  <si>
    <t>200-Lease incentive IDC lease</t>
  </si>
  <si>
    <t>200-Mid month start lease</t>
  </si>
  <si>
    <t>200-Multiple Asset Lease different cost centers</t>
  </si>
  <si>
    <t>200-Payment adjustment lease</t>
  </si>
  <si>
    <t>200-Quarterly Payment lease</t>
  </si>
  <si>
    <t>200-RCHP lease</t>
  </si>
  <si>
    <t>200-Step payments lease</t>
  </si>
  <si>
    <t>2022 1buyout lease</t>
  </si>
  <si>
    <t>2022 AFUD lease</t>
  </si>
  <si>
    <t>2022 Annual Payment lease</t>
  </si>
  <si>
    <t>2022 Arrears lease</t>
  </si>
  <si>
    <t>2022 COE lease steps</t>
  </si>
  <si>
    <t>2022 Cap-Op Vanilla lease</t>
  </si>
  <si>
    <t>2022 Lease incentive IDC lease</t>
  </si>
  <si>
    <t>2022 Mid month start lease</t>
  </si>
  <si>
    <t>2022 Payment adjustment lease</t>
  </si>
  <si>
    <t>Remeasurement due to recurring payment adjustment</t>
  </si>
  <si>
    <t>2022 RCHP lease</t>
  </si>
  <si>
    <t>2022 Step payments lease</t>
  </si>
  <si>
    <t>21R2 001</t>
  </si>
  <si>
    <t>Automobiles</t>
  </si>
  <si>
    <t>21R2 002</t>
  </si>
  <si>
    <t>21R2 003</t>
  </si>
  <si>
    <t>Incomplete</t>
  </si>
  <si>
    <t>22R2 Webinar</t>
  </si>
  <si>
    <t>Acme 840,Acme 842</t>
  </si>
  <si>
    <t>Material Handling</t>
  </si>
  <si>
    <t>22R4 SoD 1</t>
  </si>
  <si>
    <t>300-1buyout lease</t>
  </si>
  <si>
    <t>Evergreen</t>
  </si>
  <si>
    <t>300-AFUD lease</t>
  </si>
  <si>
    <t>300-Annual Payment lease</t>
  </si>
  <si>
    <t>300-Arrears lease</t>
  </si>
  <si>
    <t>300-Currency lease</t>
  </si>
  <si>
    <t>300-Estimated GRV lease</t>
  </si>
  <si>
    <t>300-Finance Vanilla lease</t>
  </si>
  <si>
    <t>300-Interim Rent lease</t>
  </si>
  <si>
    <t>300-Lease incentive IDC lease</t>
  </si>
  <si>
    <t>300-Mid month start lease</t>
  </si>
  <si>
    <t>300-Multiple Asset Lease different cost centers</t>
  </si>
  <si>
    <t>Renewed</t>
  </si>
  <si>
    <t>300-Payment adjustment lease</t>
  </si>
  <si>
    <t>300-Quarterly Payment lease</t>
  </si>
  <si>
    <t>300-RCHP lease</t>
  </si>
  <si>
    <t>300-Step payments lease</t>
  </si>
  <si>
    <t>AB 500</t>
  </si>
  <si>
    <t>Acme International, Inc.</t>
  </si>
  <si>
    <t>Canadian Leasing Group</t>
  </si>
  <si>
    <t>Building</t>
  </si>
  <si>
    <t>ACC05-M001</t>
  </si>
  <si>
    <t>Servers</t>
  </si>
  <si>
    <t>ACC06</t>
  </si>
  <si>
    <t>ACC06-M001</t>
  </si>
  <si>
    <t>ACC07</t>
  </si>
  <si>
    <t>ACC08</t>
  </si>
  <si>
    <t>ACC09</t>
  </si>
  <si>
    <t>ACC10</t>
  </si>
  <si>
    <t>ACC303</t>
  </si>
  <si>
    <t>Acme 16,Acme 842</t>
  </si>
  <si>
    <t>Acme Communications Corporation</t>
  </si>
  <si>
    <t>North Point Real Estate Inc.</t>
  </si>
  <si>
    <t>ACC4</t>
  </si>
  <si>
    <t>ACC606</t>
  </si>
  <si>
    <t>PendingApproval</t>
  </si>
  <si>
    <t>ACC7-ROLLBACK</t>
  </si>
  <si>
    <t>Defunct (Rolled Back)</t>
  </si>
  <si>
    <t>ACC8</t>
  </si>
  <si>
    <t>ACC8-M001</t>
  </si>
  <si>
    <t>ACC9</t>
  </si>
  <si>
    <t>ACME 092622 02 BH</t>
  </si>
  <si>
    <t>10-4 Financing, LLC</t>
  </si>
  <si>
    <t>Computers/Peripherals</t>
  </si>
  <si>
    <t>ACME 11012201 BH</t>
  </si>
  <si>
    <t>ACME 11012201 BH-A001</t>
  </si>
  <si>
    <t>ACME 11012202 BH</t>
  </si>
  <si>
    <t>ACME 11012202 BH-A001</t>
  </si>
  <si>
    <t>ACME 11022202 BH</t>
  </si>
  <si>
    <t>ACME 11022202 BH-M001</t>
  </si>
  <si>
    <t>ACME 11022203 BH</t>
  </si>
  <si>
    <t>ACME 110822 STEP01 BH</t>
  </si>
  <si>
    <t>ACME 110822 STEP01 BH-M001</t>
  </si>
  <si>
    <t>ACME 500 EC BH</t>
  </si>
  <si>
    <t>Rost Leasing, Inc.</t>
  </si>
  <si>
    <t>Mobile Shop Equipment</t>
  </si>
  <si>
    <t>ACME 500 EC BH-A001</t>
  </si>
  <si>
    <t>ACME 500 EC HW</t>
  </si>
  <si>
    <t>ACME 5003 ES BH</t>
  </si>
  <si>
    <t>ACME AUS 01</t>
  </si>
  <si>
    <t>ACME BH 07242019 A</t>
  </si>
  <si>
    <t>ACME BH ES 001</t>
  </si>
  <si>
    <t>ACME BH ES 001-M001</t>
  </si>
  <si>
    <t>ACME BH JUL0622-01</t>
  </si>
  <si>
    <t>ACME EC 6 BH</t>
  </si>
  <si>
    <t>ACME ES 070221A BH</t>
  </si>
  <si>
    <t>ACME ES 1000 BH</t>
  </si>
  <si>
    <t>Acme CX Division</t>
  </si>
  <si>
    <t>Terminated</t>
  </si>
  <si>
    <t>ACME ES 1000 BH-M001</t>
  </si>
  <si>
    <t>ACME ES 1001 BH</t>
  </si>
  <si>
    <t>ACME ES 707 BH</t>
  </si>
  <si>
    <t>ACME ES 903Z BH</t>
  </si>
  <si>
    <t>ACME ES 903Z BH-M001</t>
  </si>
  <si>
    <t>ACME ES 904 BH</t>
  </si>
  <si>
    <t>ACME ES 907 BH</t>
  </si>
  <si>
    <t>ACME ES 950 BH</t>
  </si>
  <si>
    <t>ACME ES BH 02</t>
  </si>
  <si>
    <t>ACME ES BH 07162021 01</t>
  </si>
  <si>
    <t>ACME RB1002-M001</t>
  </si>
  <si>
    <t>ACME RB1003-M001</t>
  </si>
  <si>
    <t>ACME RB1004-M001</t>
  </si>
  <si>
    <t>ACME RB1005-M001</t>
  </si>
  <si>
    <t>ACME RE 0001</t>
  </si>
  <si>
    <t>ACME RE 001</t>
  </si>
  <si>
    <t>AFUD 001</t>
  </si>
  <si>
    <t>AFUD 002</t>
  </si>
  <si>
    <t>AFUD 003</t>
  </si>
  <si>
    <t>AL 100</t>
  </si>
  <si>
    <t>AL 200</t>
  </si>
  <si>
    <t>AL 300</t>
  </si>
  <si>
    <t>AL 400</t>
  </si>
  <si>
    <t>AL 500</t>
  </si>
  <si>
    <t>AL 600</t>
  </si>
  <si>
    <t>AM 001 BH</t>
  </si>
  <si>
    <t>AM 001 BH-M001</t>
  </si>
  <si>
    <t>AM 101</t>
  </si>
  <si>
    <t>AM 101 BH</t>
  </si>
  <si>
    <t>AM 101 JF</t>
  </si>
  <si>
    <t>AM 102</t>
  </si>
  <si>
    <t>AM 102 BH</t>
  </si>
  <si>
    <t>AM 102 JF</t>
  </si>
  <si>
    <t>AM 103</t>
  </si>
  <si>
    <t>AM 103 BH</t>
  </si>
  <si>
    <t>AM 103 JF</t>
  </si>
  <si>
    <t>APAC COE 02</t>
  </si>
  <si>
    <t>APAC Expense 1</t>
  </si>
  <si>
    <t>AZ2</t>
  </si>
  <si>
    <t>Arizona Leasing, Inc.</t>
  </si>
  <si>
    <t>Acme 01</t>
  </si>
  <si>
    <t>Acme 16,Acme 17,Acme 840,Acme 842,Test 840,Test 842E</t>
  </si>
  <si>
    <t>ATEL Capital</t>
  </si>
  <si>
    <t>Acme 01-A001</t>
  </si>
  <si>
    <t>Acme 092722 BH 02-M001</t>
  </si>
  <si>
    <t>Direct Equipment Financing</t>
  </si>
  <si>
    <t>Acme 1</t>
  </si>
  <si>
    <t>Acme 16,Acme 840,Acme 842</t>
  </si>
  <si>
    <t>Acme 1 JF</t>
  </si>
  <si>
    <t>Acme 10</t>
  </si>
  <si>
    <t>Acme 10 JF</t>
  </si>
  <si>
    <t>Acme 10 JF-M001</t>
  </si>
  <si>
    <t>Acme 100 JF</t>
  </si>
  <si>
    <t>Acme 100 JF-M001</t>
  </si>
  <si>
    <t>Acme 1000 BH</t>
  </si>
  <si>
    <t>Acme 10000</t>
  </si>
  <si>
    <t>Acme 10000 BH</t>
  </si>
  <si>
    <t>Acme 10000 BH-M001</t>
  </si>
  <si>
    <t>Acme 10000 CR</t>
  </si>
  <si>
    <t>Acme 100A</t>
  </si>
  <si>
    <t>Acme 104</t>
  </si>
  <si>
    <t>Acme 105</t>
  </si>
  <si>
    <t>Acme 10a</t>
  </si>
  <si>
    <t>Acme 11 JF</t>
  </si>
  <si>
    <t>Acme 11000</t>
  </si>
  <si>
    <t>Acme 11000 BH</t>
  </si>
  <si>
    <t>Acme 11000 CR</t>
  </si>
  <si>
    <t>Acme 11000 JF</t>
  </si>
  <si>
    <t>Acme 11000 JF-M001</t>
  </si>
  <si>
    <t>Acme 11000R</t>
  </si>
  <si>
    <t>Trucks</t>
  </si>
  <si>
    <t>Acme 11000R BH</t>
  </si>
  <si>
    <t>Acme 11000R CR</t>
  </si>
  <si>
    <t>Acme 11000R HW</t>
  </si>
  <si>
    <t>Acme 11000R JF</t>
  </si>
  <si>
    <t>Acme 11000R SW</t>
  </si>
  <si>
    <t>Acme 111</t>
  </si>
  <si>
    <t>Acme 11a</t>
  </si>
  <si>
    <t>Acme 12 JF</t>
  </si>
  <si>
    <t>Acme 12000</t>
  </si>
  <si>
    <t>Acme 12000 BH</t>
  </si>
  <si>
    <t>Acme 12000 CR</t>
  </si>
  <si>
    <t>Acme 12000 JF</t>
  </si>
  <si>
    <t>Acme 124</t>
  </si>
  <si>
    <t>Acme 125</t>
  </si>
  <si>
    <t>Acme 12a</t>
  </si>
  <si>
    <t>Acme 13 JF</t>
  </si>
  <si>
    <t>Acme 13000</t>
  </si>
  <si>
    <t>Acme 13000 BH</t>
  </si>
  <si>
    <t>Acme 13000 CR</t>
  </si>
  <si>
    <t>Acme 13000 JF</t>
  </si>
  <si>
    <t>Acme 13a</t>
  </si>
  <si>
    <t>Acme 14 JF</t>
  </si>
  <si>
    <t>Acme 14000</t>
  </si>
  <si>
    <t>Acme 14000 BH</t>
  </si>
  <si>
    <t>Acme 14000 CR</t>
  </si>
  <si>
    <t>Acme 14000 JF</t>
  </si>
  <si>
    <t>Acme 144</t>
  </si>
  <si>
    <t>Acme 145</t>
  </si>
  <si>
    <t>Acme 14a</t>
  </si>
  <si>
    <t>Acme 15 JF</t>
  </si>
  <si>
    <t>Acme 150-M001</t>
  </si>
  <si>
    <t>Acme 15000</t>
  </si>
  <si>
    <t>Acme 15000 BH</t>
  </si>
  <si>
    <t>Acme 15000 CR</t>
  </si>
  <si>
    <t>Acme 15000 JF</t>
  </si>
  <si>
    <t>Acme 15a</t>
  </si>
  <si>
    <t>Acme 16000</t>
  </si>
  <si>
    <t>Acme 16000 BH</t>
  </si>
  <si>
    <t>Acme 16000 BH-M001</t>
  </si>
  <si>
    <t>Acme 16000 CR</t>
  </si>
  <si>
    <t>Acme 16000 JF</t>
  </si>
  <si>
    <t>Acme 16000 JF-M001</t>
  </si>
  <si>
    <t>Acme 17000</t>
  </si>
  <si>
    <t>Acme 17000 BH</t>
  </si>
  <si>
    <t>Acme 17000 CR</t>
  </si>
  <si>
    <t>Acme 17000 JF</t>
  </si>
  <si>
    <t>Acme 18000</t>
  </si>
  <si>
    <t>Acme 18000 BH</t>
  </si>
  <si>
    <t>Acme 18000 BH-M001</t>
  </si>
  <si>
    <t>Acme 18000 CR</t>
  </si>
  <si>
    <t>Acme 19000</t>
  </si>
  <si>
    <t>Acme 19000 BH</t>
  </si>
  <si>
    <t>Acme 19000 CR</t>
  </si>
  <si>
    <t>Acme 19000 JF</t>
  </si>
  <si>
    <t>Acme 1a</t>
  </si>
  <si>
    <t>Acme 1b</t>
  </si>
  <si>
    <t>Acme 2</t>
  </si>
  <si>
    <t>Acme 2 JF</t>
  </si>
  <si>
    <t>Acme 2000 BH</t>
  </si>
  <si>
    <t>Acme 2000 JF-M001</t>
  </si>
  <si>
    <t>Acme 20000</t>
  </si>
  <si>
    <t>Acme 20000 BH</t>
  </si>
  <si>
    <t>Acme 20000 CR</t>
  </si>
  <si>
    <t>Acme 201</t>
  </si>
  <si>
    <t>Acme 205</t>
  </si>
  <si>
    <t>Acme 208A</t>
  </si>
  <si>
    <t>Acme 21000</t>
  </si>
  <si>
    <t>Acme 21000 BH</t>
  </si>
  <si>
    <t>Acme 21000 CR</t>
  </si>
  <si>
    <t>Acme 211</t>
  </si>
  <si>
    <t>Acme 22000</t>
  </si>
  <si>
    <t>Acme 22000 BH</t>
  </si>
  <si>
    <t>Acme 22000 BH-M001</t>
  </si>
  <si>
    <t>Acme 22000 CR</t>
  </si>
  <si>
    <t>Acme 22000 JF</t>
  </si>
  <si>
    <t>Acme 23000</t>
  </si>
  <si>
    <t>Acme 23000 BH</t>
  </si>
  <si>
    <t>Acme 23000 BH-M001</t>
  </si>
  <si>
    <t>Acme 23000 CR</t>
  </si>
  <si>
    <t>Acme 23000 JF</t>
  </si>
  <si>
    <t>Acme 24000</t>
  </si>
  <si>
    <t>Acme 24000 BH</t>
  </si>
  <si>
    <t>Acme 24000 BH-M001</t>
  </si>
  <si>
    <t>Acme 24000 CR</t>
  </si>
  <si>
    <t>Acme 24000 JF</t>
  </si>
  <si>
    <t>Acme 25000</t>
  </si>
  <si>
    <t>Acme 25000 BH</t>
  </si>
  <si>
    <t>Acme 25000 CR</t>
  </si>
  <si>
    <t>Acme 25000 JF</t>
  </si>
  <si>
    <t>Acme 26000</t>
  </si>
  <si>
    <t>Acme 26000 BH</t>
  </si>
  <si>
    <t>Acme 26000 BH-M001</t>
  </si>
  <si>
    <t>Acme 26000 CR</t>
  </si>
  <si>
    <t>Acme 26000 JF</t>
  </si>
  <si>
    <t>Acme 26000 JF-M001</t>
  </si>
  <si>
    <t>Acme 27000</t>
  </si>
  <si>
    <t>Acme 27000 BH</t>
  </si>
  <si>
    <t>Acme 27000 BH-M001</t>
  </si>
  <si>
    <t>Multiple</t>
  </si>
  <si>
    <t>Acme 27000 CR</t>
  </si>
  <si>
    <t>Acme 27000 JF</t>
  </si>
  <si>
    <t>Acme 28000</t>
  </si>
  <si>
    <t>Acme 28000 BH</t>
  </si>
  <si>
    <t>Acme 28000 BH-M001</t>
  </si>
  <si>
    <t>Acme 28000 CR</t>
  </si>
  <si>
    <t>Acme 28000 JF</t>
  </si>
  <si>
    <t>Acme 28000 JF-M001</t>
  </si>
  <si>
    <t>Acme 29000</t>
  </si>
  <si>
    <t>Acme 29000 BH</t>
  </si>
  <si>
    <t>Acme 29000 CR</t>
  </si>
  <si>
    <t>Acme 29000 JF</t>
  </si>
  <si>
    <t>Acme 29000 JF-A001</t>
  </si>
  <si>
    <t>Acme 29000 JF-M001</t>
  </si>
  <si>
    <t>Acme 2a</t>
  </si>
  <si>
    <t>Acme 3 JF</t>
  </si>
  <si>
    <t>Machine/Shop Equipment</t>
  </si>
  <si>
    <t>Acme 3000 BH</t>
  </si>
  <si>
    <t>Acme 3000 JF-M001</t>
  </si>
  <si>
    <t>Acme 30000</t>
  </si>
  <si>
    <t>Acme 30000 BH</t>
  </si>
  <si>
    <t>Acme 30000 CR</t>
  </si>
  <si>
    <t>Acme 30000 JF</t>
  </si>
  <si>
    <t>Acme 30000 JF-M001</t>
  </si>
  <si>
    <t>Acme 300A</t>
  </si>
  <si>
    <t>Acme 3a</t>
  </si>
  <si>
    <t>Acme 4</t>
  </si>
  <si>
    <t>Sydney Real Estate Associates</t>
  </si>
  <si>
    <t>Acme 4 JF</t>
  </si>
  <si>
    <t>Acme 4 JF-M001</t>
  </si>
  <si>
    <t>Acme 4000 CR-M001</t>
  </si>
  <si>
    <t>Acme 4000 JF-M001</t>
  </si>
  <si>
    <t>Acme 4000 JF-M002</t>
  </si>
  <si>
    <t>Acme 403</t>
  </si>
  <si>
    <t>Acme 404</t>
  </si>
  <si>
    <t>Acme 405</t>
  </si>
  <si>
    <t>Acme 407</t>
  </si>
  <si>
    <t>Acme 407-M001</t>
  </si>
  <si>
    <t>Acme 408</t>
  </si>
  <si>
    <t>Acme 409</t>
  </si>
  <si>
    <t>Acme 415</t>
  </si>
  <si>
    <t>Acme 4a</t>
  </si>
  <si>
    <t>Acme 5</t>
  </si>
  <si>
    <t>Acme 5 JF</t>
  </si>
  <si>
    <t>Acme 50</t>
  </si>
  <si>
    <t>Acme 500</t>
  </si>
  <si>
    <t>Acme 5000 CR-M001</t>
  </si>
  <si>
    <t>Acme 5000 JF</t>
  </si>
  <si>
    <t>Acme 5000 JF-M001</t>
  </si>
  <si>
    <t>Acme 5000 JF-M002</t>
  </si>
  <si>
    <t>Acme 501-M001</t>
  </si>
  <si>
    <t>Acme 502</t>
  </si>
  <si>
    <t>Acme 504</t>
  </si>
  <si>
    <t>Acme 505</t>
  </si>
  <si>
    <t>Acme 506</t>
  </si>
  <si>
    <t>Acme 507</t>
  </si>
  <si>
    <t>Acme 508</t>
  </si>
  <si>
    <t>Acme 509</t>
  </si>
  <si>
    <t>Acme 510-M001</t>
  </si>
  <si>
    <t>Acme 511</t>
  </si>
  <si>
    <t>Acme 512-M001</t>
  </si>
  <si>
    <t>Acme 513</t>
  </si>
  <si>
    <t>Acme 514</t>
  </si>
  <si>
    <t>Acme 515</t>
  </si>
  <si>
    <t>Acme 529 PA</t>
  </si>
  <si>
    <t>Acme 5a</t>
  </si>
  <si>
    <t>Acme 6 JF</t>
  </si>
  <si>
    <t>Acme 6 JF-M001</t>
  </si>
  <si>
    <t>Acme 6-M001</t>
  </si>
  <si>
    <t>Acme 6a</t>
  </si>
  <si>
    <t>Acme 7 JF</t>
  </si>
  <si>
    <t>Acme 7000</t>
  </si>
  <si>
    <t>Acme 7000 BH</t>
  </si>
  <si>
    <t>Acme 7000 CR</t>
  </si>
  <si>
    <t>Acme 7000 JF</t>
  </si>
  <si>
    <t>Acme 7000-A001</t>
  </si>
  <si>
    <t>Acme 7a</t>
  </si>
  <si>
    <t>Acme 7a-A001</t>
  </si>
  <si>
    <t>Acme 8</t>
  </si>
  <si>
    <t>Europe Premier Group</t>
  </si>
  <si>
    <t>Acme 8 JF</t>
  </si>
  <si>
    <t>Acme 8-01</t>
  </si>
  <si>
    <t>Acme 800 JF</t>
  </si>
  <si>
    <t>Acme 8000 BH</t>
  </si>
  <si>
    <t>Acme 8000 CR</t>
  </si>
  <si>
    <t>Acme 8000 JF-M001</t>
  </si>
  <si>
    <t>Acme 8000-M001</t>
  </si>
  <si>
    <t>Acme 801 JF</t>
  </si>
  <si>
    <t>Acme 802 JF</t>
  </si>
  <si>
    <t>Acme 803 JF</t>
  </si>
  <si>
    <t>Acme 804 JF</t>
  </si>
  <si>
    <t>Acme 805 JF</t>
  </si>
  <si>
    <t>Acme 805 JF-M001</t>
  </si>
  <si>
    <t>Acme 806 JF</t>
  </si>
  <si>
    <t>Acme 8a</t>
  </si>
  <si>
    <t>Acme 9</t>
  </si>
  <si>
    <t>Acme 9 JF</t>
  </si>
  <si>
    <t>Acme 9000</t>
  </si>
  <si>
    <t>Acme 9000 BH</t>
  </si>
  <si>
    <t>Acme 9000 CR</t>
  </si>
  <si>
    <t>Acme 9000 JF-M001</t>
  </si>
  <si>
    <t>Acme 980 JF</t>
  </si>
  <si>
    <t>Acme 981 JF</t>
  </si>
  <si>
    <t>Acme 981 JF-M001</t>
  </si>
  <si>
    <t>Acme 983 JF</t>
  </si>
  <si>
    <t>Acme 983 JF-A001</t>
  </si>
  <si>
    <t>Acme 985 JF</t>
  </si>
  <si>
    <t>Storage</t>
  </si>
  <si>
    <t>Acme 986 JF</t>
  </si>
  <si>
    <t>Laboratory Equipment</t>
  </si>
  <si>
    <t>Acme 987 JF</t>
  </si>
  <si>
    <t>Acme 987 JF-A001</t>
  </si>
  <si>
    <t>Acme 989 JF</t>
  </si>
  <si>
    <t>Telecommunications</t>
  </si>
  <si>
    <t>Acme 990 JF</t>
  </si>
  <si>
    <t>Acme 991 JF</t>
  </si>
  <si>
    <t>Acme 993 JF</t>
  </si>
  <si>
    <t>Acme 994 JF</t>
  </si>
  <si>
    <t>Acme 998 JF</t>
  </si>
  <si>
    <t>Acme 999 JF</t>
  </si>
  <si>
    <t>Acme 999 JF-M001</t>
  </si>
  <si>
    <t>Acme 9a</t>
  </si>
  <si>
    <t>Acme AZ01</t>
  </si>
  <si>
    <t>Acme AZ02</t>
  </si>
  <si>
    <t>Acme BI 092722</t>
  </si>
  <si>
    <t>Acme CR 1</t>
  </si>
  <si>
    <t>Acme CR 2</t>
  </si>
  <si>
    <t>Acme CR 3</t>
  </si>
  <si>
    <t>Acme CR 4</t>
  </si>
  <si>
    <t>Acme CR 5</t>
  </si>
  <si>
    <t>Telephone Systems</t>
  </si>
  <si>
    <t>Acme E01</t>
  </si>
  <si>
    <t>Acme EOT 1 BH</t>
  </si>
  <si>
    <t>Acme EOT 2 BH</t>
  </si>
  <si>
    <t>Remeasurement due to partial buyout specifying a change in surviving rental amount</t>
  </si>
  <si>
    <t>Acme EOT 3 BH</t>
  </si>
  <si>
    <t>Acme IMP01</t>
  </si>
  <si>
    <t>Acme Imp 1 BH</t>
  </si>
  <si>
    <t>Acme Imp 2 BH</t>
  </si>
  <si>
    <t>Acme Imp 2 BH-A001</t>
  </si>
  <si>
    <t>Acme Mixed 003</t>
  </si>
  <si>
    <t>Acme Mixed 03</t>
  </si>
  <si>
    <t>Acme Mod 08192101 BH</t>
  </si>
  <si>
    <t>Acme Mod 1 BH-M001</t>
  </si>
  <si>
    <t>Acme Mod 1 JF</t>
  </si>
  <si>
    <t>Acme Mod 1 JF-M001</t>
  </si>
  <si>
    <t>Acme Mod 10 BH</t>
  </si>
  <si>
    <t>Acme Mod 10 JF-M001</t>
  </si>
  <si>
    <t>Acme Mod 11 BH</t>
  </si>
  <si>
    <t>Acme Mod 11 BH-M001</t>
  </si>
  <si>
    <t>Acme Mod 11 JF-M001</t>
  </si>
  <si>
    <t>Acme Mod 12 BH</t>
  </si>
  <si>
    <t>Acme Mod 12 JF-M001</t>
  </si>
  <si>
    <t>Acme Mod 13 BH</t>
  </si>
  <si>
    <t>Acme Mod 13 BH-M001</t>
  </si>
  <si>
    <t>Acme Mod 13 JF-M001</t>
  </si>
  <si>
    <t>Acme Mod 14a BH</t>
  </si>
  <si>
    <t>Acme Mod 14a JF-M001</t>
  </si>
  <si>
    <t>Acme Mod 14b BH</t>
  </si>
  <si>
    <t>Acme Mod 14b JF</t>
  </si>
  <si>
    <t>Acme Mod 15 BH</t>
  </si>
  <si>
    <t>Acme Mod 15 BH-A001</t>
  </si>
  <si>
    <t>Acme Mod 15 JF</t>
  </si>
  <si>
    <t>Acme Mod 2 BH</t>
  </si>
  <si>
    <t>Acme Mod 2 BH-A001</t>
  </si>
  <si>
    <t>Acme Mod 2 JF</t>
  </si>
  <si>
    <t>Acme Mod 2 JF-M001</t>
  </si>
  <si>
    <t>Acme Mod 3 BH</t>
  </si>
  <si>
    <t>Acme Mod 3 JF</t>
  </si>
  <si>
    <t>Acme Mod 3 JF-M001</t>
  </si>
  <si>
    <t>Acme Mod 4 BH-M001</t>
  </si>
  <si>
    <t>Acme Mod 4 JF</t>
  </si>
  <si>
    <t>Acme Mod 5 BH</t>
  </si>
  <si>
    <t>Acme Mod 5 JF</t>
  </si>
  <si>
    <t>Acme Mod 5 JF-A001</t>
  </si>
  <si>
    <t>Acme Mod 5a BH</t>
  </si>
  <si>
    <t>Acme Mod 5a BH-A001</t>
  </si>
  <si>
    <t>Acme Mod 5a JF</t>
  </si>
  <si>
    <t>Acme Mod 5a JF-M001</t>
  </si>
  <si>
    <t>Acme Mod 6 BH</t>
  </si>
  <si>
    <t>Acme Mod 6 BH-M001</t>
  </si>
  <si>
    <t>Acme Mod 6 JF</t>
  </si>
  <si>
    <t>Acme Mod 6 JF-A001</t>
  </si>
  <si>
    <t>Acme Mod 6 JF-M001</t>
  </si>
  <si>
    <t>Acme Mod 7 7 21 1 BH</t>
  </si>
  <si>
    <t>Acme Mod 7 7 21 2 BH-M001</t>
  </si>
  <si>
    <t>Acme Mod 7 7 21 3 BH</t>
  </si>
  <si>
    <t>Acme Mod 7 7 21 3 BH-M001</t>
  </si>
  <si>
    <t>Acme Mod 7 BH-M001</t>
  </si>
  <si>
    <t>Acme Mod 7 JF</t>
  </si>
  <si>
    <t>Acme Mod 7 JF-M001</t>
  </si>
  <si>
    <t>Acme Mod 8 BH-M001</t>
  </si>
  <si>
    <t>Acme Mod 8 JF-M001</t>
  </si>
  <si>
    <t>Acme Mod 9 BH</t>
  </si>
  <si>
    <t>Acme Mod 9 JF</t>
  </si>
  <si>
    <t>Acme PC01</t>
  </si>
  <si>
    <t>Acme R9000-M001</t>
  </si>
  <si>
    <t>Acme Step 1</t>
  </si>
  <si>
    <t>Africa 001</t>
  </si>
  <si>
    <t>Winthrop Resources</t>
  </si>
  <si>
    <t>Apple POC 1</t>
  </si>
  <si>
    <t>Apple POC 2</t>
  </si>
  <si>
    <t>Auto Renewal 002</t>
  </si>
  <si>
    <t>BAE 1</t>
  </si>
  <si>
    <t>BAE 2</t>
  </si>
  <si>
    <t>BH1</t>
  </si>
  <si>
    <t>BH3</t>
  </si>
  <si>
    <t>BH4</t>
  </si>
  <si>
    <t>BH5</t>
  </si>
  <si>
    <t>Book Deal 01</t>
  </si>
  <si>
    <t>C-015689-08282022Test</t>
  </si>
  <si>
    <t>CA 01</t>
  </si>
  <si>
    <t>Moulton Parkway Villas</t>
  </si>
  <si>
    <t>CLR 1002 14</t>
  </si>
  <si>
    <t>Wells Fargo Equipment Finance Company</t>
  </si>
  <si>
    <t>CLR 1002 17</t>
  </si>
  <si>
    <t>Allstate Ford</t>
  </si>
  <si>
    <t>CLR 1002 22</t>
  </si>
  <si>
    <t>Citizens Asset Finance, Inc.</t>
  </si>
  <si>
    <t>CLR 1002 29</t>
  </si>
  <si>
    <t>CLR 1002 30</t>
  </si>
  <si>
    <t>AZ Vendor</t>
  </si>
  <si>
    <t>CLR 1002 32</t>
  </si>
  <si>
    <t>Apple Inc.</t>
  </si>
  <si>
    <t>CLR 1002 33</t>
  </si>
  <si>
    <t>CBRE</t>
  </si>
  <si>
    <t>CLR 1002 39</t>
  </si>
  <si>
    <t>CLR 1002 4</t>
  </si>
  <si>
    <t>CLR 1002 42</t>
  </si>
  <si>
    <t>CLR 1002 47</t>
  </si>
  <si>
    <t>CLR 1002 5</t>
  </si>
  <si>
    <t>CLR 1002 7</t>
  </si>
  <si>
    <t>Cisco Systems Capital Corporation</t>
  </si>
  <si>
    <t>CLR 1002 8</t>
  </si>
  <si>
    <t>CLR01</t>
  </si>
  <si>
    <t>CLR02</t>
  </si>
  <si>
    <t>CLR03</t>
  </si>
  <si>
    <t>COE 008</t>
  </si>
  <si>
    <t>COE 01-CR</t>
  </si>
  <si>
    <t>ASC 842A,Acme 16,Acme 17,Acme 840,Acme 842</t>
  </si>
  <si>
    <t>COE CR001</t>
  </si>
  <si>
    <t>COE CR002</t>
  </si>
  <si>
    <t>CR 01-ASC</t>
  </si>
  <si>
    <t>CR 02</t>
  </si>
  <si>
    <t>CR 03</t>
  </si>
  <si>
    <t>CR 07</t>
  </si>
  <si>
    <t>CR 08</t>
  </si>
  <si>
    <t>CR 09</t>
  </si>
  <si>
    <t>CR Step 01</t>
  </si>
  <si>
    <t>CR-Annual Payment lease</t>
  </si>
  <si>
    <t>CR-Approve</t>
  </si>
  <si>
    <t>CR-Mid month start lease</t>
  </si>
  <si>
    <t>CR-Quarterly Payment lease</t>
  </si>
  <si>
    <t>CR012-M001</t>
  </si>
  <si>
    <t>Agfa Graphics</t>
  </si>
  <si>
    <t>CR1</t>
  </si>
  <si>
    <t>CR1-M001</t>
  </si>
  <si>
    <t>CR100</t>
  </si>
  <si>
    <t>CR2</t>
  </si>
  <si>
    <t>CR2-M001</t>
  </si>
  <si>
    <t>CR3</t>
  </si>
  <si>
    <t>CR4</t>
  </si>
  <si>
    <t>CR400</t>
  </si>
  <si>
    <t>CR5</t>
  </si>
  <si>
    <t>CR5-M001</t>
  </si>
  <si>
    <t>CR500</t>
  </si>
  <si>
    <t>CX496-3-CR</t>
  </si>
  <si>
    <t>CX496-4-CR</t>
  </si>
  <si>
    <t>Classification 01</t>
  </si>
  <si>
    <t>Computer Lease 1</t>
  </si>
  <si>
    <t>Computer Lease 2</t>
  </si>
  <si>
    <t>DEC COE 01</t>
  </si>
  <si>
    <t>Deal 005-M001</t>
  </si>
  <si>
    <t>EC 1001</t>
  </si>
  <si>
    <t>EC 1001 JF</t>
  </si>
  <si>
    <t>EC 1002</t>
  </si>
  <si>
    <t>EC 1002 JF</t>
  </si>
  <si>
    <t>EC 1003</t>
  </si>
  <si>
    <t>EC 1003 JF</t>
  </si>
  <si>
    <t>EC 1004</t>
  </si>
  <si>
    <t>EC 1004 JF</t>
  </si>
  <si>
    <t>EC 1005</t>
  </si>
  <si>
    <t>EC 1005 JF</t>
  </si>
  <si>
    <t>EC 1007</t>
  </si>
  <si>
    <t>EC 1007 JF</t>
  </si>
  <si>
    <t>EC 1008</t>
  </si>
  <si>
    <t>EC 1008 JF</t>
  </si>
  <si>
    <t>EC 1009 JF</t>
  </si>
  <si>
    <t>EC 1009-RB</t>
  </si>
  <si>
    <t>EC 1010</t>
  </si>
  <si>
    <t>EC 1010 JF</t>
  </si>
  <si>
    <t>EC 1011 JF</t>
  </si>
  <si>
    <t>EC 1011-RB</t>
  </si>
  <si>
    <t>EC 1012</t>
  </si>
  <si>
    <t>EC 1012 JF</t>
  </si>
  <si>
    <t>EC 2001 JF</t>
  </si>
  <si>
    <t>EC 2002 JF</t>
  </si>
  <si>
    <t>EC 2003 JF</t>
  </si>
  <si>
    <t>EC 2004 JF</t>
  </si>
  <si>
    <t>EC 2005 JF</t>
  </si>
  <si>
    <t>EC 2006 JF</t>
  </si>
  <si>
    <t>EC 2007 JF</t>
  </si>
  <si>
    <t>EC 2008 JF</t>
  </si>
  <si>
    <t>EC 2009 JF</t>
  </si>
  <si>
    <t>EC 2010 JF</t>
  </si>
  <si>
    <t>EC 2011 JF</t>
  </si>
  <si>
    <t>EC 2012 JF</t>
  </si>
  <si>
    <t>EMEA 01</t>
  </si>
  <si>
    <t>EMEA 01-M001</t>
  </si>
  <si>
    <t>EMEA 02-RB</t>
  </si>
  <si>
    <t>EMEA 03</t>
  </si>
  <si>
    <t>EOT Option 001</t>
  </si>
  <si>
    <t>ES-09212022-BH-01</t>
  </si>
  <si>
    <t>ES-BH092222-01</t>
  </si>
  <si>
    <t>ES-BH092222-01-A001</t>
  </si>
  <si>
    <t>Engage002</t>
  </si>
  <si>
    <t>Acme 17,Acme 840,Acme 842</t>
  </si>
  <si>
    <t>Floating Rate 1</t>
  </si>
  <si>
    <t>Floating Rate 2</t>
  </si>
  <si>
    <t>GA 100</t>
  </si>
  <si>
    <t>GA 200</t>
  </si>
  <si>
    <t>GA 200-M001</t>
  </si>
  <si>
    <t>GA 300</t>
  </si>
  <si>
    <t>GA 400</t>
  </si>
  <si>
    <t>GA 500</t>
  </si>
  <si>
    <t>Hexcel CNY01</t>
  </si>
  <si>
    <t>Hexcel CNY02</t>
  </si>
  <si>
    <t>Hexcel COE 01</t>
  </si>
  <si>
    <t>Hexcel EUR01</t>
  </si>
  <si>
    <t>Hexcel EUR02</t>
  </si>
  <si>
    <t>Hexcel GBP01</t>
  </si>
  <si>
    <t>Hexcel GBP02</t>
  </si>
  <si>
    <t>Hexcel INR01</t>
  </si>
  <si>
    <t>Hexcel INR02</t>
  </si>
  <si>
    <t>Hexcel JPY01</t>
  </si>
  <si>
    <t>Hexcel USD01</t>
  </si>
  <si>
    <t>Hexcel USD02</t>
  </si>
  <si>
    <t>ID 200</t>
  </si>
  <si>
    <t>IL 100</t>
  </si>
  <si>
    <t>JF1</t>
  </si>
  <si>
    <t>JF2</t>
  </si>
  <si>
    <t>JF3</t>
  </si>
  <si>
    <t>JF5</t>
  </si>
  <si>
    <t>LA-10039 TC1</t>
  </si>
  <si>
    <t>LA-10039 TC2</t>
  </si>
  <si>
    <t>LA-10039 TC3</t>
  </si>
  <si>
    <t>LA9453</t>
  </si>
  <si>
    <t>LA9907-CoreOnly1</t>
  </si>
  <si>
    <t>LA9907-CoreOnly2</t>
  </si>
  <si>
    <t>LFR 0112 A-M001</t>
  </si>
  <si>
    <t>Wells Fargo Bank, NA</t>
  </si>
  <si>
    <t>LFR 0113 A-M001</t>
  </si>
  <si>
    <t>LFR 0114 A</t>
  </si>
  <si>
    <t>LFR 0220 1</t>
  </si>
  <si>
    <t>LFR 0220 1-M001</t>
  </si>
  <si>
    <t>LFR 0220 10</t>
  </si>
  <si>
    <t>Kovarus, INC.</t>
  </si>
  <si>
    <t>LFR 0220 11</t>
  </si>
  <si>
    <t>NetApp Financial Solutions</t>
  </si>
  <si>
    <t>LFR 0220 12</t>
  </si>
  <si>
    <t>NetApp, Inc.</t>
  </si>
  <si>
    <t>LFR 0220 13</t>
  </si>
  <si>
    <t>LFR 0220 14</t>
  </si>
  <si>
    <t>LFR 0220 15</t>
  </si>
  <si>
    <t>Test Funder Vendor</t>
  </si>
  <si>
    <t>LFR 0220 16</t>
  </si>
  <si>
    <t>U.S. Bancorp Equipment Finance, Inc.</t>
  </si>
  <si>
    <t>LFR 0220 17</t>
  </si>
  <si>
    <t>LFR 0220 18</t>
  </si>
  <si>
    <t>LFR 0220 19</t>
  </si>
  <si>
    <t>LFR 0220 20</t>
  </si>
  <si>
    <t>LFR 0220 22</t>
  </si>
  <si>
    <t>LFR 0220 23</t>
  </si>
  <si>
    <t>LFR 0220 24</t>
  </si>
  <si>
    <t>LFR 0220 25</t>
  </si>
  <si>
    <t>LFR 0220 26</t>
  </si>
  <si>
    <t>CYRUSONE LLC</t>
  </si>
  <si>
    <t>LFR 0220 28</t>
  </si>
  <si>
    <t>LFR 0220 29</t>
  </si>
  <si>
    <t>IBM Credit LLC</t>
  </si>
  <si>
    <t>LFR 0220 3</t>
  </si>
  <si>
    <t>LFR 0220 30</t>
  </si>
  <si>
    <t>LFR 0220 31</t>
  </si>
  <si>
    <t>LFR 0220 32</t>
  </si>
  <si>
    <t>LFR 0220 35</t>
  </si>
  <si>
    <t>LFR 0220 36</t>
  </si>
  <si>
    <t>LFR 0220 37</t>
  </si>
  <si>
    <t>LFR 0220 38</t>
  </si>
  <si>
    <t>LFR 0220 39</t>
  </si>
  <si>
    <t>LFR 0220 4</t>
  </si>
  <si>
    <t>LFR 0220 40</t>
  </si>
  <si>
    <t>LFR 0220 41</t>
  </si>
  <si>
    <t>LFR 0220 42</t>
  </si>
  <si>
    <t>LFR 0220 43</t>
  </si>
  <si>
    <t>LFR 0220 44</t>
  </si>
  <si>
    <t>LFR 0220 45</t>
  </si>
  <si>
    <t>LFR 0220 47</t>
  </si>
  <si>
    <t>LFR 0220 48</t>
  </si>
  <si>
    <t>LFR 0220 49</t>
  </si>
  <si>
    <t>LFR 0220 5</t>
  </si>
  <si>
    <t>LFR 0220 50</t>
  </si>
  <si>
    <t>LFR 0220 6</t>
  </si>
  <si>
    <t>LFR 0220 7</t>
  </si>
  <si>
    <t>LFR 0711</t>
  </si>
  <si>
    <t>Wells Fargo Equipment Finance, Inc</t>
  </si>
  <si>
    <t>LFR 0711-M001</t>
  </si>
  <si>
    <t>LFR 0815-A</t>
  </si>
  <si>
    <t>LFR 1001 1</t>
  </si>
  <si>
    <t>LFR 1001 10</t>
  </si>
  <si>
    <t>LFR 1001 11</t>
  </si>
  <si>
    <t>LFR 1001 12</t>
  </si>
  <si>
    <t>LFR 1001 13</t>
  </si>
  <si>
    <t>LFR 1001 14</t>
  </si>
  <si>
    <t>LFR 1001 15</t>
  </si>
  <si>
    <t>LFR 1001 16</t>
  </si>
  <si>
    <t>LFR 1001 17</t>
  </si>
  <si>
    <t>LFR 1001 18</t>
  </si>
  <si>
    <t>LFR 1001 19</t>
  </si>
  <si>
    <t>LFR 1001 20</t>
  </si>
  <si>
    <t>LFR 1001 22</t>
  </si>
  <si>
    <t>LFR 1001 23</t>
  </si>
  <si>
    <t>LFR 1001 24</t>
  </si>
  <si>
    <t>LFR 1001 29</t>
  </si>
  <si>
    <t>LFR 1001 3</t>
  </si>
  <si>
    <t>LFR 1001 30</t>
  </si>
  <si>
    <t>LFR 1001 31</t>
  </si>
  <si>
    <t>LFR 1001 32</t>
  </si>
  <si>
    <t>LFR 1001 35</t>
  </si>
  <si>
    <t>LFR 1001 36</t>
  </si>
  <si>
    <t>LFR 1001 38</t>
  </si>
  <si>
    <t>LFR 1001 39</t>
  </si>
  <si>
    <t>LFR 1001 4</t>
  </si>
  <si>
    <t>LFR 1001 40</t>
  </si>
  <si>
    <t>LFR 1001 41</t>
  </si>
  <si>
    <t>LFR 1001 42</t>
  </si>
  <si>
    <t>LFR 1001 43</t>
  </si>
  <si>
    <t>LFR 1001 44</t>
  </si>
  <si>
    <t>LFR 1001 45</t>
  </si>
  <si>
    <t>LFR 1001 47</t>
  </si>
  <si>
    <t>LFR 1001 49</t>
  </si>
  <si>
    <t>LFR 1001 5</t>
  </si>
  <si>
    <t>LFR 1001 6</t>
  </si>
  <si>
    <t>LFR 1001 7</t>
  </si>
  <si>
    <t>LFR 1002 14</t>
  </si>
  <si>
    <t>LFR 1002 17</t>
  </si>
  <si>
    <t>LFR 1002 22</t>
  </si>
  <si>
    <t>LFR 1002 29</t>
  </si>
  <si>
    <t>LFR 1002 30</t>
  </si>
  <si>
    <t>LFR 1002 32</t>
  </si>
  <si>
    <t>LFR 1002 38</t>
  </si>
  <si>
    <t>LFR 1002 39</t>
  </si>
  <si>
    <t>LFR 1002 4</t>
  </si>
  <si>
    <t>LFR 1002 42</t>
  </si>
  <si>
    <t>LFR 1002 47</t>
  </si>
  <si>
    <t>LFR 1002 5</t>
  </si>
  <si>
    <t>LFR 1002 7</t>
  </si>
  <si>
    <t>LFR 1002 8</t>
  </si>
  <si>
    <t>LFR 1003 13</t>
  </si>
  <si>
    <t>LFR 1003 28</t>
  </si>
  <si>
    <t>LFR 1003 33</t>
  </si>
  <si>
    <t>LFR 1003 48</t>
  </si>
  <si>
    <t>LFR COE 0213 A</t>
  </si>
  <si>
    <t>LFR COE 0323B-M001</t>
  </si>
  <si>
    <t>Wells Fargo Equipment Finance</t>
  </si>
  <si>
    <t>LFR COE 0323C-M001</t>
  </si>
  <si>
    <t>LFR COE 0325A</t>
  </si>
  <si>
    <t>Remeasurement due to partial return specifying a change in surviving rental amount</t>
  </si>
  <si>
    <t>LFR COE031020A</t>
  </si>
  <si>
    <t>LFR PA 1106 V2-M001</t>
  </si>
  <si>
    <t>LFR-Annual Payment lease</t>
  </si>
  <si>
    <t>LFR-Mid month start lease</t>
  </si>
  <si>
    <t>LFR-Quarterly Payment lease</t>
  </si>
  <si>
    <t>LFRCOEMOD0123-M001</t>
  </si>
  <si>
    <t>LYB0910-M001</t>
  </si>
  <si>
    <t>Lease 02-RB</t>
  </si>
  <si>
    <t>Lease incentive test</t>
  </si>
  <si>
    <t>Acme 842,Test 840,Test 842E</t>
  </si>
  <si>
    <t>LvB Schedule 003</t>
  </si>
  <si>
    <t>5r Finance</t>
  </si>
  <si>
    <t>ME 100</t>
  </si>
  <si>
    <t>MJW0610A-M001</t>
  </si>
  <si>
    <t>MJW0610P-M001</t>
  </si>
  <si>
    <t>MJW0715-M001</t>
  </si>
  <si>
    <t>MJW0722-M001</t>
  </si>
  <si>
    <t>MJW0722-M001-A001</t>
  </si>
  <si>
    <t>MJW0819-M001</t>
  </si>
  <si>
    <t>MJW0903-M001</t>
  </si>
  <si>
    <t>MJW0916-M001</t>
  </si>
  <si>
    <t>MJW1008-M001</t>
  </si>
  <si>
    <t>MJW1012-M001</t>
  </si>
  <si>
    <t>MJW1014</t>
  </si>
  <si>
    <t>MJW1209-M001</t>
  </si>
  <si>
    <t>MN 200</t>
  </si>
  <si>
    <t>MN 300</t>
  </si>
  <si>
    <t>MN 400</t>
  </si>
  <si>
    <t>MO 100</t>
  </si>
  <si>
    <t>MO 100-M001</t>
  </si>
  <si>
    <t>MO 200</t>
  </si>
  <si>
    <t>MO 200-M001</t>
  </si>
  <si>
    <t>MO 300</t>
  </si>
  <si>
    <t>MT 100</t>
  </si>
  <si>
    <t>MT 100-M001</t>
  </si>
  <si>
    <t>MT 200</t>
  </si>
  <si>
    <t>MT 300</t>
  </si>
  <si>
    <t>MT 400</t>
  </si>
  <si>
    <t>MT 400-M001</t>
  </si>
  <si>
    <t>MT 500</t>
  </si>
  <si>
    <t>MT 500-M001</t>
  </si>
  <si>
    <t>Mod 1 JF</t>
  </si>
  <si>
    <t>Mod 10 JF</t>
  </si>
  <si>
    <t>Mod 11 JF</t>
  </si>
  <si>
    <t>Mod 12 JF</t>
  </si>
  <si>
    <t>Mod 13 JF</t>
  </si>
  <si>
    <t>Mod 14 JF</t>
  </si>
  <si>
    <t>Mod 15 JF</t>
  </si>
  <si>
    <t>Mod 2 JF</t>
  </si>
  <si>
    <t>Mod 2 JF-A001</t>
  </si>
  <si>
    <t>Mod 3 JF</t>
  </si>
  <si>
    <t>Mod 4 JF</t>
  </si>
  <si>
    <t>Mod 5 JF</t>
  </si>
  <si>
    <t>Mod 6 JF</t>
  </si>
  <si>
    <t>Mod 7 JF</t>
  </si>
  <si>
    <t>Mod 8 JF</t>
  </si>
  <si>
    <t>Mod 9 JF</t>
  </si>
  <si>
    <t>NA5333-610 AB</t>
  </si>
  <si>
    <t>NH 100</t>
  </si>
  <si>
    <t>NH 200</t>
  </si>
  <si>
    <t>NH 300</t>
  </si>
  <si>
    <t>NH 400</t>
  </si>
  <si>
    <t>NH 500</t>
  </si>
  <si>
    <t>NM01</t>
  </si>
  <si>
    <t>NYK001</t>
  </si>
  <si>
    <t>Notifications 02</t>
  </si>
  <si>
    <t>ABC Leasing &amp; Financing</t>
  </si>
  <si>
    <t>PA 1007</t>
  </si>
  <si>
    <t>POCCAP9-TEST_21</t>
  </si>
  <si>
    <t>POCCAP9-TEST_22</t>
  </si>
  <si>
    <t>POCCAP9-TEST_23</t>
  </si>
  <si>
    <t>Quarterly Renewal 1</t>
  </si>
  <si>
    <t>ALD Automotive Limited</t>
  </si>
  <si>
    <t>Quarterly Renewal 2</t>
  </si>
  <si>
    <t>RI 100</t>
  </si>
  <si>
    <t>RI 1000</t>
  </si>
  <si>
    <t>RI 200</t>
  </si>
  <si>
    <t>RI 300</t>
  </si>
  <si>
    <t>RI 400</t>
  </si>
  <si>
    <t>RI 500</t>
  </si>
  <si>
    <t>RI 600</t>
  </si>
  <si>
    <t>RI 700</t>
  </si>
  <si>
    <t>RI 800</t>
  </si>
  <si>
    <t>RI 900</t>
  </si>
  <si>
    <t>SW-376 No Date</t>
  </si>
  <si>
    <t>SoD 002</t>
  </si>
  <si>
    <t>SoD 01</t>
  </si>
  <si>
    <t>Solar Test 5-M001</t>
  </si>
  <si>
    <t>Land</t>
  </si>
  <si>
    <t>Solar Test 5b-M001</t>
  </si>
  <si>
    <t>Solar Test 5c-M001</t>
  </si>
  <si>
    <t>Solar Test ARO</t>
  </si>
  <si>
    <t>Step 11142019</t>
  </si>
  <si>
    <t>Sublease 1</t>
  </si>
  <si>
    <t>TN 100</t>
  </si>
  <si>
    <t>TN 100-M001</t>
  </si>
  <si>
    <t>TN 200</t>
  </si>
  <si>
    <t>TN 300</t>
  </si>
  <si>
    <t>TN 400</t>
  </si>
  <si>
    <t>TN 500</t>
  </si>
  <si>
    <t>Test Amortization Term</t>
  </si>
  <si>
    <t>Test BA on multiple assets</t>
  </si>
  <si>
    <t>Test Parent</t>
  </si>
  <si>
    <t>Testing 1</t>
  </si>
  <si>
    <t>UnitPrice1</t>
  </si>
  <si>
    <t>UnitPrice2</t>
  </si>
  <si>
    <t>UnitPrice3</t>
  </si>
  <si>
    <t>VAM0129</t>
  </si>
  <si>
    <t>VAM0310</t>
  </si>
  <si>
    <t>VDM0722-M002</t>
  </si>
  <si>
    <t>VDM1116ABC</t>
  </si>
  <si>
    <t>Alliance Commercial Capital, Inc</t>
  </si>
  <si>
    <t>VDM1118</t>
  </si>
  <si>
    <t>VDM1218-M001</t>
  </si>
  <si>
    <t>7 Park Avenue Financial</t>
  </si>
  <si>
    <t>VDealMod 0302-M001</t>
  </si>
  <si>
    <t>VEOTLT1104</t>
  </si>
  <si>
    <t>AKLease</t>
  </si>
  <si>
    <t>VPayAdj 0302</t>
  </si>
  <si>
    <t>VPayAdj 0303</t>
  </si>
  <si>
    <t>VSP1218</t>
  </si>
  <si>
    <t>VSS001</t>
  </si>
  <si>
    <t>VSS0718</t>
  </si>
  <si>
    <t>VSS0719</t>
  </si>
  <si>
    <t>VSS1MW0624</t>
  </si>
  <si>
    <t>VSSAMW624</t>
  </si>
  <si>
    <t>Velocity LvB 004</t>
  </si>
  <si>
    <t>WI 100</t>
  </si>
  <si>
    <t>WI 100-M001</t>
  </si>
  <si>
    <t>WI 200</t>
  </si>
  <si>
    <t>WI 200-M001</t>
  </si>
  <si>
    <t>WI 300</t>
  </si>
  <si>
    <t>WI 400</t>
  </si>
  <si>
    <t>WI 500</t>
  </si>
  <si>
    <t>WY 200</t>
  </si>
  <si>
    <t>WY 300</t>
  </si>
  <si>
    <t>WY 400</t>
  </si>
  <si>
    <t>WY 500</t>
  </si>
  <si>
    <t>WY 500-M001</t>
  </si>
  <si>
    <t>Workflow 01</t>
  </si>
  <si>
    <t>Workflow LvB 01</t>
  </si>
  <si>
    <t>test123</t>
  </si>
  <si>
    <t>100-Cap-Op Vanilla lease</t>
  </si>
  <si>
    <t>7179_Deal1</t>
  </si>
  <si>
    <t>Agriculture and Forestry</t>
  </si>
  <si>
    <t>ACC05</t>
  </si>
  <si>
    <t>ACME ES 092721 01 BH</t>
  </si>
  <si>
    <t>Acme 100-RB</t>
  </si>
  <si>
    <t>Acme 3</t>
  </si>
  <si>
    <t>Acme 501</t>
  </si>
  <si>
    <t>Acme 510</t>
  </si>
  <si>
    <t>Acme 512</t>
  </si>
  <si>
    <t>Acme 6core</t>
  </si>
  <si>
    <t>Acme Mod 1 BH</t>
  </si>
  <si>
    <t>Acme Mod 10 JF</t>
  </si>
  <si>
    <t>Acme Mod 11 JF</t>
  </si>
  <si>
    <t>Acme Mod 12 JF</t>
  </si>
  <si>
    <t>Acme Mod 13 JF</t>
  </si>
  <si>
    <t>Acme Mod 14a JF</t>
  </si>
  <si>
    <t>Acme Mod 4 BH</t>
  </si>
  <si>
    <t>Acme Mod 7 BH</t>
  </si>
  <si>
    <t>Acme Mod 8 BH</t>
  </si>
  <si>
    <t>Acme Mod 8 JF</t>
  </si>
  <si>
    <t>Step CR01</t>
  </si>
  <si>
    <t>Step CR02</t>
  </si>
  <si>
    <t>2023-02-03 09:28:39.0</t>
  </si>
  <si>
    <t>Summation from details tab</t>
  </si>
  <si>
    <t>Based on Remaining Liability</t>
  </si>
  <si>
    <t>Based on Remaining Payments</t>
  </si>
  <si>
    <t>Weighted Average Remaining Term</t>
  </si>
  <si>
    <t>Weighted Average Discount Rate</t>
  </si>
  <si>
    <t>Totals</t>
  </si>
  <si>
    <t>short Term</t>
  </si>
  <si>
    <t>Normal</t>
  </si>
  <si>
    <t>Base lease</t>
  </si>
  <si>
    <t>Amortization</t>
  </si>
  <si>
    <t>LT/ST</t>
  </si>
  <si>
    <t>Accretion</t>
  </si>
  <si>
    <t>Original Contract Term</t>
  </si>
  <si>
    <t>Additions</t>
  </si>
  <si>
    <t>Fiscal Period End Date</t>
  </si>
  <si>
    <t>JE Type</t>
  </si>
  <si>
    <t>Event Details</t>
  </si>
  <si>
    <t>Triggering Event</t>
  </si>
  <si>
    <t>Affected Component</t>
  </si>
  <si>
    <t>Entry Type</t>
  </si>
  <si>
    <t>Net</t>
  </si>
  <si>
    <t>User-provided IBR</t>
  </si>
  <si>
    <t>IBR:</t>
  </si>
  <si>
    <t>Total Original Equipment Cost:</t>
  </si>
  <si>
    <t>Remaining Term in Months:</t>
  </si>
  <si>
    <t>Yes</t>
  </si>
  <si>
    <t>Respect AFUD/RCHP?</t>
  </si>
  <si>
    <t>Accounting Standard:</t>
  </si>
  <si>
    <t>Ledger:</t>
  </si>
  <si>
    <t>Analysis for Takedowns at:</t>
  </si>
  <si>
    <t>Original Equipment Cost:</t>
  </si>
  <si>
    <t># of Assets:</t>
  </si>
  <si>
    <t>Return</t>
  </si>
  <si>
    <t>Reasonably Certain Disposition:</t>
  </si>
  <si>
    <t>Contractual Term in Months:</t>
  </si>
  <si>
    <t>Payable in:</t>
  </si>
  <si>
    <t>Currency:</t>
  </si>
  <si>
    <t>Booked on 09-Dec-2022</t>
  </si>
  <si>
    <t>Lease Start Date:</t>
  </si>
  <si>
    <t>Lessee:</t>
  </si>
  <si>
    <t>Lease #:</t>
  </si>
  <si>
    <t>Accounting Treatment</t>
  </si>
  <si>
    <t>PV of Payment</t>
  </si>
  <si>
    <t>Closing Liability Balance (Based on Payment Periods)</t>
  </si>
  <si>
    <t>Writeoff from Terminations or Modification</t>
  </si>
  <si>
    <t>Closing Accrued Interest Balance</t>
  </si>
  <si>
    <t>Accretion (Payable in Advance)</t>
  </si>
  <si>
    <t>ARO Paid</t>
  </si>
  <si>
    <t>Principal Reduction</t>
  </si>
  <si>
    <t>Interest Paid</t>
  </si>
  <si>
    <t>Accretion (Payable in Arrears)</t>
  </si>
  <si>
    <t>Adjustment</t>
  </si>
  <si>
    <t>Opening Accrued Interest Balance</t>
  </si>
  <si>
    <t>Remeasurement</t>
  </si>
  <si>
    <t>New Liability: ARO</t>
  </si>
  <si>
    <t>New Liability: Base lease</t>
  </si>
  <si>
    <t>Opening Liability Balance</t>
  </si>
  <si>
    <t>Period #</t>
  </si>
  <si>
    <t>Payment Period Ending</t>
  </si>
  <si>
    <t>Long Term Liability</t>
  </si>
  <si>
    <t>Short Term Liability</t>
  </si>
  <si>
    <t>Closing Liability Balance (Based on Fiscal Periods)</t>
  </si>
  <si>
    <t>Total Payment(s)</t>
  </si>
  <si>
    <t>Fiscal Period Ending</t>
  </si>
  <si>
    <t>No Lease Incentives or AROs</t>
  </si>
  <si>
    <t>Included in Lease Asset</t>
  </si>
  <si>
    <t>Present Value</t>
  </si>
  <si>
    <t>Nominal Amount</t>
  </si>
  <si>
    <t>Attributable to assets</t>
  </si>
  <si>
    <t xml:space="preserve">Fractional Period </t>
  </si>
  <si>
    <t>Payment Date</t>
  </si>
  <si>
    <t>Lease Incentives and AROs</t>
  </si>
  <si>
    <t>Calculated Straight-Line Depreciation:</t>
  </si>
  <si>
    <t>Calculated Expense per Full Fiscal Period:</t>
  </si>
  <si>
    <t>Depreciation Term:</t>
  </si>
  <si>
    <t>Denominator:</t>
  </si>
  <si>
    <t>Net Book Value:</t>
  </si>
  <si>
    <t>Proration Factor for Last Fiscal Period:</t>
  </si>
  <si>
    <t>Allowance for Impairment:</t>
  </si>
  <si>
    <t>Proration Factor for First Fiscal Period:</t>
  </si>
  <si>
    <t>Portion of Asset Already Depreciated:</t>
  </si>
  <si>
    <t>No proration required</t>
  </si>
  <si>
    <t>Aligned</t>
  </si>
  <si>
    <t>Characterization of Expense Term:</t>
  </si>
  <si>
    <t>Net Asset Adjustments:</t>
  </si>
  <si>
    <t>Depreciation Calculation</t>
  </si>
  <si>
    <t>01-Jan-2022 to 31-Dec-2026</t>
  </si>
  <si>
    <t>Fiscal Periods over which Expense is Recognized:</t>
  </si>
  <si>
    <t>Less Adjustment for Reduction in Scope:</t>
  </si>
  <si>
    <t>Lease Term over which Expense is Recognized:</t>
  </si>
  <si>
    <t>Alternate Method (Remeasurement by Change in Liability):</t>
  </si>
  <si>
    <t>Amount to Expense</t>
  </si>
  <si>
    <t>Purchase option liability</t>
  </si>
  <si>
    <t>Prepaid IDC</t>
  </si>
  <si>
    <t>Calculated Asset:</t>
  </si>
  <si>
    <t>Operating Lease obligation - LT</t>
  </si>
  <si>
    <t>Gross-Up for Accumulated Depreciation:</t>
  </si>
  <si>
    <t>Total Payments:</t>
  </si>
  <si>
    <t>Operating Lease asset</t>
  </si>
  <si>
    <t>Straight-Line Expense Calculation</t>
  </si>
  <si>
    <t>Lease Incentive Receivable</t>
  </si>
  <si>
    <t>Asset Adjustments from Prior Balances:</t>
  </si>
  <si>
    <t>Guaranteed residual liability</t>
  </si>
  <si>
    <t>External Balance Adjustments:</t>
  </si>
  <si>
    <t>AROs Accounted for as part of Lease Asset:</t>
  </si>
  <si>
    <t>Calculated Liability:</t>
  </si>
  <si>
    <t>Lease Incentives:</t>
  </si>
  <si>
    <t>Existing Accrued Interest Balance:</t>
  </si>
  <si>
    <t>Deferred rent</t>
  </si>
  <si>
    <t>IDCs:</t>
  </si>
  <si>
    <t>PV of Payment Stream:</t>
  </si>
  <si>
    <t>Deferred lease incentive</t>
  </si>
  <si>
    <t>Liability Calculation</t>
  </si>
  <si>
    <t>Accumulated depreciation: Step payment timing adjustment - Operating Lease</t>
  </si>
  <si>
    <t>Base Liability:</t>
  </si>
  <si>
    <t>Accumulated depreciation - Operating Lease</t>
  </si>
  <si>
    <t>Interim Rent:</t>
  </si>
  <si>
    <t>Fractional Monthly Period:</t>
  </si>
  <si>
    <t>Prepayments:</t>
  </si>
  <si>
    <t>Adjustments from Prior Balances Applicable to These Assets</t>
  </si>
  <si>
    <t>Asset Calculation</t>
  </si>
  <si>
    <t>Asset-Level Analysis: Office Equipment with Balance Established on 01-Jan-2022</t>
  </si>
  <si>
    <t>79446</t>
  </si>
  <si>
    <t>Inflection (Takedown) Event</t>
  </si>
  <si>
    <t>2023-03-14 14:45:05.0</t>
  </si>
  <si>
    <t>ttaylor</t>
  </si>
  <si>
    <t>Deal Analysis Report</t>
  </si>
  <si>
    <t>..0.0</t>
  </si>
  <si>
    <t>Opening Balance</t>
  </si>
  <si>
    <t>Balance</t>
  </si>
  <si>
    <t>As at 31-Dec-2022</t>
  </si>
  <si>
    <t>Account</t>
  </si>
  <si>
    <t xml:space="preserve"> 01. Opening Balance</t>
  </si>
  <si>
    <t>Closing Balance</t>
  </si>
  <si>
    <t xml:space="preserve"> 08. Closing Balance - (Dr) Cr</t>
  </si>
  <si>
    <t xml:space="preserve"> 06. LT/ST</t>
  </si>
  <si>
    <t xml:space="preserve"> 03. Amortization</t>
  </si>
  <si>
    <t xml:space="preserve"> 04. Accretion</t>
  </si>
  <si>
    <t xml:space="preserve"> 05. Payment</t>
  </si>
  <si>
    <t xml:space="preserve"> 02. Additions</t>
  </si>
  <si>
    <t>Drill down By</t>
  </si>
  <si>
    <t>Filter By</t>
  </si>
  <si>
    <t>Pivot Net</t>
  </si>
  <si>
    <t>Pivot Basis Currency</t>
  </si>
  <si>
    <t>Pivot Basis</t>
  </si>
  <si>
    <t>Reporting Net</t>
  </si>
  <si>
    <t>Reporting CR</t>
  </si>
  <si>
    <t>Reporting DR</t>
  </si>
  <si>
    <t>Functional Net</t>
  </si>
  <si>
    <t>Functional CR</t>
  </si>
  <si>
    <t>Functional DR</t>
  </si>
  <si>
    <t>Transactional Net</t>
  </si>
  <si>
    <t>Transactional CR</t>
  </si>
  <si>
    <t>Transactional DR</t>
  </si>
  <si>
    <t>Sum of Pivot Net</t>
  </si>
  <si>
    <t>Drilldown Rows By</t>
  </si>
  <si>
    <t>Show Deals Transacted In</t>
  </si>
  <si>
    <t>Ledger</t>
  </si>
  <si>
    <t>12</t>
  </si>
  <si>
    <t>2023-03-14 14:49:39.0</t>
  </si>
  <si>
    <t>Accounting RollForward - FX Report</t>
  </si>
  <si>
    <r>
      <t xml:space="preserve">Note: Items shaded in </t>
    </r>
    <r>
      <rPr>
        <b/>
        <sz val="11"/>
        <color rgb="FF0070C0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on other tabsare manually added for validation purposes. They are not system generated.</t>
    </r>
  </si>
  <si>
    <t>Note: If you use one of the above hyperlinks to navigate to the destination tab, you can press "CTRL"+ "G" while on the destination tab to return to the "Comparison-Sheet"</t>
  </si>
  <si>
    <t>Example of reconciliation between different pairs of system generated reports</t>
  </si>
  <si>
    <t>As at 12/31/2022</t>
  </si>
  <si>
    <t>Balances as at 12/31/2022</t>
  </si>
  <si>
    <t>Activity for Fiscal Year ending 12/31/2022</t>
  </si>
  <si>
    <t>Activity for fiscal period of January 2022</t>
  </si>
  <si>
    <t>Balances as at 12/31/2026</t>
  </si>
  <si>
    <t>Life Cycle Balances</t>
  </si>
  <si>
    <t>Profit &amp; Loss Accounts</t>
  </si>
  <si>
    <t>Comparison-Sheet</t>
  </si>
  <si>
    <t>Ledger Export Balances</t>
  </si>
  <si>
    <t>Period as at 12/31/22</t>
  </si>
  <si>
    <t>Period as at 12/31/23</t>
  </si>
  <si>
    <t>Per Ledger Export</t>
  </si>
  <si>
    <t>Per Schedule Account Balance Trend</t>
  </si>
  <si>
    <t>Per Accounting Workbook</t>
  </si>
  <si>
    <t>Total Remaining Future Payments</t>
  </si>
  <si>
    <t>Payment Report</t>
  </si>
  <si>
    <t>Undiscounted Cash Outflow for Fiscal Year 2022</t>
  </si>
  <si>
    <t>Accounting Rollforward FX</t>
  </si>
  <si>
    <t>Finance Lease Cost for Fiscal Year 2022</t>
  </si>
  <si>
    <t>"Balance" reports only show year to date P&amp;L</t>
  </si>
  <si>
    <t>Note: There are hyperlinks on Parameters tabs back to "Comparison-Sheet"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</si>
</sst>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;\(\$#,##0.00\)"/>
    <numFmt numFmtId="165" formatCode="###,###,##0.00"/>
    <numFmt numFmtId="166" formatCode="\$\ ###,###,##0.00"/>
    <numFmt numFmtId="167" formatCode="_(* #,##0.0_);_(* \(#,##0.0\);_(* &quot;-&quot;??_);_(@_)"/>
    <numFmt numFmtId="168" formatCode="\$###,###,##0.00"/>
    <numFmt numFmtId="169" formatCode="_(* #,##0.00000_);_(* \(#,##0.00000\);_(* &quot;-&quot;??_);_(@_)"/>
    <numFmt numFmtId="170" formatCode="#,##0.00_ ;\-#,##0.00\ "/>
    <numFmt numFmtId="171" formatCode="mm/dd/yyyy;@"/>
    <numFmt numFmtId="172" formatCode="_(&quot;$&quot;* #,##0_);_(&quot;$&quot;* \(#,##0\);_(&quot;$&quot;* &quot;-&quot;??_);_(@_)"/>
    <numFmt numFmtId="178" formatCode="_(* #,##0.000000000_);_(* \(#,##0.000000000\);_(* &quot;-&quot;??_);_(@_)"/>
    <numFmt numFmtId="179" formatCode="_(* #,##0.000000000_);_(* \(#,##0.000000000\);_(* &quot;-&quot;?????????_);_(@_)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name val="Calibri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Calibri"/>
      <family val="2"/>
    </font>
    <font>
      <i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u/>
      <sz val="9"/>
      <name val="Calibri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00FF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558E"/>
      <name val="Arial"/>
      <family val="2"/>
    </font>
    <font>
      <b/>
      <sz val="9"/>
      <color rgb="FF666666"/>
      <name val="Arial"/>
      <family val="2"/>
    </font>
    <font>
      <sz val="10"/>
      <color rgb="FF000000"/>
      <name val="Arial"/>
      <family val="2"/>
    </font>
    <font>
      <sz val="10"/>
      <color rgb="FF666666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4"/>
      <name val="Calibri"/>
      <family val="2"/>
    </font>
    <font>
      <b/>
      <u/>
      <sz val="11"/>
      <name val="Calibri"/>
      <family val="2"/>
    </font>
    <font>
      <i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indexed="8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</font>
    <font>
      <b/>
      <sz val="24"/>
      <color indexed="0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4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D2D2D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1" fillId="0" borderId="0">
      <alignment vertical="center"/>
    </xf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</cellStyleXfs>
  <cellXfs count="213">
    <xf numFmtId="0" fontId="0" fillId="0" borderId="0" xfId="0"/>
    <xf numFmtId="0" fontId="4" fillId="0" borderId="0" xfId="3" applyFont="1"/>
    <xf numFmtId="0" fontId="4" fillId="0" borderId="0" xfId="3" applyFont="1" applyAlignment="1">
      <alignment horizontal="right"/>
    </xf>
    <xf numFmtId="10" fontId="3" fillId="0" borderId="0" xfId="3" applyNumberFormat="1" applyAlignment="1">
      <alignment horizontal="right"/>
    </xf>
    <xf numFmtId="14" fontId="3" fillId="0" borderId="0" xfId="3" applyNumberFormat="1" applyAlignment="1">
      <alignment horizontal="center"/>
    </xf>
    <xf numFmtId="14" fontId="3" fillId="0" borderId="0" xfId="3" applyNumberFormat="1" applyAlignment="1">
      <alignment horizontal="right"/>
    </xf>
    <xf numFmtId="0" fontId="5" fillId="0" borderId="0" xfId="3" applyFont="1" applyAlignment="1">
      <alignment wrapText="1"/>
    </xf>
    <xf numFmtId="0" fontId="3" fillId="0" borderId="0" xfId="3"/>
    <xf numFmtId="164" fontId="3" fillId="0" borderId="0" xfId="3" applyNumberFormat="1" applyAlignment="1">
      <alignment horizontal="right"/>
    </xf>
    <xf numFmtId="0" fontId="6" fillId="0" borderId="0" xfId="3" applyFont="1"/>
    <xf numFmtId="0" fontId="7" fillId="0" borderId="0" xfId="3" applyFont="1"/>
    <xf numFmtId="49" fontId="8" fillId="0" borderId="0" xfId="3" applyNumberFormat="1" applyFont="1"/>
    <xf numFmtId="0" fontId="9" fillId="0" borderId="0" xfId="3" applyFont="1"/>
    <xf numFmtId="0" fontId="10" fillId="0" borderId="0" xfId="3" applyFont="1"/>
    <xf numFmtId="0" fontId="11" fillId="0" borderId="0" xfId="3" applyFont="1"/>
    <xf numFmtId="22" fontId="3" fillId="0" borderId="0" xfId="3" applyNumberFormat="1"/>
    <xf numFmtId="0" fontId="12" fillId="0" borderId="0" xfId="3" applyFont="1"/>
    <xf numFmtId="0" fontId="14" fillId="0" borderId="0" xfId="3" applyFont="1"/>
    <xf numFmtId="0" fontId="15" fillId="0" borderId="0" xfId="3" applyFont="1"/>
    <xf numFmtId="0" fontId="16" fillId="0" borderId="0" xfId="3" applyFont="1"/>
    <xf numFmtId="14" fontId="16" fillId="0" borderId="0" xfId="3" applyNumberFormat="1" applyFont="1" applyAlignment="1">
      <alignment horizontal="center"/>
    </xf>
    <xf numFmtId="164" fontId="16" fillId="0" borderId="0" xfId="3" applyNumberFormat="1" applyFont="1" applyAlignment="1">
      <alignment horizontal="right"/>
    </xf>
    <xf numFmtId="40" fontId="16" fillId="0" borderId="0" xfId="0" pivotButton="1" applyNumberFormat="1" applyFont="1"/>
    <xf numFmtId="40" fontId="16" fillId="0" borderId="0" xfId="0" applyNumberFormat="1" applyFont="1"/>
    <xf numFmtId="40" fontId="16" fillId="0" borderId="0" xfId="0" applyNumberFormat="1" applyFont="1" applyAlignment="1">
      <alignment horizontal="left"/>
    </xf>
    <xf numFmtId="40" fontId="15" fillId="0" borderId="0" xfId="0" applyNumberFormat="1" applyFont="1" applyAlignment="1">
      <alignment horizontal="center"/>
    </xf>
    <xf numFmtId="40" fontId="17" fillId="0" borderId="0" xfId="0" applyNumberFormat="1" applyFont="1" applyAlignment="1">
      <alignment horizontal="left"/>
    </xf>
    <xf numFmtId="40" fontId="17" fillId="0" borderId="0" xfId="0" applyNumberFormat="1" applyFont="1"/>
    <xf numFmtId="40" fontId="18" fillId="0" borderId="0" xfId="0" applyNumberFormat="1" applyFont="1" applyAlignment="1">
      <alignment horizontal="left"/>
    </xf>
    <xf numFmtId="40" fontId="18" fillId="0" borderId="0" xfId="0" applyNumberFormat="1" applyFont="1"/>
    <xf numFmtId="0" fontId="19" fillId="0" borderId="0" xfId="3" applyFont="1"/>
    <xf numFmtId="0" fontId="11" fillId="0" borderId="0" xfId="3" applyFont="1" applyAlignment="1">
      <alignment horizontal="right"/>
    </xf>
    <xf numFmtId="0" fontId="12" fillId="0" borderId="0" xfId="3" applyFont="1" applyAlignment="1">
      <alignment horizontal="center"/>
    </xf>
    <xf numFmtId="0" fontId="19" fillId="0" borderId="1" xfId="3" applyFont="1" applyBorder="1"/>
    <xf numFmtId="0" fontId="19" fillId="0" borderId="0" xfId="3" applyFont="1" applyAlignment="1">
      <alignment horizontal="center"/>
    </xf>
    <xf numFmtId="43" fontId="0" fillId="0" borderId="0" xfId="4" applyFont="1"/>
    <xf numFmtId="14" fontId="3" fillId="0" borderId="0" xfId="3" applyNumberFormat="1"/>
    <xf numFmtId="8" fontId="0" fillId="0" borderId="0" xfId="4" applyNumberFormat="1" applyFont="1"/>
    <xf numFmtId="43" fontId="0" fillId="0" borderId="0" xfId="4" applyFont="1" applyFill="1" applyBorder="1"/>
    <xf numFmtId="0" fontId="21" fillId="0" borderId="0" xfId="5"/>
    <xf numFmtId="0" fontId="22" fillId="2" borderId="0" xfId="5" applyFont="1" applyFill="1" applyAlignment="1">
      <alignment horizontal="left" vertical="center"/>
    </xf>
    <xf numFmtId="0" fontId="23" fillId="3" borderId="0" xfId="5" applyFont="1" applyFill="1" applyAlignment="1">
      <alignment horizontal="center" vertical="center"/>
    </xf>
    <xf numFmtId="0" fontId="24" fillId="2" borderId="0" xfId="5" applyFont="1" applyFill="1" applyAlignment="1">
      <alignment horizontal="left" vertical="center"/>
    </xf>
    <xf numFmtId="165" fontId="24" fillId="2" borderId="0" xfId="5" applyNumberFormat="1" applyFont="1" applyFill="1" applyAlignment="1">
      <alignment horizontal="right" vertical="center"/>
    </xf>
    <xf numFmtId="166" fontId="24" fillId="2" borderId="0" xfId="5" applyNumberFormat="1" applyFont="1" applyFill="1" applyAlignment="1">
      <alignment horizontal="right" vertical="center"/>
    </xf>
    <xf numFmtId="0" fontId="25" fillId="2" borderId="0" xfId="5" applyFont="1" applyFill="1" applyAlignment="1">
      <alignment horizontal="left" vertical="center"/>
    </xf>
    <xf numFmtId="166" fontId="21" fillId="0" borderId="0" xfId="5" applyNumberFormat="1"/>
    <xf numFmtId="0" fontId="23" fillId="4" borderId="0" xfId="0" applyFont="1" applyFill="1" applyAlignment="1">
      <alignment horizontal="center" vertical="top"/>
    </xf>
    <xf numFmtId="0" fontId="26" fillId="5" borderId="0" xfId="0" applyFont="1" applyFill="1" applyAlignment="1">
      <alignment horizontal="left" vertical="top"/>
    </xf>
    <xf numFmtId="0" fontId="26" fillId="5" borderId="0" xfId="0" applyFont="1" applyFill="1" applyAlignment="1">
      <alignment horizontal="right" vertical="top"/>
    </xf>
    <xf numFmtId="14" fontId="26" fillId="5" borderId="0" xfId="0" applyNumberFormat="1" applyFont="1" applyFill="1" applyAlignment="1">
      <alignment horizontal="left" vertical="top"/>
    </xf>
    <xf numFmtId="166" fontId="26" fillId="5" borderId="0" xfId="0" applyNumberFormat="1" applyFont="1" applyFill="1" applyAlignment="1">
      <alignment horizontal="right" vertical="top"/>
    </xf>
    <xf numFmtId="0" fontId="25" fillId="5" borderId="0" xfId="0" applyFont="1" applyFill="1" applyAlignment="1">
      <alignment horizontal="left" vertical="top"/>
    </xf>
    <xf numFmtId="0" fontId="21" fillId="0" borderId="0" xfId="0" applyFont="1"/>
    <xf numFmtId="0" fontId="22" fillId="5" borderId="0" xfId="0" applyFont="1" applyFill="1" applyAlignment="1">
      <alignment horizontal="left" vertical="center"/>
    </xf>
    <xf numFmtId="0" fontId="27" fillId="0" borderId="0" xfId="3" applyFont="1"/>
    <xf numFmtId="0" fontId="27" fillId="0" borderId="1" xfId="3" applyFont="1" applyBorder="1"/>
    <xf numFmtId="0" fontId="28" fillId="0" borderId="0" xfId="3" applyFont="1"/>
    <xf numFmtId="0" fontId="29" fillId="0" borderId="0" xfId="3" applyFont="1"/>
    <xf numFmtId="0" fontId="29" fillId="0" borderId="0" xfId="3" applyFont="1" applyAlignment="1">
      <alignment horizontal="center"/>
    </xf>
    <xf numFmtId="0" fontId="29" fillId="0" borderId="1" xfId="3" applyFont="1" applyBorder="1" applyAlignment="1">
      <alignment horizontal="center"/>
    </xf>
    <xf numFmtId="0" fontId="30" fillId="0" borderId="1" xfId="3" applyFont="1" applyBorder="1"/>
    <xf numFmtId="0" fontId="31" fillId="0" borderId="0" xfId="3" applyFont="1"/>
    <xf numFmtId="0" fontId="32" fillId="0" borderId="0" xfId="3" applyFont="1" applyAlignment="1">
      <alignment wrapText="1"/>
    </xf>
    <xf numFmtId="0" fontId="33" fillId="0" borderId="0" xfId="3" applyFont="1"/>
    <xf numFmtId="43" fontId="3" fillId="0" borderId="0" xfId="1" applyFont="1"/>
    <xf numFmtId="0" fontId="23" fillId="4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left" vertical="center"/>
    </xf>
    <xf numFmtId="166" fontId="24" fillId="5" borderId="0" xfId="0" applyNumberFormat="1" applyFont="1" applyFill="1" applyAlignment="1">
      <alignment horizontal="right" vertical="center"/>
    </xf>
    <xf numFmtId="0" fontId="21" fillId="0" borderId="0" xfId="5" applyAlignment="1">
      <alignment horizontal="right" vertical="center"/>
    </xf>
    <xf numFmtId="168" fontId="21" fillId="0" borderId="0" xfId="5" applyNumberFormat="1"/>
    <xf numFmtId="4" fontId="21" fillId="0" borderId="0" xfId="5" applyNumberFormat="1"/>
    <xf numFmtId="168" fontId="26" fillId="5" borderId="0" xfId="0" applyNumberFormat="1" applyFont="1" applyFill="1" applyAlignment="1">
      <alignment horizontal="right" vertical="top"/>
    </xf>
    <xf numFmtId="0" fontId="1" fillId="0" borderId="0" xfId="13"/>
    <xf numFmtId="0" fontId="2" fillId="0" borderId="0" xfId="13" applyFont="1"/>
    <xf numFmtId="0" fontId="2" fillId="0" borderId="0" xfId="13" applyFont="1" applyAlignment="1">
      <alignment horizontal="center"/>
    </xf>
    <xf numFmtId="0" fontId="1" fillId="0" borderId="0" xfId="13" applyAlignment="1">
      <alignment horizontal="left"/>
    </xf>
    <xf numFmtId="0" fontId="1" fillId="0" borderId="0" xfId="13" applyAlignment="1">
      <alignment horizontal="right"/>
    </xf>
    <xf numFmtId="0" fontId="22" fillId="2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166" fontId="24" fillId="2" borderId="0" xfId="0" applyNumberFormat="1" applyFont="1" applyFill="1" applyAlignment="1">
      <alignment horizontal="right" vertical="center"/>
    </xf>
    <xf numFmtId="0" fontId="23" fillId="3" borderId="0" xfId="0" applyFont="1" applyFill="1" applyAlignment="1">
      <alignment horizontal="center" vertical="top"/>
    </xf>
    <xf numFmtId="0" fontId="26" fillId="2" borderId="0" xfId="0" applyFont="1" applyFill="1" applyAlignment="1">
      <alignment horizontal="left" vertical="top"/>
    </xf>
    <xf numFmtId="0" fontId="26" fillId="2" borderId="0" xfId="0" applyFont="1" applyFill="1" applyAlignment="1">
      <alignment horizontal="right" vertical="top"/>
    </xf>
    <xf numFmtId="14" fontId="26" fillId="2" borderId="0" xfId="0" applyNumberFormat="1" applyFont="1" applyFill="1" applyAlignment="1">
      <alignment horizontal="left" vertical="top"/>
    </xf>
    <xf numFmtId="166" fontId="26" fillId="2" borderId="0" xfId="0" applyNumberFormat="1" applyFont="1" applyFill="1" applyAlignment="1">
      <alignment horizontal="right" vertical="top"/>
    </xf>
    <xf numFmtId="0" fontId="25" fillId="2" borderId="0" xfId="0" applyFont="1" applyFill="1" applyAlignment="1">
      <alignment horizontal="left" vertical="top"/>
    </xf>
    <xf numFmtId="0" fontId="4" fillId="0" borderId="0" xfId="3" applyFont="1" applyAlignment="1">
      <alignment wrapText="1"/>
    </xf>
    <xf numFmtId="0" fontId="3" fillId="6" borderId="0" xfId="3" applyFill="1"/>
    <xf numFmtId="14" fontId="3" fillId="6" borderId="0" xfId="3" applyNumberFormat="1" applyFill="1"/>
    <xf numFmtId="164" fontId="3" fillId="6" borderId="0" xfId="3" applyNumberFormat="1" applyFill="1" applyAlignment="1">
      <alignment horizontal="right"/>
    </xf>
    <xf numFmtId="43" fontId="4" fillId="0" borderId="0" xfId="1" applyFont="1"/>
    <xf numFmtId="43" fontId="38" fillId="0" borderId="0" xfId="1" applyFont="1"/>
    <xf numFmtId="0" fontId="0" fillId="8" borderId="0" xfId="15" applyFont="1" applyFill="1" applyAlignment="1">
      <alignment horizontal="center" wrapText="1"/>
    </xf>
    <xf numFmtId="0" fontId="5" fillId="7" borderId="0" xfId="16" applyFont="1" applyFill="1" applyAlignment="1">
      <alignment horizontal="center" wrapText="1"/>
    </xf>
    <xf numFmtId="169" fontId="3" fillId="7" borderId="0" xfId="17" applyNumberFormat="1" applyFill="1"/>
    <xf numFmtId="169" fontId="3" fillId="7" borderId="0" xfId="4" applyNumberFormat="1" applyFill="1"/>
    <xf numFmtId="0" fontId="0" fillId="7" borderId="0" xfId="0" applyFill="1" applyAlignment="1">
      <alignment horizontal="right"/>
    </xf>
    <xf numFmtId="0" fontId="3" fillId="7" borderId="0" xfId="3" applyFill="1" applyAlignment="1">
      <alignment horizontal="right"/>
    </xf>
    <xf numFmtId="0" fontId="3" fillId="7" borderId="0" xfId="17" applyFill="1"/>
    <xf numFmtId="0" fontId="16" fillId="7" borderId="0" xfId="3" applyFont="1" applyFill="1"/>
    <xf numFmtId="14" fontId="16" fillId="7" borderId="0" xfId="3" applyNumberFormat="1" applyFont="1" applyFill="1" applyAlignment="1">
      <alignment horizontal="center"/>
    </xf>
    <xf numFmtId="164" fontId="16" fillId="7" borderId="0" xfId="3" applyNumberFormat="1" applyFont="1" applyFill="1" applyAlignment="1">
      <alignment horizontal="right"/>
    </xf>
    <xf numFmtId="0" fontId="2" fillId="7" borderId="0" xfId="0" applyFont="1" applyFill="1"/>
    <xf numFmtId="43" fontId="2" fillId="7" borderId="0" xfId="1" applyFont="1" applyFill="1"/>
    <xf numFmtId="167" fontId="2" fillId="7" borderId="0" xfId="1" applyNumberFormat="1" applyFont="1" applyFill="1"/>
    <xf numFmtId="43" fontId="2" fillId="7" borderId="0" xfId="0" applyNumberFormat="1" applyFont="1" applyFill="1"/>
    <xf numFmtId="0" fontId="34" fillId="7" borderId="0" xfId="11" applyFont="1" applyFill="1" applyAlignment="1">
      <alignment horizontal="right" vertical="center"/>
    </xf>
    <xf numFmtId="165" fontId="35" fillId="7" borderId="0" xfId="5" applyNumberFormat="1" applyFont="1" applyFill="1" applyAlignment="1">
      <alignment horizontal="right" vertical="center"/>
    </xf>
    <xf numFmtId="0" fontId="34" fillId="7" borderId="0" xfId="5" applyFont="1" applyFill="1" applyAlignment="1">
      <alignment horizontal="right" vertical="center"/>
    </xf>
    <xf numFmtId="0" fontId="35" fillId="7" borderId="0" xfId="5" applyFont="1" applyFill="1" applyAlignment="1">
      <alignment horizontal="center" vertical="top"/>
    </xf>
    <xf numFmtId="166" fontId="21" fillId="9" borderId="0" xfId="0" applyNumberFormat="1" applyFont="1" applyFill="1" applyAlignment="1">
      <alignment horizontal="right" vertical="top"/>
    </xf>
    <xf numFmtId="0" fontId="34" fillId="0" borderId="0" xfId="0" applyFont="1"/>
    <xf numFmtId="0" fontId="34" fillId="7" borderId="0" xfId="5" applyFont="1" applyFill="1"/>
    <xf numFmtId="43" fontId="34" fillId="7" borderId="0" xfId="1" applyFont="1" applyFill="1"/>
    <xf numFmtId="0" fontId="19" fillId="7" borderId="0" xfId="5" applyFont="1" applyFill="1"/>
    <xf numFmtId="0" fontId="19" fillId="7" borderId="0" xfId="5" applyFont="1" applyFill="1" applyAlignment="1">
      <alignment horizontal="right"/>
    </xf>
    <xf numFmtId="0" fontId="19" fillId="7" borderId="0" xfId="5" applyFont="1" applyFill="1" applyAlignment="1">
      <alignment horizontal="left"/>
    </xf>
    <xf numFmtId="0" fontId="13" fillId="7" borderId="0" xfId="3" applyFont="1" applyFill="1"/>
    <xf numFmtId="44" fontId="13" fillId="7" borderId="0" xfId="2" applyFont="1" applyFill="1"/>
    <xf numFmtId="43" fontId="13" fillId="7" borderId="0" xfId="1" applyFont="1" applyFill="1"/>
    <xf numFmtId="43" fontId="3" fillId="7" borderId="0" xfId="1" applyFont="1" applyFill="1"/>
    <xf numFmtId="0" fontId="3" fillId="7" borderId="0" xfId="3" applyFill="1"/>
    <xf numFmtId="0" fontId="39" fillId="0" borderId="0" xfId="3" applyFont="1" applyAlignment="1">
      <alignment wrapText="1"/>
    </xf>
    <xf numFmtId="0" fontId="40" fillId="0" borderId="0" xfId="3" applyFont="1" applyAlignment="1">
      <alignment vertical="center"/>
    </xf>
    <xf numFmtId="0" fontId="40" fillId="0" borderId="0" xfId="3" applyFont="1"/>
    <xf numFmtId="0" fontId="41" fillId="0" borderId="0" xfId="3" applyFont="1" applyAlignment="1">
      <alignment vertical="center"/>
    </xf>
    <xf numFmtId="0" fontId="3" fillId="0" borderId="0" xfId="3" applyAlignment="1">
      <alignment wrapText="1"/>
    </xf>
    <xf numFmtId="0" fontId="42" fillId="0" borderId="0" xfId="3" applyFont="1"/>
    <xf numFmtId="0" fontId="40" fillId="0" borderId="0" xfId="3" applyFont="1" applyAlignment="1">
      <alignment wrapText="1"/>
    </xf>
    <xf numFmtId="0" fontId="40" fillId="0" borderId="0" xfId="3" applyFont="1" applyAlignment="1">
      <alignment horizontal="left"/>
    </xf>
    <xf numFmtId="43" fontId="40" fillId="0" borderId="0" xfId="3" applyNumberFormat="1" applyFont="1" applyAlignment="1">
      <alignment horizontal="right"/>
    </xf>
    <xf numFmtId="44" fontId="40" fillId="0" borderId="0" xfId="3" applyNumberFormat="1" applyFont="1" applyAlignment="1">
      <alignment horizontal="right"/>
    </xf>
    <xf numFmtId="14" fontId="40" fillId="0" borderId="0" xfId="3" applyNumberFormat="1" applyFont="1" applyAlignment="1">
      <alignment horizontal="right"/>
    </xf>
    <xf numFmtId="0" fontId="42" fillId="0" borderId="0" xfId="3" applyFont="1" applyAlignment="1">
      <alignment wrapText="1"/>
    </xf>
    <xf numFmtId="44" fontId="42" fillId="0" borderId="0" xfId="3" applyNumberFormat="1" applyFont="1" applyAlignment="1">
      <alignment wrapText="1"/>
    </xf>
    <xf numFmtId="43" fontId="42" fillId="0" borderId="0" xfId="3" applyNumberFormat="1" applyFont="1" applyAlignment="1">
      <alignment wrapText="1"/>
    </xf>
    <xf numFmtId="44" fontId="42" fillId="10" borderId="0" xfId="3" applyNumberFormat="1" applyFont="1" applyFill="1" applyAlignment="1">
      <alignment wrapText="1"/>
    </xf>
    <xf numFmtId="0" fontId="43" fillId="0" borderId="0" xfId="3" applyFont="1" applyAlignment="1">
      <alignment horizontal="center"/>
    </xf>
    <xf numFmtId="0" fontId="43" fillId="0" borderId="0" xfId="3" applyFont="1"/>
    <xf numFmtId="44" fontId="44" fillId="10" borderId="0" xfId="3" applyNumberFormat="1" applyFont="1" applyFill="1" applyAlignment="1">
      <alignment horizontal="center" wrapText="1"/>
    </xf>
    <xf numFmtId="44" fontId="44" fillId="10" borderId="0" xfId="3" applyNumberFormat="1" applyFont="1" applyFill="1" applyAlignment="1">
      <alignment wrapText="1"/>
    </xf>
    <xf numFmtId="0" fontId="42" fillId="0" borderId="2" xfId="3" applyFont="1" applyBorder="1"/>
    <xf numFmtId="44" fontId="40" fillId="0" borderId="2" xfId="3" applyNumberFormat="1" applyFont="1" applyBorder="1"/>
    <xf numFmtId="0" fontId="42" fillId="0" borderId="3" xfId="3" applyFont="1" applyBorder="1"/>
    <xf numFmtId="0" fontId="42" fillId="0" borderId="4" xfId="3" applyFont="1" applyBorder="1"/>
    <xf numFmtId="0" fontId="40" fillId="0" borderId="3" xfId="3" applyFont="1" applyBorder="1"/>
    <xf numFmtId="0" fontId="42" fillId="0" borderId="5" xfId="3" applyFont="1" applyBorder="1"/>
    <xf numFmtId="0" fontId="45" fillId="0" borderId="0" xfId="3" applyFont="1" applyAlignment="1">
      <alignment horizontal="left"/>
    </xf>
    <xf numFmtId="0" fontId="40" fillId="0" borderId="0" xfId="3" applyFont="1" applyAlignment="1">
      <alignment horizontal="right"/>
    </xf>
    <xf numFmtId="0" fontId="46" fillId="0" borderId="0" xfId="3" applyFont="1"/>
    <xf numFmtId="0" fontId="45" fillId="0" borderId="0" xfId="3" applyFont="1"/>
    <xf numFmtId="0" fontId="47" fillId="0" borderId="0" xfId="3" applyFont="1"/>
    <xf numFmtId="170" fontId="3" fillId="0" borderId="0" xfId="3" applyNumberFormat="1"/>
    <xf numFmtId="171" fontId="3" fillId="0" borderId="0" xfId="3" applyNumberFormat="1"/>
    <xf numFmtId="0" fontId="48" fillId="0" borderId="0" xfId="18" applyFont="1"/>
    <xf numFmtId="0" fontId="1" fillId="0" borderId="0" xfId="18"/>
    <xf numFmtId="22" fontId="3" fillId="0" borderId="0" xfId="3" applyNumberFormat="1" applyAlignment="1">
      <alignment horizontal="center"/>
    </xf>
    <xf numFmtId="0" fontId="49" fillId="0" borderId="0" xfId="18" applyFont="1"/>
    <xf numFmtId="0" fontId="1" fillId="11" borderId="0" xfId="13" applyFill="1"/>
    <xf numFmtId="0" fontId="2" fillId="11" borderId="0" xfId="13" applyFont="1" applyFill="1"/>
    <xf numFmtId="0" fontId="51" fillId="0" borderId="0" xfId="13" applyFont="1"/>
    <xf numFmtId="0" fontId="2" fillId="11" borderId="0" xfId="13" applyFont="1" applyFill="1" applyAlignment="1">
      <alignment horizontal="center"/>
    </xf>
    <xf numFmtId="0" fontId="36" fillId="0" borderId="0" xfId="12" applyFill="1" applyBorder="1" applyAlignment="1">
      <alignment horizontal="right"/>
    </xf>
    <xf numFmtId="43" fontId="36" fillId="0" borderId="0" xfId="12" applyNumberFormat="1" applyFill="1" applyBorder="1" applyAlignment="1">
      <alignment horizontal="right"/>
    </xf>
    <xf numFmtId="0" fontId="36" fillId="0" borderId="0" xfId="14" applyFill="1" applyBorder="1" applyAlignment="1">
      <alignment horizontal="right"/>
    </xf>
    <xf numFmtId="0" fontId="2" fillId="0" borderId="0" xfId="13" applyFont="1" applyAlignment="1">
      <alignment horizontal="right"/>
    </xf>
    <xf numFmtId="0" fontId="37" fillId="0" borderId="0" xfId="13" applyFont="1" applyAlignment="1">
      <alignment horizontal="right"/>
    </xf>
    <xf numFmtId="0" fontId="36" fillId="0" borderId="0" xfId="14" quotePrefix="1" applyFill="1" applyBorder="1" applyAlignment="1">
      <alignment horizontal="right"/>
    </xf>
    <xf numFmtId="172" fontId="0" fillId="0" borderId="0" xfId="2" applyNumberFormat="1" applyFont="1" applyFill="1" applyBorder="1" applyAlignment="1">
      <alignment horizontal="right"/>
    </xf>
    <xf numFmtId="172" fontId="1" fillId="0" borderId="0" xfId="2" applyNumberFormat="1" applyFont="1" applyFill="1" applyBorder="1" applyAlignment="1">
      <alignment horizontal="right"/>
    </xf>
    <xf numFmtId="172" fontId="1" fillId="0" borderId="0" xfId="4" applyNumberFormat="1" applyFont="1" applyFill="1" applyBorder="1" applyAlignment="1">
      <alignment horizontal="right"/>
    </xf>
    <xf numFmtId="172" fontId="37" fillId="0" borderId="0" xfId="13" applyNumberFormat="1" applyFont="1" applyAlignment="1">
      <alignment horizontal="right"/>
    </xf>
    <xf numFmtId="172" fontId="1" fillId="0" borderId="0" xfId="1" applyNumberFormat="1" applyAlignment="1">
      <alignment horizontal="right"/>
    </xf>
    <xf numFmtId="172" fontId="1" fillId="0" borderId="0" xfId="13" applyNumberFormat="1" applyAlignment="1">
      <alignment horizontal="right"/>
    </xf>
    <xf numFmtId="172" fontId="0" fillId="0" borderId="0" xfId="4" applyNumberFormat="1" applyFont="1" applyFill="1" applyBorder="1" applyAlignment="1">
      <alignment horizontal="right"/>
    </xf>
    <xf numFmtId="0" fontId="2" fillId="12" borderId="0" xfId="13" applyFont="1" applyFill="1"/>
    <xf numFmtId="0" fontId="36" fillId="0" borderId="0" xfId="12"/>
    <xf numFmtId="0" fontId="36" fillId="0" borderId="0" xfId="12" quotePrefix="1"/>
    <xf numFmtId="0" fontId="0" fillId="0" borderId="0" xfId="0" pivotButton="1"/>
    <xf numFmtId="4" fontId="0" fillId="0" borderId="0" xfId="0" applyNumberFormat="1"/>
    <xf numFmtId="0" fontId="0" fillId="0" borderId="6" xfId="0" applyBorder="1"/>
    <xf numFmtId="0" fontId="4" fillId="0" borderId="6" xfId="3" applyFont="1" applyBorder="1"/>
    <xf numFmtId="0" fontId="4" fillId="0" borderId="6" xfId="3" applyFont="1" applyBorder="1" applyAlignment="1">
      <alignment horizontal="right"/>
    </xf>
    <xf numFmtId="10" fontId="3" fillId="0" borderId="6" xfId="3" applyNumberFormat="1" applyBorder="1" applyAlignment="1">
      <alignment horizontal="right"/>
    </xf>
    <xf numFmtId="14" fontId="3" fillId="0" borderId="6" xfId="3" applyNumberFormat="1" applyBorder="1" applyAlignment="1">
      <alignment horizontal="right"/>
    </xf>
    <xf numFmtId="0" fontId="2" fillId="7" borderId="0" xfId="3" applyFont="1" applyFill="1"/>
    <xf numFmtId="0" fontId="34" fillId="13" borderId="0" xfId="5" applyFont="1" applyFill="1"/>
    <xf numFmtId="0" fontId="34" fillId="14" borderId="0" xfId="5" applyFont="1" applyFill="1"/>
    <xf numFmtId="0" fontId="21" fillId="14" borderId="0" xfId="5" applyFill="1"/>
    <xf numFmtId="0" fontId="21" fillId="13" borderId="0" xfId="5" applyFill="1"/>
    <xf numFmtId="166" fontId="35" fillId="9" borderId="0" xfId="0" applyNumberFormat="1" applyFont="1" applyFill="1" applyAlignment="1">
      <alignment horizontal="right" vertical="center"/>
    </xf>
    <xf numFmtId="0" fontId="51" fillId="0" borderId="0" xfId="0" applyFont="1"/>
    <xf numFmtId="44" fontId="13" fillId="7" borderId="0" xfId="2" applyFont="1" applyFill="1" applyBorder="1"/>
    <xf numFmtId="44" fontId="19" fillId="7" borderId="0" xfId="2" applyFont="1" applyFill="1" applyAlignment="1">
      <alignment horizontal="left"/>
    </xf>
    <xf numFmtId="164" fontId="3" fillId="7" borderId="0" xfId="3" applyNumberFormat="1" applyFill="1" applyAlignment="1">
      <alignment horizontal="right"/>
    </xf>
    <xf numFmtId="43" fontId="3" fillId="7" borderId="0" xfId="3" applyNumberFormat="1" applyFill="1"/>
    <xf numFmtId="44" fontId="19" fillId="7" borderId="0" xfId="3" applyNumberFormat="1" applyFont="1" applyFill="1" applyAlignment="1">
      <alignment wrapText="1"/>
    </xf>
    <xf numFmtId="44" fontId="4" fillId="7" borderId="0" xfId="3" applyNumberFormat="1" applyFont="1" applyFill="1" applyAlignment="1">
      <alignment wrapText="1"/>
    </xf>
    <xf numFmtId="44" fontId="3" fillId="7" borderId="0" xfId="3" applyNumberFormat="1" applyFill="1"/>
    <xf numFmtId="0" fontId="1" fillId="0" borderId="0" xfId="13" quotePrefix="1"/>
    <xf numFmtId="172" fontId="1" fillId="0" borderId="0" xfId="13" applyNumberFormat="1"/>
    <xf numFmtId="0" fontId="2" fillId="0" borderId="0" xfId="13" applyFont="1" applyAlignment="1">
      <alignment horizontal="center" vertical="center"/>
    </xf>
    <xf numFmtId="0" fontId="2" fillId="12" borderId="0" xfId="13" applyFont="1" applyFill="1" applyAlignment="1">
      <alignment horizontal="center"/>
    </xf>
    <xf numFmtId="0" fontId="2" fillId="12" borderId="0" xfId="13" quotePrefix="1" applyFont="1" applyFill="1" applyAlignment="1">
      <alignment horizontal="center"/>
    </xf>
    <xf numFmtId="43" fontId="13" fillId="7" borderId="0" xfId="4" applyFont="1" applyFill="1" applyBorder="1" applyAlignment="1">
      <alignment horizontal="center"/>
    </xf>
    <xf numFmtId="44" fontId="51" fillId="7" borderId="0" xfId="2" applyFont="1" applyFill="1"/>
    <xf numFmtId="179" fontId="3" fillId="7" borderId="0" xfId="3" applyNumberFormat="1" applyFill="1"/>
    <xf numFmtId="178" fontId="3" fillId="7" borderId="0" xfId="3" applyNumberFormat="1" applyFill="1"/>
    <xf numFmtId="172" fontId="1" fillId="0" borderId="0" xfId="1" applyNumberFormat="1" applyFill="1" applyAlignment="1">
      <alignment horizontal="right"/>
    </xf>
    <xf numFmtId="43" fontId="1" fillId="0" borderId="0" xfId="1" applyFill="1" applyAlignment="1">
      <alignment horizontal="right"/>
    </xf>
    <xf numFmtId="0" fontId="1" fillId="0" borderId="0" xfId="13" applyFill="1"/>
  </cellXfs>
  <cellStyles count="19">
    <cellStyle name="Comma" xfId="1" builtinId="3"/>
    <cellStyle name="Comma [0] 2" xfId="10" xr:uid="{B80826E2-52B3-4572-B4BF-9F17C432E2FA}"/>
    <cellStyle name="Comma 2" xfId="4" xr:uid="{4E1164C4-D3C8-412D-91C0-549C0F155E86}"/>
    <cellStyle name="Comma 3" xfId="9" xr:uid="{5762313B-46B2-4C3B-91D6-DD367BC99E6B}"/>
    <cellStyle name="Currency" xfId="2" builtinId="4"/>
    <cellStyle name="Currency [0] 2" xfId="8" xr:uid="{6C0C39DD-AFBD-44C8-9363-3A5B6A5C286B}"/>
    <cellStyle name="Currency 2" xfId="7" xr:uid="{5B3D90A5-C083-4B9F-87A7-7E52B29EE3C1}"/>
    <cellStyle name="Hyperlink" xfId="12" builtinId="8"/>
    <cellStyle name="Hyperlink 2" xfId="14" xr:uid="{66D9B177-D3EB-4C1F-B2DE-2E0D0A923610}"/>
    <cellStyle name="Normal" xfId="0" builtinId="0"/>
    <cellStyle name="Normal 2" xfId="3" xr:uid="{85AE5234-7B99-4303-B539-6AF7C38FF2CD}"/>
    <cellStyle name="Normal 2 2" xfId="15" xr:uid="{AC986E5D-9076-4BEA-AAC9-DABD60422F77}"/>
    <cellStyle name="Normal 3" xfId="5" xr:uid="{48ABE02C-6D58-4549-BC6D-FB62FC8FBF05}"/>
    <cellStyle name="Normal 3 2" xfId="17" xr:uid="{3B4DB490-2387-4596-ABFE-1E4FA115E1D3}"/>
    <cellStyle name="Normal 3 3" xfId="18" xr:uid="{6BD7C8C4-F10C-41F6-9E9B-C4CC1928C7F1}"/>
    <cellStyle name="Normal 4" xfId="11" xr:uid="{81F2EC87-7BC4-41AE-BBAE-FE0A006FE4E7}"/>
    <cellStyle name="Normal 5" xfId="16" xr:uid="{A3088C48-FA94-46FC-81FF-4153CE83872B}"/>
    <cellStyle name="Normal 6" xfId="13" xr:uid="{B2A4DF5B-8A8D-436F-9C18-B1CEA12439E8}"/>
    <cellStyle name="Percent 2" xfId="6" xr:uid="{DE7B46B8-24DC-45EC-879D-C91BE2957BC1}"/>
  </cellStyles>
  <dxfs count="36">
    <dxf>
      <font>
        <color theme="0" tint="-0.34998626667073579"/>
      </font>
    </dxf>
    <dxf>
      <numFmt numFmtId="4" formatCode="#,##0.00"/>
    </dxf>
    <dxf>
      <font>
        <color rgb="FFC00000"/>
      </font>
    </dxf>
    <dxf>
      <font>
        <color rgb="FFC00000"/>
      </font>
    </dxf>
    <dxf>
      <font>
        <color rgb="FF0000FF"/>
      </font>
    </dxf>
    <dxf>
      <font>
        <color rgb="FF0000FF"/>
      </font>
    </dxf>
    <dxf>
      <font>
        <color rgb="FFC00000"/>
      </font>
    </dxf>
    <dxf>
      <font>
        <color rgb="FFC00000"/>
      </font>
    </dxf>
    <dxf>
      <font>
        <color rgb="FF0000FF"/>
      </font>
    </dxf>
    <dxf>
      <font>
        <color rgb="FF0000FF"/>
      </font>
    </dxf>
    <dxf>
      <font>
        <color rgb="FFC00000"/>
      </font>
    </dxf>
    <dxf>
      <font>
        <color rgb="FFC00000"/>
      </font>
    </dxf>
    <dxf>
      <numFmt numFmtId="8" formatCode="#,##0.00_);[Red]\(#,##0.00\)"/>
    </dxf>
    <dxf>
      <numFmt numFmtId="8" formatCode="#,##0.00_);[Red]\(#,##0.00\)"/>
    </dxf>
    <dxf>
      <numFmt numFmtId="8" formatCode="#,##0.00_);[Red]\(#,##0.00\)"/>
    </dxf>
    <dxf>
      <numFmt numFmtId="8" formatCode="#,##0.00_);[Red]\(#,##0.00\)"/>
    </dxf>
    <dxf>
      <numFmt numFmtId="8" formatCode="#,##0.00_);[Red]\(#,##0.00\)"/>
    </dxf>
    <dxf>
      <numFmt numFmtId="8" formatCode="#,##0.00_);[Red]\(#,##0.00\)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color indexed="8"/>
        <family val="2"/>
      </font>
    </dxf>
    <dxf>
      <font>
        <color indexed="8"/>
        <family val="2"/>
      </font>
    </dxf>
    <dxf>
      <font>
        <color indexed="8"/>
        <family val="2"/>
      </font>
    </dxf>
    <dxf>
      <font>
        <color indexed="8"/>
        <family val="2"/>
      </font>
    </dxf>
    <dxf>
      <font>
        <color indexed="8"/>
        <family val="2"/>
      </font>
    </dxf>
    <dxf>
      <font>
        <color indexed="8"/>
        <family val="2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</dxfs>
  <tableStyles count="0" defaultTableStyle="TableStyleMedium2" defaultPivotStyle="PivotStyleLight16"/>
  <colors>
    <mruColors>
      <color rgb="FFFF8A1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7620</xdr:rowOff>
    </xdr:from>
    <xdr:to>
      <xdr:col>20</xdr:col>
      <xdr:colOff>374311</xdr:colOff>
      <xdr:row>38</xdr:row>
      <xdr:rowOff>23464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527616-8E9E-C414-0583-91D8FD667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1940" y="7620"/>
          <a:ext cx="10745131" cy="69652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gupta\Downloads\QuantitativeAnalysisReport-ngupta-131992.xlsx" TargetMode="External"/><Relationship Id="rId1" Type="http://schemas.openxmlformats.org/officeDocument/2006/relationships/externalLinkPath" Target="/Users/ngupta/Downloads/QuantitativeAnalysisReport-ngupta-13199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ntitative Detail Yr 1"/>
      <sheetName val="Quantitative Detail Yr 2"/>
      <sheetName val="Quantitative Analysis Summary"/>
      <sheetName val="Parameters"/>
    </sheetNames>
    <sheetDataSet>
      <sheetData sheetId="0">
        <row r="1096">
          <cell r="K1096">
            <v>96548840.341503128</v>
          </cell>
          <cell r="L1096">
            <v>8559166.7516993582</v>
          </cell>
          <cell r="M1096">
            <v>450670833.79027712</v>
          </cell>
          <cell r="N1096">
            <v>20191657.432887383</v>
          </cell>
          <cell r="O1096">
            <v>0</v>
          </cell>
          <cell r="P1096">
            <v>150249.96225071212</v>
          </cell>
          <cell r="Q1096">
            <v>0</v>
          </cell>
          <cell r="S1096">
            <v>0</v>
          </cell>
          <cell r="T1096">
            <v>8246803.5233890889</v>
          </cell>
          <cell r="U1096">
            <v>487203328.41388786</v>
          </cell>
          <cell r="V1096">
            <v>81986979.029530913</v>
          </cell>
          <cell r="W1096">
            <v>-53798.392021932057</v>
          </cell>
          <cell r="X1096">
            <v>147998712.35047424</v>
          </cell>
          <cell r="Y1096">
            <v>1499444934.5061224</v>
          </cell>
          <cell r="Z1096">
            <v>-12319327.285990277</v>
          </cell>
          <cell r="AA1096">
            <v>919.03563200000247</v>
          </cell>
        </row>
      </sheetData>
      <sheetData sheetId="1">
        <row r="609">
          <cell r="K609">
            <v>73848591.19118087</v>
          </cell>
          <cell r="L609">
            <v>8685803.8867421001</v>
          </cell>
          <cell r="M609">
            <v>84954016.878559008</v>
          </cell>
          <cell r="N609">
            <v>12718624.481249876</v>
          </cell>
          <cell r="O609">
            <v>0</v>
          </cell>
          <cell r="P609">
            <v>756698.36204600008</v>
          </cell>
          <cell r="Q609">
            <v>0</v>
          </cell>
          <cell r="S609">
            <v>0</v>
          </cell>
          <cell r="T609">
            <v>8369557.295659109</v>
          </cell>
          <cell r="U609">
            <v>42437061.229174227</v>
          </cell>
          <cell r="V609">
            <v>75065303.77351436</v>
          </cell>
          <cell r="W609">
            <v>85804.518161999935</v>
          </cell>
          <cell r="X609">
            <v>151638702.55440992</v>
          </cell>
          <cell r="Y609">
            <v>41042281.902847037</v>
          </cell>
          <cell r="Z609">
            <v>1147759.7605097087</v>
          </cell>
          <cell r="AA609">
            <v>803.52327400000286</v>
          </cell>
        </row>
      </sheetData>
      <sheetData sheetId="2" refreshError="1"/>
      <sheetData sheetId="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ttaylor_leaseaccelerator_com/Documents/Downloads/Sanitized%20reporting%20package%202022%20Finance%20Vanilla%20lease%20(1)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Sanitized%20reporting%20package%202022%20Finance%20Vanilla%20lease%20-%20reviewed%20updated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khil Gupta" refreshedDate="44956.548854745372" createdVersion="6" refreshedVersion="8" minRefreshableVersion="3" recordCount="656" xr:uid="{E7817B77-2BC9-4916-9B63-4EA6F43B47CE}">
  <cacheSource type="worksheet">
    <worksheetSource ref="D1:L658" sheet="LE_Analysis" r:id="rId2"/>
  </cacheSource>
  <cacheFields count="9">
    <cacheField name="ACCOUNT DESCRIPTION" numFmtId="0">
      <sharedItems containsBlank="1" count="9">
        <s v="Finance Lease asset"/>
        <s v="Finance Lease obligation - LT"/>
        <s v="Accounts Payable Clearing"/>
        <s v="Interest expense"/>
        <s v="Interest accrued"/>
        <s v="Depreciation expense"/>
        <s v="Accumulated depreciation - Finance Lease"/>
        <s v="Finance Lease obligation - ST"/>
        <m/>
      </sharedItems>
    </cacheField>
    <cacheField name="DR" numFmtId="4">
      <sharedItems containsString="0" containsBlank="1" containsNumber="1" minValue="289.975145" maxValue="2539829.423163"/>
    </cacheField>
    <cacheField name="CR" numFmtId="4">
      <sharedItems containsString="0" containsBlank="1" containsNumber="1" minValue="289.975145" maxValue="2539829.423163"/>
    </cacheField>
    <cacheField name="NET" numFmtId="40">
      <sharedItems containsString="0" containsBlank="1" containsNumber="1" minValue="-2539829.423163" maxValue="2539829.423163"/>
    </cacheField>
    <cacheField name="LE_ID" numFmtId="1">
      <sharedItems containsString="0" containsBlank="1" containsNumber="1" containsInteger="1" minValue="6" maxValue="12"/>
    </cacheField>
    <cacheField name="SEQ" numFmtId="1">
      <sharedItems containsBlank="1"/>
    </cacheField>
    <cacheField name="JE SHORT DESCRIPTION" numFmtId="0">
      <sharedItems containsBlank="1"/>
    </cacheField>
    <cacheField name="AMOUNT TYPE" numFmtId="1">
      <sharedItems containsBlank="1"/>
    </cacheField>
    <cacheField name="SCHEDULE NAME" numFmtId="0">
      <sharedItems containsBlank="1" count="2">
        <s v="Schedule 2022 Finance Vanilla leas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amara Gaslin-Taylor" refreshedDate="44999.624678703702" createdVersion="7" refreshedVersion="8" minRefreshableVersion="3" recordCount="148" xr:uid="{7E28924A-1B20-4543-B547-23AE0817C732}">
  <cacheSource type="worksheet">
    <worksheetSource ref="A1:AS1048576" sheet="All" r:id="rId2"/>
  </cacheSource>
  <cacheFields count="45">
    <cacheField name="Ledger Date" numFmtId="0">
      <sharedItems containsBlank="1"/>
    </cacheField>
    <cacheField name="FX Conversion Date" numFmtId="0">
      <sharedItems containsNonDate="0" containsDate="1" containsString="0" containsBlank="1" minDate="2022-01-01T00:00:00" maxDate="2023-01-01T00:00:00"/>
    </cacheField>
    <cacheField name="FX Rate Type" numFmtId="0">
      <sharedItems containsBlank="1"/>
    </cacheField>
    <cacheField name="Segment1" numFmtId="0">
      <sharedItems containsBlank="1"/>
    </cacheField>
    <cacheField name="Segment2" numFmtId="0">
      <sharedItems containsNonDate="0" containsString="0" containsBlank="1"/>
    </cacheField>
    <cacheField name="Segment3" numFmtId="0">
      <sharedItems containsNonDate="0" containsString="0" containsBlank="1"/>
    </cacheField>
    <cacheField name="Segment4" numFmtId="0">
      <sharedItems containsNonDate="0" containsString="0" containsBlank="1"/>
    </cacheField>
    <cacheField name="Segment5" numFmtId="0">
      <sharedItems containsBlank="1"/>
    </cacheField>
    <cacheField name="Segment6" numFmtId="0">
      <sharedItems containsBlank="1"/>
    </cacheField>
    <cacheField name="Segment7" numFmtId="0">
      <sharedItems containsBlank="1"/>
    </cacheField>
    <cacheField name="Segment8" numFmtId="0">
      <sharedItems containsBlank="1"/>
    </cacheField>
    <cacheField name="Segment9" numFmtId="0">
      <sharedItems containsNonDate="0" containsString="0" containsBlank="1"/>
    </cacheField>
    <cacheField name="Segment10" numFmtId="0">
      <sharedItems containsNonDate="0" containsString="0" containsBlank="1"/>
    </cacheField>
    <cacheField name="Segment11" numFmtId="0">
      <sharedItems containsNonDate="0" containsString="0" containsBlank="1"/>
    </cacheField>
    <cacheField name="AccountDescription" numFmtId="0">
      <sharedItems containsBlank="1" count="9">
        <s v="Finance Lease asset"/>
        <s v="Finance Lease obligation - LT"/>
        <s v="Accounts Payable Clearing"/>
        <s v="Interest expense"/>
        <s v="Interest accrued"/>
        <s v="Depreciation expense"/>
        <s v="Accumulated depreciation - Finance Lease"/>
        <s v="Finance Lease obligation - ST"/>
        <m/>
      </sharedItems>
    </cacheField>
    <cacheField name="Transactional Currency" numFmtId="0">
      <sharedItems containsBlank="1"/>
    </cacheField>
    <cacheField name="Transactional DR" numFmtId="0">
      <sharedItems containsString="0" containsBlank="1" containsNumber="1" minValue="12180.058743" maxValue="2539829.423163"/>
    </cacheField>
    <cacheField name="Transactional CR" numFmtId="0">
      <sharedItems containsString="0" containsBlank="1" containsNumber="1" minValue="12180.058743" maxValue="2539829.423163"/>
    </cacheField>
    <cacheField name="Transactional Net" numFmtId="0">
      <sharedItems containsString="0" containsBlank="1" containsNumber="1" minValue="-2539829.423163" maxValue="2539829.423163"/>
    </cacheField>
    <cacheField name="Functional Currency" numFmtId="0">
      <sharedItems containsBlank="1"/>
    </cacheField>
    <cacheField name="Functional DR" numFmtId="0">
      <sharedItems containsString="0" containsBlank="1" containsNumber="1" minValue="12180.058743" maxValue="2539829.423163"/>
    </cacheField>
    <cacheField name="Functional CR" numFmtId="0">
      <sharedItems containsString="0" containsBlank="1" containsNumber="1" minValue="12180.058743" maxValue="2539829.423163"/>
    </cacheField>
    <cacheField name="Functional Net" numFmtId="0">
      <sharedItems containsString="0" containsBlank="1" containsNumber="1" minValue="-2539829.423163" maxValue="2539829.423163"/>
    </cacheField>
    <cacheField name="Reporting Currency" numFmtId="0">
      <sharedItems containsBlank="1"/>
    </cacheField>
    <cacheField name="Reporting DR" numFmtId="0">
      <sharedItems containsString="0" containsBlank="1" containsNumber="1" minValue="12180.058743" maxValue="2539829.423163"/>
    </cacheField>
    <cacheField name="Reporting CR" numFmtId="0">
      <sharedItems containsString="0" containsBlank="1" containsNumber="1" minValue="12180.058743" maxValue="2539829.423163"/>
    </cacheField>
    <cacheField name="Reporting Net" numFmtId="0">
      <sharedItems containsString="0" containsBlank="1" containsNumber="1" minValue="-2539829.423163" maxValue="2539829.423163"/>
    </cacheField>
    <cacheField name="Pivot Basis" numFmtId="0">
      <sharedItems containsBlank="1"/>
    </cacheField>
    <cacheField name="Pivot Basis Currency" numFmtId="0">
      <sharedItems containsBlank="1" count="2">
        <s v="USD"/>
        <m/>
      </sharedItems>
    </cacheField>
    <cacheField name="Pivot Net" numFmtId="0">
      <sharedItems containsString="0" containsBlank="1" containsNumber="1" minValue="-2539829.423163" maxValue="2539829.423163"/>
    </cacheField>
    <cacheField name="Schedule" numFmtId="0">
      <sharedItems containsBlank="1"/>
    </cacheField>
    <cacheField name="Comments" numFmtId="0">
      <sharedItems containsBlank="1"/>
    </cacheField>
    <cacheField name="Entry Type" numFmtId="0">
      <sharedItems containsBlank="1" count="8">
        <s v=" 02. Additions"/>
        <s v=" 05. Payment"/>
        <s v=" 04. Accretion"/>
        <s v=" 03. Amortization"/>
        <s v=" 06. LT/ST"/>
        <s v=" 08. Closing Balance - (Dr) Cr"/>
        <s v=" 01. Opening Balance"/>
        <m/>
      </sharedItems>
    </cacheField>
    <cacheField name="Affected Component" numFmtId="0">
      <sharedItems containsBlank="1" count="3">
        <s v="Base lease"/>
        <s v="Account"/>
        <m/>
      </sharedItems>
    </cacheField>
    <cacheField name="Triggering Event" numFmtId="0">
      <sharedItems containsBlank="1"/>
    </cacheField>
    <cacheField name="Event Details" numFmtId="0">
      <sharedItems containsBlank="1"/>
    </cacheField>
    <cacheField name="JE Type" numFmtId="0">
      <sharedItems containsBlank="1" count="3">
        <s v="Normal"/>
        <s v="Balance"/>
        <m/>
      </sharedItems>
    </cacheField>
    <cacheField name="Posting Code" numFmtId="0">
      <sharedItems containsString="0" containsBlank="1" containsNumber="1" containsInteger="1" minValue="6" maxValue="12"/>
    </cacheField>
    <cacheField name="JEShortDesc" numFmtId="0">
      <sharedItems containsBlank="1"/>
    </cacheField>
    <cacheField name="LedgerEntrySubId" numFmtId="0">
      <sharedItems containsBlank="1"/>
    </cacheField>
    <cacheField name="LedgerEntryId" numFmtId="0">
      <sharedItems containsNonDate="0" containsString="0" containsBlank="1"/>
    </cacheField>
    <cacheField name="Status" numFmtId="0">
      <sharedItems containsBlank="1"/>
    </cacheField>
    <cacheField name="ExternalDocumentId" numFmtId="0">
      <sharedItems containsNonDate="0" containsString="0" containsBlank="1"/>
    </cacheField>
    <cacheField name="Filter By" numFmtId="0">
      <sharedItems containsBlank="1" count="2">
        <s v="13001"/>
        <m/>
      </sharedItems>
    </cacheField>
    <cacheField name="Drill down By" numFmtId="0">
      <sharedItems containsBlank="1" count="2">
        <s v="1300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6">
  <r>
    <x v="0"/>
    <n v="2539829.423163"/>
    <m/>
    <n v="2539829.423163"/>
    <n v="6"/>
    <s v="5"/>
    <s v="Capital Lease Modification Takedown"/>
    <s v="ASSET_BALANCE"/>
    <x v="0"/>
  </r>
  <r>
    <x v="1"/>
    <m/>
    <n v="2539829.423163"/>
    <n v="-2539829.423163"/>
    <n v="6"/>
    <s v="7"/>
    <s v="Capital Lease Modification Takedown"/>
    <s v="LEASE_LIABILITY_BALANCE"/>
    <x v="0"/>
  </r>
  <r>
    <x v="1"/>
    <n v="50000"/>
    <m/>
    <n v="50000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4524.004967999999"/>
    <m/>
    <n v="14524.004967999999"/>
    <n v="8"/>
    <s v="1"/>
    <s v="Interest Accrual"/>
    <s v="ACCRUED_INT"/>
    <x v="0"/>
  </r>
  <r>
    <x v="4"/>
    <m/>
    <n v="14524.004967999999"/>
    <n v="-14524.004967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39639.29"/>
    <m/>
    <n v="439639.29"/>
    <n v="11"/>
    <s v="4"/>
    <s v="Capital Long Term to Short Term Reclass"/>
    <s v="RECLASSIFY_OBLIGATION"/>
    <x v="0"/>
  </r>
  <r>
    <x v="7"/>
    <m/>
    <n v="439639.29"/>
    <n v="-439639.29"/>
    <n v="11"/>
    <s v="7"/>
    <s v="Capital Long Term to Short Term Reclass"/>
    <s v="RECLASSIFY_OBLIGATION"/>
    <x v="0"/>
  </r>
  <r>
    <x v="7"/>
    <n v="439639.29"/>
    <m/>
    <n v="439639.29"/>
    <n v="11"/>
    <s v="10"/>
    <s v="Capital Long Term from Short Term Reversal"/>
    <s v="REVERSAL"/>
    <x v="0"/>
  </r>
  <r>
    <x v="1"/>
    <m/>
    <n v="439639.29"/>
    <n v="-439639.29"/>
    <n v="11"/>
    <s v="13"/>
    <s v="Capital Long Term from Short Term Reversal"/>
    <s v="REVERSAL"/>
    <x v="0"/>
  </r>
  <r>
    <x v="4"/>
    <n v="14524.004967999999"/>
    <m/>
    <n v="14524.004967999999"/>
    <n v="12"/>
    <s v="4"/>
    <s v="Payment"/>
    <s v="INTEREST"/>
    <x v="0"/>
  </r>
  <r>
    <x v="1"/>
    <n v="35475.995031999999"/>
    <m/>
    <n v="35475.995031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4317.061664000001"/>
    <m/>
    <n v="14317.061664000001"/>
    <n v="8"/>
    <s v="1"/>
    <s v="Interest Accrual"/>
    <s v="ACCRUED_INT"/>
    <x v="0"/>
  </r>
  <r>
    <x v="4"/>
    <m/>
    <n v="14317.061664000001"/>
    <n v="-14317.061664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42203.86"/>
    <m/>
    <n v="442203.86"/>
    <n v="11"/>
    <s v="4"/>
    <s v="Capital Long Term to Short Term Reclass"/>
    <s v="RECLASSIFY_OBLIGATION"/>
    <x v="0"/>
  </r>
  <r>
    <x v="7"/>
    <m/>
    <n v="442203.86"/>
    <n v="-442203.86"/>
    <n v="11"/>
    <s v="7"/>
    <s v="Capital Long Term to Short Term Reclass"/>
    <s v="RECLASSIFY_OBLIGATION"/>
    <x v="0"/>
  </r>
  <r>
    <x v="7"/>
    <n v="442203.86"/>
    <m/>
    <n v="442203.86"/>
    <n v="11"/>
    <s v="10"/>
    <s v="Capital Long Term from Short Term Reversal"/>
    <s v="REVERSAL"/>
    <x v="0"/>
  </r>
  <r>
    <x v="1"/>
    <m/>
    <n v="442203.86"/>
    <n v="-442203.86"/>
    <n v="11"/>
    <s v="13"/>
    <s v="Capital Long Term from Short Term Reversal"/>
    <s v="REVERSAL"/>
    <x v="0"/>
  </r>
  <r>
    <x v="4"/>
    <n v="14317.061664000001"/>
    <m/>
    <n v="14317.061664000001"/>
    <n v="12"/>
    <s v="4"/>
    <s v="Payment"/>
    <s v="INTEREST"/>
    <x v="0"/>
  </r>
  <r>
    <x v="1"/>
    <n v="35682.938335999999"/>
    <m/>
    <n v="35682.938335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4108.911190000001"/>
    <m/>
    <n v="14108.911190000001"/>
    <n v="8"/>
    <s v="1"/>
    <s v="Interest Accrual"/>
    <s v="ACCRUED_INT"/>
    <x v="0"/>
  </r>
  <r>
    <x v="4"/>
    <m/>
    <n v="14108.911190000001"/>
    <n v="-14108.911190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44783.38"/>
    <m/>
    <n v="444783.38"/>
    <n v="11"/>
    <s v="4"/>
    <s v="Capital Long Term to Short Term Reclass"/>
    <s v="RECLASSIFY_OBLIGATION"/>
    <x v="0"/>
  </r>
  <r>
    <x v="7"/>
    <m/>
    <n v="444783.38"/>
    <n v="-444783.38"/>
    <n v="11"/>
    <s v="7"/>
    <s v="Capital Long Term to Short Term Reclass"/>
    <s v="RECLASSIFY_OBLIGATION"/>
    <x v="0"/>
  </r>
  <r>
    <x v="7"/>
    <n v="444783.38"/>
    <m/>
    <n v="444783.38"/>
    <n v="11"/>
    <s v="10"/>
    <s v="Capital Long Term from Short Term Reversal"/>
    <s v="REVERSAL"/>
    <x v="0"/>
  </r>
  <r>
    <x v="1"/>
    <m/>
    <n v="444783.38"/>
    <n v="-444783.38"/>
    <n v="11"/>
    <s v="13"/>
    <s v="Capital Long Term from Short Term Reversal"/>
    <s v="REVERSAL"/>
    <x v="0"/>
  </r>
  <r>
    <x v="4"/>
    <n v="14108.911190000001"/>
    <m/>
    <n v="14108.911190000001"/>
    <n v="12"/>
    <s v="4"/>
    <s v="Payment"/>
    <s v="INTEREST"/>
    <x v="0"/>
  </r>
  <r>
    <x v="1"/>
    <n v="35891.088810000001"/>
    <m/>
    <n v="35891.088810000001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3899.546506000001"/>
    <m/>
    <n v="13899.546506000001"/>
    <n v="8"/>
    <s v="1"/>
    <s v="Interest Accrual"/>
    <s v="ACCRUED_INT"/>
    <x v="0"/>
  </r>
  <r>
    <x v="4"/>
    <m/>
    <n v="13899.546506000001"/>
    <n v="-13899.546506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47377.95"/>
    <m/>
    <n v="447377.95"/>
    <n v="11"/>
    <s v="4"/>
    <s v="Capital Long Term to Short Term Reclass"/>
    <s v="RECLASSIFY_OBLIGATION"/>
    <x v="0"/>
  </r>
  <r>
    <x v="7"/>
    <m/>
    <n v="447377.95"/>
    <n v="-447377.95"/>
    <n v="11"/>
    <s v="7"/>
    <s v="Capital Long Term to Short Term Reclass"/>
    <s v="RECLASSIFY_OBLIGATION"/>
    <x v="0"/>
  </r>
  <r>
    <x v="7"/>
    <n v="447377.95"/>
    <m/>
    <n v="447377.95"/>
    <n v="11"/>
    <s v="10"/>
    <s v="Capital Long Term from Short Term Reversal"/>
    <s v="REVERSAL"/>
    <x v="0"/>
  </r>
  <r>
    <x v="1"/>
    <m/>
    <n v="447377.95"/>
    <n v="-447377.95"/>
    <n v="11"/>
    <s v="13"/>
    <s v="Capital Long Term from Short Term Reversal"/>
    <s v="REVERSAL"/>
    <x v="0"/>
  </r>
  <r>
    <x v="4"/>
    <n v="13899.546506000001"/>
    <m/>
    <n v="13899.546506000001"/>
    <n v="12"/>
    <s v="4"/>
    <s v="Payment"/>
    <s v="INTEREST"/>
    <x v="0"/>
  </r>
  <r>
    <x v="1"/>
    <n v="36100.453494000001"/>
    <m/>
    <n v="36100.453494000001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3688.960526999999"/>
    <m/>
    <n v="13688.960526999999"/>
    <n v="8"/>
    <s v="1"/>
    <s v="Interest Accrual"/>
    <s v="ACCRUED_INT"/>
    <x v="0"/>
  </r>
  <r>
    <x v="4"/>
    <m/>
    <n v="13688.960526999999"/>
    <n v="-13688.960526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49987.65"/>
    <m/>
    <n v="449987.65"/>
    <n v="11"/>
    <s v="4"/>
    <s v="Capital Long Term to Short Term Reclass"/>
    <s v="RECLASSIFY_OBLIGATION"/>
    <x v="0"/>
  </r>
  <r>
    <x v="7"/>
    <m/>
    <n v="449987.65"/>
    <n v="-449987.65"/>
    <n v="11"/>
    <s v="7"/>
    <s v="Capital Long Term to Short Term Reclass"/>
    <s v="RECLASSIFY_OBLIGATION"/>
    <x v="0"/>
  </r>
  <r>
    <x v="7"/>
    <n v="449987.65"/>
    <m/>
    <n v="449987.65"/>
    <n v="11"/>
    <s v="10"/>
    <s v="Capital Long Term from Short Term Reversal"/>
    <s v="REVERSAL"/>
    <x v="0"/>
  </r>
  <r>
    <x v="1"/>
    <m/>
    <n v="449987.65"/>
    <n v="-449987.65"/>
    <n v="11"/>
    <s v="13"/>
    <s v="Capital Long Term from Short Term Reversal"/>
    <s v="REVERSAL"/>
    <x v="0"/>
  </r>
  <r>
    <x v="4"/>
    <n v="13688.960526999999"/>
    <m/>
    <n v="13688.960526999999"/>
    <n v="12"/>
    <s v="4"/>
    <s v="Payment"/>
    <s v="INTEREST"/>
    <x v="0"/>
  </r>
  <r>
    <x v="1"/>
    <n v="36311.039472999997"/>
    <m/>
    <n v="36311.039472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3477.146129999999"/>
    <m/>
    <n v="13477.146129999999"/>
    <n v="8"/>
    <s v="1"/>
    <s v="Interest Accrual"/>
    <s v="ACCRUED_INT"/>
    <x v="0"/>
  </r>
  <r>
    <x v="4"/>
    <m/>
    <n v="13477.146129999999"/>
    <n v="-13477.146129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52612.58"/>
    <m/>
    <n v="452612.58"/>
    <n v="11"/>
    <s v="4"/>
    <s v="Capital Long Term to Short Term Reclass"/>
    <s v="RECLASSIFY_OBLIGATION"/>
    <x v="0"/>
  </r>
  <r>
    <x v="7"/>
    <m/>
    <n v="452612.58"/>
    <n v="-452612.58"/>
    <n v="11"/>
    <s v="7"/>
    <s v="Capital Long Term to Short Term Reclass"/>
    <s v="RECLASSIFY_OBLIGATION"/>
    <x v="0"/>
  </r>
  <r>
    <x v="7"/>
    <n v="452612.58"/>
    <m/>
    <n v="452612.58"/>
    <n v="11"/>
    <s v="10"/>
    <s v="Capital Long Term from Short Term Reversal"/>
    <s v="REVERSAL"/>
    <x v="0"/>
  </r>
  <r>
    <x v="1"/>
    <m/>
    <n v="452612.58"/>
    <n v="-452612.58"/>
    <n v="11"/>
    <s v="13"/>
    <s v="Capital Long Term from Short Term Reversal"/>
    <s v="REVERSAL"/>
    <x v="0"/>
  </r>
  <r>
    <x v="4"/>
    <n v="13477.146129999999"/>
    <m/>
    <n v="13477.146129999999"/>
    <n v="12"/>
    <s v="4"/>
    <s v="Payment"/>
    <s v="INTEREST"/>
    <x v="0"/>
  </r>
  <r>
    <x v="1"/>
    <n v="36522.853869999999"/>
    <m/>
    <n v="36522.853869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3264.096149000001"/>
    <m/>
    <n v="13264.096149000001"/>
    <n v="8"/>
    <s v="1"/>
    <s v="Interest Accrual"/>
    <s v="ACCRUED_INT"/>
    <x v="0"/>
  </r>
  <r>
    <x v="4"/>
    <m/>
    <n v="13264.096149000001"/>
    <n v="-13264.096149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55252.83"/>
    <m/>
    <n v="455252.83"/>
    <n v="11"/>
    <s v="4"/>
    <s v="Capital Long Term to Short Term Reclass"/>
    <s v="RECLASSIFY_OBLIGATION"/>
    <x v="0"/>
  </r>
  <r>
    <x v="7"/>
    <m/>
    <n v="455252.83"/>
    <n v="-455252.83"/>
    <n v="11"/>
    <s v="7"/>
    <s v="Capital Long Term to Short Term Reclass"/>
    <s v="RECLASSIFY_OBLIGATION"/>
    <x v="0"/>
  </r>
  <r>
    <x v="7"/>
    <n v="455252.83"/>
    <m/>
    <n v="455252.83"/>
    <n v="11"/>
    <s v="10"/>
    <s v="Capital Long Term from Short Term Reversal"/>
    <s v="REVERSAL"/>
    <x v="0"/>
  </r>
  <r>
    <x v="1"/>
    <m/>
    <n v="455252.83"/>
    <n v="-455252.83"/>
    <n v="11"/>
    <s v="13"/>
    <s v="Capital Long Term from Short Term Reversal"/>
    <s v="REVERSAL"/>
    <x v="0"/>
  </r>
  <r>
    <x v="4"/>
    <n v="13264.096149000001"/>
    <m/>
    <n v="13264.096149000001"/>
    <n v="12"/>
    <s v="4"/>
    <s v="Payment"/>
    <s v="INTEREST"/>
    <x v="0"/>
  </r>
  <r>
    <x v="1"/>
    <n v="36735.903851000003"/>
    <m/>
    <n v="36735.903851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3049.803377"/>
    <m/>
    <n v="13049.803377"/>
    <n v="8"/>
    <s v="1"/>
    <s v="Interest Accrual"/>
    <s v="ACCRUED_INT"/>
    <x v="0"/>
  </r>
  <r>
    <x v="4"/>
    <m/>
    <n v="13049.803377"/>
    <n v="-13049.803377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57908.46"/>
    <m/>
    <n v="457908.46"/>
    <n v="11"/>
    <s v="4"/>
    <s v="Capital Long Term to Short Term Reclass"/>
    <s v="RECLASSIFY_OBLIGATION"/>
    <x v="0"/>
  </r>
  <r>
    <x v="7"/>
    <m/>
    <n v="457908.46"/>
    <n v="-457908.46"/>
    <n v="11"/>
    <s v="7"/>
    <s v="Capital Long Term to Short Term Reclass"/>
    <s v="RECLASSIFY_OBLIGATION"/>
    <x v="0"/>
  </r>
  <r>
    <x v="7"/>
    <n v="457908.46"/>
    <m/>
    <n v="457908.46"/>
    <n v="11"/>
    <s v="10"/>
    <s v="Capital Long Term from Short Term Reversal"/>
    <s v="REVERSAL"/>
    <x v="0"/>
  </r>
  <r>
    <x v="1"/>
    <m/>
    <n v="457908.46"/>
    <n v="-457908.46"/>
    <n v="11"/>
    <s v="13"/>
    <s v="Capital Long Term from Short Term Reversal"/>
    <s v="REVERSAL"/>
    <x v="0"/>
  </r>
  <r>
    <x v="4"/>
    <n v="13049.803377"/>
    <m/>
    <n v="13049.803377"/>
    <n v="12"/>
    <s v="4"/>
    <s v="Payment"/>
    <s v="INTEREST"/>
    <x v="0"/>
  </r>
  <r>
    <x v="1"/>
    <n v="36950.196623000003"/>
    <m/>
    <n v="36950.196623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2834.260563"/>
    <m/>
    <n v="12834.260563"/>
    <n v="8"/>
    <s v="1"/>
    <s v="Interest Accrual"/>
    <s v="ACCRUED_INT"/>
    <x v="0"/>
  </r>
  <r>
    <x v="4"/>
    <m/>
    <n v="12834.260563"/>
    <n v="-12834.260563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60579.59"/>
    <m/>
    <n v="460579.59"/>
    <n v="11"/>
    <s v="4"/>
    <s v="Capital Long Term to Short Term Reclass"/>
    <s v="RECLASSIFY_OBLIGATION"/>
    <x v="0"/>
  </r>
  <r>
    <x v="7"/>
    <m/>
    <n v="460579.59"/>
    <n v="-460579.59"/>
    <n v="11"/>
    <s v="7"/>
    <s v="Capital Long Term to Short Term Reclass"/>
    <s v="RECLASSIFY_OBLIGATION"/>
    <x v="0"/>
  </r>
  <r>
    <x v="7"/>
    <n v="460579.59"/>
    <m/>
    <n v="460579.59"/>
    <n v="11"/>
    <s v="10"/>
    <s v="Capital Long Term from Short Term Reversal"/>
    <s v="REVERSAL"/>
    <x v="0"/>
  </r>
  <r>
    <x v="1"/>
    <m/>
    <n v="460579.59"/>
    <n v="-460579.59"/>
    <n v="11"/>
    <s v="13"/>
    <s v="Capital Long Term from Short Term Reversal"/>
    <s v="REVERSAL"/>
    <x v="0"/>
  </r>
  <r>
    <x v="4"/>
    <n v="12834.260563"/>
    <m/>
    <n v="12834.260563"/>
    <n v="12"/>
    <s v="4"/>
    <s v="Payment"/>
    <s v="INTEREST"/>
    <x v="0"/>
  </r>
  <r>
    <x v="1"/>
    <n v="37165.739436999997"/>
    <m/>
    <n v="37165.739436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2617.460416"/>
    <m/>
    <n v="12617.460416"/>
    <n v="8"/>
    <s v="1"/>
    <s v="Interest Accrual"/>
    <s v="ACCRUED_INT"/>
    <x v="0"/>
  </r>
  <r>
    <x v="4"/>
    <m/>
    <n v="12617.460416"/>
    <n v="-12617.460416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63266.31"/>
    <m/>
    <n v="463266.31"/>
    <n v="11"/>
    <s v="4"/>
    <s v="Capital Long Term to Short Term Reclass"/>
    <s v="RECLASSIFY_OBLIGATION"/>
    <x v="0"/>
  </r>
  <r>
    <x v="7"/>
    <m/>
    <n v="463266.31"/>
    <n v="-463266.31"/>
    <n v="11"/>
    <s v="7"/>
    <s v="Capital Long Term to Short Term Reclass"/>
    <s v="RECLASSIFY_OBLIGATION"/>
    <x v="0"/>
  </r>
  <r>
    <x v="7"/>
    <n v="463266.31"/>
    <m/>
    <n v="463266.31"/>
    <n v="11"/>
    <s v="10"/>
    <s v="Capital Long Term from Short Term Reversal"/>
    <s v="REVERSAL"/>
    <x v="0"/>
  </r>
  <r>
    <x v="1"/>
    <m/>
    <n v="463266.31"/>
    <n v="-463266.31"/>
    <n v="11"/>
    <s v="13"/>
    <s v="Capital Long Term from Short Term Reversal"/>
    <s v="REVERSAL"/>
    <x v="0"/>
  </r>
  <r>
    <x v="4"/>
    <n v="12617.460416"/>
    <m/>
    <n v="12617.460416"/>
    <n v="12"/>
    <s v="4"/>
    <s v="Payment"/>
    <s v="INTEREST"/>
    <x v="0"/>
  </r>
  <r>
    <x v="1"/>
    <n v="37382.539583999998"/>
    <m/>
    <n v="37382.5395839999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2399.395602000001"/>
    <m/>
    <n v="12399.395602000001"/>
    <n v="8"/>
    <s v="1"/>
    <s v="Interest Accrual"/>
    <s v="ACCRUED_INT"/>
    <x v="0"/>
  </r>
  <r>
    <x v="4"/>
    <m/>
    <n v="12399.395602000001"/>
    <n v="-12399.395602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65968.7"/>
    <m/>
    <n v="465968.7"/>
    <n v="11"/>
    <s v="4"/>
    <s v="Capital Long Term to Short Term Reclass"/>
    <s v="RECLASSIFY_OBLIGATION"/>
    <x v="0"/>
  </r>
  <r>
    <x v="7"/>
    <m/>
    <n v="465968.7"/>
    <n v="-465968.7"/>
    <n v="11"/>
    <s v="7"/>
    <s v="Capital Long Term to Short Term Reclass"/>
    <s v="RECLASSIFY_OBLIGATION"/>
    <x v="0"/>
  </r>
  <r>
    <x v="7"/>
    <n v="465968.7"/>
    <m/>
    <n v="465968.7"/>
    <n v="11"/>
    <s v="10"/>
    <s v="Capital Long Term from Short Term Reversal"/>
    <s v="REVERSAL"/>
    <x v="0"/>
  </r>
  <r>
    <x v="1"/>
    <m/>
    <n v="465968.7"/>
    <n v="-465968.7"/>
    <n v="11"/>
    <s v="13"/>
    <s v="Capital Long Term from Short Term Reversal"/>
    <s v="REVERSAL"/>
    <x v="0"/>
  </r>
  <r>
    <x v="4"/>
    <n v="12399.395602000001"/>
    <m/>
    <n v="12399.395602000001"/>
    <n v="12"/>
    <s v="4"/>
    <s v="Payment"/>
    <s v="INTEREST"/>
    <x v="0"/>
  </r>
  <r>
    <x v="1"/>
    <n v="37600.604398000003"/>
    <m/>
    <n v="37600.604398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2180.058743"/>
    <m/>
    <n v="12180.058743"/>
    <n v="8"/>
    <s v="1"/>
    <s v="Interest Accrual"/>
    <s v="ACCRUED_INT"/>
    <x v="0"/>
  </r>
  <r>
    <x v="4"/>
    <m/>
    <n v="12180.058743"/>
    <n v="-12180.058743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68686.85"/>
    <m/>
    <n v="468686.85"/>
    <n v="11"/>
    <s v="4"/>
    <s v="Capital Long Term to Short Term Reclass"/>
    <s v="RECLASSIFY_OBLIGATION"/>
    <x v="0"/>
  </r>
  <r>
    <x v="7"/>
    <m/>
    <n v="468686.85"/>
    <n v="-468686.85"/>
    <n v="11"/>
    <s v="7"/>
    <s v="Capital Long Term to Short Term Reclass"/>
    <s v="RECLASSIFY_OBLIGATION"/>
    <x v="0"/>
  </r>
  <r>
    <x v="7"/>
    <n v="468686.85"/>
    <m/>
    <n v="468686.85"/>
    <n v="11"/>
    <s v="10"/>
    <s v="Capital Long Term from Short Term Reversal"/>
    <s v="REVERSAL"/>
    <x v="0"/>
  </r>
  <r>
    <x v="1"/>
    <m/>
    <n v="468686.85"/>
    <n v="-468686.85"/>
    <n v="11"/>
    <s v="13"/>
    <s v="Capital Long Term from Short Term Reversal"/>
    <s v="REVERSAL"/>
    <x v="0"/>
  </r>
  <r>
    <x v="4"/>
    <n v="12180.058743"/>
    <m/>
    <n v="12180.058743"/>
    <n v="12"/>
    <s v="4"/>
    <s v="Payment"/>
    <s v="INTEREST"/>
    <x v="0"/>
  </r>
  <r>
    <x v="1"/>
    <n v="37819.941256999999"/>
    <m/>
    <n v="37819.941256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1959.442419000001"/>
    <m/>
    <n v="11959.442419000001"/>
    <n v="8"/>
    <s v="1"/>
    <s v="Interest Accrual"/>
    <s v="ACCRUED_INT"/>
    <x v="0"/>
  </r>
  <r>
    <x v="4"/>
    <m/>
    <n v="11959.442419000001"/>
    <n v="-11959.442419000001"/>
    <n v="8"/>
    <s v="4"/>
    <s v="Interest Accrual"/>
    <s v="ACCRUED_INT"/>
    <x v="0"/>
  </r>
  <r>
    <x v="5"/>
    <n v="42330.5"/>
    <m/>
    <n v="42330.5"/>
    <n v="10"/>
    <s v="1"/>
    <s v="Capital Lease Depreciation Expense Recognition"/>
    <s v="DEPRECIATION"/>
    <x v="0"/>
  </r>
  <r>
    <x v="6"/>
    <m/>
    <n v="42330.5"/>
    <n v="-42330.5"/>
    <n v="10"/>
    <s v="4"/>
    <s v="Capital Lease Depreciation Expense Recognition"/>
    <s v="DEPRECIATION"/>
    <x v="0"/>
  </r>
  <r>
    <x v="1"/>
    <n v="471420.85"/>
    <m/>
    <n v="471420.85"/>
    <n v="11"/>
    <s v="4"/>
    <s v="Capital Long Term to Short Term Reclass"/>
    <s v="RECLASSIFY_OBLIGATION"/>
    <x v="0"/>
  </r>
  <r>
    <x v="7"/>
    <m/>
    <n v="471420.85"/>
    <n v="-471420.85"/>
    <n v="11"/>
    <s v="7"/>
    <s v="Capital Long Term to Short Term Reclass"/>
    <s v="RECLASSIFY_OBLIGATION"/>
    <x v="0"/>
  </r>
  <r>
    <x v="7"/>
    <n v="471420.85"/>
    <m/>
    <n v="471420.85"/>
    <n v="11"/>
    <s v="10"/>
    <s v="Capital Long Term from Short Term Reversal"/>
    <s v="REVERSAL"/>
    <x v="0"/>
  </r>
  <r>
    <x v="1"/>
    <m/>
    <n v="471420.85"/>
    <n v="-471420.85"/>
    <n v="11"/>
    <s v="13"/>
    <s v="Capital Long Term from Short Term Reversal"/>
    <s v="REVERSAL"/>
    <x v="0"/>
  </r>
  <r>
    <x v="4"/>
    <n v="11959.442419000001"/>
    <m/>
    <n v="11959.442419000001"/>
    <n v="12"/>
    <s v="4"/>
    <s v="Payment"/>
    <s v="INTEREST"/>
    <x v="0"/>
  </r>
  <r>
    <x v="1"/>
    <n v="38040.557581000001"/>
    <m/>
    <n v="38040.557581000001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1737.539167000001"/>
    <m/>
    <n v="11737.539167000001"/>
    <n v="8"/>
    <s v="1"/>
    <s v="Interest Accrual"/>
    <s v="ACCRUED_INT"/>
    <x v="0"/>
  </r>
  <r>
    <x v="4"/>
    <m/>
    <n v="11737.539167000001"/>
    <n v="-11737.539167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74170.81"/>
    <m/>
    <n v="474170.81"/>
    <n v="11"/>
    <s v="4"/>
    <s v="Capital Long Term to Short Term Reclass"/>
    <s v="RECLASSIFY_OBLIGATION"/>
    <x v="0"/>
  </r>
  <r>
    <x v="7"/>
    <m/>
    <n v="474170.81"/>
    <n v="-474170.81"/>
    <n v="11"/>
    <s v="7"/>
    <s v="Capital Long Term to Short Term Reclass"/>
    <s v="RECLASSIFY_OBLIGATION"/>
    <x v="0"/>
  </r>
  <r>
    <x v="7"/>
    <n v="474170.81"/>
    <m/>
    <n v="474170.81"/>
    <n v="11"/>
    <s v="10"/>
    <s v="Capital Long Term from Short Term Reversal"/>
    <s v="REVERSAL"/>
    <x v="0"/>
  </r>
  <r>
    <x v="1"/>
    <m/>
    <n v="474170.81"/>
    <n v="-474170.81"/>
    <n v="11"/>
    <s v="13"/>
    <s v="Capital Long Term from Short Term Reversal"/>
    <s v="REVERSAL"/>
    <x v="0"/>
  </r>
  <r>
    <x v="4"/>
    <n v="11737.539167000001"/>
    <m/>
    <n v="11737.539167000001"/>
    <n v="12"/>
    <s v="4"/>
    <s v="Payment"/>
    <s v="INTEREST"/>
    <x v="0"/>
  </r>
  <r>
    <x v="1"/>
    <n v="38262.460832999997"/>
    <m/>
    <n v="38262.460832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1514.341478"/>
    <m/>
    <n v="11514.341478"/>
    <n v="8"/>
    <s v="1"/>
    <s v="Interest Accrual"/>
    <s v="ACCRUED_INT"/>
    <x v="0"/>
  </r>
  <r>
    <x v="4"/>
    <m/>
    <n v="11514.341478"/>
    <n v="-11514.341478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76936.81"/>
    <m/>
    <n v="476936.81"/>
    <n v="11"/>
    <s v="4"/>
    <s v="Capital Long Term to Short Term Reclass"/>
    <s v="RECLASSIFY_OBLIGATION"/>
    <x v="0"/>
  </r>
  <r>
    <x v="7"/>
    <m/>
    <n v="476936.81"/>
    <n v="-476936.81"/>
    <n v="11"/>
    <s v="7"/>
    <s v="Capital Long Term to Short Term Reclass"/>
    <s v="RECLASSIFY_OBLIGATION"/>
    <x v="0"/>
  </r>
  <r>
    <x v="7"/>
    <n v="476936.81"/>
    <m/>
    <n v="476936.81"/>
    <n v="11"/>
    <s v="10"/>
    <s v="Capital Long Term from Short Term Reversal"/>
    <s v="REVERSAL"/>
    <x v="0"/>
  </r>
  <r>
    <x v="1"/>
    <m/>
    <n v="476936.81"/>
    <n v="-476936.81"/>
    <n v="11"/>
    <s v="13"/>
    <s v="Capital Long Term from Short Term Reversal"/>
    <s v="REVERSAL"/>
    <x v="0"/>
  </r>
  <r>
    <x v="4"/>
    <n v="11514.341478"/>
    <m/>
    <n v="11514.341478"/>
    <n v="12"/>
    <s v="4"/>
    <s v="Payment"/>
    <s v="INTEREST"/>
    <x v="0"/>
  </r>
  <r>
    <x v="1"/>
    <n v="38485.658521999998"/>
    <m/>
    <n v="38485.6585219999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1289.841804"/>
    <m/>
    <n v="11289.841804"/>
    <n v="8"/>
    <s v="1"/>
    <s v="Interest Accrual"/>
    <s v="ACCRUED_INT"/>
    <x v="0"/>
  </r>
  <r>
    <x v="4"/>
    <m/>
    <n v="11289.841804"/>
    <n v="-11289.841804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79718.94"/>
    <m/>
    <n v="479718.94"/>
    <n v="11"/>
    <s v="4"/>
    <s v="Capital Long Term to Short Term Reclass"/>
    <s v="RECLASSIFY_OBLIGATION"/>
    <x v="0"/>
  </r>
  <r>
    <x v="7"/>
    <m/>
    <n v="479718.94"/>
    <n v="-479718.94"/>
    <n v="11"/>
    <s v="7"/>
    <s v="Capital Long Term to Short Term Reclass"/>
    <s v="RECLASSIFY_OBLIGATION"/>
    <x v="0"/>
  </r>
  <r>
    <x v="7"/>
    <n v="479718.94"/>
    <m/>
    <n v="479718.94"/>
    <n v="11"/>
    <s v="10"/>
    <s v="Capital Long Term from Short Term Reversal"/>
    <s v="REVERSAL"/>
    <x v="0"/>
  </r>
  <r>
    <x v="1"/>
    <m/>
    <n v="479718.94"/>
    <n v="-479718.94"/>
    <n v="11"/>
    <s v="13"/>
    <s v="Capital Long Term from Short Term Reversal"/>
    <s v="REVERSAL"/>
    <x v="0"/>
  </r>
  <r>
    <x v="4"/>
    <n v="11289.841804"/>
    <m/>
    <n v="11289.841804"/>
    <n v="12"/>
    <s v="4"/>
    <s v="Payment"/>
    <s v="INTEREST"/>
    <x v="0"/>
  </r>
  <r>
    <x v="1"/>
    <n v="38710.158195999997"/>
    <m/>
    <n v="38710.158195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1064.032547999999"/>
    <m/>
    <n v="11064.032547999999"/>
    <n v="8"/>
    <s v="1"/>
    <s v="Interest Accrual"/>
    <s v="ACCRUED_INT"/>
    <x v="0"/>
  </r>
  <r>
    <x v="4"/>
    <m/>
    <n v="11064.032547999999"/>
    <n v="-11064.032547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82517.29"/>
    <m/>
    <n v="482517.29"/>
    <n v="11"/>
    <s v="4"/>
    <s v="Capital Long Term to Short Term Reclass"/>
    <s v="RECLASSIFY_OBLIGATION"/>
    <x v="0"/>
  </r>
  <r>
    <x v="7"/>
    <m/>
    <n v="482517.29"/>
    <n v="-482517.29"/>
    <n v="11"/>
    <s v="7"/>
    <s v="Capital Long Term to Short Term Reclass"/>
    <s v="RECLASSIFY_OBLIGATION"/>
    <x v="0"/>
  </r>
  <r>
    <x v="7"/>
    <n v="482517.29"/>
    <m/>
    <n v="482517.29"/>
    <n v="11"/>
    <s v="10"/>
    <s v="Capital Long Term from Short Term Reversal"/>
    <s v="REVERSAL"/>
    <x v="0"/>
  </r>
  <r>
    <x v="1"/>
    <m/>
    <n v="482517.29"/>
    <n v="-482517.29"/>
    <n v="11"/>
    <s v="13"/>
    <s v="Capital Long Term from Short Term Reversal"/>
    <s v="REVERSAL"/>
    <x v="0"/>
  </r>
  <r>
    <x v="4"/>
    <n v="11064.032547999999"/>
    <m/>
    <n v="11064.032547999999"/>
    <n v="12"/>
    <s v="4"/>
    <s v="Payment"/>
    <s v="INTEREST"/>
    <x v="0"/>
  </r>
  <r>
    <x v="1"/>
    <n v="38935.967451999997"/>
    <m/>
    <n v="38935.967451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0836.906070999999"/>
    <m/>
    <n v="10836.906070999999"/>
    <n v="8"/>
    <s v="1"/>
    <s v="Interest Accrual"/>
    <s v="ACCRUED_INT"/>
    <x v="0"/>
  </r>
  <r>
    <x v="4"/>
    <m/>
    <n v="10836.906070999999"/>
    <n v="-10836.906070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85331.99"/>
    <m/>
    <n v="485331.99"/>
    <n v="11"/>
    <s v="4"/>
    <s v="Capital Long Term to Short Term Reclass"/>
    <s v="RECLASSIFY_OBLIGATION"/>
    <x v="0"/>
  </r>
  <r>
    <x v="7"/>
    <m/>
    <n v="485331.99"/>
    <n v="-485331.99"/>
    <n v="11"/>
    <s v="7"/>
    <s v="Capital Long Term to Short Term Reclass"/>
    <s v="RECLASSIFY_OBLIGATION"/>
    <x v="0"/>
  </r>
  <r>
    <x v="7"/>
    <n v="485331.99"/>
    <m/>
    <n v="485331.99"/>
    <n v="11"/>
    <s v="10"/>
    <s v="Capital Long Term from Short Term Reversal"/>
    <s v="REVERSAL"/>
    <x v="0"/>
  </r>
  <r>
    <x v="1"/>
    <m/>
    <n v="485331.99"/>
    <n v="-485331.99"/>
    <n v="11"/>
    <s v="13"/>
    <s v="Capital Long Term from Short Term Reversal"/>
    <s v="REVERSAL"/>
    <x v="0"/>
  </r>
  <r>
    <x v="4"/>
    <n v="10836.906070999999"/>
    <m/>
    <n v="10836.906070999999"/>
    <n v="12"/>
    <s v="4"/>
    <s v="Payment"/>
    <s v="INTEREST"/>
    <x v="0"/>
  </r>
  <r>
    <x v="1"/>
    <n v="39163.093929000002"/>
    <m/>
    <n v="39163.093929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0608.454689"/>
    <m/>
    <n v="10608.454689"/>
    <n v="8"/>
    <s v="1"/>
    <s v="Interest Accrual"/>
    <s v="ACCRUED_INT"/>
    <x v="0"/>
  </r>
  <r>
    <x v="4"/>
    <m/>
    <n v="10608.454689"/>
    <n v="-10608.45468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88163.08"/>
    <m/>
    <n v="488163.08"/>
    <n v="11"/>
    <s v="4"/>
    <s v="Capital Long Term to Short Term Reclass"/>
    <s v="RECLASSIFY_OBLIGATION"/>
    <x v="0"/>
  </r>
  <r>
    <x v="7"/>
    <m/>
    <n v="488163.08"/>
    <n v="-488163.08"/>
    <n v="11"/>
    <s v="7"/>
    <s v="Capital Long Term to Short Term Reclass"/>
    <s v="RECLASSIFY_OBLIGATION"/>
    <x v="0"/>
  </r>
  <r>
    <x v="7"/>
    <n v="488163.08"/>
    <m/>
    <n v="488163.08"/>
    <n v="11"/>
    <s v="10"/>
    <s v="Capital Long Term from Short Term Reversal"/>
    <s v="REVERSAL"/>
    <x v="0"/>
  </r>
  <r>
    <x v="1"/>
    <m/>
    <n v="488163.08"/>
    <n v="-488163.08"/>
    <n v="11"/>
    <s v="13"/>
    <s v="Capital Long Term from Short Term Reversal"/>
    <s v="REVERSAL"/>
    <x v="0"/>
  </r>
  <r>
    <x v="4"/>
    <n v="10608.454689"/>
    <m/>
    <n v="10608.454689"/>
    <n v="12"/>
    <s v="4"/>
    <s v="Payment"/>
    <s v="INTEREST"/>
    <x v="0"/>
  </r>
  <r>
    <x v="1"/>
    <n v="39391.545311000002"/>
    <m/>
    <n v="39391.545311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0378.670674999999"/>
    <m/>
    <n v="10378.670674999999"/>
    <n v="8"/>
    <s v="1"/>
    <s v="Interest Accrual"/>
    <s v="ACCRUED_INT"/>
    <x v="0"/>
  </r>
  <r>
    <x v="4"/>
    <m/>
    <n v="10378.670674999999"/>
    <n v="-10378.670674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91010.7"/>
    <m/>
    <n v="491010.7"/>
    <n v="11"/>
    <s v="4"/>
    <s v="Capital Long Term to Short Term Reclass"/>
    <s v="RECLASSIFY_OBLIGATION"/>
    <x v="0"/>
  </r>
  <r>
    <x v="7"/>
    <m/>
    <n v="491010.7"/>
    <n v="-491010.7"/>
    <n v="11"/>
    <s v="7"/>
    <s v="Capital Long Term to Short Term Reclass"/>
    <s v="RECLASSIFY_OBLIGATION"/>
    <x v="0"/>
  </r>
  <r>
    <x v="7"/>
    <n v="491010.7"/>
    <m/>
    <n v="491010.7"/>
    <n v="11"/>
    <s v="10"/>
    <s v="Capital Long Term from Short Term Reversal"/>
    <s v="REVERSAL"/>
    <x v="0"/>
  </r>
  <r>
    <x v="1"/>
    <m/>
    <n v="491010.7"/>
    <n v="-491010.7"/>
    <n v="11"/>
    <s v="13"/>
    <s v="Capital Long Term from Short Term Reversal"/>
    <s v="REVERSAL"/>
    <x v="0"/>
  </r>
  <r>
    <x v="4"/>
    <n v="10378.670674999999"/>
    <m/>
    <n v="10378.670674999999"/>
    <n v="12"/>
    <s v="4"/>
    <s v="Payment"/>
    <s v="INTEREST"/>
    <x v="0"/>
  </r>
  <r>
    <x v="1"/>
    <n v="39621.329324999999"/>
    <m/>
    <n v="39621.329324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0147.546254000001"/>
    <m/>
    <n v="10147.546254000001"/>
    <n v="8"/>
    <s v="1"/>
    <s v="Interest Accrual"/>
    <s v="ACCRUED_INT"/>
    <x v="0"/>
  </r>
  <r>
    <x v="4"/>
    <m/>
    <n v="10147.546254000001"/>
    <n v="-10147.546254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93874.94"/>
    <m/>
    <n v="493874.94"/>
    <n v="11"/>
    <s v="4"/>
    <s v="Capital Long Term to Short Term Reclass"/>
    <s v="RECLASSIFY_OBLIGATION"/>
    <x v="0"/>
  </r>
  <r>
    <x v="7"/>
    <m/>
    <n v="493874.94"/>
    <n v="-493874.94"/>
    <n v="11"/>
    <s v="7"/>
    <s v="Capital Long Term to Short Term Reclass"/>
    <s v="RECLASSIFY_OBLIGATION"/>
    <x v="0"/>
  </r>
  <r>
    <x v="7"/>
    <n v="493874.94"/>
    <m/>
    <n v="493874.94"/>
    <n v="11"/>
    <s v="10"/>
    <s v="Capital Long Term from Short Term Reversal"/>
    <s v="REVERSAL"/>
    <x v="0"/>
  </r>
  <r>
    <x v="1"/>
    <m/>
    <n v="493874.94"/>
    <n v="-493874.94"/>
    <n v="11"/>
    <s v="13"/>
    <s v="Capital Long Term from Short Term Reversal"/>
    <s v="REVERSAL"/>
    <x v="0"/>
  </r>
  <r>
    <x v="4"/>
    <n v="10147.546254000001"/>
    <m/>
    <n v="10147.546254000001"/>
    <n v="12"/>
    <s v="4"/>
    <s v="Payment"/>
    <s v="INTEREST"/>
    <x v="0"/>
  </r>
  <r>
    <x v="1"/>
    <n v="39852.453745999999"/>
    <m/>
    <n v="39852.453745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9915.0736070000003"/>
    <m/>
    <n v="9915.0736070000003"/>
    <n v="8"/>
    <s v="1"/>
    <s v="Interest Accrual"/>
    <s v="ACCRUED_INT"/>
    <x v="0"/>
  </r>
  <r>
    <x v="4"/>
    <m/>
    <n v="9915.0736070000003"/>
    <n v="-9915.0736070000003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96755.86"/>
    <m/>
    <n v="496755.86"/>
    <n v="11"/>
    <s v="4"/>
    <s v="Capital Long Term to Short Term Reclass"/>
    <s v="RECLASSIFY_OBLIGATION"/>
    <x v="0"/>
  </r>
  <r>
    <x v="7"/>
    <m/>
    <n v="496755.86"/>
    <n v="-496755.86"/>
    <n v="11"/>
    <s v="7"/>
    <s v="Capital Long Term to Short Term Reclass"/>
    <s v="RECLASSIFY_OBLIGATION"/>
    <x v="0"/>
  </r>
  <r>
    <x v="7"/>
    <n v="496755.86"/>
    <m/>
    <n v="496755.86"/>
    <n v="11"/>
    <s v="10"/>
    <s v="Capital Long Term from Short Term Reversal"/>
    <s v="REVERSAL"/>
    <x v="0"/>
  </r>
  <r>
    <x v="1"/>
    <m/>
    <n v="496755.86"/>
    <n v="-496755.86"/>
    <n v="11"/>
    <s v="13"/>
    <s v="Capital Long Term from Short Term Reversal"/>
    <s v="REVERSAL"/>
    <x v="0"/>
  </r>
  <r>
    <x v="4"/>
    <n v="9915.0736070000003"/>
    <m/>
    <n v="9915.0736070000003"/>
    <n v="12"/>
    <s v="4"/>
    <s v="Payment"/>
    <s v="INTEREST"/>
    <x v="0"/>
  </r>
  <r>
    <x v="1"/>
    <n v="40084.926393000002"/>
    <m/>
    <n v="40084.926393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9681.2448700000004"/>
    <m/>
    <n v="9681.2448700000004"/>
    <n v="8"/>
    <s v="1"/>
    <s v="Interest Accrual"/>
    <s v="ACCRUED_INT"/>
    <x v="0"/>
  </r>
  <r>
    <x v="4"/>
    <m/>
    <n v="9681.2448700000004"/>
    <n v="-9681.2448700000004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99653.62"/>
    <m/>
    <n v="499653.62"/>
    <n v="11"/>
    <s v="4"/>
    <s v="Capital Long Term to Short Term Reclass"/>
    <s v="RECLASSIFY_OBLIGATION"/>
    <x v="0"/>
  </r>
  <r>
    <x v="7"/>
    <m/>
    <n v="499653.62"/>
    <n v="-499653.62"/>
    <n v="11"/>
    <s v="7"/>
    <s v="Capital Long Term to Short Term Reclass"/>
    <s v="RECLASSIFY_OBLIGATION"/>
    <x v="0"/>
  </r>
  <r>
    <x v="7"/>
    <n v="499653.62"/>
    <m/>
    <n v="499653.62"/>
    <n v="11"/>
    <s v="10"/>
    <s v="Capital Long Term from Short Term Reversal"/>
    <s v="REVERSAL"/>
    <x v="0"/>
  </r>
  <r>
    <x v="1"/>
    <m/>
    <n v="499653.62"/>
    <n v="-499653.62"/>
    <n v="11"/>
    <s v="13"/>
    <s v="Capital Long Term from Short Term Reversal"/>
    <s v="REVERSAL"/>
    <x v="0"/>
  </r>
  <r>
    <x v="4"/>
    <n v="9681.2448700000004"/>
    <m/>
    <n v="9681.2448700000004"/>
    <n v="12"/>
    <s v="4"/>
    <s v="Payment"/>
    <s v="INTEREST"/>
    <x v="0"/>
  </r>
  <r>
    <x v="1"/>
    <n v="40318.755129999998"/>
    <m/>
    <n v="40318.7551299999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9446.0521320000007"/>
    <m/>
    <n v="9446.0521320000007"/>
    <n v="8"/>
    <s v="1"/>
    <s v="Interest Accrual"/>
    <s v="ACCRUED_INT"/>
    <x v="0"/>
  </r>
  <r>
    <x v="4"/>
    <m/>
    <n v="9446.0521320000007"/>
    <n v="-9446.0521320000007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02568.25"/>
    <m/>
    <n v="502568.25"/>
    <n v="11"/>
    <s v="4"/>
    <s v="Capital Long Term to Short Term Reclass"/>
    <s v="RECLASSIFY_OBLIGATION"/>
    <x v="0"/>
  </r>
  <r>
    <x v="7"/>
    <m/>
    <n v="502568.25"/>
    <n v="-502568.25"/>
    <n v="11"/>
    <s v="7"/>
    <s v="Capital Long Term to Short Term Reclass"/>
    <s v="RECLASSIFY_OBLIGATION"/>
    <x v="0"/>
  </r>
  <r>
    <x v="7"/>
    <n v="502568.25"/>
    <m/>
    <n v="502568.25"/>
    <n v="11"/>
    <s v="10"/>
    <s v="Capital Long Term from Short Term Reversal"/>
    <s v="REVERSAL"/>
    <x v="0"/>
  </r>
  <r>
    <x v="1"/>
    <m/>
    <n v="502568.25"/>
    <n v="-502568.25"/>
    <n v="11"/>
    <s v="13"/>
    <s v="Capital Long Term from Short Term Reversal"/>
    <s v="REVERSAL"/>
    <x v="0"/>
  </r>
  <r>
    <x v="4"/>
    <n v="9446.0521320000007"/>
    <m/>
    <n v="9446.0521320000007"/>
    <n v="12"/>
    <s v="4"/>
    <s v="Payment"/>
    <s v="INTEREST"/>
    <x v="0"/>
  </r>
  <r>
    <x v="1"/>
    <n v="40553.947868000003"/>
    <m/>
    <n v="40553.947868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9209.4874359999994"/>
    <m/>
    <n v="9209.4874359999994"/>
    <n v="8"/>
    <s v="1"/>
    <s v="Interest Accrual"/>
    <s v="ACCRUED_INT"/>
    <x v="0"/>
  </r>
  <r>
    <x v="4"/>
    <m/>
    <n v="9209.4874359999994"/>
    <n v="-9209.4874359999994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05499.91"/>
    <m/>
    <n v="505499.91"/>
    <n v="11"/>
    <s v="4"/>
    <s v="Capital Long Term to Short Term Reclass"/>
    <s v="RECLASSIFY_OBLIGATION"/>
    <x v="0"/>
  </r>
  <r>
    <x v="7"/>
    <m/>
    <n v="505499.91"/>
    <n v="-505499.91"/>
    <n v="11"/>
    <s v="7"/>
    <s v="Capital Long Term to Short Term Reclass"/>
    <s v="RECLASSIFY_OBLIGATION"/>
    <x v="0"/>
  </r>
  <r>
    <x v="7"/>
    <n v="505499.91"/>
    <m/>
    <n v="505499.91"/>
    <n v="11"/>
    <s v="10"/>
    <s v="Capital Long Term from Short Term Reversal"/>
    <s v="REVERSAL"/>
    <x v="0"/>
  </r>
  <r>
    <x v="1"/>
    <m/>
    <n v="505499.91"/>
    <n v="-505499.91"/>
    <n v="11"/>
    <s v="13"/>
    <s v="Capital Long Term from Short Term Reversal"/>
    <s v="REVERSAL"/>
    <x v="0"/>
  </r>
  <r>
    <x v="4"/>
    <n v="9209.4874359999994"/>
    <m/>
    <n v="9209.4874359999994"/>
    <n v="12"/>
    <s v="4"/>
    <s v="Payment"/>
    <s v="INTEREST"/>
    <x v="0"/>
  </r>
  <r>
    <x v="1"/>
    <n v="40790.512563999997"/>
    <m/>
    <n v="40790.512563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8971.5427789999994"/>
    <m/>
    <n v="8971.5427789999994"/>
    <n v="8"/>
    <s v="1"/>
    <s v="Interest Accrual"/>
    <s v="ACCRUED_INT"/>
    <x v="0"/>
  </r>
  <r>
    <x v="4"/>
    <m/>
    <n v="8971.5427789999994"/>
    <n v="-8971.5427789999994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08448.66"/>
    <m/>
    <n v="508448.66"/>
    <n v="11"/>
    <s v="4"/>
    <s v="Capital Long Term to Short Term Reclass"/>
    <s v="RECLASSIFY_OBLIGATION"/>
    <x v="0"/>
  </r>
  <r>
    <x v="7"/>
    <m/>
    <n v="508448.66"/>
    <n v="-508448.66"/>
    <n v="11"/>
    <s v="7"/>
    <s v="Capital Long Term to Short Term Reclass"/>
    <s v="RECLASSIFY_OBLIGATION"/>
    <x v="0"/>
  </r>
  <r>
    <x v="7"/>
    <n v="508448.66"/>
    <m/>
    <n v="508448.66"/>
    <n v="11"/>
    <s v="10"/>
    <s v="Capital Long Term from Short Term Reversal"/>
    <s v="REVERSAL"/>
    <x v="0"/>
  </r>
  <r>
    <x v="1"/>
    <m/>
    <n v="508448.66"/>
    <n v="-508448.66"/>
    <n v="11"/>
    <s v="13"/>
    <s v="Capital Long Term from Short Term Reversal"/>
    <s v="REVERSAL"/>
    <x v="0"/>
  </r>
  <r>
    <x v="4"/>
    <n v="8971.5427789999994"/>
    <m/>
    <n v="8971.5427789999994"/>
    <n v="12"/>
    <s v="4"/>
    <s v="Payment"/>
    <s v="INTEREST"/>
    <x v="0"/>
  </r>
  <r>
    <x v="1"/>
    <n v="41028.457220999997"/>
    <m/>
    <n v="41028.457220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8732.2101120000007"/>
    <m/>
    <n v="8732.2101120000007"/>
    <n v="8"/>
    <s v="1"/>
    <s v="Interest Accrual"/>
    <s v="ACCRUED_INT"/>
    <x v="0"/>
  </r>
  <r>
    <x v="4"/>
    <m/>
    <n v="8732.2101120000007"/>
    <n v="-8732.2101120000007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11414.6"/>
    <m/>
    <n v="511414.6"/>
    <n v="11"/>
    <s v="4"/>
    <s v="Capital Long Term to Short Term Reclass"/>
    <s v="RECLASSIFY_OBLIGATION"/>
    <x v="0"/>
  </r>
  <r>
    <x v="7"/>
    <m/>
    <n v="511414.6"/>
    <n v="-511414.6"/>
    <n v="11"/>
    <s v="7"/>
    <s v="Capital Long Term to Short Term Reclass"/>
    <s v="RECLASSIFY_OBLIGATION"/>
    <x v="0"/>
  </r>
  <r>
    <x v="7"/>
    <n v="511414.6"/>
    <m/>
    <n v="511414.6"/>
    <n v="11"/>
    <s v="10"/>
    <s v="Capital Long Term from Short Term Reversal"/>
    <s v="REVERSAL"/>
    <x v="0"/>
  </r>
  <r>
    <x v="1"/>
    <m/>
    <n v="511414.6"/>
    <n v="-511414.6"/>
    <n v="11"/>
    <s v="13"/>
    <s v="Capital Long Term from Short Term Reversal"/>
    <s v="REVERSAL"/>
    <x v="0"/>
  </r>
  <r>
    <x v="4"/>
    <n v="8732.2101120000007"/>
    <m/>
    <n v="8732.2101120000007"/>
    <n v="12"/>
    <s v="4"/>
    <s v="Payment"/>
    <s v="INTEREST"/>
    <x v="0"/>
  </r>
  <r>
    <x v="1"/>
    <n v="41267.789887999999"/>
    <m/>
    <n v="41267.789887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8491.4813379999996"/>
    <m/>
    <n v="8491.4813379999996"/>
    <n v="8"/>
    <s v="1"/>
    <s v="Interest Accrual"/>
    <s v="ACCRUED_INT"/>
    <x v="0"/>
  </r>
  <r>
    <x v="4"/>
    <m/>
    <n v="8491.4813379999996"/>
    <n v="-8491.4813379999996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14397.86"/>
    <m/>
    <n v="514397.86"/>
    <n v="11"/>
    <s v="4"/>
    <s v="Capital Long Term to Short Term Reclass"/>
    <s v="RECLASSIFY_OBLIGATION"/>
    <x v="0"/>
  </r>
  <r>
    <x v="7"/>
    <m/>
    <n v="514397.86"/>
    <n v="-514397.86"/>
    <n v="11"/>
    <s v="7"/>
    <s v="Capital Long Term to Short Term Reclass"/>
    <s v="RECLASSIFY_OBLIGATION"/>
    <x v="0"/>
  </r>
  <r>
    <x v="7"/>
    <n v="514397.86"/>
    <m/>
    <n v="514397.86"/>
    <n v="11"/>
    <s v="10"/>
    <s v="Capital Long Term from Short Term Reversal"/>
    <s v="REVERSAL"/>
    <x v="0"/>
  </r>
  <r>
    <x v="1"/>
    <m/>
    <n v="514397.86"/>
    <n v="-514397.86"/>
    <n v="11"/>
    <s v="13"/>
    <s v="Capital Long Term from Short Term Reversal"/>
    <s v="REVERSAL"/>
    <x v="0"/>
  </r>
  <r>
    <x v="4"/>
    <n v="8491.4813379999996"/>
    <m/>
    <n v="8491.4813379999996"/>
    <n v="12"/>
    <s v="4"/>
    <s v="Payment"/>
    <s v="INTEREST"/>
    <x v="0"/>
  </r>
  <r>
    <x v="1"/>
    <n v="41508.518662000002"/>
    <m/>
    <n v="41508.518662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8249.3483120000001"/>
    <m/>
    <n v="8249.3483120000001"/>
    <n v="8"/>
    <s v="1"/>
    <s v="Interest Accrual"/>
    <s v="ACCRUED_INT"/>
    <x v="0"/>
  </r>
  <r>
    <x v="4"/>
    <m/>
    <n v="8249.3483120000001"/>
    <n v="-8249.3483120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17398.51"/>
    <m/>
    <n v="517398.51"/>
    <n v="11"/>
    <s v="4"/>
    <s v="Capital Long Term to Short Term Reclass"/>
    <s v="RECLASSIFY_OBLIGATION"/>
    <x v="0"/>
  </r>
  <r>
    <x v="7"/>
    <m/>
    <n v="517398.51"/>
    <n v="-517398.51"/>
    <n v="11"/>
    <s v="7"/>
    <s v="Capital Long Term to Short Term Reclass"/>
    <s v="RECLASSIFY_OBLIGATION"/>
    <x v="0"/>
  </r>
  <r>
    <x v="7"/>
    <n v="517398.51"/>
    <m/>
    <n v="517398.51"/>
    <n v="11"/>
    <s v="10"/>
    <s v="Capital Long Term from Short Term Reversal"/>
    <s v="REVERSAL"/>
    <x v="0"/>
  </r>
  <r>
    <x v="1"/>
    <m/>
    <n v="517398.51"/>
    <n v="-517398.51"/>
    <n v="11"/>
    <s v="13"/>
    <s v="Capital Long Term from Short Term Reversal"/>
    <s v="REVERSAL"/>
    <x v="0"/>
  </r>
  <r>
    <x v="4"/>
    <n v="8249.3483120000001"/>
    <m/>
    <n v="8249.3483120000001"/>
    <n v="12"/>
    <s v="4"/>
    <s v="Payment"/>
    <s v="INTEREST"/>
    <x v="0"/>
  </r>
  <r>
    <x v="1"/>
    <n v="41750.651687999998"/>
    <m/>
    <n v="41750.6516879999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8005.8028439999998"/>
    <m/>
    <n v="8005.8028439999998"/>
    <n v="8"/>
    <s v="1"/>
    <s v="Interest Accrual"/>
    <s v="ACCRUED_INT"/>
    <x v="0"/>
  </r>
  <r>
    <x v="4"/>
    <m/>
    <n v="8005.8028439999998"/>
    <n v="-8005.8028439999998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20416.67"/>
    <m/>
    <n v="520416.67"/>
    <n v="11"/>
    <s v="4"/>
    <s v="Capital Long Term to Short Term Reclass"/>
    <s v="RECLASSIFY_OBLIGATION"/>
    <x v="0"/>
  </r>
  <r>
    <x v="7"/>
    <m/>
    <n v="520416.67"/>
    <n v="-520416.67"/>
    <n v="11"/>
    <s v="7"/>
    <s v="Capital Long Term to Short Term Reclass"/>
    <s v="RECLASSIFY_OBLIGATION"/>
    <x v="0"/>
  </r>
  <r>
    <x v="7"/>
    <n v="520416.67"/>
    <m/>
    <n v="520416.67"/>
    <n v="11"/>
    <s v="10"/>
    <s v="Capital Long Term from Short Term Reversal"/>
    <s v="REVERSAL"/>
    <x v="0"/>
  </r>
  <r>
    <x v="1"/>
    <m/>
    <n v="520416.67"/>
    <n v="-520416.67"/>
    <n v="11"/>
    <s v="13"/>
    <s v="Capital Long Term from Short Term Reversal"/>
    <s v="REVERSAL"/>
    <x v="0"/>
  </r>
  <r>
    <x v="4"/>
    <n v="8005.8028439999998"/>
    <m/>
    <n v="8005.8028439999998"/>
    <n v="12"/>
    <s v="4"/>
    <s v="Payment"/>
    <s v="INTEREST"/>
    <x v="0"/>
  </r>
  <r>
    <x v="1"/>
    <n v="41994.197156000002"/>
    <m/>
    <n v="41994.197156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7760.8366939999996"/>
    <m/>
    <n v="7760.8366939999996"/>
    <n v="8"/>
    <s v="1"/>
    <s v="Interest Accrual"/>
    <s v="ACCRUED_INT"/>
    <x v="0"/>
  </r>
  <r>
    <x v="4"/>
    <m/>
    <n v="7760.8366939999996"/>
    <n v="-7760.8366939999996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23452.43"/>
    <m/>
    <n v="523452.43"/>
    <n v="11"/>
    <s v="4"/>
    <s v="Capital Long Term to Short Term Reclass"/>
    <s v="RECLASSIFY_OBLIGATION"/>
    <x v="0"/>
  </r>
  <r>
    <x v="7"/>
    <m/>
    <n v="523452.43"/>
    <n v="-523452.43"/>
    <n v="11"/>
    <s v="7"/>
    <s v="Capital Long Term to Short Term Reclass"/>
    <s v="RECLASSIFY_OBLIGATION"/>
    <x v="0"/>
  </r>
  <r>
    <x v="7"/>
    <n v="523452.43"/>
    <m/>
    <n v="523452.43"/>
    <n v="11"/>
    <s v="10"/>
    <s v="Capital Long Term from Short Term Reversal"/>
    <s v="REVERSAL"/>
    <x v="0"/>
  </r>
  <r>
    <x v="1"/>
    <m/>
    <n v="523452.43"/>
    <n v="-523452.43"/>
    <n v="11"/>
    <s v="13"/>
    <s v="Capital Long Term from Short Term Reversal"/>
    <s v="REVERSAL"/>
    <x v="0"/>
  </r>
  <r>
    <x v="4"/>
    <n v="7760.8366939999996"/>
    <m/>
    <n v="7760.8366939999996"/>
    <n v="12"/>
    <s v="4"/>
    <s v="Payment"/>
    <s v="INTEREST"/>
    <x v="0"/>
  </r>
  <r>
    <x v="1"/>
    <n v="42239.163306000002"/>
    <m/>
    <n v="42239.163306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7514.4415749999998"/>
    <m/>
    <n v="7514.4415749999998"/>
    <n v="8"/>
    <s v="1"/>
    <s v="Interest Accrual"/>
    <s v="ACCRUED_INT"/>
    <x v="0"/>
  </r>
  <r>
    <x v="4"/>
    <m/>
    <n v="7514.4415749999998"/>
    <n v="-7514.4415749999998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26505.91"/>
    <m/>
    <n v="526505.91"/>
    <n v="11"/>
    <s v="4"/>
    <s v="Capital Long Term to Short Term Reclass"/>
    <s v="RECLASSIFY_OBLIGATION"/>
    <x v="0"/>
  </r>
  <r>
    <x v="7"/>
    <m/>
    <n v="526505.91"/>
    <n v="-526505.91"/>
    <n v="11"/>
    <s v="7"/>
    <s v="Capital Long Term to Short Term Reclass"/>
    <s v="RECLASSIFY_OBLIGATION"/>
    <x v="0"/>
  </r>
  <r>
    <x v="7"/>
    <n v="526505.91"/>
    <m/>
    <n v="526505.91"/>
    <n v="11"/>
    <s v="10"/>
    <s v="Capital Long Term from Short Term Reversal"/>
    <s v="REVERSAL"/>
    <x v="0"/>
  </r>
  <r>
    <x v="1"/>
    <m/>
    <n v="526505.91"/>
    <n v="-526505.91"/>
    <n v="11"/>
    <s v="13"/>
    <s v="Capital Long Term from Short Term Reversal"/>
    <s v="REVERSAL"/>
    <x v="0"/>
  </r>
  <r>
    <x v="4"/>
    <n v="7514.4415749999998"/>
    <m/>
    <n v="7514.4415749999998"/>
    <n v="12"/>
    <s v="4"/>
    <s v="Payment"/>
    <s v="INTEREST"/>
    <x v="0"/>
  </r>
  <r>
    <x v="1"/>
    <n v="42485.558425000003"/>
    <m/>
    <n v="42485.558425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7266.6091509999997"/>
    <m/>
    <n v="7266.6091509999997"/>
    <n v="8"/>
    <s v="1"/>
    <s v="Interest Accrual"/>
    <s v="ACCRUED_INT"/>
    <x v="0"/>
  </r>
  <r>
    <x v="4"/>
    <m/>
    <n v="7266.6091509999997"/>
    <n v="-7266.6091509999997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29577.18999999994"/>
    <m/>
    <n v="529577.18999999994"/>
    <n v="11"/>
    <s v="4"/>
    <s v="Capital Long Term to Short Term Reclass"/>
    <s v="RECLASSIFY_OBLIGATION"/>
    <x v="0"/>
  </r>
  <r>
    <x v="7"/>
    <m/>
    <n v="529577.18999999994"/>
    <n v="-529577.18999999994"/>
    <n v="11"/>
    <s v="7"/>
    <s v="Capital Long Term to Short Term Reclass"/>
    <s v="RECLASSIFY_OBLIGATION"/>
    <x v="0"/>
  </r>
  <r>
    <x v="7"/>
    <n v="529577.18999999994"/>
    <m/>
    <n v="529577.18999999994"/>
    <n v="11"/>
    <s v="10"/>
    <s v="Capital Long Term from Short Term Reversal"/>
    <s v="REVERSAL"/>
    <x v="0"/>
  </r>
  <r>
    <x v="1"/>
    <m/>
    <n v="529577.18999999994"/>
    <n v="-529577.18999999994"/>
    <n v="11"/>
    <s v="13"/>
    <s v="Capital Long Term from Short Term Reversal"/>
    <s v="REVERSAL"/>
    <x v="0"/>
  </r>
  <r>
    <x v="4"/>
    <n v="7266.6091509999997"/>
    <m/>
    <n v="7266.6091509999997"/>
    <n v="12"/>
    <s v="4"/>
    <s v="Payment"/>
    <s v="INTEREST"/>
    <x v="0"/>
  </r>
  <r>
    <x v="1"/>
    <n v="42733.390849000003"/>
    <m/>
    <n v="42733.390849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7017.3310369999999"/>
    <m/>
    <n v="7017.3310369999999"/>
    <n v="8"/>
    <s v="1"/>
    <s v="Interest Accrual"/>
    <s v="ACCRUED_INT"/>
    <x v="0"/>
  </r>
  <r>
    <x v="4"/>
    <m/>
    <n v="7017.3310369999999"/>
    <n v="-7017.3310369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32666.39"/>
    <m/>
    <n v="532666.39"/>
    <n v="11"/>
    <s v="4"/>
    <s v="Capital Long Term to Short Term Reclass"/>
    <s v="RECLASSIFY_OBLIGATION"/>
    <x v="0"/>
  </r>
  <r>
    <x v="7"/>
    <m/>
    <n v="532666.39"/>
    <n v="-532666.39"/>
    <n v="11"/>
    <s v="7"/>
    <s v="Capital Long Term to Short Term Reclass"/>
    <s v="RECLASSIFY_OBLIGATION"/>
    <x v="0"/>
  </r>
  <r>
    <x v="7"/>
    <n v="532666.39"/>
    <m/>
    <n v="532666.39"/>
    <n v="11"/>
    <s v="10"/>
    <s v="Capital Long Term from Short Term Reversal"/>
    <s v="REVERSAL"/>
    <x v="0"/>
  </r>
  <r>
    <x v="1"/>
    <m/>
    <n v="532666.39"/>
    <n v="-532666.39"/>
    <n v="11"/>
    <s v="13"/>
    <s v="Capital Long Term from Short Term Reversal"/>
    <s v="REVERSAL"/>
    <x v="0"/>
  </r>
  <r>
    <x v="4"/>
    <n v="7017.3310369999999"/>
    <m/>
    <n v="7017.3310369999999"/>
    <n v="12"/>
    <s v="4"/>
    <s v="Payment"/>
    <s v="INTEREST"/>
    <x v="0"/>
  </r>
  <r>
    <x v="1"/>
    <n v="42982.668962999996"/>
    <m/>
    <n v="42982.668962999996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6766.5988020000004"/>
    <m/>
    <n v="6766.5988020000004"/>
    <n v="8"/>
    <s v="1"/>
    <s v="Interest Accrual"/>
    <s v="ACCRUED_INT"/>
    <x v="0"/>
  </r>
  <r>
    <x v="4"/>
    <m/>
    <n v="6766.5988020000004"/>
    <n v="-6766.5988020000004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35773.61"/>
    <m/>
    <n v="535773.61"/>
    <n v="11"/>
    <s v="4"/>
    <s v="Capital Long Term to Short Term Reclass"/>
    <s v="RECLASSIFY_OBLIGATION"/>
    <x v="0"/>
  </r>
  <r>
    <x v="7"/>
    <m/>
    <n v="535773.61"/>
    <n v="-535773.61"/>
    <n v="11"/>
    <s v="7"/>
    <s v="Capital Long Term to Short Term Reclass"/>
    <s v="RECLASSIFY_OBLIGATION"/>
    <x v="0"/>
  </r>
  <r>
    <x v="7"/>
    <n v="535773.61"/>
    <m/>
    <n v="535773.61"/>
    <n v="11"/>
    <s v="10"/>
    <s v="Capital Long Term from Short Term Reversal"/>
    <s v="REVERSAL"/>
    <x v="0"/>
  </r>
  <r>
    <x v="1"/>
    <m/>
    <n v="535773.61"/>
    <n v="-535773.61"/>
    <n v="11"/>
    <s v="13"/>
    <s v="Capital Long Term from Short Term Reversal"/>
    <s v="REVERSAL"/>
    <x v="0"/>
  </r>
  <r>
    <x v="4"/>
    <n v="6766.5988020000004"/>
    <m/>
    <n v="6766.5988020000004"/>
    <n v="12"/>
    <s v="4"/>
    <s v="Payment"/>
    <s v="INTEREST"/>
    <x v="0"/>
  </r>
  <r>
    <x v="1"/>
    <n v="43233.401198"/>
    <m/>
    <n v="43233.4011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6514.403961"/>
    <m/>
    <n v="6514.403961"/>
    <n v="8"/>
    <s v="1"/>
    <s v="Interest Accrual"/>
    <s v="ACCRUED_INT"/>
    <x v="0"/>
  </r>
  <r>
    <x v="4"/>
    <m/>
    <n v="6514.403961"/>
    <n v="-6514.40396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38898.96"/>
    <m/>
    <n v="538898.96"/>
    <n v="11"/>
    <s v="4"/>
    <s v="Capital Long Term to Short Term Reclass"/>
    <s v="RECLASSIFY_OBLIGATION"/>
    <x v="0"/>
  </r>
  <r>
    <x v="7"/>
    <m/>
    <n v="538898.96"/>
    <n v="-538898.96"/>
    <n v="11"/>
    <s v="7"/>
    <s v="Capital Long Term to Short Term Reclass"/>
    <s v="RECLASSIFY_OBLIGATION"/>
    <x v="0"/>
  </r>
  <r>
    <x v="7"/>
    <n v="538898.96"/>
    <m/>
    <n v="538898.96"/>
    <n v="11"/>
    <s v="10"/>
    <s v="Capital Long Term from Short Term Reversal"/>
    <s v="REVERSAL"/>
    <x v="0"/>
  </r>
  <r>
    <x v="1"/>
    <m/>
    <n v="538898.96"/>
    <n v="-538898.96"/>
    <n v="11"/>
    <s v="13"/>
    <s v="Capital Long Term from Short Term Reversal"/>
    <s v="REVERSAL"/>
    <x v="0"/>
  </r>
  <r>
    <x v="4"/>
    <n v="6514.403961"/>
    <m/>
    <n v="6514.403961"/>
    <n v="12"/>
    <s v="4"/>
    <s v="Payment"/>
    <s v="INTEREST"/>
    <x v="0"/>
  </r>
  <r>
    <x v="1"/>
    <n v="43485.596038999996"/>
    <m/>
    <n v="43485.596038999996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6260.7379840000003"/>
    <m/>
    <n v="6260.7379840000003"/>
    <n v="8"/>
    <s v="1"/>
    <s v="Interest Accrual"/>
    <s v="ACCRUED_INT"/>
    <x v="0"/>
  </r>
  <r>
    <x v="4"/>
    <m/>
    <n v="6260.7379840000003"/>
    <n v="-6260.7379840000003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42042.54"/>
    <m/>
    <n v="542042.54"/>
    <n v="11"/>
    <s v="4"/>
    <s v="Capital Long Term to Short Term Reclass"/>
    <s v="RECLASSIFY_OBLIGATION"/>
    <x v="0"/>
  </r>
  <r>
    <x v="7"/>
    <m/>
    <n v="542042.54"/>
    <n v="-542042.54"/>
    <n v="11"/>
    <s v="7"/>
    <s v="Capital Long Term to Short Term Reclass"/>
    <s v="RECLASSIFY_OBLIGATION"/>
    <x v="0"/>
  </r>
  <r>
    <x v="7"/>
    <n v="542042.54"/>
    <m/>
    <n v="542042.54"/>
    <n v="11"/>
    <s v="10"/>
    <s v="Capital Long Term from Short Term Reversal"/>
    <s v="REVERSAL"/>
    <x v="0"/>
  </r>
  <r>
    <x v="1"/>
    <m/>
    <n v="542042.54"/>
    <n v="-542042.54"/>
    <n v="11"/>
    <s v="13"/>
    <s v="Capital Long Term from Short Term Reversal"/>
    <s v="REVERSAL"/>
    <x v="0"/>
  </r>
  <r>
    <x v="4"/>
    <n v="6260.7379840000003"/>
    <m/>
    <n v="6260.7379840000003"/>
    <n v="12"/>
    <s v="4"/>
    <s v="Payment"/>
    <s v="INTEREST"/>
    <x v="0"/>
  </r>
  <r>
    <x v="1"/>
    <n v="43739.262016000001"/>
    <m/>
    <n v="43739.262016000001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6005.5922890000002"/>
    <m/>
    <n v="6005.5922890000002"/>
    <n v="8"/>
    <s v="1"/>
    <s v="Interest Accrual"/>
    <s v="ACCRUED_INT"/>
    <x v="0"/>
  </r>
  <r>
    <x v="4"/>
    <m/>
    <n v="6005.5922890000002"/>
    <n v="-6005.5922890000002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45204.44999999995"/>
    <m/>
    <n v="545204.44999999995"/>
    <n v="11"/>
    <s v="4"/>
    <s v="Capital Long Term to Short Term Reclass"/>
    <s v="RECLASSIFY_OBLIGATION"/>
    <x v="0"/>
  </r>
  <r>
    <x v="7"/>
    <m/>
    <n v="545204.44999999995"/>
    <n v="-545204.44999999995"/>
    <n v="11"/>
    <s v="7"/>
    <s v="Capital Long Term to Short Term Reclass"/>
    <s v="RECLASSIFY_OBLIGATION"/>
    <x v="0"/>
  </r>
  <r>
    <x v="7"/>
    <n v="545204.44999999995"/>
    <m/>
    <n v="545204.44999999995"/>
    <n v="11"/>
    <s v="10"/>
    <s v="Capital Long Term from Short Term Reversal"/>
    <s v="REVERSAL"/>
    <x v="0"/>
  </r>
  <r>
    <x v="1"/>
    <m/>
    <n v="545204.44999999995"/>
    <n v="-545204.44999999995"/>
    <n v="11"/>
    <s v="13"/>
    <s v="Capital Long Term from Short Term Reversal"/>
    <s v="REVERSAL"/>
    <x v="0"/>
  </r>
  <r>
    <x v="4"/>
    <n v="6005.5922890000002"/>
    <m/>
    <n v="6005.5922890000002"/>
    <n v="12"/>
    <s v="4"/>
    <s v="Payment"/>
    <s v="INTEREST"/>
    <x v="0"/>
  </r>
  <r>
    <x v="1"/>
    <n v="43994.407711"/>
    <m/>
    <n v="43994.407711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5748.9582440000004"/>
    <m/>
    <n v="5748.9582440000004"/>
    <n v="8"/>
    <s v="1"/>
    <s v="Interest Accrual"/>
    <s v="ACCRUED_INT"/>
    <x v="0"/>
  </r>
  <r>
    <x v="4"/>
    <m/>
    <n v="5748.9582440000004"/>
    <n v="-5748.9582440000004"/>
    <n v="8"/>
    <s v="4"/>
    <s v="Interest Accrual"/>
    <s v="ACCRUED_INT"/>
    <x v="0"/>
  </r>
  <r>
    <x v="5"/>
    <n v="42330.5"/>
    <m/>
    <n v="42330.5"/>
    <n v="10"/>
    <s v="1"/>
    <s v="Capital Lease Depreciation Expense Recognition"/>
    <s v="DEPRECIATION"/>
    <x v="0"/>
  </r>
  <r>
    <x v="6"/>
    <m/>
    <n v="42330.5"/>
    <n v="-42330.5"/>
    <n v="10"/>
    <s v="4"/>
    <s v="Capital Lease Depreciation Expense Recognition"/>
    <s v="DEPRECIATION"/>
    <x v="0"/>
  </r>
  <r>
    <x v="1"/>
    <n v="548384.81000000006"/>
    <m/>
    <n v="548384.81000000006"/>
    <n v="11"/>
    <s v="4"/>
    <s v="Capital Long Term to Short Term Reclass"/>
    <s v="RECLASSIFY_OBLIGATION"/>
    <x v="0"/>
  </r>
  <r>
    <x v="7"/>
    <m/>
    <n v="548384.81000000006"/>
    <n v="-548384.81000000006"/>
    <n v="11"/>
    <s v="7"/>
    <s v="Capital Long Term to Short Term Reclass"/>
    <s v="RECLASSIFY_OBLIGATION"/>
    <x v="0"/>
  </r>
  <r>
    <x v="7"/>
    <n v="548384.81000000006"/>
    <m/>
    <n v="548384.81000000006"/>
    <n v="11"/>
    <s v="10"/>
    <s v="Capital Long Term from Short Term Reversal"/>
    <s v="REVERSAL"/>
    <x v="0"/>
  </r>
  <r>
    <x v="1"/>
    <m/>
    <n v="548384.81000000006"/>
    <n v="-548384.81000000006"/>
    <n v="11"/>
    <s v="13"/>
    <s v="Capital Long Term from Short Term Reversal"/>
    <s v="REVERSAL"/>
    <x v="0"/>
  </r>
  <r>
    <x v="4"/>
    <n v="5748.9582440000004"/>
    <m/>
    <n v="5748.9582440000004"/>
    <n v="12"/>
    <s v="4"/>
    <s v="Payment"/>
    <s v="INTEREST"/>
    <x v="0"/>
  </r>
  <r>
    <x v="1"/>
    <n v="44251.041755999999"/>
    <m/>
    <n v="44251.041755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5490.8271670000004"/>
    <m/>
    <n v="5490.8271670000004"/>
    <n v="8"/>
    <s v="1"/>
    <s v="Interest Accrual"/>
    <s v="ACCRUED_INT"/>
    <x v="0"/>
  </r>
  <r>
    <x v="4"/>
    <m/>
    <n v="5490.8271670000004"/>
    <n v="-5490.8271670000004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51583.72"/>
    <m/>
    <n v="551583.72"/>
    <n v="11"/>
    <s v="4"/>
    <s v="Capital Long Term to Short Term Reclass"/>
    <s v="RECLASSIFY_OBLIGATION"/>
    <x v="0"/>
  </r>
  <r>
    <x v="7"/>
    <m/>
    <n v="551583.72"/>
    <n v="-551583.72"/>
    <n v="11"/>
    <s v="7"/>
    <s v="Capital Long Term to Short Term Reclass"/>
    <s v="RECLASSIFY_OBLIGATION"/>
    <x v="0"/>
  </r>
  <r>
    <x v="7"/>
    <n v="551583.72"/>
    <m/>
    <n v="551583.72"/>
    <n v="11"/>
    <s v="10"/>
    <s v="Capital Long Term from Short Term Reversal"/>
    <s v="REVERSAL"/>
    <x v="0"/>
  </r>
  <r>
    <x v="1"/>
    <m/>
    <n v="551583.72"/>
    <n v="-551583.72"/>
    <n v="11"/>
    <s v="13"/>
    <s v="Capital Long Term from Short Term Reversal"/>
    <s v="REVERSAL"/>
    <x v="0"/>
  </r>
  <r>
    <x v="4"/>
    <n v="5490.8271670000004"/>
    <m/>
    <n v="5490.8271670000004"/>
    <n v="12"/>
    <s v="4"/>
    <s v="Payment"/>
    <s v="INTEREST"/>
    <x v="0"/>
  </r>
  <r>
    <x v="1"/>
    <n v="44509.172832999997"/>
    <m/>
    <n v="44509.172832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5231.1903259999999"/>
    <m/>
    <n v="5231.1903259999999"/>
    <n v="8"/>
    <s v="1"/>
    <s v="Interest Accrual"/>
    <s v="ACCRUED_INT"/>
    <x v="0"/>
  </r>
  <r>
    <x v="4"/>
    <m/>
    <n v="5231.1903259999999"/>
    <n v="-5231.1903259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54801.29"/>
    <m/>
    <n v="554801.29"/>
    <n v="11"/>
    <s v="4"/>
    <s v="Capital Long Term to Short Term Reclass"/>
    <s v="RECLASSIFY_OBLIGATION"/>
    <x v="0"/>
  </r>
  <r>
    <x v="7"/>
    <m/>
    <n v="554801.29"/>
    <n v="-554801.29"/>
    <n v="11"/>
    <s v="7"/>
    <s v="Capital Long Term to Short Term Reclass"/>
    <s v="RECLASSIFY_OBLIGATION"/>
    <x v="0"/>
  </r>
  <r>
    <x v="7"/>
    <n v="554801.29"/>
    <m/>
    <n v="554801.29"/>
    <n v="11"/>
    <s v="10"/>
    <s v="Capital Long Term from Short Term Reversal"/>
    <s v="REVERSAL"/>
    <x v="0"/>
  </r>
  <r>
    <x v="1"/>
    <m/>
    <n v="554801.29"/>
    <n v="-554801.29"/>
    <n v="11"/>
    <s v="13"/>
    <s v="Capital Long Term from Short Term Reversal"/>
    <s v="REVERSAL"/>
    <x v="0"/>
  </r>
  <r>
    <x v="4"/>
    <n v="5231.1903259999999"/>
    <m/>
    <n v="5231.1903259999999"/>
    <n v="12"/>
    <s v="4"/>
    <s v="Payment"/>
    <s v="INTEREST"/>
    <x v="0"/>
  </r>
  <r>
    <x v="1"/>
    <n v="44768.809673999996"/>
    <m/>
    <n v="44768.809673999996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4970.0389359999999"/>
    <m/>
    <n v="4970.0389359999999"/>
    <n v="8"/>
    <s v="1"/>
    <s v="Interest Accrual"/>
    <s v="ACCRUED_INT"/>
    <x v="0"/>
  </r>
  <r>
    <x v="4"/>
    <m/>
    <n v="4970.0389359999999"/>
    <n v="-4970.0389359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58037.63"/>
    <m/>
    <n v="558037.63"/>
    <n v="11"/>
    <s v="4"/>
    <s v="Capital Long Term to Short Term Reclass"/>
    <s v="RECLASSIFY_OBLIGATION"/>
    <x v="0"/>
  </r>
  <r>
    <x v="7"/>
    <m/>
    <n v="558037.63"/>
    <n v="-558037.63"/>
    <n v="11"/>
    <s v="7"/>
    <s v="Capital Long Term to Short Term Reclass"/>
    <s v="RECLASSIFY_OBLIGATION"/>
    <x v="0"/>
  </r>
  <r>
    <x v="7"/>
    <n v="558037.63"/>
    <m/>
    <n v="558037.63"/>
    <n v="11"/>
    <s v="10"/>
    <s v="Capital Long Term from Short Term Reversal"/>
    <s v="REVERSAL"/>
    <x v="0"/>
  </r>
  <r>
    <x v="1"/>
    <m/>
    <n v="558037.63"/>
    <n v="-558037.63"/>
    <n v="11"/>
    <s v="13"/>
    <s v="Capital Long Term from Short Term Reversal"/>
    <s v="REVERSAL"/>
    <x v="0"/>
  </r>
  <r>
    <x v="4"/>
    <n v="4970.0389359999999"/>
    <m/>
    <n v="4970.0389359999999"/>
    <n v="12"/>
    <s v="4"/>
    <s v="Payment"/>
    <s v="INTEREST"/>
    <x v="0"/>
  </r>
  <r>
    <x v="1"/>
    <n v="45029.961064000003"/>
    <m/>
    <n v="45029.961064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4707.3641630000002"/>
    <m/>
    <n v="4707.3641630000002"/>
    <n v="8"/>
    <s v="1"/>
    <s v="Interest Accrual"/>
    <s v="ACCRUED_INT"/>
    <x v="0"/>
  </r>
  <r>
    <x v="4"/>
    <m/>
    <n v="4707.3641630000002"/>
    <n v="-4707.3641630000002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61292.85"/>
    <m/>
    <n v="561292.85"/>
    <n v="11"/>
    <s v="4"/>
    <s v="Capital Long Term to Short Term Reclass"/>
    <s v="RECLASSIFY_OBLIGATION"/>
    <x v="0"/>
  </r>
  <r>
    <x v="7"/>
    <m/>
    <n v="561292.85"/>
    <n v="-561292.85"/>
    <n v="11"/>
    <s v="7"/>
    <s v="Capital Long Term to Short Term Reclass"/>
    <s v="RECLASSIFY_OBLIGATION"/>
    <x v="0"/>
  </r>
  <r>
    <x v="7"/>
    <n v="561292.85"/>
    <m/>
    <n v="561292.85"/>
    <n v="11"/>
    <s v="10"/>
    <s v="Capital Long Term from Short Term Reversal"/>
    <s v="REVERSAL"/>
    <x v="0"/>
  </r>
  <r>
    <x v="1"/>
    <m/>
    <n v="561292.85"/>
    <n v="-561292.85"/>
    <n v="11"/>
    <s v="13"/>
    <s v="Capital Long Term from Short Term Reversal"/>
    <s v="REVERSAL"/>
    <x v="0"/>
  </r>
  <r>
    <x v="4"/>
    <n v="4707.3641630000002"/>
    <m/>
    <n v="4707.3641630000002"/>
    <n v="12"/>
    <s v="4"/>
    <s v="Payment"/>
    <s v="INTEREST"/>
    <x v="0"/>
  </r>
  <r>
    <x v="1"/>
    <n v="45292.635837000002"/>
    <m/>
    <n v="45292.635837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4443.1571210000002"/>
    <m/>
    <n v="4443.1571210000002"/>
    <n v="8"/>
    <s v="1"/>
    <s v="Interest Accrual"/>
    <s v="ACCRUED_INT"/>
    <x v="0"/>
  </r>
  <r>
    <x v="4"/>
    <m/>
    <n v="4443.1571210000002"/>
    <n v="-4443.1571210000002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64567.06999999995"/>
    <m/>
    <n v="564567.06999999995"/>
    <n v="11"/>
    <s v="4"/>
    <s v="Capital Long Term to Short Term Reclass"/>
    <s v="RECLASSIFY_OBLIGATION"/>
    <x v="0"/>
  </r>
  <r>
    <x v="7"/>
    <m/>
    <n v="564567.06999999995"/>
    <n v="-564567.06999999995"/>
    <n v="11"/>
    <s v="7"/>
    <s v="Capital Long Term to Short Term Reclass"/>
    <s v="RECLASSIFY_OBLIGATION"/>
    <x v="0"/>
  </r>
  <r>
    <x v="7"/>
    <n v="564567.06999999995"/>
    <m/>
    <n v="564567.06999999995"/>
    <n v="11"/>
    <s v="10"/>
    <s v="Capital Long Term from Short Term Reversal"/>
    <s v="REVERSAL"/>
    <x v="0"/>
  </r>
  <r>
    <x v="1"/>
    <m/>
    <n v="564567.06999999995"/>
    <n v="-564567.06999999995"/>
    <n v="11"/>
    <s v="13"/>
    <s v="Capital Long Term from Short Term Reversal"/>
    <s v="REVERSAL"/>
    <x v="0"/>
  </r>
  <r>
    <x v="4"/>
    <n v="4443.1571210000002"/>
    <m/>
    <n v="4443.1571210000002"/>
    <n v="12"/>
    <s v="4"/>
    <s v="Payment"/>
    <s v="INTEREST"/>
    <x v="0"/>
  </r>
  <r>
    <x v="1"/>
    <n v="45556.842879000003"/>
    <m/>
    <n v="45556.842879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4177.4088709999996"/>
    <m/>
    <n v="4177.4088709999996"/>
    <n v="8"/>
    <s v="1"/>
    <s v="Interest Accrual"/>
    <s v="ACCRUED_INT"/>
    <x v="0"/>
  </r>
  <r>
    <x v="4"/>
    <m/>
    <n v="4177.4088709999996"/>
    <n v="-4177.4088709999996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67860.36"/>
    <m/>
    <n v="567860.36"/>
    <n v="11"/>
    <s v="4"/>
    <s v="Capital Long Term to Short Term Reclass"/>
    <s v="RECLASSIFY_OBLIGATION"/>
    <x v="0"/>
  </r>
  <r>
    <x v="7"/>
    <m/>
    <n v="567860.36"/>
    <n v="-567860.36"/>
    <n v="11"/>
    <s v="7"/>
    <s v="Capital Long Term to Short Term Reclass"/>
    <s v="RECLASSIFY_OBLIGATION"/>
    <x v="0"/>
  </r>
  <r>
    <x v="7"/>
    <n v="567860.36"/>
    <m/>
    <n v="567860.36"/>
    <n v="11"/>
    <s v="10"/>
    <s v="Capital Long Term from Short Term Reversal"/>
    <s v="REVERSAL"/>
    <x v="0"/>
  </r>
  <r>
    <x v="1"/>
    <m/>
    <n v="567860.36"/>
    <n v="-567860.36"/>
    <n v="11"/>
    <s v="13"/>
    <s v="Capital Long Term from Short Term Reversal"/>
    <s v="REVERSAL"/>
    <x v="0"/>
  </r>
  <r>
    <x v="4"/>
    <n v="4177.4088709999996"/>
    <m/>
    <n v="4177.4088709999996"/>
    <n v="12"/>
    <s v="4"/>
    <s v="Payment"/>
    <s v="INTEREST"/>
    <x v="0"/>
  </r>
  <r>
    <x v="1"/>
    <n v="45822.591129"/>
    <m/>
    <n v="45822.59112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3910.1104220000002"/>
    <m/>
    <n v="3910.1104220000002"/>
    <n v="8"/>
    <s v="1"/>
    <s v="Interest Accrual"/>
    <s v="ACCRUED_INT"/>
    <x v="0"/>
  </r>
  <r>
    <x v="4"/>
    <m/>
    <n v="3910.1104220000002"/>
    <n v="-3910.1104220000002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71172.89"/>
    <m/>
    <n v="571172.89"/>
    <n v="11"/>
    <s v="4"/>
    <s v="Capital Long Term to Short Term Reclass"/>
    <s v="RECLASSIFY_OBLIGATION"/>
    <x v="0"/>
  </r>
  <r>
    <x v="7"/>
    <m/>
    <n v="571172.89"/>
    <n v="-571172.89"/>
    <n v="11"/>
    <s v="7"/>
    <s v="Capital Long Term to Short Term Reclass"/>
    <s v="RECLASSIFY_OBLIGATION"/>
    <x v="0"/>
  </r>
  <r>
    <x v="7"/>
    <n v="571172.89"/>
    <m/>
    <n v="571172.89"/>
    <n v="11"/>
    <s v="10"/>
    <s v="Capital Long Term from Short Term Reversal"/>
    <s v="REVERSAL"/>
    <x v="0"/>
  </r>
  <r>
    <x v="1"/>
    <m/>
    <n v="571172.89"/>
    <n v="-571172.89"/>
    <n v="11"/>
    <s v="13"/>
    <s v="Capital Long Term from Short Term Reversal"/>
    <s v="REVERSAL"/>
    <x v="0"/>
  </r>
  <r>
    <x v="4"/>
    <n v="3910.1104220000002"/>
    <m/>
    <n v="3910.1104220000002"/>
    <n v="12"/>
    <s v="4"/>
    <s v="Payment"/>
    <s v="INTEREST"/>
    <x v="0"/>
  </r>
  <r>
    <x v="1"/>
    <n v="46089.889578000002"/>
    <m/>
    <n v="46089.889578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3641.2527329999998"/>
    <m/>
    <n v="3641.2527329999998"/>
    <n v="8"/>
    <s v="1"/>
    <s v="Interest Accrual"/>
    <s v="ACCRUED_INT"/>
    <x v="0"/>
  </r>
  <r>
    <x v="4"/>
    <m/>
    <n v="3641.2527329999998"/>
    <n v="-3641.2527329999998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74504.73"/>
    <m/>
    <n v="574504.73"/>
    <n v="11"/>
    <s v="4"/>
    <s v="Capital Long Term to Short Term Reclass"/>
    <s v="RECLASSIFY_OBLIGATION"/>
    <x v="0"/>
  </r>
  <r>
    <x v="7"/>
    <m/>
    <n v="574504.73"/>
    <n v="-574504.73"/>
    <n v="11"/>
    <s v="7"/>
    <s v="Capital Long Term to Short Term Reclass"/>
    <s v="RECLASSIFY_OBLIGATION"/>
    <x v="0"/>
  </r>
  <r>
    <x v="7"/>
    <n v="574504.73"/>
    <m/>
    <n v="574504.73"/>
    <n v="11"/>
    <s v="10"/>
    <s v="Capital Long Term from Short Term Reversal"/>
    <s v="REVERSAL"/>
    <x v="0"/>
  </r>
  <r>
    <x v="1"/>
    <m/>
    <n v="574504.73"/>
    <n v="-574504.73"/>
    <n v="11"/>
    <s v="13"/>
    <s v="Capital Long Term from Short Term Reversal"/>
    <s v="REVERSAL"/>
    <x v="0"/>
  </r>
  <r>
    <x v="4"/>
    <n v="3641.2527329999998"/>
    <m/>
    <n v="3641.2527329999998"/>
    <n v="12"/>
    <s v="4"/>
    <s v="Payment"/>
    <s v="INTEREST"/>
    <x v="0"/>
  </r>
  <r>
    <x v="1"/>
    <n v="46358.747266999999"/>
    <m/>
    <n v="46358.747266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3370.8267080000001"/>
    <m/>
    <n v="3370.8267080000001"/>
    <n v="8"/>
    <s v="1"/>
    <s v="Interest Accrual"/>
    <s v="ACCRUED_INT"/>
    <x v="0"/>
  </r>
  <r>
    <x v="4"/>
    <m/>
    <n v="3370.8267080000001"/>
    <n v="-3370.8267080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77856.01"/>
    <m/>
    <n v="577856.01"/>
    <n v="11"/>
    <s v="4"/>
    <s v="Capital Long Term to Short Term Reclass"/>
    <s v="RECLASSIFY_OBLIGATION"/>
    <x v="0"/>
  </r>
  <r>
    <x v="7"/>
    <m/>
    <n v="577856.01"/>
    <n v="-577856.01"/>
    <n v="11"/>
    <s v="7"/>
    <s v="Capital Long Term to Short Term Reclass"/>
    <s v="RECLASSIFY_OBLIGATION"/>
    <x v="0"/>
  </r>
  <r>
    <x v="7"/>
    <n v="577856.01"/>
    <m/>
    <n v="577856.01"/>
    <n v="11"/>
    <s v="10"/>
    <s v="Capital Long Term from Short Term Reversal"/>
    <s v="REVERSAL"/>
    <x v="0"/>
  </r>
  <r>
    <x v="1"/>
    <m/>
    <n v="577856.01"/>
    <n v="-577856.01"/>
    <n v="11"/>
    <s v="13"/>
    <s v="Capital Long Term from Short Term Reversal"/>
    <s v="REVERSAL"/>
    <x v="0"/>
  </r>
  <r>
    <x v="4"/>
    <n v="3370.8267080000001"/>
    <m/>
    <n v="3370.8267080000001"/>
    <n v="12"/>
    <s v="4"/>
    <s v="Payment"/>
    <s v="INTEREST"/>
    <x v="0"/>
  </r>
  <r>
    <x v="1"/>
    <n v="46629.173291999999"/>
    <m/>
    <n v="46629.173291999999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3098.8231970000002"/>
    <m/>
    <n v="3098.8231970000002"/>
    <n v="8"/>
    <s v="1"/>
    <s v="Interest Accrual"/>
    <s v="ACCRUED_INT"/>
    <x v="0"/>
  </r>
  <r>
    <x v="4"/>
    <m/>
    <n v="3098.8231970000002"/>
    <n v="-3098.8231970000002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531226.83371899999"/>
    <m/>
    <n v="531226.83371899999"/>
    <n v="11"/>
    <s v="4"/>
    <s v="Capital Long Term to Short Term Reclass"/>
    <s v="RECLASSIFY_OBLIGATION"/>
    <x v="0"/>
  </r>
  <r>
    <x v="7"/>
    <m/>
    <n v="531226.83371899999"/>
    <n v="-531226.83371899999"/>
    <n v="11"/>
    <s v="7"/>
    <s v="Capital Long Term to Short Term Reclass"/>
    <s v="RECLASSIFY_OBLIGATION"/>
    <x v="0"/>
  </r>
  <r>
    <x v="7"/>
    <n v="531226.82999999996"/>
    <m/>
    <n v="531226.82999999996"/>
    <n v="11"/>
    <s v="10"/>
    <s v="Capital Long Term from Short Term Reversal"/>
    <s v="REVERSAL"/>
    <x v="0"/>
  </r>
  <r>
    <x v="1"/>
    <m/>
    <n v="531226.82999999996"/>
    <n v="-531226.82999999996"/>
    <n v="11"/>
    <s v="13"/>
    <s v="Capital Long Term from Short Term Reversal"/>
    <s v="REVERSAL"/>
    <x v="0"/>
  </r>
  <r>
    <x v="4"/>
    <n v="3098.8231970000002"/>
    <m/>
    <n v="3098.8231970000002"/>
    <n v="12"/>
    <s v="4"/>
    <s v="Payment"/>
    <s v="INTEREST"/>
    <x v="0"/>
  </r>
  <r>
    <x v="1"/>
    <n v="46901.176803000002"/>
    <m/>
    <n v="46901.176803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2825.2329989999998"/>
    <m/>
    <n v="2825.2329989999998"/>
    <n v="8"/>
    <s v="1"/>
    <s v="Interest Accrual"/>
    <s v="ACCRUED_INT"/>
    <x v="0"/>
  </r>
  <r>
    <x v="4"/>
    <m/>
    <n v="2825.2329989999998"/>
    <n v="-2825.2329989999998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84325.65319699998"/>
    <m/>
    <n v="484325.65319699998"/>
    <n v="11"/>
    <s v="4"/>
    <s v="Capital Long Term to Short Term Reclass"/>
    <s v="RECLASSIFY_OBLIGATION"/>
    <x v="0"/>
  </r>
  <r>
    <x v="7"/>
    <m/>
    <n v="484325.65319699998"/>
    <n v="-484325.65319699998"/>
    <n v="11"/>
    <s v="7"/>
    <s v="Capital Long Term to Short Term Reclass"/>
    <s v="RECLASSIFY_OBLIGATION"/>
    <x v="0"/>
  </r>
  <r>
    <x v="7"/>
    <n v="484325.66"/>
    <m/>
    <n v="484325.66"/>
    <n v="11"/>
    <s v="10"/>
    <s v="Capital Long Term from Short Term Reversal"/>
    <s v="REVERSAL"/>
    <x v="0"/>
  </r>
  <r>
    <x v="1"/>
    <m/>
    <n v="484325.66"/>
    <n v="-484325.66"/>
    <n v="11"/>
    <s v="13"/>
    <s v="Capital Long Term from Short Term Reversal"/>
    <s v="REVERSAL"/>
    <x v="0"/>
  </r>
  <r>
    <x v="4"/>
    <n v="2825.2329989999998"/>
    <m/>
    <n v="2825.2329989999998"/>
    <n v="12"/>
    <s v="4"/>
    <s v="Payment"/>
    <s v="INTEREST"/>
    <x v="0"/>
  </r>
  <r>
    <x v="1"/>
    <n v="47174.767001"/>
    <m/>
    <n v="47174.767001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2550.0468580000002"/>
    <m/>
    <n v="2550.0468580000002"/>
    <n v="8"/>
    <s v="1"/>
    <s v="Interest Accrual"/>
    <s v="ACCRUED_INT"/>
    <x v="0"/>
  </r>
  <r>
    <x v="4"/>
    <m/>
    <n v="2550.0468580000002"/>
    <n v="-2550.0468580000002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37150.89299899997"/>
    <m/>
    <n v="437150.89299899997"/>
    <n v="11"/>
    <s v="4"/>
    <s v="Capital Long Term to Short Term Reclass"/>
    <s v="RECLASSIFY_OBLIGATION"/>
    <x v="0"/>
  </r>
  <r>
    <x v="7"/>
    <m/>
    <n v="437150.89299899997"/>
    <n v="-437150.89299899997"/>
    <n v="11"/>
    <s v="7"/>
    <s v="Capital Long Term to Short Term Reclass"/>
    <s v="RECLASSIFY_OBLIGATION"/>
    <x v="0"/>
  </r>
  <r>
    <x v="7"/>
    <n v="437150.89"/>
    <m/>
    <n v="437150.89"/>
    <n v="11"/>
    <s v="10"/>
    <s v="Capital Long Term from Short Term Reversal"/>
    <s v="REVERSAL"/>
    <x v="0"/>
  </r>
  <r>
    <x v="1"/>
    <m/>
    <n v="437150.89"/>
    <n v="-437150.89"/>
    <n v="11"/>
    <s v="13"/>
    <s v="Capital Long Term from Short Term Reversal"/>
    <s v="REVERSAL"/>
    <x v="0"/>
  </r>
  <r>
    <x v="4"/>
    <n v="2550.0468580000002"/>
    <m/>
    <n v="2550.0468580000002"/>
    <n v="12"/>
    <s v="4"/>
    <s v="Payment"/>
    <s v="INTEREST"/>
    <x v="0"/>
  </r>
  <r>
    <x v="1"/>
    <n v="47449.953141999998"/>
    <m/>
    <n v="47449.9531419999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2273.2554639999998"/>
    <m/>
    <n v="2273.2554639999998"/>
    <n v="8"/>
    <s v="1"/>
    <s v="Interest Accrual"/>
    <s v="ACCRUED_INT"/>
    <x v="0"/>
  </r>
  <r>
    <x v="4"/>
    <m/>
    <n v="2273.2554639999998"/>
    <n v="-2273.2554639999998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389700.936858"/>
    <m/>
    <n v="389700.936858"/>
    <n v="11"/>
    <s v="4"/>
    <s v="Capital Long Term to Short Term Reclass"/>
    <s v="RECLASSIFY_OBLIGATION"/>
    <x v="0"/>
  </r>
  <r>
    <x v="7"/>
    <m/>
    <n v="389700.936858"/>
    <n v="-389700.936858"/>
    <n v="11"/>
    <s v="7"/>
    <s v="Capital Long Term to Short Term Reclass"/>
    <s v="RECLASSIFY_OBLIGATION"/>
    <x v="0"/>
  </r>
  <r>
    <x v="7"/>
    <n v="389700.94"/>
    <m/>
    <n v="389700.94"/>
    <n v="11"/>
    <s v="10"/>
    <s v="Capital Long Term from Short Term Reversal"/>
    <s v="REVERSAL"/>
    <x v="0"/>
  </r>
  <r>
    <x v="1"/>
    <m/>
    <n v="389700.94"/>
    <n v="-389700.94"/>
    <n v="11"/>
    <s v="13"/>
    <s v="Capital Long Term from Short Term Reversal"/>
    <s v="REVERSAL"/>
    <x v="0"/>
  </r>
  <r>
    <x v="4"/>
    <n v="2273.2554639999998"/>
    <m/>
    <n v="2273.2554639999998"/>
    <n v="12"/>
    <s v="4"/>
    <s v="Payment"/>
    <s v="INTEREST"/>
    <x v="0"/>
  </r>
  <r>
    <x v="1"/>
    <n v="47726.744535999998"/>
    <m/>
    <n v="47726.744535999998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994.849455"/>
    <m/>
    <n v="1994.849455"/>
    <n v="8"/>
    <s v="1"/>
    <s v="Interest Accrual"/>
    <s v="ACCRUED_INT"/>
    <x v="0"/>
  </r>
  <r>
    <x v="4"/>
    <m/>
    <n v="1994.849455"/>
    <n v="-1994.849455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341974.19546399999"/>
    <m/>
    <n v="341974.19546399999"/>
    <n v="11"/>
    <s v="4"/>
    <s v="Capital Long Term to Short Term Reclass"/>
    <s v="RECLASSIFY_OBLIGATION"/>
    <x v="0"/>
  </r>
  <r>
    <x v="7"/>
    <m/>
    <n v="341974.19546399999"/>
    <n v="-341974.19546399999"/>
    <n v="11"/>
    <s v="7"/>
    <s v="Capital Long Term to Short Term Reclass"/>
    <s v="RECLASSIFY_OBLIGATION"/>
    <x v="0"/>
  </r>
  <r>
    <x v="7"/>
    <n v="341974.19"/>
    <m/>
    <n v="341974.19"/>
    <n v="11"/>
    <s v="10"/>
    <s v="Capital Long Term from Short Term Reversal"/>
    <s v="REVERSAL"/>
    <x v="0"/>
  </r>
  <r>
    <x v="1"/>
    <m/>
    <n v="341974.19"/>
    <n v="-341974.19"/>
    <n v="11"/>
    <s v="13"/>
    <s v="Capital Long Term from Short Term Reversal"/>
    <s v="REVERSAL"/>
    <x v="0"/>
  </r>
  <r>
    <x v="4"/>
    <n v="1994.849455"/>
    <m/>
    <n v="1994.849455"/>
    <n v="12"/>
    <s v="4"/>
    <s v="Payment"/>
    <s v="INTEREST"/>
    <x v="0"/>
  </r>
  <r>
    <x v="1"/>
    <n v="48005.150544999997"/>
    <m/>
    <n v="48005.150544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714.8194100000001"/>
    <m/>
    <n v="1714.8194100000001"/>
    <n v="8"/>
    <s v="1"/>
    <s v="Interest Accrual"/>
    <s v="ACCRUED_INT"/>
    <x v="0"/>
  </r>
  <r>
    <x v="4"/>
    <m/>
    <n v="1714.8194100000001"/>
    <n v="-1714.8194100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293969.03945500002"/>
    <m/>
    <n v="293969.03945500002"/>
    <n v="11"/>
    <s v="4"/>
    <s v="Capital Long Term to Short Term Reclass"/>
    <s v="RECLASSIFY_OBLIGATION"/>
    <x v="0"/>
  </r>
  <r>
    <x v="7"/>
    <m/>
    <n v="293969.03945500002"/>
    <n v="-293969.03945500002"/>
    <n v="11"/>
    <s v="7"/>
    <s v="Capital Long Term to Short Term Reclass"/>
    <s v="RECLASSIFY_OBLIGATION"/>
    <x v="0"/>
  </r>
  <r>
    <x v="7"/>
    <n v="293969.03999999998"/>
    <m/>
    <n v="293969.03999999998"/>
    <n v="11"/>
    <s v="10"/>
    <s v="Capital Long Term from Short Term Reversal"/>
    <s v="REVERSAL"/>
    <x v="0"/>
  </r>
  <r>
    <x v="1"/>
    <m/>
    <n v="293969.03999999998"/>
    <n v="-293969.03999999998"/>
    <n v="11"/>
    <s v="13"/>
    <s v="Capital Long Term from Short Term Reversal"/>
    <s v="REVERSAL"/>
    <x v="0"/>
  </r>
  <r>
    <x v="4"/>
    <n v="1714.8194100000001"/>
    <m/>
    <n v="1714.8194100000001"/>
    <n v="12"/>
    <s v="4"/>
    <s v="Payment"/>
    <s v="INTEREST"/>
    <x v="0"/>
  </r>
  <r>
    <x v="1"/>
    <n v="48285.180590000004"/>
    <m/>
    <n v="48285.180590000004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433.1558560000001"/>
    <m/>
    <n v="1433.1558560000001"/>
    <n v="8"/>
    <s v="1"/>
    <s v="Interest Accrual"/>
    <s v="ACCRUED_INT"/>
    <x v="0"/>
  </r>
  <r>
    <x v="4"/>
    <m/>
    <n v="1433.1558560000001"/>
    <n v="-1433.1558560000001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245683.85941"/>
    <m/>
    <n v="245683.85941"/>
    <n v="11"/>
    <s v="4"/>
    <s v="Capital Long Term to Short Term Reclass"/>
    <s v="RECLASSIFY_OBLIGATION"/>
    <x v="0"/>
  </r>
  <r>
    <x v="7"/>
    <m/>
    <n v="245683.85941"/>
    <n v="-245683.85941"/>
    <n v="11"/>
    <s v="7"/>
    <s v="Capital Long Term to Short Term Reclass"/>
    <s v="RECLASSIFY_OBLIGATION"/>
    <x v="0"/>
  </r>
  <r>
    <x v="7"/>
    <n v="245683.86"/>
    <m/>
    <n v="245683.86"/>
    <n v="11"/>
    <s v="10"/>
    <s v="Capital Long Term from Short Term Reversal"/>
    <s v="REVERSAL"/>
    <x v="0"/>
  </r>
  <r>
    <x v="1"/>
    <m/>
    <n v="245683.86"/>
    <n v="-245683.86"/>
    <n v="11"/>
    <s v="13"/>
    <s v="Capital Long Term from Short Term Reversal"/>
    <s v="REVERSAL"/>
    <x v="0"/>
  </r>
  <r>
    <x v="4"/>
    <n v="1433.1558560000001"/>
    <m/>
    <n v="1433.1558560000001"/>
    <n v="12"/>
    <s v="4"/>
    <s v="Payment"/>
    <s v="INTEREST"/>
    <x v="0"/>
  </r>
  <r>
    <x v="1"/>
    <n v="48566.844144000002"/>
    <m/>
    <n v="48566.844144000002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1149.8492659999999"/>
    <m/>
    <n v="1149.8492659999999"/>
    <n v="8"/>
    <s v="1"/>
    <s v="Interest Accrual"/>
    <s v="ACCRUED_INT"/>
    <x v="0"/>
  </r>
  <r>
    <x v="4"/>
    <m/>
    <n v="1149.8492659999999"/>
    <n v="-1149.8492659999999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197117.01585600001"/>
    <m/>
    <n v="197117.01585600001"/>
    <n v="11"/>
    <s v="4"/>
    <s v="Capital Long Term to Short Term Reclass"/>
    <s v="RECLASSIFY_OBLIGATION"/>
    <x v="0"/>
  </r>
  <r>
    <x v="7"/>
    <m/>
    <n v="197117.01585600001"/>
    <n v="-197117.01585600001"/>
    <n v="11"/>
    <s v="7"/>
    <s v="Capital Long Term to Short Term Reclass"/>
    <s v="RECLASSIFY_OBLIGATION"/>
    <x v="0"/>
  </r>
  <r>
    <x v="7"/>
    <n v="197117.02"/>
    <m/>
    <n v="197117.02"/>
    <n v="11"/>
    <s v="10"/>
    <s v="Capital Long Term from Short Term Reversal"/>
    <s v="REVERSAL"/>
    <x v="0"/>
  </r>
  <r>
    <x v="1"/>
    <m/>
    <n v="197117.02"/>
    <n v="-197117.02"/>
    <n v="11"/>
    <s v="13"/>
    <s v="Capital Long Term from Short Term Reversal"/>
    <s v="REVERSAL"/>
    <x v="0"/>
  </r>
  <r>
    <x v="4"/>
    <n v="1149.8492659999999"/>
    <m/>
    <n v="1149.8492659999999"/>
    <n v="12"/>
    <s v="4"/>
    <s v="Payment"/>
    <s v="INTEREST"/>
    <x v="0"/>
  </r>
  <r>
    <x v="1"/>
    <n v="48850.150734000003"/>
    <m/>
    <n v="48850.150734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864.89005299999997"/>
    <m/>
    <n v="864.89005299999997"/>
    <n v="8"/>
    <s v="1"/>
    <s v="Interest Accrual"/>
    <s v="ACCRUED_INT"/>
    <x v="0"/>
  </r>
  <r>
    <x v="4"/>
    <m/>
    <n v="864.89005299999997"/>
    <n v="-864.89005299999997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148266.86926599999"/>
    <m/>
    <n v="148266.86926599999"/>
    <n v="11"/>
    <s v="4"/>
    <s v="Capital Long Term to Short Term Reclass"/>
    <s v="RECLASSIFY_OBLIGATION"/>
    <x v="0"/>
  </r>
  <r>
    <x v="7"/>
    <m/>
    <n v="148266.86926599999"/>
    <n v="-148266.86926599999"/>
    <n v="11"/>
    <s v="7"/>
    <s v="Capital Long Term to Short Term Reclass"/>
    <s v="RECLASSIFY_OBLIGATION"/>
    <x v="0"/>
  </r>
  <r>
    <x v="7"/>
    <n v="148266.85999999999"/>
    <m/>
    <n v="148266.85999999999"/>
    <n v="11"/>
    <s v="10"/>
    <s v="Capital Long Term from Short Term Reversal"/>
    <s v="REVERSAL"/>
    <x v="0"/>
  </r>
  <r>
    <x v="1"/>
    <m/>
    <n v="148266.85999999999"/>
    <n v="-148266.85999999999"/>
    <n v="11"/>
    <s v="13"/>
    <s v="Capital Long Term from Short Term Reversal"/>
    <s v="REVERSAL"/>
    <x v="0"/>
  </r>
  <r>
    <x v="4"/>
    <n v="864.89005299999997"/>
    <m/>
    <n v="864.89005299999997"/>
    <n v="12"/>
    <s v="4"/>
    <s v="Payment"/>
    <s v="INTEREST"/>
    <x v="0"/>
  </r>
  <r>
    <x v="1"/>
    <n v="49135.109946999997"/>
    <m/>
    <n v="49135.109946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578.26857800000005"/>
    <m/>
    <n v="578.26857800000005"/>
    <n v="8"/>
    <s v="1"/>
    <s v="Interest Accrual"/>
    <s v="ACCRUED_INT"/>
    <x v="0"/>
  </r>
  <r>
    <x v="4"/>
    <m/>
    <n v="578.26857800000005"/>
    <n v="-578.26857800000005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99131.750052999996"/>
    <m/>
    <n v="99131.750052999996"/>
    <n v="11"/>
    <s v="4"/>
    <s v="Capital Long Term to Short Term Reclass"/>
    <s v="RECLASSIFY_OBLIGATION"/>
    <x v="0"/>
  </r>
  <r>
    <x v="7"/>
    <m/>
    <n v="99131.750052999996"/>
    <n v="-99131.750052999996"/>
    <n v="11"/>
    <s v="7"/>
    <s v="Capital Long Term to Short Term Reclass"/>
    <s v="RECLASSIFY_OBLIGATION"/>
    <x v="0"/>
  </r>
  <r>
    <x v="7"/>
    <n v="99131.76"/>
    <m/>
    <n v="99131.76"/>
    <n v="11"/>
    <s v="10"/>
    <s v="Capital Long Term from Short Term Reversal"/>
    <s v="REVERSAL"/>
    <x v="0"/>
  </r>
  <r>
    <x v="1"/>
    <m/>
    <n v="99131.76"/>
    <n v="-99131.76"/>
    <n v="11"/>
    <s v="13"/>
    <s v="Capital Long Term from Short Term Reversal"/>
    <s v="REVERSAL"/>
    <x v="0"/>
  </r>
  <r>
    <x v="4"/>
    <n v="578.26857800000005"/>
    <m/>
    <n v="578.26857800000005"/>
    <n v="12"/>
    <s v="4"/>
    <s v="Payment"/>
    <s v="INTEREST"/>
    <x v="0"/>
  </r>
  <r>
    <x v="1"/>
    <n v="49421.731421999997"/>
    <m/>
    <n v="49421.731421999997"/>
    <n v="12"/>
    <s v="5"/>
    <s v="Payment"/>
    <s v="PRINCIPAL"/>
    <x v="0"/>
  </r>
  <r>
    <x v="2"/>
    <m/>
    <n v="50000"/>
    <n v="-50000"/>
    <n v="12"/>
    <s v="6"/>
    <s v="Payment"/>
    <s v="CASH"/>
    <x v="0"/>
  </r>
  <r>
    <x v="3"/>
    <n v="289.975145"/>
    <m/>
    <n v="289.975145"/>
    <n v="8"/>
    <s v="1"/>
    <s v="Interest Accrual"/>
    <s v="ACCRUED_INT"/>
    <x v="0"/>
  </r>
  <r>
    <x v="4"/>
    <m/>
    <n v="289.975145"/>
    <n v="-289.975145"/>
    <n v="8"/>
    <s v="4"/>
    <s v="Interest Accrual"/>
    <s v="ACCRUED_INT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1"/>
    <n v="49710.028577999998"/>
    <m/>
    <n v="49710.028577999998"/>
    <n v="11"/>
    <s v="4"/>
    <s v="Capital Long Term to Short Term Reclass"/>
    <s v="RECLASSIFY_OBLIGATION"/>
    <x v="0"/>
  </r>
  <r>
    <x v="7"/>
    <m/>
    <n v="49710.028577999998"/>
    <n v="-49710.028577999998"/>
    <n v="11"/>
    <s v="7"/>
    <s v="Capital Long Term to Short Term Reclass"/>
    <s v="RECLASSIFY_OBLIGATION"/>
    <x v="0"/>
  </r>
  <r>
    <x v="7"/>
    <n v="49710.024855000003"/>
    <m/>
    <n v="49710.024855000003"/>
    <n v="11"/>
    <s v="10"/>
    <s v="Capital Long Term from Short Term Reversal"/>
    <s v="REVERSAL"/>
    <x v="0"/>
  </r>
  <r>
    <x v="1"/>
    <m/>
    <n v="49710.024855000003"/>
    <n v="-49710.024855000003"/>
    <n v="11"/>
    <s v="13"/>
    <s v="Capital Long Term from Short Term Reversal"/>
    <s v="REVERSAL"/>
    <x v="0"/>
  </r>
  <r>
    <x v="4"/>
    <n v="289.975145"/>
    <m/>
    <n v="289.975145"/>
    <n v="12"/>
    <s v="4"/>
    <s v="Payment"/>
    <s v="INTEREST"/>
    <x v="0"/>
  </r>
  <r>
    <x v="1"/>
    <n v="49710.024855000003"/>
    <m/>
    <n v="49710.024855000003"/>
    <n v="12"/>
    <s v="5"/>
    <s v="Payment"/>
    <s v="PRINCIPAL"/>
    <x v="0"/>
  </r>
  <r>
    <x v="2"/>
    <m/>
    <n v="50000"/>
    <n v="-50000"/>
    <n v="12"/>
    <s v="6"/>
    <s v="Payment"/>
    <s v="CASH"/>
    <x v="0"/>
  </r>
  <r>
    <x v="5"/>
    <n v="42330.49"/>
    <m/>
    <n v="42330.49"/>
    <n v="10"/>
    <s v="1"/>
    <s v="Capital Lease Depreciation Expense Recognition"/>
    <s v="DEPRECIATION"/>
    <x v="0"/>
  </r>
  <r>
    <x v="6"/>
    <m/>
    <n v="42330.49"/>
    <n v="-42330.49"/>
    <n v="10"/>
    <s v="4"/>
    <s v="Capital Lease Depreciation Expense Recognition"/>
    <s v="DEPRECIATION"/>
    <x v="0"/>
  </r>
  <r>
    <x v="8"/>
    <m/>
    <m/>
    <m/>
    <m/>
    <m/>
    <m/>
    <m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">
  <r>
    <s v="01/01/2022"/>
    <d v="2022-01-01T00:00:00"/>
    <s v="Spot Rate"/>
    <s v="13001"/>
    <m/>
    <m/>
    <m/>
    <s v="TBD"/>
    <s v="0000"/>
    <s v="123456"/>
    <s v="Office"/>
    <m/>
    <m/>
    <m/>
    <x v="0"/>
    <s v="USD"/>
    <n v="2539829.423163"/>
    <m/>
    <n v="2539829.423163"/>
    <s v="USD"/>
    <n v="2539829.423163"/>
    <m/>
    <n v="2539829.423163"/>
    <s v="USD"/>
    <n v="2539829.423163"/>
    <m/>
    <n v="2539829.423163"/>
    <s v="Reporting"/>
    <x v="0"/>
    <n v="2539829.423163"/>
    <s v="2022 Finance Vanilla lease"/>
    <s v="Schedule 2022 Finance Vanilla lease"/>
    <x v="0"/>
    <x v="0"/>
    <s v="Original Contract Term"/>
    <m/>
    <x v="0"/>
    <n v="6"/>
    <s v="Capital Lease Modification Takedown"/>
    <s v="6.5.152002958.152002958"/>
    <m/>
    <s v="New"/>
    <m/>
    <x v="0"/>
    <x v="0"/>
  </r>
  <r>
    <s v="01/01/2022"/>
    <d v="2022-01-01T00:00:00"/>
    <s v="Spot Rate"/>
    <s v="13001"/>
    <m/>
    <m/>
    <m/>
    <s v="TBD"/>
    <s v="0000"/>
    <s v="123456"/>
    <s v="Office"/>
    <m/>
    <m/>
    <m/>
    <x v="1"/>
    <s v="USD"/>
    <m/>
    <n v="2539829.423163"/>
    <n v="-2539829.423163"/>
    <s v="USD"/>
    <m/>
    <n v="2539829.423163"/>
    <n v="-2539829.423163"/>
    <s v="USD"/>
    <m/>
    <n v="2539829.423163"/>
    <n v="-2539829.423163"/>
    <s v="Reporting"/>
    <x v="0"/>
    <n v="-2539829.423163"/>
    <s v="2022 Finance Vanilla lease"/>
    <s v="Schedule 2022 Finance Vanilla lease"/>
    <x v="0"/>
    <x v="0"/>
    <s v="Original Contract Term"/>
    <m/>
    <x v="0"/>
    <n v="6"/>
    <s v="Capital Lease Modification Takedown"/>
    <s v="6.7.152002956.152002956"/>
    <m/>
    <s v="New"/>
    <m/>
    <x v="0"/>
    <x v="0"/>
  </r>
  <r>
    <s v="01/01/2022"/>
    <d v="2022-01-31T00:00:00"/>
    <s v="Weighted Avg Rate"/>
    <s v="13001"/>
    <m/>
    <m/>
    <m/>
    <s v="TBD"/>
    <s v="0000"/>
    <s v="123456"/>
    <s v="Office"/>
    <m/>
    <m/>
    <m/>
    <x v="1"/>
    <s v="USD"/>
    <n v="50000"/>
    <m/>
    <n v="50000"/>
    <s v="USD"/>
    <n v="50000"/>
    <m/>
    <n v="50000"/>
    <s v="USD"/>
    <n v="50000"/>
    <m/>
    <n v="50000"/>
    <s v="Reporting"/>
    <x v="0"/>
    <n v="50000"/>
    <s v="2022 Finance Vanilla lease"/>
    <s v="Schedule 2022 Finance Vanilla lease"/>
    <x v="1"/>
    <x v="0"/>
    <s v="Monthly Activity"/>
    <m/>
    <x v="0"/>
    <n v="12"/>
    <s v="Payment"/>
    <s v="12.5.152002004.152002004"/>
    <m/>
    <s v="New"/>
    <m/>
    <x v="0"/>
    <x v="0"/>
  </r>
  <r>
    <s v="01/01/2022"/>
    <d v="2022-01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66.152001566"/>
    <m/>
    <s v="New"/>
    <m/>
    <x v="0"/>
    <x v="0"/>
  </r>
  <r>
    <s v="01/31/2022"/>
    <d v="2022-01-31T00:00:00"/>
    <s v="Weighted Avg Rate"/>
    <s v="13001"/>
    <m/>
    <m/>
    <m/>
    <s v="TBD"/>
    <s v="0000"/>
    <s v="123456"/>
    <s v="Office"/>
    <m/>
    <m/>
    <m/>
    <x v="3"/>
    <s v="USD"/>
    <n v="14524.004967999999"/>
    <m/>
    <n v="14524.004967999999"/>
    <s v="USD"/>
    <n v="14524.004967999999"/>
    <m/>
    <n v="14524.004967999999"/>
    <s v="USD"/>
    <n v="14524.004967999999"/>
    <m/>
    <n v="14524.004967999999"/>
    <s v="Reporting"/>
    <x v="0"/>
    <n v="14524.004967999999"/>
    <s v="2022 Finance Vanilla lease"/>
    <s v="Schedule 2022 Finance Vanilla lease"/>
    <x v="2"/>
    <x v="0"/>
    <s v="Monthly Activity"/>
    <m/>
    <x v="0"/>
    <n v="8"/>
    <s v="Interest Accrual"/>
    <s v="8.1.152003093.152003093"/>
    <m/>
    <s v="New"/>
    <m/>
    <x v="0"/>
    <x v="0"/>
  </r>
  <r>
    <s v="01/31/2022"/>
    <d v="2022-01-31T00:00:00"/>
    <s v="Weighted Avg Rate"/>
    <s v="13001"/>
    <m/>
    <m/>
    <m/>
    <s v="TBD"/>
    <s v="0000"/>
    <s v="TBD"/>
    <s v="Office"/>
    <m/>
    <m/>
    <m/>
    <x v="4"/>
    <s v="USD"/>
    <m/>
    <n v="14524.004967999999"/>
    <n v="-14524.004967999999"/>
    <s v="USD"/>
    <m/>
    <n v="14524.004967999999"/>
    <n v="-14524.004967999999"/>
    <s v="USD"/>
    <m/>
    <n v="14524.004967999999"/>
    <n v="-14524.004967999999"/>
    <s v="Reporting"/>
    <x v="0"/>
    <n v="-14524.004967999999"/>
    <s v="2022 Finance Vanilla lease"/>
    <s v="Schedule 2022 Finance Vanilla lease"/>
    <x v="2"/>
    <x v="0"/>
    <s v="Monthly Activity"/>
    <m/>
    <x v="0"/>
    <n v="8"/>
    <s v="Interest Accrual"/>
    <s v="8.4.152003093.152003093"/>
    <m/>
    <s v="New"/>
    <m/>
    <x v="0"/>
    <x v="0"/>
  </r>
  <r>
    <s v="01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3.152002963"/>
    <m/>
    <s v="New"/>
    <m/>
    <x v="0"/>
    <x v="0"/>
  </r>
  <r>
    <s v="01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3.152002963"/>
    <m/>
    <s v="New"/>
    <m/>
    <x v="0"/>
    <x v="0"/>
  </r>
  <r>
    <s v="01/31/2022"/>
    <d v="2022-01-31T00:00:00"/>
    <s v="Spot Rate"/>
    <s v="13001"/>
    <m/>
    <m/>
    <m/>
    <s v="TBD"/>
    <s v="0000"/>
    <s v="123456"/>
    <s v="Office"/>
    <m/>
    <m/>
    <m/>
    <x v="1"/>
    <s v="USD"/>
    <n v="439639.29"/>
    <m/>
    <n v="439639.29"/>
    <s v="USD"/>
    <n v="439639.29"/>
    <m/>
    <n v="439639.29"/>
    <s v="USD"/>
    <n v="439639.29"/>
    <m/>
    <n v="439639.29"/>
    <s v="Reporting"/>
    <x v="0"/>
    <n v="439639.29"/>
    <s v="2022 Finance Vanilla lease"/>
    <s v="Schedule 2022 Finance Vanilla lease"/>
    <x v="4"/>
    <x v="0"/>
    <s v="Monthly Activity"/>
    <m/>
    <x v="0"/>
    <n v="11"/>
    <s v="Capital Long Term to Short Term Reclass"/>
    <s v="11.4.152003447.152003447"/>
    <m/>
    <s v="New"/>
    <m/>
    <x v="0"/>
    <x v="0"/>
  </r>
  <r>
    <s v="01/31/2022"/>
    <d v="2022-01-31T00:00:00"/>
    <s v="Spot Rate"/>
    <s v="13001"/>
    <m/>
    <m/>
    <m/>
    <s v="TBD"/>
    <s v="0000"/>
    <s v="123456"/>
    <s v="Office"/>
    <m/>
    <m/>
    <m/>
    <x v="7"/>
    <s v="USD"/>
    <m/>
    <n v="439639.29"/>
    <n v="-439639.29"/>
    <s v="USD"/>
    <m/>
    <n v="439639.29"/>
    <n v="-439639.29"/>
    <s v="USD"/>
    <m/>
    <n v="439639.29"/>
    <n v="-439639.29"/>
    <s v="Reporting"/>
    <x v="0"/>
    <n v="-439639.29"/>
    <s v="2022 Finance Vanilla lease"/>
    <s v="Schedule 2022 Finance Vanilla lease"/>
    <x v="4"/>
    <x v="0"/>
    <s v="Monthly Activity"/>
    <m/>
    <x v="0"/>
    <n v="11"/>
    <s v="Capital Long Term to Short Term Reclass"/>
    <s v="11.7.152003447.152003447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7"/>
    <s v="USD"/>
    <n v="439639.29"/>
    <m/>
    <n v="439639.29"/>
    <s v="USD"/>
    <n v="439639.29"/>
    <m/>
    <n v="439639.29"/>
    <s v="USD"/>
    <n v="439639.29"/>
    <m/>
    <n v="439639.29"/>
    <s v="Reporting"/>
    <x v="0"/>
    <n v="439639.29"/>
    <s v="2022 Finance Vanilla lease"/>
    <s v="Schedule 2022 Finance Vanilla lease"/>
    <x v="4"/>
    <x v="0"/>
    <s v="Monthly Activity"/>
    <m/>
    <x v="0"/>
    <n v="11"/>
    <s v="Capital Long Term from Short Term Reversal"/>
    <s v="11.10.152003448.152003448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1"/>
    <s v="USD"/>
    <m/>
    <n v="439639.29"/>
    <n v="-439639.29"/>
    <s v="USD"/>
    <m/>
    <n v="439639.29"/>
    <n v="-439639.29"/>
    <s v="USD"/>
    <m/>
    <n v="439639.29"/>
    <n v="-439639.29"/>
    <s v="Reporting"/>
    <x v="0"/>
    <n v="-439639.29"/>
    <s v="2022 Finance Vanilla lease"/>
    <s v="Schedule 2022 Finance Vanilla lease"/>
    <x v="4"/>
    <x v="0"/>
    <s v="Monthly Activity"/>
    <m/>
    <x v="0"/>
    <n v="11"/>
    <s v="Capital Long Term from Short Term Reversal"/>
    <s v="11.13.152003448.152003448"/>
    <m/>
    <s v="New"/>
    <m/>
    <x v="0"/>
    <x v="0"/>
  </r>
  <r>
    <s v="02/01/2022"/>
    <d v="2022-02-28T00:00:00"/>
    <s v="Weighted Avg Rate"/>
    <s v="13001"/>
    <m/>
    <m/>
    <m/>
    <s v="TBD"/>
    <s v="0000"/>
    <s v="TBD"/>
    <s v="Office"/>
    <m/>
    <m/>
    <m/>
    <x v="4"/>
    <s v="USD"/>
    <n v="14524.004967999999"/>
    <m/>
    <n v="14524.004967999999"/>
    <s v="USD"/>
    <n v="14524.004967999999"/>
    <m/>
    <n v="14524.004967999999"/>
    <s v="USD"/>
    <n v="14524.004967999999"/>
    <m/>
    <n v="14524.004967999999"/>
    <s v="Reporting"/>
    <x v="0"/>
    <n v="14524.004967999999"/>
    <s v="2022 Finance Vanilla lease"/>
    <s v="Schedule 2022 Finance Vanilla lease"/>
    <x v="1"/>
    <x v="0"/>
    <s v="Monthly Activity"/>
    <m/>
    <x v="0"/>
    <n v="12"/>
    <s v="Payment"/>
    <s v="12.4.152003095.152003095"/>
    <m/>
    <s v="New"/>
    <m/>
    <x v="0"/>
    <x v="0"/>
  </r>
  <r>
    <s v="02/01/2022"/>
    <d v="2022-02-28T00:00:00"/>
    <s v="Weighted Avg Rate"/>
    <s v="13001"/>
    <m/>
    <m/>
    <m/>
    <s v="TBD"/>
    <s v="0000"/>
    <s v="123456"/>
    <s v="Office"/>
    <m/>
    <m/>
    <m/>
    <x v="1"/>
    <s v="USD"/>
    <n v="35475.995031999999"/>
    <m/>
    <n v="35475.995031999999"/>
    <s v="USD"/>
    <n v="35475.995031999999"/>
    <m/>
    <n v="35475.995031999999"/>
    <s v="USD"/>
    <n v="35475.995031999999"/>
    <m/>
    <n v="35475.995031999999"/>
    <s v="Reporting"/>
    <x v="0"/>
    <n v="35475.995031999999"/>
    <s v="2022 Finance Vanilla lease"/>
    <s v="Schedule 2022 Finance Vanilla lease"/>
    <x v="1"/>
    <x v="0"/>
    <s v="Monthly Activity"/>
    <m/>
    <x v="0"/>
    <n v="12"/>
    <s v="Payment"/>
    <s v="12.5.152003096.152003096"/>
    <m/>
    <s v="New"/>
    <m/>
    <x v="0"/>
    <x v="0"/>
  </r>
  <r>
    <s v="02/01/2022"/>
    <d v="2022-02-28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07.152001507"/>
    <m/>
    <s v="New"/>
    <m/>
    <x v="0"/>
    <x v="0"/>
  </r>
  <r>
    <s v="02/28/2022"/>
    <d v="2022-02-28T00:00:00"/>
    <s v="Weighted Avg Rate"/>
    <s v="13001"/>
    <m/>
    <m/>
    <m/>
    <s v="TBD"/>
    <s v="0000"/>
    <s v="123456"/>
    <s v="Office"/>
    <m/>
    <m/>
    <m/>
    <x v="3"/>
    <s v="USD"/>
    <n v="14317.061664000001"/>
    <m/>
    <n v="14317.061664000001"/>
    <s v="USD"/>
    <n v="14317.061664000001"/>
    <m/>
    <n v="14317.061664000001"/>
    <s v="USD"/>
    <n v="14317.061664000001"/>
    <m/>
    <n v="14317.061664000001"/>
    <s v="Reporting"/>
    <x v="0"/>
    <n v="14317.061664000001"/>
    <s v="2022 Finance Vanilla lease"/>
    <s v="Schedule 2022 Finance Vanilla lease"/>
    <x v="2"/>
    <x v="0"/>
    <s v="Monthly Activity"/>
    <m/>
    <x v="0"/>
    <n v="8"/>
    <s v="Interest Accrual"/>
    <s v="8.1.152003099.152003099"/>
    <m/>
    <s v="New"/>
    <m/>
    <x v="0"/>
    <x v="0"/>
  </r>
  <r>
    <s v="02/28/2022"/>
    <d v="2022-02-28T00:00:00"/>
    <s v="Weighted Avg Rate"/>
    <s v="13001"/>
    <m/>
    <m/>
    <m/>
    <s v="TBD"/>
    <s v="0000"/>
    <s v="TBD"/>
    <s v="Office"/>
    <m/>
    <m/>
    <m/>
    <x v="4"/>
    <s v="USD"/>
    <m/>
    <n v="14317.061664000001"/>
    <n v="-14317.061664000001"/>
    <s v="USD"/>
    <m/>
    <n v="14317.061664000001"/>
    <n v="-14317.061664000001"/>
    <s v="USD"/>
    <m/>
    <n v="14317.061664000001"/>
    <n v="-14317.061664000001"/>
    <s v="Reporting"/>
    <x v="0"/>
    <n v="-14317.061664000001"/>
    <s v="2022 Finance Vanilla lease"/>
    <s v="Schedule 2022 Finance Vanilla lease"/>
    <x v="2"/>
    <x v="0"/>
    <s v="Monthly Activity"/>
    <m/>
    <x v="0"/>
    <n v="8"/>
    <s v="Interest Accrual"/>
    <s v="8.4.152003099.152003099"/>
    <m/>
    <s v="New"/>
    <m/>
    <x v="0"/>
    <x v="0"/>
  </r>
  <r>
    <s v="02/28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4.152002964"/>
    <m/>
    <s v="New"/>
    <m/>
    <x v="0"/>
    <x v="0"/>
  </r>
  <r>
    <s v="02/28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4.152002964"/>
    <m/>
    <s v="New"/>
    <m/>
    <x v="0"/>
    <x v="0"/>
  </r>
  <r>
    <s v="02/28/2022"/>
    <d v="2022-02-28T00:00:00"/>
    <s v="Spot Rate"/>
    <s v="13001"/>
    <m/>
    <m/>
    <m/>
    <s v="TBD"/>
    <s v="0000"/>
    <s v="123456"/>
    <s v="Office"/>
    <m/>
    <m/>
    <m/>
    <x v="1"/>
    <s v="USD"/>
    <n v="442203.86"/>
    <m/>
    <n v="442203.86"/>
    <s v="USD"/>
    <n v="442203.86"/>
    <m/>
    <n v="442203.86"/>
    <s v="USD"/>
    <n v="442203.86"/>
    <m/>
    <n v="442203.86"/>
    <s v="Reporting"/>
    <x v="0"/>
    <n v="442203.86"/>
    <s v="2022 Finance Vanilla lease"/>
    <s v="Schedule 2022 Finance Vanilla lease"/>
    <x v="4"/>
    <x v="0"/>
    <s v="Monthly Activity"/>
    <m/>
    <x v="0"/>
    <n v="11"/>
    <s v="Capital Long Term to Short Term Reclass"/>
    <s v="11.4.152003451.152003451"/>
    <m/>
    <s v="New"/>
    <m/>
    <x v="0"/>
    <x v="0"/>
  </r>
  <r>
    <s v="02/28/2022"/>
    <d v="2022-02-28T00:00:00"/>
    <s v="Spot Rate"/>
    <s v="13001"/>
    <m/>
    <m/>
    <m/>
    <s v="TBD"/>
    <s v="0000"/>
    <s v="123456"/>
    <s v="Office"/>
    <m/>
    <m/>
    <m/>
    <x v="7"/>
    <s v="USD"/>
    <m/>
    <n v="442203.86"/>
    <n v="-442203.86"/>
    <s v="USD"/>
    <m/>
    <n v="442203.86"/>
    <n v="-442203.86"/>
    <s v="USD"/>
    <m/>
    <n v="442203.86"/>
    <n v="-442203.86"/>
    <s v="Reporting"/>
    <x v="0"/>
    <n v="-442203.86"/>
    <s v="2022 Finance Vanilla lease"/>
    <s v="Schedule 2022 Finance Vanilla lease"/>
    <x v="4"/>
    <x v="0"/>
    <s v="Monthly Activity"/>
    <m/>
    <x v="0"/>
    <n v="11"/>
    <s v="Capital Long Term to Short Term Reclass"/>
    <s v="11.7.152003451.152003451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7"/>
    <s v="USD"/>
    <n v="442203.86"/>
    <m/>
    <n v="442203.86"/>
    <s v="USD"/>
    <n v="442203.86"/>
    <m/>
    <n v="442203.86"/>
    <s v="USD"/>
    <n v="442203.86"/>
    <m/>
    <n v="442203.86"/>
    <s v="Reporting"/>
    <x v="0"/>
    <n v="442203.86"/>
    <s v="2022 Finance Vanilla lease"/>
    <s v="Schedule 2022 Finance Vanilla lease"/>
    <x v="4"/>
    <x v="0"/>
    <s v="Monthly Activity"/>
    <m/>
    <x v="0"/>
    <n v="11"/>
    <s v="Capital Long Term from Short Term Reversal"/>
    <s v="11.10.152003452.152003452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1"/>
    <s v="USD"/>
    <m/>
    <n v="442203.86"/>
    <n v="-442203.86"/>
    <s v="USD"/>
    <m/>
    <n v="442203.86"/>
    <n v="-442203.86"/>
    <s v="USD"/>
    <m/>
    <n v="442203.86"/>
    <n v="-442203.86"/>
    <s v="Reporting"/>
    <x v="0"/>
    <n v="-442203.86"/>
    <s v="2022 Finance Vanilla lease"/>
    <s v="Schedule 2022 Finance Vanilla lease"/>
    <x v="4"/>
    <x v="0"/>
    <s v="Monthly Activity"/>
    <m/>
    <x v="0"/>
    <n v="11"/>
    <s v="Capital Long Term from Short Term Reversal"/>
    <s v="11.13.152003452.152003452"/>
    <m/>
    <s v="New"/>
    <m/>
    <x v="0"/>
    <x v="0"/>
  </r>
  <r>
    <s v="03/01/2022"/>
    <d v="2022-03-31T00:00:00"/>
    <s v="Weighted Avg Rate"/>
    <s v="13001"/>
    <m/>
    <m/>
    <m/>
    <s v="TBD"/>
    <s v="0000"/>
    <s v="TBD"/>
    <s v="Office"/>
    <m/>
    <m/>
    <m/>
    <x v="4"/>
    <s v="USD"/>
    <n v="14317.061664000001"/>
    <m/>
    <n v="14317.061664000001"/>
    <s v="USD"/>
    <n v="14317.061664000001"/>
    <m/>
    <n v="14317.061664000001"/>
    <s v="USD"/>
    <n v="14317.061664000001"/>
    <m/>
    <n v="14317.061664000001"/>
    <s v="Reporting"/>
    <x v="0"/>
    <n v="14317.061664000001"/>
    <s v="2022 Finance Vanilla lease"/>
    <s v="Schedule 2022 Finance Vanilla lease"/>
    <x v="1"/>
    <x v="0"/>
    <s v="Monthly Activity"/>
    <m/>
    <x v="0"/>
    <n v="12"/>
    <s v="Payment"/>
    <s v="12.4.152003101.152003101"/>
    <m/>
    <s v="New"/>
    <m/>
    <x v="0"/>
    <x v="0"/>
  </r>
  <r>
    <s v="03/01/2022"/>
    <d v="2022-03-31T00:00:00"/>
    <s v="Weighted Avg Rate"/>
    <s v="13001"/>
    <m/>
    <m/>
    <m/>
    <s v="TBD"/>
    <s v="0000"/>
    <s v="123456"/>
    <s v="Office"/>
    <m/>
    <m/>
    <m/>
    <x v="1"/>
    <s v="USD"/>
    <n v="35682.938335999999"/>
    <m/>
    <n v="35682.938335999999"/>
    <s v="USD"/>
    <n v="35682.938335999999"/>
    <m/>
    <n v="35682.938335999999"/>
    <s v="USD"/>
    <n v="35682.938335999999"/>
    <m/>
    <n v="35682.938335999999"/>
    <s v="Reporting"/>
    <x v="0"/>
    <n v="35682.938335999999"/>
    <s v="2022 Finance Vanilla lease"/>
    <s v="Schedule 2022 Finance Vanilla lease"/>
    <x v="1"/>
    <x v="0"/>
    <s v="Monthly Activity"/>
    <m/>
    <x v="0"/>
    <n v="12"/>
    <s v="Payment"/>
    <s v="12.5.152003102.152003102"/>
    <m/>
    <s v="New"/>
    <m/>
    <x v="0"/>
    <x v="0"/>
  </r>
  <r>
    <s v="03/01/2022"/>
    <d v="2022-03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08.152001508"/>
    <m/>
    <s v="New"/>
    <m/>
    <x v="0"/>
    <x v="0"/>
  </r>
  <r>
    <s v="03/31/2022"/>
    <d v="2022-03-31T00:00:00"/>
    <s v="Weighted Avg Rate"/>
    <s v="13001"/>
    <m/>
    <m/>
    <m/>
    <s v="TBD"/>
    <s v="0000"/>
    <s v="123456"/>
    <s v="Office"/>
    <m/>
    <m/>
    <m/>
    <x v="3"/>
    <s v="USD"/>
    <n v="14108.911190000001"/>
    <m/>
    <n v="14108.911190000001"/>
    <s v="USD"/>
    <n v="14108.911190000001"/>
    <m/>
    <n v="14108.911190000001"/>
    <s v="USD"/>
    <n v="14108.911190000001"/>
    <m/>
    <n v="14108.911190000001"/>
    <s v="Reporting"/>
    <x v="0"/>
    <n v="14108.911190000001"/>
    <s v="2022 Finance Vanilla lease"/>
    <s v="Schedule 2022 Finance Vanilla lease"/>
    <x v="2"/>
    <x v="0"/>
    <s v="Monthly Activity"/>
    <m/>
    <x v="0"/>
    <n v="8"/>
    <s v="Interest Accrual"/>
    <s v="8.1.152003105.152003105"/>
    <m/>
    <s v="New"/>
    <m/>
    <x v="0"/>
    <x v="0"/>
  </r>
  <r>
    <s v="03/31/2022"/>
    <d v="2022-03-31T00:00:00"/>
    <s v="Weighted Avg Rate"/>
    <s v="13001"/>
    <m/>
    <m/>
    <m/>
    <s v="TBD"/>
    <s v="0000"/>
    <s v="TBD"/>
    <s v="Office"/>
    <m/>
    <m/>
    <m/>
    <x v="4"/>
    <s v="USD"/>
    <m/>
    <n v="14108.911190000001"/>
    <n v="-14108.911190000001"/>
    <s v="USD"/>
    <m/>
    <n v="14108.911190000001"/>
    <n v="-14108.911190000001"/>
    <s v="USD"/>
    <m/>
    <n v="14108.911190000001"/>
    <n v="-14108.911190000001"/>
    <s v="Reporting"/>
    <x v="0"/>
    <n v="-14108.911190000001"/>
    <s v="2022 Finance Vanilla lease"/>
    <s v="Schedule 2022 Finance Vanilla lease"/>
    <x v="2"/>
    <x v="0"/>
    <s v="Monthly Activity"/>
    <m/>
    <x v="0"/>
    <n v="8"/>
    <s v="Interest Accrual"/>
    <s v="8.4.152003105.152003105"/>
    <m/>
    <s v="New"/>
    <m/>
    <x v="0"/>
    <x v="0"/>
  </r>
  <r>
    <s v="03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5.152002965"/>
    <m/>
    <s v="New"/>
    <m/>
    <x v="0"/>
    <x v="0"/>
  </r>
  <r>
    <s v="03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5.152002965"/>
    <m/>
    <s v="New"/>
    <m/>
    <x v="0"/>
    <x v="0"/>
  </r>
  <r>
    <s v="03/31/2022"/>
    <d v="2022-03-31T00:00:00"/>
    <s v="Spot Rate"/>
    <s v="13001"/>
    <m/>
    <m/>
    <m/>
    <s v="TBD"/>
    <s v="0000"/>
    <s v="123456"/>
    <s v="Office"/>
    <m/>
    <m/>
    <m/>
    <x v="1"/>
    <s v="USD"/>
    <n v="444783.38"/>
    <m/>
    <n v="444783.38"/>
    <s v="USD"/>
    <n v="444783.38"/>
    <m/>
    <n v="444783.38"/>
    <s v="USD"/>
    <n v="444783.38"/>
    <m/>
    <n v="444783.38"/>
    <s v="Reporting"/>
    <x v="0"/>
    <n v="444783.38"/>
    <s v="2022 Finance Vanilla lease"/>
    <s v="Schedule 2022 Finance Vanilla lease"/>
    <x v="4"/>
    <x v="0"/>
    <s v="Monthly Activity"/>
    <m/>
    <x v="0"/>
    <n v="11"/>
    <s v="Capital Long Term to Short Term Reclass"/>
    <s v="11.4.152003455.152003455"/>
    <m/>
    <s v="New"/>
    <m/>
    <x v="0"/>
    <x v="0"/>
  </r>
  <r>
    <s v="03/31/2022"/>
    <d v="2022-03-31T00:00:00"/>
    <s v="Spot Rate"/>
    <s v="13001"/>
    <m/>
    <m/>
    <m/>
    <s v="TBD"/>
    <s v="0000"/>
    <s v="123456"/>
    <s v="Office"/>
    <m/>
    <m/>
    <m/>
    <x v="7"/>
    <s v="USD"/>
    <m/>
    <n v="444783.38"/>
    <n v="-444783.38"/>
    <s v="USD"/>
    <m/>
    <n v="444783.38"/>
    <n v="-444783.38"/>
    <s v="USD"/>
    <m/>
    <n v="444783.38"/>
    <n v="-444783.38"/>
    <s v="Reporting"/>
    <x v="0"/>
    <n v="-444783.38"/>
    <s v="2022 Finance Vanilla lease"/>
    <s v="Schedule 2022 Finance Vanilla lease"/>
    <x v="4"/>
    <x v="0"/>
    <s v="Monthly Activity"/>
    <m/>
    <x v="0"/>
    <n v="11"/>
    <s v="Capital Long Term to Short Term Reclass"/>
    <s v="11.7.152003455.152003455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7"/>
    <s v="USD"/>
    <n v="444783.38"/>
    <m/>
    <n v="444783.38"/>
    <s v="USD"/>
    <n v="444783.38"/>
    <m/>
    <n v="444783.38"/>
    <s v="USD"/>
    <n v="444783.38"/>
    <m/>
    <n v="444783.38"/>
    <s v="Reporting"/>
    <x v="0"/>
    <n v="444783.38"/>
    <s v="2022 Finance Vanilla lease"/>
    <s v="Schedule 2022 Finance Vanilla lease"/>
    <x v="4"/>
    <x v="0"/>
    <s v="Monthly Activity"/>
    <m/>
    <x v="0"/>
    <n v="11"/>
    <s v="Capital Long Term from Short Term Reversal"/>
    <s v="11.10.152003456.152003456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1"/>
    <s v="USD"/>
    <m/>
    <n v="444783.38"/>
    <n v="-444783.38"/>
    <s v="USD"/>
    <m/>
    <n v="444783.38"/>
    <n v="-444783.38"/>
    <s v="USD"/>
    <m/>
    <n v="444783.38"/>
    <n v="-444783.38"/>
    <s v="Reporting"/>
    <x v="0"/>
    <n v="-444783.38"/>
    <s v="2022 Finance Vanilla lease"/>
    <s v="Schedule 2022 Finance Vanilla lease"/>
    <x v="4"/>
    <x v="0"/>
    <s v="Monthly Activity"/>
    <m/>
    <x v="0"/>
    <n v="11"/>
    <s v="Capital Long Term from Short Term Reversal"/>
    <s v="11.13.152003456.152003456"/>
    <m/>
    <s v="New"/>
    <m/>
    <x v="0"/>
    <x v="0"/>
  </r>
  <r>
    <s v="04/01/2022"/>
    <d v="2022-04-30T00:00:00"/>
    <s v="Weighted Avg Rate"/>
    <s v="13001"/>
    <m/>
    <m/>
    <m/>
    <s v="TBD"/>
    <s v="0000"/>
    <s v="TBD"/>
    <s v="Office"/>
    <m/>
    <m/>
    <m/>
    <x v="4"/>
    <s v="USD"/>
    <n v="14108.911190000001"/>
    <m/>
    <n v="14108.911190000001"/>
    <s v="USD"/>
    <n v="14108.911190000001"/>
    <m/>
    <n v="14108.911190000001"/>
    <s v="USD"/>
    <n v="14108.911190000001"/>
    <m/>
    <n v="14108.911190000001"/>
    <s v="Reporting"/>
    <x v="0"/>
    <n v="14108.911190000001"/>
    <s v="2022 Finance Vanilla lease"/>
    <s v="Schedule 2022 Finance Vanilla lease"/>
    <x v="1"/>
    <x v="0"/>
    <s v="Monthly Activity"/>
    <m/>
    <x v="0"/>
    <n v="12"/>
    <s v="Payment"/>
    <s v="12.4.152003107.152003107"/>
    <m/>
    <s v="New"/>
    <m/>
    <x v="0"/>
    <x v="0"/>
  </r>
  <r>
    <s v="04/01/2022"/>
    <d v="2022-04-30T00:00:00"/>
    <s v="Weighted Avg Rate"/>
    <s v="13001"/>
    <m/>
    <m/>
    <m/>
    <s v="TBD"/>
    <s v="0000"/>
    <s v="123456"/>
    <s v="Office"/>
    <m/>
    <m/>
    <m/>
    <x v="1"/>
    <s v="USD"/>
    <n v="35891.088810000001"/>
    <m/>
    <n v="35891.088810000001"/>
    <s v="USD"/>
    <n v="35891.088810000001"/>
    <m/>
    <n v="35891.088810000001"/>
    <s v="USD"/>
    <n v="35891.088810000001"/>
    <m/>
    <n v="35891.088810000001"/>
    <s v="Reporting"/>
    <x v="0"/>
    <n v="35891.088810000001"/>
    <s v="2022 Finance Vanilla lease"/>
    <s v="Schedule 2022 Finance Vanilla lease"/>
    <x v="1"/>
    <x v="0"/>
    <s v="Monthly Activity"/>
    <m/>
    <x v="0"/>
    <n v="12"/>
    <s v="Payment"/>
    <s v="12.5.152003108.152003108"/>
    <m/>
    <s v="New"/>
    <m/>
    <x v="0"/>
    <x v="0"/>
  </r>
  <r>
    <s v="04/01/2022"/>
    <d v="2022-04-30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09.152001509"/>
    <m/>
    <s v="New"/>
    <m/>
    <x v="0"/>
    <x v="0"/>
  </r>
  <r>
    <s v="04/30/2022"/>
    <d v="2022-04-30T00:00:00"/>
    <s v="Weighted Avg Rate"/>
    <s v="13001"/>
    <m/>
    <m/>
    <m/>
    <s v="TBD"/>
    <s v="0000"/>
    <s v="123456"/>
    <s v="Office"/>
    <m/>
    <m/>
    <m/>
    <x v="3"/>
    <s v="USD"/>
    <n v="13899.546506000001"/>
    <m/>
    <n v="13899.546506000001"/>
    <s v="USD"/>
    <n v="13899.546506000001"/>
    <m/>
    <n v="13899.546506000001"/>
    <s v="USD"/>
    <n v="13899.546506000001"/>
    <m/>
    <n v="13899.546506000001"/>
    <s v="Reporting"/>
    <x v="0"/>
    <n v="13899.546506000001"/>
    <s v="2022 Finance Vanilla lease"/>
    <s v="Schedule 2022 Finance Vanilla lease"/>
    <x v="2"/>
    <x v="0"/>
    <s v="Monthly Activity"/>
    <m/>
    <x v="0"/>
    <n v="8"/>
    <s v="Interest Accrual"/>
    <s v="8.1.152003111.152003111"/>
    <m/>
    <s v="New"/>
    <m/>
    <x v="0"/>
    <x v="0"/>
  </r>
  <r>
    <s v="04/30/2022"/>
    <d v="2022-04-30T00:00:00"/>
    <s v="Weighted Avg Rate"/>
    <s v="13001"/>
    <m/>
    <m/>
    <m/>
    <s v="TBD"/>
    <s v="0000"/>
    <s v="TBD"/>
    <s v="Office"/>
    <m/>
    <m/>
    <m/>
    <x v="4"/>
    <s v="USD"/>
    <m/>
    <n v="13899.546506000001"/>
    <n v="-13899.546506000001"/>
    <s v="USD"/>
    <m/>
    <n v="13899.546506000001"/>
    <n v="-13899.546506000001"/>
    <s v="USD"/>
    <m/>
    <n v="13899.546506000001"/>
    <n v="-13899.546506000001"/>
    <s v="Reporting"/>
    <x v="0"/>
    <n v="-13899.546506000001"/>
    <s v="2022 Finance Vanilla lease"/>
    <s v="Schedule 2022 Finance Vanilla lease"/>
    <x v="2"/>
    <x v="0"/>
    <s v="Monthly Activity"/>
    <m/>
    <x v="0"/>
    <n v="8"/>
    <s v="Interest Accrual"/>
    <s v="8.4.152003111.152003111"/>
    <m/>
    <s v="New"/>
    <m/>
    <x v="0"/>
    <x v="0"/>
  </r>
  <r>
    <s v="04/30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6.152002966"/>
    <m/>
    <s v="New"/>
    <m/>
    <x v="0"/>
    <x v="0"/>
  </r>
  <r>
    <s v="04/30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6.152002966"/>
    <m/>
    <s v="New"/>
    <m/>
    <x v="0"/>
    <x v="0"/>
  </r>
  <r>
    <s v="04/30/2022"/>
    <d v="2022-04-30T00:00:00"/>
    <s v="Spot Rate"/>
    <s v="13001"/>
    <m/>
    <m/>
    <m/>
    <s v="TBD"/>
    <s v="0000"/>
    <s v="123456"/>
    <s v="Office"/>
    <m/>
    <m/>
    <m/>
    <x v="1"/>
    <s v="USD"/>
    <n v="447377.95"/>
    <m/>
    <n v="447377.95"/>
    <s v="USD"/>
    <n v="447377.95"/>
    <m/>
    <n v="447377.95"/>
    <s v="USD"/>
    <n v="447377.95"/>
    <m/>
    <n v="447377.95"/>
    <s v="Reporting"/>
    <x v="0"/>
    <n v="447377.95"/>
    <s v="2022 Finance Vanilla lease"/>
    <s v="Schedule 2022 Finance Vanilla lease"/>
    <x v="4"/>
    <x v="0"/>
    <s v="Monthly Activity"/>
    <m/>
    <x v="0"/>
    <n v="11"/>
    <s v="Capital Long Term to Short Term Reclass"/>
    <s v="11.4.152003459.152003459"/>
    <m/>
    <s v="New"/>
    <m/>
    <x v="0"/>
    <x v="0"/>
  </r>
  <r>
    <s v="04/30/2022"/>
    <d v="2022-04-30T00:00:00"/>
    <s v="Spot Rate"/>
    <s v="13001"/>
    <m/>
    <m/>
    <m/>
    <s v="TBD"/>
    <s v="0000"/>
    <s v="123456"/>
    <s v="Office"/>
    <m/>
    <m/>
    <m/>
    <x v="7"/>
    <s v="USD"/>
    <m/>
    <n v="447377.95"/>
    <n v="-447377.95"/>
    <s v="USD"/>
    <m/>
    <n v="447377.95"/>
    <n v="-447377.95"/>
    <s v="USD"/>
    <m/>
    <n v="447377.95"/>
    <n v="-447377.95"/>
    <s v="Reporting"/>
    <x v="0"/>
    <n v="-447377.95"/>
    <s v="2022 Finance Vanilla lease"/>
    <s v="Schedule 2022 Finance Vanilla lease"/>
    <x v="4"/>
    <x v="0"/>
    <s v="Monthly Activity"/>
    <m/>
    <x v="0"/>
    <n v="11"/>
    <s v="Capital Long Term to Short Term Reclass"/>
    <s v="11.7.152003459.152003459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7"/>
    <s v="USD"/>
    <n v="447377.95"/>
    <m/>
    <n v="447377.95"/>
    <s v="USD"/>
    <n v="447377.95"/>
    <m/>
    <n v="447377.95"/>
    <s v="USD"/>
    <n v="447377.95"/>
    <m/>
    <n v="447377.95"/>
    <s v="Reporting"/>
    <x v="0"/>
    <n v="447377.95"/>
    <s v="2022 Finance Vanilla lease"/>
    <s v="Schedule 2022 Finance Vanilla lease"/>
    <x v="4"/>
    <x v="0"/>
    <s v="Monthly Activity"/>
    <m/>
    <x v="0"/>
    <n v="11"/>
    <s v="Capital Long Term from Short Term Reversal"/>
    <s v="11.10.152003460.152003460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1"/>
    <s v="USD"/>
    <m/>
    <n v="447377.95"/>
    <n v="-447377.95"/>
    <s v="USD"/>
    <m/>
    <n v="447377.95"/>
    <n v="-447377.95"/>
    <s v="USD"/>
    <m/>
    <n v="447377.95"/>
    <n v="-447377.95"/>
    <s v="Reporting"/>
    <x v="0"/>
    <n v="-447377.95"/>
    <s v="2022 Finance Vanilla lease"/>
    <s v="Schedule 2022 Finance Vanilla lease"/>
    <x v="4"/>
    <x v="0"/>
    <s v="Monthly Activity"/>
    <m/>
    <x v="0"/>
    <n v="11"/>
    <s v="Capital Long Term from Short Term Reversal"/>
    <s v="11.13.152003460.152003460"/>
    <m/>
    <s v="New"/>
    <m/>
    <x v="0"/>
    <x v="0"/>
  </r>
  <r>
    <s v="05/01/2022"/>
    <d v="2022-05-31T00:00:00"/>
    <s v="Weighted Avg Rate"/>
    <s v="13001"/>
    <m/>
    <m/>
    <m/>
    <s v="TBD"/>
    <s v="0000"/>
    <s v="TBD"/>
    <s v="Office"/>
    <m/>
    <m/>
    <m/>
    <x v="4"/>
    <s v="USD"/>
    <n v="13899.546506000001"/>
    <m/>
    <n v="13899.546506000001"/>
    <s v="USD"/>
    <n v="13899.546506000001"/>
    <m/>
    <n v="13899.546506000001"/>
    <s v="USD"/>
    <n v="13899.546506000001"/>
    <m/>
    <n v="13899.546506000001"/>
    <s v="Reporting"/>
    <x v="0"/>
    <n v="13899.546506000001"/>
    <s v="2022 Finance Vanilla lease"/>
    <s v="Schedule 2022 Finance Vanilla lease"/>
    <x v="1"/>
    <x v="0"/>
    <s v="Monthly Activity"/>
    <m/>
    <x v="0"/>
    <n v="12"/>
    <s v="Payment"/>
    <s v="12.4.152003113.152003113"/>
    <m/>
    <s v="New"/>
    <m/>
    <x v="0"/>
    <x v="0"/>
  </r>
  <r>
    <s v="05/01/2022"/>
    <d v="2022-05-31T00:00:00"/>
    <s v="Weighted Avg Rate"/>
    <s v="13001"/>
    <m/>
    <m/>
    <m/>
    <s v="TBD"/>
    <s v="0000"/>
    <s v="123456"/>
    <s v="Office"/>
    <m/>
    <m/>
    <m/>
    <x v="1"/>
    <s v="USD"/>
    <n v="36100.453494000001"/>
    <m/>
    <n v="36100.453494000001"/>
    <s v="USD"/>
    <n v="36100.453494000001"/>
    <m/>
    <n v="36100.453494000001"/>
    <s v="USD"/>
    <n v="36100.453494000001"/>
    <m/>
    <n v="36100.453494000001"/>
    <s v="Reporting"/>
    <x v="0"/>
    <n v="36100.453494000001"/>
    <s v="2022 Finance Vanilla lease"/>
    <s v="Schedule 2022 Finance Vanilla lease"/>
    <x v="1"/>
    <x v="0"/>
    <s v="Monthly Activity"/>
    <m/>
    <x v="0"/>
    <n v="12"/>
    <s v="Payment"/>
    <s v="12.5.152003114.152003114"/>
    <m/>
    <s v="New"/>
    <m/>
    <x v="0"/>
    <x v="0"/>
  </r>
  <r>
    <s v="05/01/2022"/>
    <d v="2022-05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0.152001510"/>
    <m/>
    <s v="New"/>
    <m/>
    <x v="0"/>
    <x v="0"/>
  </r>
  <r>
    <s v="05/31/2022"/>
    <d v="2022-05-31T00:00:00"/>
    <s v="Weighted Avg Rate"/>
    <s v="13001"/>
    <m/>
    <m/>
    <m/>
    <s v="TBD"/>
    <s v="0000"/>
    <s v="123456"/>
    <s v="Office"/>
    <m/>
    <m/>
    <m/>
    <x v="3"/>
    <s v="USD"/>
    <n v="13688.960526999999"/>
    <m/>
    <n v="13688.960526999999"/>
    <s v="USD"/>
    <n v="13688.960526999999"/>
    <m/>
    <n v="13688.960526999999"/>
    <s v="USD"/>
    <n v="13688.960526999999"/>
    <m/>
    <n v="13688.960526999999"/>
    <s v="Reporting"/>
    <x v="0"/>
    <n v="13688.960526999999"/>
    <s v="2022 Finance Vanilla lease"/>
    <s v="Schedule 2022 Finance Vanilla lease"/>
    <x v="2"/>
    <x v="0"/>
    <s v="Monthly Activity"/>
    <m/>
    <x v="0"/>
    <n v="8"/>
    <s v="Interest Accrual"/>
    <s v="8.1.152003117.152003117"/>
    <m/>
    <s v="New"/>
    <m/>
    <x v="0"/>
    <x v="0"/>
  </r>
  <r>
    <s v="05/31/2022"/>
    <d v="2022-05-31T00:00:00"/>
    <s v="Weighted Avg Rate"/>
    <s v="13001"/>
    <m/>
    <m/>
    <m/>
    <s v="TBD"/>
    <s v="0000"/>
    <s v="TBD"/>
    <s v="Office"/>
    <m/>
    <m/>
    <m/>
    <x v="4"/>
    <s v="USD"/>
    <m/>
    <n v="13688.960526999999"/>
    <n v="-13688.960526999999"/>
    <s v="USD"/>
    <m/>
    <n v="13688.960526999999"/>
    <n v="-13688.960526999999"/>
    <s v="USD"/>
    <m/>
    <n v="13688.960526999999"/>
    <n v="-13688.960526999999"/>
    <s v="Reporting"/>
    <x v="0"/>
    <n v="-13688.960526999999"/>
    <s v="2022 Finance Vanilla lease"/>
    <s v="Schedule 2022 Finance Vanilla lease"/>
    <x v="2"/>
    <x v="0"/>
    <s v="Monthly Activity"/>
    <m/>
    <x v="0"/>
    <n v="8"/>
    <s v="Interest Accrual"/>
    <s v="8.4.152003117.152003117"/>
    <m/>
    <s v="New"/>
    <m/>
    <x v="0"/>
    <x v="0"/>
  </r>
  <r>
    <s v="05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7.152002967"/>
    <m/>
    <s v="New"/>
    <m/>
    <x v="0"/>
    <x v="0"/>
  </r>
  <r>
    <s v="05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7.152002967"/>
    <m/>
    <s v="New"/>
    <m/>
    <x v="0"/>
    <x v="0"/>
  </r>
  <r>
    <s v="05/31/2022"/>
    <d v="2022-05-31T00:00:00"/>
    <s v="Spot Rate"/>
    <s v="13001"/>
    <m/>
    <m/>
    <m/>
    <s v="TBD"/>
    <s v="0000"/>
    <s v="123456"/>
    <s v="Office"/>
    <m/>
    <m/>
    <m/>
    <x v="1"/>
    <s v="USD"/>
    <n v="449987.65"/>
    <m/>
    <n v="449987.65"/>
    <s v="USD"/>
    <n v="449987.65"/>
    <m/>
    <n v="449987.65"/>
    <s v="USD"/>
    <n v="449987.65"/>
    <m/>
    <n v="449987.65"/>
    <s v="Reporting"/>
    <x v="0"/>
    <n v="449987.65"/>
    <s v="2022 Finance Vanilla lease"/>
    <s v="Schedule 2022 Finance Vanilla lease"/>
    <x v="4"/>
    <x v="0"/>
    <s v="Monthly Activity"/>
    <m/>
    <x v="0"/>
    <n v="11"/>
    <s v="Capital Long Term to Short Term Reclass"/>
    <s v="11.4.152003463.152003463"/>
    <m/>
    <s v="New"/>
    <m/>
    <x v="0"/>
    <x v="0"/>
  </r>
  <r>
    <s v="05/31/2022"/>
    <d v="2022-05-31T00:00:00"/>
    <s v="Spot Rate"/>
    <s v="13001"/>
    <m/>
    <m/>
    <m/>
    <s v="TBD"/>
    <s v="0000"/>
    <s v="123456"/>
    <s v="Office"/>
    <m/>
    <m/>
    <m/>
    <x v="7"/>
    <s v="USD"/>
    <m/>
    <n v="449987.65"/>
    <n v="-449987.65"/>
    <s v="USD"/>
    <m/>
    <n v="449987.65"/>
    <n v="-449987.65"/>
    <s v="USD"/>
    <m/>
    <n v="449987.65"/>
    <n v="-449987.65"/>
    <s v="Reporting"/>
    <x v="0"/>
    <n v="-449987.65"/>
    <s v="2022 Finance Vanilla lease"/>
    <s v="Schedule 2022 Finance Vanilla lease"/>
    <x v="4"/>
    <x v="0"/>
    <s v="Monthly Activity"/>
    <m/>
    <x v="0"/>
    <n v="11"/>
    <s v="Capital Long Term to Short Term Reclass"/>
    <s v="11.7.152003463.152003463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7"/>
    <s v="USD"/>
    <n v="449987.65"/>
    <m/>
    <n v="449987.65"/>
    <s v="USD"/>
    <n v="449987.65"/>
    <m/>
    <n v="449987.65"/>
    <s v="USD"/>
    <n v="449987.65"/>
    <m/>
    <n v="449987.65"/>
    <s v="Reporting"/>
    <x v="0"/>
    <n v="449987.65"/>
    <s v="2022 Finance Vanilla lease"/>
    <s v="Schedule 2022 Finance Vanilla lease"/>
    <x v="4"/>
    <x v="0"/>
    <s v="Monthly Activity"/>
    <m/>
    <x v="0"/>
    <n v="11"/>
    <s v="Capital Long Term from Short Term Reversal"/>
    <s v="11.10.152003464.152003464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1"/>
    <s v="USD"/>
    <m/>
    <n v="449987.65"/>
    <n v="-449987.65"/>
    <s v="USD"/>
    <m/>
    <n v="449987.65"/>
    <n v="-449987.65"/>
    <s v="USD"/>
    <m/>
    <n v="449987.65"/>
    <n v="-449987.65"/>
    <s v="Reporting"/>
    <x v="0"/>
    <n v="-449987.65"/>
    <s v="2022 Finance Vanilla lease"/>
    <s v="Schedule 2022 Finance Vanilla lease"/>
    <x v="4"/>
    <x v="0"/>
    <s v="Monthly Activity"/>
    <m/>
    <x v="0"/>
    <n v="11"/>
    <s v="Capital Long Term from Short Term Reversal"/>
    <s v="11.13.152003464.152003464"/>
    <m/>
    <s v="New"/>
    <m/>
    <x v="0"/>
    <x v="0"/>
  </r>
  <r>
    <s v="06/01/2022"/>
    <d v="2022-06-30T00:00:00"/>
    <s v="Weighted Avg Rate"/>
    <s v="13001"/>
    <m/>
    <m/>
    <m/>
    <s v="TBD"/>
    <s v="0000"/>
    <s v="TBD"/>
    <s v="Office"/>
    <m/>
    <m/>
    <m/>
    <x v="4"/>
    <s v="USD"/>
    <n v="13688.960526999999"/>
    <m/>
    <n v="13688.960526999999"/>
    <s v="USD"/>
    <n v="13688.960526999999"/>
    <m/>
    <n v="13688.960526999999"/>
    <s v="USD"/>
    <n v="13688.960526999999"/>
    <m/>
    <n v="13688.960526999999"/>
    <s v="Reporting"/>
    <x v="0"/>
    <n v="13688.960526999999"/>
    <s v="2022 Finance Vanilla lease"/>
    <s v="Schedule 2022 Finance Vanilla lease"/>
    <x v="1"/>
    <x v="0"/>
    <s v="Monthly Activity"/>
    <m/>
    <x v="0"/>
    <n v="12"/>
    <s v="Payment"/>
    <s v="12.4.152003119.152003119"/>
    <m/>
    <s v="New"/>
    <m/>
    <x v="0"/>
    <x v="0"/>
  </r>
  <r>
    <s v="06/01/2022"/>
    <d v="2022-06-30T00:00:00"/>
    <s v="Weighted Avg Rate"/>
    <s v="13001"/>
    <m/>
    <m/>
    <m/>
    <s v="TBD"/>
    <s v="0000"/>
    <s v="123456"/>
    <s v="Office"/>
    <m/>
    <m/>
    <m/>
    <x v="1"/>
    <s v="USD"/>
    <n v="36311.039472999997"/>
    <m/>
    <n v="36311.039472999997"/>
    <s v="USD"/>
    <n v="36311.039472999997"/>
    <m/>
    <n v="36311.039472999997"/>
    <s v="USD"/>
    <n v="36311.039472999997"/>
    <m/>
    <n v="36311.039472999997"/>
    <s v="Reporting"/>
    <x v="0"/>
    <n v="36311.039472999997"/>
    <s v="2022 Finance Vanilla lease"/>
    <s v="Schedule 2022 Finance Vanilla lease"/>
    <x v="1"/>
    <x v="0"/>
    <s v="Monthly Activity"/>
    <m/>
    <x v="0"/>
    <n v="12"/>
    <s v="Payment"/>
    <s v="12.5.152003120.152003120"/>
    <m/>
    <s v="New"/>
    <m/>
    <x v="0"/>
    <x v="0"/>
  </r>
  <r>
    <s v="06/01/2022"/>
    <d v="2022-06-30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1.152001511"/>
    <m/>
    <s v="New"/>
    <m/>
    <x v="0"/>
    <x v="0"/>
  </r>
  <r>
    <s v="06/30/2022"/>
    <d v="2022-06-30T00:00:00"/>
    <s v="Weighted Avg Rate"/>
    <s v="13001"/>
    <m/>
    <m/>
    <m/>
    <s v="TBD"/>
    <s v="0000"/>
    <s v="123456"/>
    <s v="Office"/>
    <m/>
    <m/>
    <m/>
    <x v="3"/>
    <s v="USD"/>
    <n v="13477.146129999999"/>
    <m/>
    <n v="13477.146129999999"/>
    <s v="USD"/>
    <n v="13477.146129999999"/>
    <m/>
    <n v="13477.146129999999"/>
    <s v="USD"/>
    <n v="13477.146129999999"/>
    <m/>
    <n v="13477.146129999999"/>
    <s v="Reporting"/>
    <x v="0"/>
    <n v="13477.146129999999"/>
    <s v="2022 Finance Vanilla lease"/>
    <s v="Schedule 2022 Finance Vanilla lease"/>
    <x v="2"/>
    <x v="0"/>
    <s v="Monthly Activity"/>
    <m/>
    <x v="0"/>
    <n v="8"/>
    <s v="Interest Accrual"/>
    <s v="8.1.152003123.152003123"/>
    <m/>
    <s v="New"/>
    <m/>
    <x v="0"/>
    <x v="0"/>
  </r>
  <r>
    <s v="06/30/2022"/>
    <d v="2022-06-30T00:00:00"/>
    <s v="Weighted Avg Rate"/>
    <s v="13001"/>
    <m/>
    <m/>
    <m/>
    <s v="TBD"/>
    <s v="0000"/>
    <s v="TBD"/>
    <s v="Office"/>
    <m/>
    <m/>
    <m/>
    <x v="4"/>
    <s v="USD"/>
    <m/>
    <n v="13477.146129999999"/>
    <n v="-13477.146129999999"/>
    <s v="USD"/>
    <m/>
    <n v="13477.146129999999"/>
    <n v="-13477.146129999999"/>
    <s v="USD"/>
    <m/>
    <n v="13477.146129999999"/>
    <n v="-13477.146129999999"/>
    <s v="Reporting"/>
    <x v="0"/>
    <n v="-13477.146129999999"/>
    <s v="2022 Finance Vanilla lease"/>
    <s v="Schedule 2022 Finance Vanilla lease"/>
    <x v="2"/>
    <x v="0"/>
    <s v="Monthly Activity"/>
    <m/>
    <x v="0"/>
    <n v="8"/>
    <s v="Interest Accrual"/>
    <s v="8.4.152003123.152003123"/>
    <m/>
    <s v="New"/>
    <m/>
    <x v="0"/>
    <x v="0"/>
  </r>
  <r>
    <s v="06/30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8.152002968"/>
    <m/>
    <s v="New"/>
    <m/>
    <x v="0"/>
    <x v="0"/>
  </r>
  <r>
    <s v="06/30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8.152002968"/>
    <m/>
    <s v="New"/>
    <m/>
    <x v="0"/>
    <x v="0"/>
  </r>
  <r>
    <s v="06/30/2022"/>
    <d v="2022-06-30T00:00:00"/>
    <s v="Spot Rate"/>
    <s v="13001"/>
    <m/>
    <m/>
    <m/>
    <s v="TBD"/>
    <s v="0000"/>
    <s v="123456"/>
    <s v="Office"/>
    <m/>
    <m/>
    <m/>
    <x v="1"/>
    <s v="USD"/>
    <n v="452612.58"/>
    <m/>
    <n v="452612.58"/>
    <s v="USD"/>
    <n v="452612.58"/>
    <m/>
    <n v="452612.58"/>
    <s v="USD"/>
    <n v="452612.58"/>
    <m/>
    <n v="452612.58"/>
    <s v="Reporting"/>
    <x v="0"/>
    <n v="452612.58"/>
    <s v="2022 Finance Vanilla lease"/>
    <s v="Schedule 2022 Finance Vanilla lease"/>
    <x v="4"/>
    <x v="0"/>
    <s v="Monthly Activity"/>
    <m/>
    <x v="0"/>
    <n v="11"/>
    <s v="Capital Long Term to Short Term Reclass"/>
    <s v="11.4.152003467.152003467"/>
    <m/>
    <s v="New"/>
    <m/>
    <x v="0"/>
    <x v="0"/>
  </r>
  <r>
    <s v="06/30/2022"/>
    <d v="2022-06-30T00:00:00"/>
    <s v="Spot Rate"/>
    <s v="13001"/>
    <m/>
    <m/>
    <m/>
    <s v="TBD"/>
    <s v="0000"/>
    <s v="123456"/>
    <s v="Office"/>
    <m/>
    <m/>
    <m/>
    <x v="7"/>
    <s v="USD"/>
    <m/>
    <n v="452612.58"/>
    <n v="-452612.58"/>
    <s v="USD"/>
    <m/>
    <n v="452612.58"/>
    <n v="-452612.58"/>
    <s v="USD"/>
    <m/>
    <n v="452612.58"/>
    <n v="-452612.58"/>
    <s v="Reporting"/>
    <x v="0"/>
    <n v="-452612.58"/>
    <s v="2022 Finance Vanilla lease"/>
    <s v="Schedule 2022 Finance Vanilla lease"/>
    <x v="4"/>
    <x v="0"/>
    <s v="Monthly Activity"/>
    <m/>
    <x v="0"/>
    <n v="11"/>
    <s v="Capital Long Term to Short Term Reclass"/>
    <s v="11.7.152003467.152003467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7"/>
    <s v="USD"/>
    <n v="452612.58"/>
    <m/>
    <n v="452612.58"/>
    <s v="USD"/>
    <n v="452612.58"/>
    <m/>
    <n v="452612.58"/>
    <s v="USD"/>
    <n v="452612.58"/>
    <m/>
    <n v="452612.58"/>
    <s v="Reporting"/>
    <x v="0"/>
    <n v="452612.58"/>
    <s v="2022 Finance Vanilla lease"/>
    <s v="Schedule 2022 Finance Vanilla lease"/>
    <x v="4"/>
    <x v="0"/>
    <s v="Monthly Activity"/>
    <m/>
    <x v="0"/>
    <n v="11"/>
    <s v="Capital Long Term from Short Term Reversal"/>
    <s v="11.10.152003468.152003468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1"/>
    <s v="USD"/>
    <m/>
    <n v="452612.58"/>
    <n v="-452612.58"/>
    <s v="USD"/>
    <m/>
    <n v="452612.58"/>
    <n v="-452612.58"/>
    <s v="USD"/>
    <m/>
    <n v="452612.58"/>
    <n v="-452612.58"/>
    <s v="Reporting"/>
    <x v="0"/>
    <n v="-452612.58"/>
    <s v="2022 Finance Vanilla lease"/>
    <s v="Schedule 2022 Finance Vanilla lease"/>
    <x v="4"/>
    <x v="0"/>
    <s v="Monthly Activity"/>
    <m/>
    <x v="0"/>
    <n v="11"/>
    <s v="Capital Long Term from Short Term Reversal"/>
    <s v="11.13.152003468.152003468"/>
    <m/>
    <s v="New"/>
    <m/>
    <x v="0"/>
    <x v="0"/>
  </r>
  <r>
    <s v="07/01/2022"/>
    <d v="2022-07-31T00:00:00"/>
    <s v="Weighted Avg Rate"/>
    <s v="13001"/>
    <m/>
    <m/>
    <m/>
    <s v="TBD"/>
    <s v="0000"/>
    <s v="TBD"/>
    <s v="Office"/>
    <m/>
    <m/>
    <m/>
    <x v="4"/>
    <s v="USD"/>
    <n v="13477.146129999999"/>
    <m/>
    <n v="13477.146129999999"/>
    <s v="USD"/>
    <n v="13477.146129999999"/>
    <m/>
    <n v="13477.146129999999"/>
    <s v="USD"/>
    <n v="13477.146129999999"/>
    <m/>
    <n v="13477.146129999999"/>
    <s v="Reporting"/>
    <x v="0"/>
    <n v="13477.146129999999"/>
    <s v="2022 Finance Vanilla lease"/>
    <s v="Schedule 2022 Finance Vanilla lease"/>
    <x v="1"/>
    <x v="0"/>
    <s v="Monthly Activity"/>
    <m/>
    <x v="0"/>
    <n v="12"/>
    <s v="Payment"/>
    <s v="12.4.152003125.152003125"/>
    <m/>
    <s v="New"/>
    <m/>
    <x v="0"/>
    <x v="0"/>
  </r>
  <r>
    <s v="07/01/2022"/>
    <d v="2022-07-31T00:00:00"/>
    <s v="Weighted Avg Rate"/>
    <s v="13001"/>
    <m/>
    <m/>
    <m/>
    <s v="TBD"/>
    <s v="0000"/>
    <s v="123456"/>
    <s v="Office"/>
    <m/>
    <m/>
    <m/>
    <x v="1"/>
    <s v="USD"/>
    <n v="36522.853869999999"/>
    <m/>
    <n v="36522.853869999999"/>
    <s v="USD"/>
    <n v="36522.853869999999"/>
    <m/>
    <n v="36522.853869999999"/>
    <s v="USD"/>
    <n v="36522.853869999999"/>
    <m/>
    <n v="36522.853869999999"/>
    <s v="Reporting"/>
    <x v="0"/>
    <n v="36522.853869999999"/>
    <s v="2022 Finance Vanilla lease"/>
    <s v="Schedule 2022 Finance Vanilla lease"/>
    <x v="1"/>
    <x v="0"/>
    <s v="Monthly Activity"/>
    <m/>
    <x v="0"/>
    <n v="12"/>
    <s v="Payment"/>
    <s v="12.5.152003126.152003126"/>
    <m/>
    <s v="New"/>
    <m/>
    <x v="0"/>
    <x v="0"/>
  </r>
  <r>
    <s v="07/01/2022"/>
    <d v="2022-07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2.152001512"/>
    <m/>
    <s v="New"/>
    <m/>
    <x v="0"/>
    <x v="0"/>
  </r>
  <r>
    <s v="07/31/2022"/>
    <d v="2022-07-31T00:00:00"/>
    <s v="Weighted Avg Rate"/>
    <s v="13001"/>
    <m/>
    <m/>
    <m/>
    <s v="TBD"/>
    <s v="0000"/>
    <s v="123456"/>
    <s v="Office"/>
    <m/>
    <m/>
    <m/>
    <x v="3"/>
    <s v="USD"/>
    <n v="13264.096149000001"/>
    <m/>
    <n v="13264.096149000001"/>
    <s v="USD"/>
    <n v="13264.096149000001"/>
    <m/>
    <n v="13264.096149000001"/>
    <s v="USD"/>
    <n v="13264.096149000001"/>
    <m/>
    <n v="13264.096149000001"/>
    <s v="Reporting"/>
    <x v="0"/>
    <n v="13264.096149000001"/>
    <s v="2022 Finance Vanilla lease"/>
    <s v="Schedule 2022 Finance Vanilla lease"/>
    <x v="2"/>
    <x v="0"/>
    <s v="Monthly Activity"/>
    <m/>
    <x v="0"/>
    <n v="8"/>
    <s v="Interest Accrual"/>
    <s v="8.1.152003129.152003129"/>
    <m/>
    <s v="New"/>
    <m/>
    <x v="0"/>
    <x v="0"/>
  </r>
  <r>
    <s v="07/31/2022"/>
    <d v="2022-07-31T00:00:00"/>
    <s v="Weighted Avg Rate"/>
    <s v="13001"/>
    <m/>
    <m/>
    <m/>
    <s v="TBD"/>
    <s v="0000"/>
    <s v="TBD"/>
    <s v="Office"/>
    <m/>
    <m/>
    <m/>
    <x v="4"/>
    <s v="USD"/>
    <m/>
    <n v="13264.096149000001"/>
    <n v="-13264.096149000001"/>
    <s v="USD"/>
    <m/>
    <n v="13264.096149000001"/>
    <n v="-13264.096149000001"/>
    <s v="USD"/>
    <m/>
    <n v="13264.096149000001"/>
    <n v="-13264.096149000001"/>
    <s v="Reporting"/>
    <x v="0"/>
    <n v="-13264.096149000001"/>
    <s v="2022 Finance Vanilla lease"/>
    <s v="Schedule 2022 Finance Vanilla lease"/>
    <x v="2"/>
    <x v="0"/>
    <s v="Monthly Activity"/>
    <m/>
    <x v="0"/>
    <n v="8"/>
    <s v="Interest Accrual"/>
    <s v="8.4.152003129.152003129"/>
    <m/>
    <s v="New"/>
    <m/>
    <x v="0"/>
    <x v="0"/>
  </r>
  <r>
    <s v="07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69.152002969"/>
    <m/>
    <s v="New"/>
    <m/>
    <x v="0"/>
    <x v="0"/>
  </r>
  <r>
    <s v="07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69.152002969"/>
    <m/>
    <s v="New"/>
    <m/>
    <x v="0"/>
    <x v="0"/>
  </r>
  <r>
    <s v="07/31/2022"/>
    <d v="2022-07-31T00:00:00"/>
    <s v="Spot Rate"/>
    <s v="13001"/>
    <m/>
    <m/>
    <m/>
    <s v="TBD"/>
    <s v="0000"/>
    <s v="123456"/>
    <s v="Office"/>
    <m/>
    <m/>
    <m/>
    <x v="1"/>
    <s v="USD"/>
    <n v="455252.83"/>
    <m/>
    <n v="455252.83"/>
    <s v="USD"/>
    <n v="455252.83"/>
    <m/>
    <n v="455252.83"/>
    <s v="USD"/>
    <n v="455252.83"/>
    <m/>
    <n v="455252.83"/>
    <s v="Reporting"/>
    <x v="0"/>
    <n v="455252.83"/>
    <s v="2022 Finance Vanilla lease"/>
    <s v="Schedule 2022 Finance Vanilla lease"/>
    <x v="4"/>
    <x v="0"/>
    <s v="Monthly Activity"/>
    <m/>
    <x v="0"/>
    <n v="11"/>
    <s v="Capital Long Term to Short Term Reclass"/>
    <s v="11.4.152003471.152003471"/>
    <m/>
    <s v="New"/>
    <m/>
    <x v="0"/>
    <x v="0"/>
  </r>
  <r>
    <s v="07/31/2022"/>
    <d v="2022-07-31T00:00:00"/>
    <s v="Spot Rate"/>
    <s v="13001"/>
    <m/>
    <m/>
    <m/>
    <s v="TBD"/>
    <s v="0000"/>
    <s v="123456"/>
    <s v="Office"/>
    <m/>
    <m/>
    <m/>
    <x v="7"/>
    <s v="USD"/>
    <m/>
    <n v="455252.83"/>
    <n v="-455252.83"/>
    <s v="USD"/>
    <m/>
    <n v="455252.83"/>
    <n v="-455252.83"/>
    <s v="USD"/>
    <m/>
    <n v="455252.83"/>
    <n v="-455252.83"/>
    <s v="Reporting"/>
    <x v="0"/>
    <n v="-455252.83"/>
    <s v="2022 Finance Vanilla lease"/>
    <s v="Schedule 2022 Finance Vanilla lease"/>
    <x v="4"/>
    <x v="0"/>
    <s v="Monthly Activity"/>
    <m/>
    <x v="0"/>
    <n v="11"/>
    <s v="Capital Long Term to Short Term Reclass"/>
    <s v="11.7.152003471.152003471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7"/>
    <s v="USD"/>
    <n v="455252.83"/>
    <m/>
    <n v="455252.83"/>
    <s v="USD"/>
    <n v="455252.83"/>
    <m/>
    <n v="455252.83"/>
    <s v="USD"/>
    <n v="455252.83"/>
    <m/>
    <n v="455252.83"/>
    <s v="Reporting"/>
    <x v="0"/>
    <n v="455252.83"/>
    <s v="2022 Finance Vanilla lease"/>
    <s v="Schedule 2022 Finance Vanilla lease"/>
    <x v="4"/>
    <x v="0"/>
    <s v="Monthly Activity"/>
    <m/>
    <x v="0"/>
    <n v="11"/>
    <s v="Capital Long Term from Short Term Reversal"/>
    <s v="11.10.152003472.152003472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1"/>
    <s v="USD"/>
    <m/>
    <n v="455252.83"/>
    <n v="-455252.83"/>
    <s v="USD"/>
    <m/>
    <n v="455252.83"/>
    <n v="-455252.83"/>
    <s v="USD"/>
    <m/>
    <n v="455252.83"/>
    <n v="-455252.83"/>
    <s v="Reporting"/>
    <x v="0"/>
    <n v="-455252.83"/>
    <s v="2022 Finance Vanilla lease"/>
    <s v="Schedule 2022 Finance Vanilla lease"/>
    <x v="4"/>
    <x v="0"/>
    <s v="Monthly Activity"/>
    <m/>
    <x v="0"/>
    <n v="11"/>
    <s v="Capital Long Term from Short Term Reversal"/>
    <s v="11.13.152003472.152003472"/>
    <m/>
    <s v="New"/>
    <m/>
    <x v="0"/>
    <x v="0"/>
  </r>
  <r>
    <s v="08/01/2022"/>
    <d v="2022-08-31T00:00:00"/>
    <s v="Weighted Avg Rate"/>
    <s v="13001"/>
    <m/>
    <m/>
    <m/>
    <s v="TBD"/>
    <s v="0000"/>
    <s v="TBD"/>
    <s v="Office"/>
    <m/>
    <m/>
    <m/>
    <x v="4"/>
    <s v="USD"/>
    <n v="13264.096149000001"/>
    <m/>
    <n v="13264.096149000001"/>
    <s v="USD"/>
    <n v="13264.096149000001"/>
    <m/>
    <n v="13264.096149000001"/>
    <s v="USD"/>
    <n v="13264.096149000001"/>
    <m/>
    <n v="13264.096149000001"/>
    <s v="Reporting"/>
    <x v="0"/>
    <n v="13264.096149000001"/>
    <s v="2022 Finance Vanilla lease"/>
    <s v="Schedule 2022 Finance Vanilla lease"/>
    <x v="1"/>
    <x v="0"/>
    <s v="Monthly Activity"/>
    <m/>
    <x v="0"/>
    <n v="12"/>
    <s v="Payment"/>
    <s v="12.4.152003131.152003131"/>
    <m/>
    <s v="New"/>
    <m/>
    <x v="0"/>
    <x v="0"/>
  </r>
  <r>
    <s v="08/01/2022"/>
    <d v="2022-08-31T00:00:00"/>
    <s v="Weighted Avg Rate"/>
    <s v="13001"/>
    <m/>
    <m/>
    <m/>
    <s v="TBD"/>
    <s v="0000"/>
    <s v="123456"/>
    <s v="Office"/>
    <m/>
    <m/>
    <m/>
    <x v="1"/>
    <s v="USD"/>
    <n v="36735.903851000003"/>
    <m/>
    <n v="36735.903851000003"/>
    <s v="USD"/>
    <n v="36735.903851000003"/>
    <m/>
    <n v="36735.903851000003"/>
    <s v="USD"/>
    <n v="36735.903851000003"/>
    <m/>
    <n v="36735.903851000003"/>
    <s v="Reporting"/>
    <x v="0"/>
    <n v="36735.903851000003"/>
    <s v="2022 Finance Vanilla lease"/>
    <s v="Schedule 2022 Finance Vanilla lease"/>
    <x v="1"/>
    <x v="0"/>
    <s v="Monthly Activity"/>
    <m/>
    <x v="0"/>
    <n v="12"/>
    <s v="Payment"/>
    <s v="12.5.152003132.152003132"/>
    <m/>
    <s v="New"/>
    <m/>
    <x v="0"/>
    <x v="0"/>
  </r>
  <r>
    <s v="08/01/2022"/>
    <d v="2022-08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3.152001513"/>
    <m/>
    <s v="New"/>
    <m/>
    <x v="0"/>
    <x v="0"/>
  </r>
  <r>
    <s v="08/31/2022"/>
    <d v="2022-08-31T00:00:00"/>
    <s v="Weighted Avg Rate"/>
    <s v="13001"/>
    <m/>
    <m/>
    <m/>
    <s v="TBD"/>
    <s v="0000"/>
    <s v="123456"/>
    <s v="Office"/>
    <m/>
    <m/>
    <m/>
    <x v="3"/>
    <s v="USD"/>
    <n v="13049.803377"/>
    <m/>
    <n v="13049.803377"/>
    <s v="USD"/>
    <n v="13049.803377"/>
    <m/>
    <n v="13049.803377"/>
    <s v="USD"/>
    <n v="13049.803377"/>
    <m/>
    <n v="13049.803377"/>
    <s v="Reporting"/>
    <x v="0"/>
    <n v="13049.803377"/>
    <s v="2022 Finance Vanilla lease"/>
    <s v="Schedule 2022 Finance Vanilla lease"/>
    <x v="2"/>
    <x v="0"/>
    <s v="Monthly Activity"/>
    <m/>
    <x v="0"/>
    <n v="8"/>
    <s v="Interest Accrual"/>
    <s v="8.1.152003135.152003135"/>
    <m/>
    <s v="New"/>
    <m/>
    <x v="0"/>
    <x v="0"/>
  </r>
  <r>
    <s v="08/31/2022"/>
    <d v="2022-08-31T00:00:00"/>
    <s v="Weighted Avg Rate"/>
    <s v="13001"/>
    <m/>
    <m/>
    <m/>
    <s v="TBD"/>
    <s v="0000"/>
    <s v="TBD"/>
    <s v="Office"/>
    <m/>
    <m/>
    <m/>
    <x v="4"/>
    <s v="USD"/>
    <m/>
    <n v="13049.803377"/>
    <n v="-13049.803377"/>
    <s v="USD"/>
    <m/>
    <n v="13049.803377"/>
    <n v="-13049.803377"/>
    <s v="USD"/>
    <m/>
    <n v="13049.803377"/>
    <n v="-13049.803377"/>
    <s v="Reporting"/>
    <x v="0"/>
    <n v="-13049.803377"/>
    <s v="2022 Finance Vanilla lease"/>
    <s v="Schedule 2022 Finance Vanilla lease"/>
    <x v="2"/>
    <x v="0"/>
    <s v="Monthly Activity"/>
    <m/>
    <x v="0"/>
    <n v="8"/>
    <s v="Interest Accrual"/>
    <s v="8.4.152003135.152003135"/>
    <m/>
    <s v="New"/>
    <m/>
    <x v="0"/>
    <x v="0"/>
  </r>
  <r>
    <s v="08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70.152002970"/>
    <m/>
    <s v="New"/>
    <m/>
    <x v="0"/>
    <x v="0"/>
  </r>
  <r>
    <s v="08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70.152002970"/>
    <m/>
    <s v="New"/>
    <m/>
    <x v="0"/>
    <x v="0"/>
  </r>
  <r>
    <s v="08/31/2022"/>
    <d v="2022-08-31T00:00:00"/>
    <s v="Spot Rate"/>
    <s v="13001"/>
    <m/>
    <m/>
    <m/>
    <s v="TBD"/>
    <s v="0000"/>
    <s v="123456"/>
    <s v="Office"/>
    <m/>
    <m/>
    <m/>
    <x v="1"/>
    <s v="USD"/>
    <n v="457908.46"/>
    <m/>
    <n v="457908.46"/>
    <s v="USD"/>
    <n v="457908.46"/>
    <m/>
    <n v="457908.46"/>
    <s v="USD"/>
    <n v="457908.46"/>
    <m/>
    <n v="457908.46"/>
    <s v="Reporting"/>
    <x v="0"/>
    <n v="457908.46"/>
    <s v="2022 Finance Vanilla lease"/>
    <s v="Schedule 2022 Finance Vanilla lease"/>
    <x v="4"/>
    <x v="0"/>
    <s v="Monthly Activity"/>
    <m/>
    <x v="0"/>
    <n v="11"/>
    <s v="Capital Long Term to Short Term Reclass"/>
    <s v="11.4.152003475.152003475"/>
    <m/>
    <s v="New"/>
    <m/>
    <x v="0"/>
    <x v="0"/>
  </r>
  <r>
    <s v="08/31/2022"/>
    <d v="2022-08-31T00:00:00"/>
    <s v="Spot Rate"/>
    <s v="13001"/>
    <m/>
    <m/>
    <m/>
    <s v="TBD"/>
    <s v="0000"/>
    <s v="123456"/>
    <s v="Office"/>
    <m/>
    <m/>
    <m/>
    <x v="7"/>
    <s v="USD"/>
    <m/>
    <n v="457908.46"/>
    <n v="-457908.46"/>
    <s v="USD"/>
    <m/>
    <n v="457908.46"/>
    <n v="-457908.46"/>
    <s v="USD"/>
    <m/>
    <n v="457908.46"/>
    <n v="-457908.46"/>
    <s v="Reporting"/>
    <x v="0"/>
    <n v="-457908.46"/>
    <s v="2022 Finance Vanilla lease"/>
    <s v="Schedule 2022 Finance Vanilla lease"/>
    <x v="4"/>
    <x v="0"/>
    <s v="Monthly Activity"/>
    <m/>
    <x v="0"/>
    <n v="11"/>
    <s v="Capital Long Term to Short Term Reclass"/>
    <s v="11.7.152003475.152003475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7"/>
    <s v="USD"/>
    <n v="457908.46"/>
    <m/>
    <n v="457908.46"/>
    <s v="USD"/>
    <n v="457908.46"/>
    <m/>
    <n v="457908.46"/>
    <s v="USD"/>
    <n v="457908.46"/>
    <m/>
    <n v="457908.46"/>
    <s v="Reporting"/>
    <x v="0"/>
    <n v="457908.46"/>
    <s v="2022 Finance Vanilla lease"/>
    <s v="Schedule 2022 Finance Vanilla lease"/>
    <x v="4"/>
    <x v="0"/>
    <s v="Monthly Activity"/>
    <m/>
    <x v="0"/>
    <n v="11"/>
    <s v="Capital Long Term from Short Term Reversal"/>
    <s v="11.10.152003476.152003476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1"/>
    <s v="USD"/>
    <m/>
    <n v="457908.46"/>
    <n v="-457908.46"/>
    <s v="USD"/>
    <m/>
    <n v="457908.46"/>
    <n v="-457908.46"/>
    <s v="USD"/>
    <m/>
    <n v="457908.46"/>
    <n v="-457908.46"/>
    <s v="Reporting"/>
    <x v="0"/>
    <n v="-457908.46"/>
    <s v="2022 Finance Vanilla lease"/>
    <s v="Schedule 2022 Finance Vanilla lease"/>
    <x v="4"/>
    <x v="0"/>
    <s v="Monthly Activity"/>
    <m/>
    <x v="0"/>
    <n v="11"/>
    <s v="Capital Long Term from Short Term Reversal"/>
    <s v="11.13.152003476.152003476"/>
    <m/>
    <s v="New"/>
    <m/>
    <x v="0"/>
    <x v="0"/>
  </r>
  <r>
    <s v="09/01/2022"/>
    <d v="2022-09-30T00:00:00"/>
    <s v="Weighted Avg Rate"/>
    <s v="13001"/>
    <m/>
    <m/>
    <m/>
    <s v="TBD"/>
    <s v="0000"/>
    <s v="TBD"/>
    <s v="Office"/>
    <m/>
    <m/>
    <m/>
    <x v="4"/>
    <s v="USD"/>
    <n v="13049.803377"/>
    <m/>
    <n v="13049.803377"/>
    <s v="USD"/>
    <n v="13049.803377"/>
    <m/>
    <n v="13049.803377"/>
    <s v="USD"/>
    <n v="13049.803377"/>
    <m/>
    <n v="13049.803377"/>
    <s v="Reporting"/>
    <x v="0"/>
    <n v="13049.803377"/>
    <s v="2022 Finance Vanilla lease"/>
    <s v="Schedule 2022 Finance Vanilla lease"/>
    <x v="1"/>
    <x v="0"/>
    <s v="Monthly Activity"/>
    <m/>
    <x v="0"/>
    <n v="12"/>
    <s v="Payment"/>
    <s v="12.4.152003137.152003137"/>
    <m/>
    <s v="New"/>
    <m/>
    <x v="0"/>
    <x v="0"/>
  </r>
  <r>
    <s v="09/01/2022"/>
    <d v="2022-09-30T00:00:00"/>
    <s v="Weighted Avg Rate"/>
    <s v="13001"/>
    <m/>
    <m/>
    <m/>
    <s v="TBD"/>
    <s v="0000"/>
    <s v="123456"/>
    <s v="Office"/>
    <m/>
    <m/>
    <m/>
    <x v="1"/>
    <s v="USD"/>
    <n v="36950.196623000003"/>
    <m/>
    <n v="36950.196623000003"/>
    <s v="USD"/>
    <n v="36950.196623000003"/>
    <m/>
    <n v="36950.196623000003"/>
    <s v="USD"/>
    <n v="36950.196623000003"/>
    <m/>
    <n v="36950.196623000003"/>
    <s v="Reporting"/>
    <x v="0"/>
    <n v="36950.196623000003"/>
    <s v="2022 Finance Vanilla lease"/>
    <s v="Schedule 2022 Finance Vanilla lease"/>
    <x v="1"/>
    <x v="0"/>
    <s v="Monthly Activity"/>
    <m/>
    <x v="0"/>
    <n v="12"/>
    <s v="Payment"/>
    <s v="12.5.152003138.152003138"/>
    <m/>
    <s v="New"/>
    <m/>
    <x v="0"/>
    <x v="0"/>
  </r>
  <r>
    <s v="09/01/2022"/>
    <d v="2022-09-30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4.152001514"/>
    <m/>
    <s v="New"/>
    <m/>
    <x v="0"/>
    <x v="0"/>
  </r>
  <r>
    <s v="09/30/2022"/>
    <d v="2022-09-30T00:00:00"/>
    <s v="Weighted Avg Rate"/>
    <s v="13001"/>
    <m/>
    <m/>
    <m/>
    <s v="TBD"/>
    <s v="0000"/>
    <s v="123456"/>
    <s v="Office"/>
    <m/>
    <m/>
    <m/>
    <x v="3"/>
    <s v="USD"/>
    <n v="12834.260563"/>
    <m/>
    <n v="12834.260563"/>
    <s v="USD"/>
    <n v="12834.260563"/>
    <m/>
    <n v="12834.260563"/>
    <s v="USD"/>
    <n v="12834.260563"/>
    <m/>
    <n v="12834.260563"/>
    <s v="Reporting"/>
    <x v="0"/>
    <n v="12834.260563"/>
    <s v="2022 Finance Vanilla lease"/>
    <s v="Schedule 2022 Finance Vanilla lease"/>
    <x v="2"/>
    <x v="0"/>
    <s v="Monthly Activity"/>
    <m/>
    <x v="0"/>
    <n v="8"/>
    <s v="Interest Accrual"/>
    <s v="8.1.152003141.152003141"/>
    <m/>
    <s v="New"/>
    <m/>
    <x v="0"/>
    <x v="0"/>
  </r>
  <r>
    <s v="09/30/2022"/>
    <d v="2022-09-30T00:00:00"/>
    <s v="Weighted Avg Rate"/>
    <s v="13001"/>
    <m/>
    <m/>
    <m/>
    <s v="TBD"/>
    <s v="0000"/>
    <s v="TBD"/>
    <s v="Office"/>
    <m/>
    <m/>
    <m/>
    <x v="4"/>
    <s v="USD"/>
    <m/>
    <n v="12834.260563"/>
    <n v="-12834.260563"/>
    <s v="USD"/>
    <m/>
    <n v="12834.260563"/>
    <n v="-12834.260563"/>
    <s v="USD"/>
    <m/>
    <n v="12834.260563"/>
    <n v="-12834.260563"/>
    <s v="Reporting"/>
    <x v="0"/>
    <n v="-12834.260563"/>
    <s v="2022 Finance Vanilla lease"/>
    <s v="Schedule 2022 Finance Vanilla lease"/>
    <x v="2"/>
    <x v="0"/>
    <s v="Monthly Activity"/>
    <m/>
    <x v="0"/>
    <n v="8"/>
    <s v="Interest Accrual"/>
    <s v="8.4.152003141.152003141"/>
    <m/>
    <s v="New"/>
    <m/>
    <x v="0"/>
    <x v="0"/>
  </r>
  <r>
    <s v="09/30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71.152002971"/>
    <m/>
    <s v="New"/>
    <m/>
    <x v="0"/>
    <x v="0"/>
  </r>
  <r>
    <s v="09/30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71.152002971"/>
    <m/>
    <s v="New"/>
    <m/>
    <x v="0"/>
    <x v="0"/>
  </r>
  <r>
    <s v="09/30/2022"/>
    <d v="2022-09-30T00:00:00"/>
    <s v="Spot Rate"/>
    <s v="13001"/>
    <m/>
    <m/>
    <m/>
    <s v="TBD"/>
    <s v="0000"/>
    <s v="123456"/>
    <s v="Office"/>
    <m/>
    <m/>
    <m/>
    <x v="1"/>
    <s v="USD"/>
    <n v="460579.59"/>
    <m/>
    <n v="460579.59"/>
    <s v="USD"/>
    <n v="460579.59"/>
    <m/>
    <n v="460579.59"/>
    <s v="USD"/>
    <n v="460579.59"/>
    <m/>
    <n v="460579.59"/>
    <s v="Reporting"/>
    <x v="0"/>
    <n v="460579.59"/>
    <s v="2022 Finance Vanilla lease"/>
    <s v="Schedule 2022 Finance Vanilla lease"/>
    <x v="4"/>
    <x v="0"/>
    <s v="Monthly Activity"/>
    <m/>
    <x v="0"/>
    <n v="11"/>
    <s v="Capital Long Term to Short Term Reclass"/>
    <s v="11.4.152003479.152003479"/>
    <m/>
    <s v="New"/>
    <m/>
    <x v="0"/>
    <x v="0"/>
  </r>
  <r>
    <s v="09/30/2022"/>
    <d v="2022-09-30T00:00:00"/>
    <s v="Spot Rate"/>
    <s v="13001"/>
    <m/>
    <m/>
    <m/>
    <s v="TBD"/>
    <s v="0000"/>
    <s v="123456"/>
    <s v="Office"/>
    <m/>
    <m/>
    <m/>
    <x v="7"/>
    <s v="USD"/>
    <m/>
    <n v="460579.59"/>
    <n v="-460579.59"/>
    <s v="USD"/>
    <m/>
    <n v="460579.59"/>
    <n v="-460579.59"/>
    <s v="USD"/>
    <m/>
    <n v="460579.59"/>
    <n v="-460579.59"/>
    <s v="Reporting"/>
    <x v="0"/>
    <n v="-460579.59"/>
    <s v="2022 Finance Vanilla lease"/>
    <s v="Schedule 2022 Finance Vanilla lease"/>
    <x v="4"/>
    <x v="0"/>
    <s v="Monthly Activity"/>
    <m/>
    <x v="0"/>
    <n v="11"/>
    <s v="Capital Long Term to Short Term Reclass"/>
    <s v="11.7.152003479.152003479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7"/>
    <s v="USD"/>
    <n v="460579.59"/>
    <m/>
    <n v="460579.59"/>
    <s v="USD"/>
    <n v="460579.59"/>
    <m/>
    <n v="460579.59"/>
    <s v="USD"/>
    <n v="460579.59"/>
    <m/>
    <n v="460579.59"/>
    <s v="Reporting"/>
    <x v="0"/>
    <n v="460579.59"/>
    <s v="2022 Finance Vanilla lease"/>
    <s v="Schedule 2022 Finance Vanilla lease"/>
    <x v="4"/>
    <x v="0"/>
    <s v="Monthly Activity"/>
    <m/>
    <x v="0"/>
    <n v="11"/>
    <s v="Capital Long Term from Short Term Reversal"/>
    <s v="11.10.152003480.152003480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1"/>
    <s v="USD"/>
    <m/>
    <n v="460579.59"/>
    <n v="-460579.59"/>
    <s v="USD"/>
    <m/>
    <n v="460579.59"/>
    <n v="-460579.59"/>
    <s v="USD"/>
    <m/>
    <n v="460579.59"/>
    <n v="-460579.59"/>
    <s v="Reporting"/>
    <x v="0"/>
    <n v="-460579.59"/>
    <s v="2022 Finance Vanilla lease"/>
    <s v="Schedule 2022 Finance Vanilla lease"/>
    <x v="4"/>
    <x v="0"/>
    <s v="Monthly Activity"/>
    <m/>
    <x v="0"/>
    <n v="11"/>
    <s v="Capital Long Term from Short Term Reversal"/>
    <s v="11.13.152003480.152003480"/>
    <m/>
    <s v="New"/>
    <m/>
    <x v="0"/>
    <x v="0"/>
  </r>
  <r>
    <s v="10/01/2022"/>
    <d v="2022-10-31T00:00:00"/>
    <s v="Weighted Avg Rate"/>
    <s v="13001"/>
    <m/>
    <m/>
    <m/>
    <s v="TBD"/>
    <s v="0000"/>
    <s v="TBD"/>
    <s v="Office"/>
    <m/>
    <m/>
    <m/>
    <x v="4"/>
    <s v="USD"/>
    <n v="12834.260563"/>
    <m/>
    <n v="12834.260563"/>
    <s v="USD"/>
    <n v="12834.260563"/>
    <m/>
    <n v="12834.260563"/>
    <s v="USD"/>
    <n v="12834.260563"/>
    <m/>
    <n v="12834.260563"/>
    <s v="Reporting"/>
    <x v="0"/>
    <n v="12834.260563"/>
    <s v="2022 Finance Vanilla lease"/>
    <s v="Schedule 2022 Finance Vanilla lease"/>
    <x v="1"/>
    <x v="0"/>
    <s v="Monthly Activity"/>
    <m/>
    <x v="0"/>
    <n v="12"/>
    <s v="Payment"/>
    <s v="12.4.152003143.152003143"/>
    <m/>
    <s v="New"/>
    <m/>
    <x v="0"/>
    <x v="0"/>
  </r>
  <r>
    <s v="10/01/2022"/>
    <d v="2022-10-31T00:00:00"/>
    <s v="Weighted Avg Rate"/>
    <s v="13001"/>
    <m/>
    <m/>
    <m/>
    <s v="TBD"/>
    <s v="0000"/>
    <s v="123456"/>
    <s v="Office"/>
    <m/>
    <m/>
    <m/>
    <x v="1"/>
    <s v="USD"/>
    <n v="37165.739436999997"/>
    <m/>
    <n v="37165.739436999997"/>
    <s v="USD"/>
    <n v="37165.739436999997"/>
    <m/>
    <n v="37165.739436999997"/>
    <s v="USD"/>
    <n v="37165.739436999997"/>
    <m/>
    <n v="37165.739436999997"/>
    <s v="Reporting"/>
    <x v="0"/>
    <n v="37165.739436999997"/>
    <s v="2022 Finance Vanilla lease"/>
    <s v="Schedule 2022 Finance Vanilla lease"/>
    <x v="1"/>
    <x v="0"/>
    <s v="Monthly Activity"/>
    <m/>
    <x v="0"/>
    <n v="12"/>
    <s v="Payment"/>
    <s v="12.5.152003144.152003144"/>
    <m/>
    <s v="New"/>
    <m/>
    <x v="0"/>
    <x v="0"/>
  </r>
  <r>
    <s v="10/01/2022"/>
    <d v="2022-10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5.152001515"/>
    <m/>
    <s v="New"/>
    <m/>
    <x v="0"/>
    <x v="0"/>
  </r>
  <r>
    <s v="10/31/2022"/>
    <d v="2022-10-31T00:00:00"/>
    <s v="Weighted Avg Rate"/>
    <s v="13001"/>
    <m/>
    <m/>
    <m/>
    <s v="TBD"/>
    <s v="0000"/>
    <s v="123456"/>
    <s v="Office"/>
    <m/>
    <m/>
    <m/>
    <x v="3"/>
    <s v="USD"/>
    <n v="12617.460416"/>
    <m/>
    <n v="12617.460416"/>
    <s v="USD"/>
    <n v="12617.460416"/>
    <m/>
    <n v="12617.460416"/>
    <s v="USD"/>
    <n v="12617.460416"/>
    <m/>
    <n v="12617.460416"/>
    <s v="Reporting"/>
    <x v="0"/>
    <n v="12617.460416"/>
    <s v="2022 Finance Vanilla lease"/>
    <s v="Schedule 2022 Finance Vanilla lease"/>
    <x v="2"/>
    <x v="0"/>
    <s v="Monthly Activity"/>
    <m/>
    <x v="0"/>
    <n v="8"/>
    <s v="Interest Accrual"/>
    <s v="8.1.152003147.152003147"/>
    <m/>
    <s v="New"/>
    <m/>
    <x v="0"/>
    <x v="0"/>
  </r>
  <r>
    <s v="10/31/2022"/>
    <d v="2022-10-31T00:00:00"/>
    <s v="Weighted Avg Rate"/>
    <s v="13001"/>
    <m/>
    <m/>
    <m/>
    <s v="TBD"/>
    <s v="0000"/>
    <s v="TBD"/>
    <s v="Office"/>
    <m/>
    <m/>
    <m/>
    <x v="4"/>
    <s v="USD"/>
    <m/>
    <n v="12617.460416"/>
    <n v="-12617.460416"/>
    <s v="USD"/>
    <m/>
    <n v="12617.460416"/>
    <n v="-12617.460416"/>
    <s v="USD"/>
    <m/>
    <n v="12617.460416"/>
    <n v="-12617.460416"/>
    <s v="Reporting"/>
    <x v="0"/>
    <n v="-12617.460416"/>
    <s v="2022 Finance Vanilla lease"/>
    <s v="Schedule 2022 Finance Vanilla lease"/>
    <x v="2"/>
    <x v="0"/>
    <s v="Monthly Activity"/>
    <m/>
    <x v="0"/>
    <n v="8"/>
    <s v="Interest Accrual"/>
    <s v="8.4.152003147.152003147"/>
    <m/>
    <s v="New"/>
    <m/>
    <x v="0"/>
    <x v="0"/>
  </r>
  <r>
    <s v="10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72.152002972"/>
    <m/>
    <s v="New"/>
    <m/>
    <x v="0"/>
    <x v="0"/>
  </r>
  <r>
    <s v="10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72.152002972"/>
    <m/>
    <s v="New"/>
    <m/>
    <x v="0"/>
    <x v="0"/>
  </r>
  <r>
    <s v="10/31/2022"/>
    <d v="2022-10-31T00:00:00"/>
    <s v="Spot Rate"/>
    <s v="13001"/>
    <m/>
    <m/>
    <m/>
    <s v="TBD"/>
    <s v="0000"/>
    <s v="123456"/>
    <s v="Office"/>
    <m/>
    <m/>
    <m/>
    <x v="1"/>
    <s v="USD"/>
    <n v="463266.31"/>
    <m/>
    <n v="463266.31"/>
    <s v="USD"/>
    <n v="463266.31"/>
    <m/>
    <n v="463266.31"/>
    <s v="USD"/>
    <n v="463266.31"/>
    <m/>
    <n v="463266.31"/>
    <s v="Reporting"/>
    <x v="0"/>
    <n v="463266.31"/>
    <s v="2022 Finance Vanilla lease"/>
    <s v="Schedule 2022 Finance Vanilla lease"/>
    <x v="4"/>
    <x v="0"/>
    <s v="Monthly Activity"/>
    <m/>
    <x v="0"/>
    <n v="11"/>
    <s v="Capital Long Term to Short Term Reclass"/>
    <s v="11.4.152003483.152003483"/>
    <m/>
    <s v="New"/>
    <m/>
    <x v="0"/>
    <x v="0"/>
  </r>
  <r>
    <s v="10/31/2022"/>
    <d v="2022-10-31T00:00:00"/>
    <s v="Spot Rate"/>
    <s v="13001"/>
    <m/>
    <m/>
    <m/>
    <s v="TBD"/>
    <s v="0000"/>
    <s v="123456"/>
    <s v="Office"/>
    <m/>
    <m/>
    <m/>
    <x v="7"/>
    <s v="USD"/>
    <m/>
    <n v="463266.31"/>
    <n v="-463266.31"/>
    <s v="USD"/>
    <m/>
    <n v="463266.31"/>
    <n v="-463266.31"/>
    <s v="USD"/>
    <m/>
    <n v="463266.31"/>
    <n v="-463266.31"/>
    <s v="Reporting"/>
    <x v="0"/>
    <n v="-463266.31"/>
    <s v="2022 Finance Vanilla lease"/>
    <s v="Schedule 2022 Finance Vanilla lease"/>
    <x v="4"/>
    <x v="0"/>
    <s v="Monthly Activity"/>
    <m/>
    <x v="0"/>
    <n v="11"/>
    <s v="Capital Long Term to Short Term Reclass"/>
    <s v="11.7.152003483.152003483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7"/>
    <s v="USD"/>
    <n v="463266.31"/>
    <m/>
    <n v="463266.31"/>
    <s v="USD"/>
    <n v="463266.31"/>
    <m/>
    <n v="463266.31"/>
    <s v="USD"/>
    <n v="463266.31"/>
    <m/>
    <n v="463266.31"/>
    <s v="Reporting"/>
    <x v="0"/>
    <n v="463266.31"/>
    <s v="2022 Finance Vanilla lease"/>
    <s v="Schedule 2022 Finance Vanilla lease"/>
    <x v="4"/>
    <x v="0"/>
    <s v="Monthly Activity"/>
    <m/>
    <x v="0"/>
    <n v="11"/>
    <s v="Capital Long Term from Short Term Reversal"/>
    <s v="11.10.152003484.152003484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1"/>
    <s v="USD"/>
    <m/>
    <n v="463266.31"/>
    <n v="-463266.31"/>
    <s v="USD"/>
    <m/>
    <n v="463266.31"/>
    <n v="-463266.31"/>
    <s v="USD"/>
    <m/>
    <n v="463266.31"/>
    <n v="-463266.31"/>
    <s v="Reporting"/>
    <x v="0"/>
    <n v="-463266.31"/>
    <s v="2022 Finance Vanilla lease"/>
    <s v="Schedule 2022 Finance Vanilla lease"/>
    <x v="4"/>
    <x v="0"/>
    <s v="Monthly Activity"/>
    <m/>
    <x v="0"/>
    <n v="11"/>
    <s v="Capital Long Term from Short Term Reversal"/>
    <s v="11.13.152003484.152003484"/>
    <m/>
    <s v="New"/>
    <m/>
    <x v="0"/>
    <x v="0"/>
  </r>
  <r>
    <s v="11/01/2022"/>
    <d v="2022-11-30T00:00:00"/>
    <s v="Weighted Avg Rate"/>
    <s v="13001"/>
    <m/>
    <m/>
    <m/>
    <s v="TBD"/>
    <s v="0000"/>
    <s v="TBD"/>
    <s v="Office"/>
    <m/>
    <m/>
    <m/>
    <x v="4"/>
    <s v="USD"/>
    <n v="12617.460416"/>
    <m/>
    <n v="12617.460416"/>
    <s v="USD"/>
    <n v="12617.460416"/>
    <m/>
    <n v="12617.460416"/>
    <s v="USD"/>
    <n v="12617.460416"/>
    <m/>
    <n v="12617.460416"/>
    <s v="Reporting"/>
    <x v="0"/>
    <n v="12617.460416"/>
    <s v="2022 Finance Vanilla lease"/>
    <s v="Schedule 2022 Finance Vanilla lease"/>
    <x v="1"/>
    <x v="0"/>
    <s v="Monthly Activity"/>
    <m/>
    <x v="0"/>
    <n v="12"/>
    <s v="Payment"/>
    <s v="12.4.152003149.152003149"/>
    <m/>
    <s v="New"/>
    <m/>
    <x v="0"/>
    <x v="0"/>
  </r>
  <r>
    <s v="11/01/2022"/>
    <d v="2022-11-30T00:00:00"/>
    <s v="Weighted Avg Rate"/>
    <s v="13001"/>
    <m/>
    <m/>
    <m/>
    <s v="TBD"/>
    <s v="0000"/>
    <s v="123456"/>
    <s v="Office"/>
    <m/>
    <m/>
    <m/>
    <x v="1"/>
    <s v="USD"/>
    <n v="37382.539583999998"/>
    <m/>
    <n v="37382.539583999998"/>
    <s v="USD"/>
    <n v="37382.539583999998"/>
    <m/>
    <n v="37382.539583999998"/>
    <s v="USD"/>
    <n v="37382.539583999998"/>
    <m/>
    <n v="37382.539583999998"/>
    <s v="Reporting"/>
    <x v="0"/>
    <n v="37382.539583999998"/>
    <s v="2022 Finance Vanilla lease"/>
    <s v="Schedule 2022 Finance Vanilla lease"/>
    <x v="1"/>
    <x v="0"/>
    <s v="Monthly Activity"/>
    <m/>
    <x v="0"/>
    <n v="12"/>
    <s v="Payment"/>
    <s v="12.5.152003150.152003150"/>
    <m/>
    <s v="New"/>
    <m/>
    <x v="0"/>
    <x v="0"/>
  </r>
  <r>
    <s v="11/01/2022"/>
    <d v="2022-11-30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6.152001516"/>
    <m/>
    <s v="New"/>
    <m/>
    <x v="0"/>
    <x v="0"/>
  </r>
  <r>
    <s v="11/30/2022"/>
    <d v="2022-11-30T00:00:00"/>
    <s v="Weighted Avg Rate"/>
    <s v="13001"/>
    <m/>
    <m/>
    <m/>
    <s v="TBD"/>
    <s v="0000"/>
    <s v="123456"/>
    <s v="Office"/>
    <m/>
    <m/>
    <m/>
    <x v="3"/>
    <s v="USD"/>
    <n v="12399.395602000001"/>
    <m/>
    <n v="12399.395602000001"/>
    <s v="USD"/>
    <n v="12399.395602000001"/>
    <m/>
    <n v="12399.395602000001"/>
    <s v="USD"/>
    <n v="12399.395602000001"/>
    <m/>
    <n v="12399.395602000001"/>
    <s v="Reporting"/>
    <x v="0"/>
    <n v="12399.395602000001"/>
    <s v="2022 Finance Vanilla lease"/>
    <s v="Schedule 2022 Finance Vanilla lease"/>
    <x v="2"/>
    <x v="0"/>
    <s v="Monthly Activity"/>
    <m/>
    <x v="0"/>
    <n v="8"/>
    <s v="Interest Accrual"/>
    <s v="8.1.152003153.152003153"/>
    <m/>
    <s v="New"/>
    <m/>
    <x v="0"/>
    <x v="0"/>
  </r>
  <r>
    <s v="11/30/2022"/>
    <d v="2022-11-30T00:00:00"/>
    <s v="Weighted Avg Rate"/>
    <s v="13001"/>
    <m/>
    <m/>
    <m/>
    <s v="TBD"/>
    <s v="0000"/>
    <s v="TBD"/>
    <s v="Office"/>
    <m/>
    <m/>
    <m/>
    <x v="4"/>
    <s v="USD"/>
    <m/>
    <n v="12399.395602000001"/>
    <n v="-12399.395602000001"/>
    <s v="USD"/>
    <m/>
    <n v="12399.395602000001"/>
    <n v="-12399.395602000001"/>
    <s v="USD"/>
    <m/>
    <n v="12399.395602000001"/>
    <n v="-12399.395602000001"/>
    <s v="Reporting"/>
    <x v="0"/>
    <n v="-12399.395602000001"/>
    <s v="2022 Finance Vanilla lease"/>
    <s v="Schedule 2022 Finance Vanilla lease"/>
    <x v="2"/>
    <x v="0"/>
    <s v="Monthly Activity"/>
    <m/>
    <x v="0"/>
    <n v="8"/>
    <s v="Interest Accrual"/>
    <s v="8.4.152003153.152003153"/>
    <m/>
    <s v="New"/>
    <m/>
    <x v="0"/>
    <x v="0"/>
  </r>
  <r>
    <s v="11/30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73.152002973"/>
    <m/>
    <s v="New"/>
    <m/>
    <x v="0"/>
    <x v="0"/>
  </r>
  <r>
    <s v="11/30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73.152002973"/>
    <m/>
    <s v="New"/>
    <m/>
    <x v="0"/>
    <x v="0"/>
  </r>
  <r>
    <s v="11/30/2022"/>
    <d v="2022-11-30T00:00:00"/>
    <s v="Spot Rate"/>
    <s v="13001"/>
    <m/>
    <m/>
    <m/>
    <s v="TBD"/>
    <s v="0000"/>
    <s v="123456"/>
    <s v="Office"/>
    <m/>
    <m/>
    <m/>
    <x v="1"/>
    <s v="USD"/>
    <n v="465968.7"/>
    <m/>
    <n v="465968.7"/>
    <s v="USD"/>
    <n v="465968.7"/>
    <m/>
    <n v="465968.7"/>
    <s v="USD"/>
    <n v="465968.7"/>
    <m/>
    <n v="465968.7"/>
    <s v="Reporting"/>
    <x v="0"/>
    <n v="465968.7"/>
    <s v="2022 Finance Vanilla lease"/>
    <s v="Schedule 2022 Finance Vanilla lease"/>
    <x v="4"/>
    <x v="0"/>
    <s v="Monthly Activity"/>
    <m/>
    <x v="0"/>
    <n v="11"/>
    <s v="Capital Long Term to Short Term Reclass"/>
    <s v="11.4.152003487.152003487"/>
    <m/>
    <s v="New"/>
    <m/>
    <x v="0"/>
    <x v="0"/>
  </r>
  <r>
    <s v="11/30/2022"/>
    <d v="2022-11-30T00:00:00"/>
    <s v="Spot Rate"/>
    <s v="13001"/>
    <m/>
    <m/>
    <m/>
    <s v="TBD"/>
    <s v="0000"/>
    <s v="123456"/>
    <s v="Office"/>
    <m/>
    <m/>
    <m/>
    <x v="7"/>
    <s v="USD"/>
    <m/>
    <n v="465968.7"/>
    <n v="-465968.7"/>
    <s v="USD"/>
    <m/>
    <n v="465968.7"/>
    <n v="-465968.7"/>
    <s v="USD"/>
    <m/>
    <n v="465968.7"/>
    <n v="-465968.7"/>
    <s v="Reporting"/>
    <x v="0"/>
    <n v="-465968.7"/>
    <s v="2022 Finance Vanilla lease"/>
    <s v="Schedule 2022 Finance Vanilla lease"/>
    <x v="4"/>
    <x v="0"/>
    <s v="Monthly Activity"/>
    <m/>
    <x v="0"/>
    <n v="11"/>
    <s v="Capital Long Term to Short Term Reclass"/>
    <s v="11.7.152003487.152003487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7"/>
    <s v="USD"/>
    <n v="465968.7"/>
    <m/>
    <n v="465968.7"/>
    <s v="USD"/>
    <n v="465968.7"/>
    <m/>
    <n v="465968.7"/>
    <s v="USD"/>
    <n v="465968.7"/>
    <m/>
    <n v="465968.7"/>
    <s v="Reporting"/>
    <x v="0"/>
    <n v="465968.7"/>
    <s v="2022 Finance Vanilla lease"/>
    <s v="Schedule 2022 Finance Vanilla lease"/>
    <x v="4"/>
    <x v="0"/>
    <s v="Monthly Activity"/>
    <m/>
    <x v="0"/>
    <n v="11"/>
    <s v="Capital Long Term from Short Term Reversal"/>
    <s v="11.10.152003488.152003488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1"/>
    <s v="USD"/>
    <m/>
    <n v="465968.7"/>
    <n v="-465968.7"/>
    <s v="USD"/>
    <m/>
    <n v="465968.7"/>
    <n v="-465968.7"/>
    <s v="USD"/>
    <m/>
    <n v="465968.7"/>
    <n v="-465968.7"/>
    <s v="Reporting"/>
    <x v="0"/>
    <n v="-465968.7"/>
    <s v="2022 Finance Vanilla lease"/>
    <s v="Schedule 2022 Finance Vanilla lease"/>
    <x v="4"/>
    <x v="0"/>
    <s v="Monthly Activity"/>
    <m/>
    <x v="0"/>
    <n v="11"/>
    <s v="Capital Long Term from Short Term Reversal"/>
    <s v="11.13.152003488.152003488"/>
    <m/>
    <s v="New"/>
    <m/>
    <x v="0"/>
    <x v="0"/>
  </r>
  <r>
    <s v="12/01/2022"/>
    <d v="2022-12-31T00:00:00"/>
    <s v="Weighted Avg Rate"/>
    <s v="13001"/>
    <m/>
    <m/>
    <m/>
    <s v="TBD"/>
    <s v="0000"/>
    <s v="TBD"/>
    <s v="Office"/>
    <m/>
    <m/>
    <m/>
    <x v="4"/>
    <s v="USD"/>
    <n v="12399.395602000001"/>
    <m/>
    <n v="12399.395602000001"/>
    <s v="USD"/>
    <n v="12399.395602000001"/>
    <m/>
    <n v="12399.395602000001"/>
    <s v="USD"/>
    <n v="12399.395602000001"/>
    <m/>
    <n v="12399.395602000001"/>
    <s v="Reporting"/>
    <x v="0"/>
    <n v="12399.395602000001"/>
    <s v="2022 Finance Vanilla lease"/>
    <s v="Schedule 2022 Finance Vanilla lease"/>
    <x v="1"/>
    <x v="0"/>
    <s v="Monthly Activity"/>
    <m/>
    <x v="0"/>
    <n v="12"/>
    <s v="Payment"/>
    <s v="12.4.152003155.152003155"/>
    <m/>
    <s v="New"/>
    <m/>
    <x v="0"/>
    <x v="0"/>
  </r>
  <r>
    <s v="12/01/2022"/>
    <d v="2022-12-31T00:00:00"/>
    <s v="Weighted Avg Rate"/>
    <s v="13001"/>
    <m/>
    <m/>
    <m/>
    <s v="TBD"/>
    <s v="0000"/>
    <s v="123456"/>
    <s v="Office"/>
    <m/>
    <m/>
    <m/>
    <x v="1"/>
    <s v="USD"/>
    <n v="37600.604398000003"/>
    <m/>
    <n v="37600.604398000003"/>
    <s v="USD"/>
    <n v="37600.604398000003"/>
    <m/>
    <n v="37600.604398000003"/>
    <s v="USD"/>
    <n v="37600.604398000003"/>
    <m/>
    <n v="37600.604398000003"/>
    <s v="Reporting"/>
    <x v="0"/>
    <n v="37600.604398000003"/>
    <s v="2022 Finance Vanilla lease"/>
    <s v="Schedule 2022 Finance Vanilla lease"/>
    <x v="1"/>
    <x v="0"/>
    <s v="Monthly Activity"/>
    <m/>
    <x v="0"/>
    <n v="12"/>
    <s v="Payment"/>
    <s v="12.5.152003156.152003156"/>
    <m/>
    <s v="New"/>
    <m/>
    <x v="0"/>
    <x v="0"/>
  </r>
  <r>
    <s v="12/01/2022"/>
    <d v="2022-12-31T00:00:00"/>
    <s v="Weighted Avg Rate"/>
    <s v="13001"/>
    <m/>
    <m/>
    <m/>
    <s v="TBD"/>
    <s v="0000"/>
    <s v="123456"/>
    <s v="Office"/>
    <m/>
    <m/>
    <m/>
    <x v="2"/>
    <s v="USD"/>
    <m/>
    <n v="50000"/>
    <n v="-50000"/>
    <s v="USD"/>
    <m/>
    <n v="50000"/>
    <n v="-50000"/>
    <s v="USD"/>
    <m/>
    <n v="50000"/>
    <n v="-50000"/>
    <s v="Reporting"/>
    <x v="0"/>
    <n v="-50000"/>
    <s v="2022 Finance Vanilla lease"/>
    <s v="Schedule 2022 Finance Vanilla lease"/>
    <x v="1"/>
    <x v="0"/>
    <s v="Monthly Activity"/>
    <m/>
    <x v="0"/>
    <n v="12"/>
    <s v="Payment"/>
    <s v="12.6.152001517.152001517"/>
    <m/>
    <s v="New"/>
    <m/>
    <x v="0"/>
    <x v="0"/>
  </r>
  <r>
    <s v="12/31/2022"/>
    <d v="2022-12-31T00:00:00"/>
    <s v="Weighted Avg Rate"/>
    <s v="13001"/>
    <m/>
    <m/>
    <m/>
    <s v="TBD"/>
    <s v="0000"/>
    <s v="123456"/>
    <s v="Office"/>
    <m/>
    <m/>
    <m/>
    <x v="3"/>
    <s v="USD"/>
    <n v="12180.058743"/>
    <m/>
    <n v="12180.058743"/>
    <s v="USD"/>
    <n v="12180.058743"/>
    <m/>
    <n v="12180.058743"/>
    <s v="USD"/>
    <n v="12180.058743"/>
    <m/>
    <n v="12180.058743"/>
    <s v="Reporting"/>
    <x v="0"/>
    <n v="12180.058743"/>
    <s v="2022 Finance Vanilla lease"/>
    <s v="Schedule 2022 Finance Vanilla lease"/>
    <x v="2"/>
    <x v="0"/>
    <s v="Monthly Activity"/>
    <m/>
    <x v="0"/>
    <n v="8"/>
    <s v="Interest Accrual"/>
    <s v="8.1.152003159.152003159"/>
    <m/>
    <s v="New"/>
    <m/>
    <x v="0"/>
    <x v="0"/>
  </r>
  <r>
    <s v="12/31/2022"/>
    <d v="2022-12-31T00:00:00"/>
    <s v="Weighted Avg Rate"/>
    <s v="13001"/>
    <m/>
    <m/>
    <m/>
    <s v="TBD"/>
    <s v="0000"/>
    <s v="TBD"/>
    <s v="Office"/>
    <m/>
    <m/>
    <m/>
    <x v="4"/>
    <s v="USD"/>
    <m/>
    <n v="12180.058743"/>
    <n v="-12180.058743"/>
    <s v="USD"/>
    <m/>
    <n v="12180.058743"/>
    <n v="-12180.058743"/>
    <s v="USD"/>
    <m/>
    <n v="12180.058743"/>
    <n v="-12180.058743"/>
    <s v="Reporting"/>
    <x v="0"/>
    <n v="-12180.058743"/>
    <s v="2022 Finance Vanilla lease"/>
    <s v="Schedule 2022 Finance Vanilla lease"/>
    <x v="2"/>
    <x v="0"/>
    <s v="Monthly Activity"/>
    <m/>
    <x v="0"/>
    <n v="8"/>
    <s v="Interest Accrual"/>
    <s v="8.4.152003159.152003159"/>
    <m/>
    <s v="New"/>
    <m/>
    <x v="0"/>
    <x v="0"/>
  </r>
  <r>
    <s v="12/31/2022"/>
    <d v="2022-01-01T00:00:00"/>
    <s v="Spot Rate"/>
    <s v="13001"/>
    <m/>
    <m/>
    <m/>
    <s v="TBD"/>
    <s v="0000"/>
    <s v="123456"/>
    <s v="Office"/>
    <m/>
    <m/>
    <m/>
    <x v="5"/>
    <s v="USD"/>
    <n v="42330.49"/>
    <m/>
    <n v="42330.49"/>
    <s v="USD"/>
    <n v="42330.49"/>
    <m/>
    <n v="42330.49"/>
    <s v="USD"/>
    <n v="42330.49"/>
    <m/>
    <n v="42330.49"/>
    <s v="Reporting"/>
    <x v="0"/>
    <n v="42330.49"/>
    <s v="2022 Finance Vanilla lease"/>
    <s v="Schedule 2022 Finance Vanilla lease"/>
    <x v="3"/>
    <x v="0"/>
    <s v="Monthly Activity"/>
    <m/>
    <x v="0"/>
    <n v="10"/>
    <s v="Capital Lease Depreciation Expense Recognition"/>
    <s v="10.1.152002974.152002974"/>
    <m/>
    <s v="New"/>
    <m/>
    <x v="0"/>
    <x v="0"/>
  </r>
  <r>
    <s v="12/31/2022"/>
    <d v="2022-01-01T00:00:00"/>
    <s v="Spot Rate"/>
    <s v="13001"/>
    <m/>
    <m/>
    <m/>
    <s v="TBD"/>
    <s v="0000"/>
    <s v="123456"/>
    <s v="Office"/>
    <m/>
    <m/>
    <m/>
    <x v="6"/>
    <s v="USD"/>
    <m/>
    <n v="42330.49"/>
    <n v="-42330.49"/>
    <s v="USD"/>
    <m/>
    <n v="42330.49"/>
    <n v="-42330.49"/>
    <s v="USD"/>
    <m/>
    <n v="42330.49"/>
    <n v="-42330.49"/>
    <s v="Reporting"/>
    <x v="0"/>
    <n v="-42330.49"/>
    <s v="2022 Finance Vanilla lease"/>
    <s v="Schedule 2022 Finance Vanilla lease"/>
    <x v="3"/>
    <x v="0"/>
    <s v="Monthly Activity"/>
    <m/>
    <x v="0"/>
    <n v="10"/>
    <s v="Capital Lease Depreciation Expense Recognition"/>
    <s v="10.4.152002974.152002974"/>
    <m/>
    <s v="New"/>
    <m/>
    <x v="0"/>
    <x v="0"/>
  </r>
  <r>
    <s v="12/31/2022"/>
    <d v="2022-12-31T00:00:00"/>
    <s v="Spot Rate"/>
    <s v="13001"/>
    <m/>
    <m/>
    <m/>
    <s v="TBD"/>
    <s v="0000"/>
    <s v="123456"/>
    <s v="Office"/>
    <m/>
    <m/>
    <m/>
    <x v="1"/>
    <s v="USD"/>
    <n v="468686.85"/>
    <m/>
    <n v="468686.85"/>
    <s v="USD"/>
    <n v="468686.85"/>
    <m/>
    <n v="468686.85"/>
    <s v="USD"/>
    <n v="468686.85"/>
    <m/>
    <n v="468686.85"/>
    <s v="Reporting"/>
    <x v="0"/>
    <n v="468686.85"/>
    <s v="2022 Finance Vanilla lease"/>
    <s v="Schedule 2022 Finance Vanilla lease"/>
    <x v="4"/>
    <x v="0"/>
    <s v="Monthly Activity"/>
    <m/>
    <x v="0"/>
    <n v="11"/>
    <s v="Capital Long Term to Short Term Reclass"/>
    <s v="11.4.152003491.152003491"/>
    <m/>
    <s v="New"/>
    <m/>
    <x v="0"/>
    <x v="0"/>
  </r>
  <r>
    <s v="12/31/2022"/>
    <d v="2022-12-31T00:00:00"/>
    <s v="Spot Rate"/>
    <s v="13001"/>
    <m/>
    <m/>
    <m/>
    <s v="TBD"/>
    <s v="0000"/>
    <s v="123456"/>
    <s v="Office"/>
    <m/>
    <m/>
    <m/>
    <x v="7"/>
    <s v="USD"/>
    <m/>
    <n v="468686.85"/>
    <n v="-468686.85"/>
    <s v="USD"/>
    <m/>
    <n v="468686.85"/>
    <n v="-468686.85"/>
    <s v="USD"/>
    <m/>
    <n v="468686.85"/>
    <n v="-468686.85"/>
    <s v="Reporting"/>
    <x v="0"/>
    <n v="-468686.85"/>
    <s v="2022 Finance Vanilla lease"/>
    <s v="Schedule 2022 Finance Vanilla lease"/>
    <x v="4"/>
    <x v="0"/>
    <s v="Monthly Activity"/>
    <m/>
    <x v="0"/>
    <n v="11"/>
    <s v="Capital Long Term to Short Term Reclass"/>
    <s v="11.7.152003491.152003491"/>
    <m/>
    <s v="New"/>
    <m/>
    <x v="0"/>
    <x v="0"/>
  </r>
  <r>
    <s v="12/31/2022"/>
    <m/>
    <m/>
    <s v="13001"/>
    <m/>
    <m/>
    <m/>
    <s v="TBD"/>
    <s v="0000"/>
    <s v="123456"/>
    <s v="Office"/>
    <m/>
    <m/>
    <m/>
    <x v="2"/>
    <s v="USD"/>
    <n v="600000"/>
    <m/>
    <n v="600000"/>
    <s v="USD"/>
    <n v="600000"/>
    <m/>
    <n v="600000"/>
    <s v="USD"/>
    <n v="600000"/>
    <m/>
    <n v="600000"/>
    <s v="Reporting"/>
    <x v="0"/>
    <n v="600000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6"/>
    <s v="USD"/>
    <n v="507965.88"/>
    <m/>
    <n v="507965.88"/>
    <s v="USD"/>
    <n v="507965.88"/>
    <m/>
    <n v="507965.88"/>
    <s v="USD"/>
    <n v="507965.88"/>
    <m/>
    <n v="507965.88"/>
    <s v="Reporting"/>
    <x v="0"/>
    <n v="507965.88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5"/>
    <s v="USD"/>
    <m/>
    <n v="507965.88"/>
    <n v="-507965.88"/>
    <s v="USD"/>
    <m/>
    <n v="507965.88"/>
    <n v="-507965.88"/>
    <s v="USD"/>
    <m/>
    <n v="507965.88"/>
    <n v="-507965.88"/>
    <s v="Reporting"/>
    <x v="0"/>
    <n v="-507965.88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0"/>
    <s v="USD"/>
    <m/>
    <n v="2539829.423163"/>
    <n v="-2539829.423163"/>
    <s v="USD"/>
    <m/>
    <n v="2539829.423163"/>
    <n v="-2539829.423163"/>
    <s v="USD"/>
    <m/>
    <n v="2539829.423163"/>
    <n v="-2539829.423163"/>
    <s v="Reporting"/>
    <x v="0"/>
    <n v="-2539829.423163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1"/>
    <s v="USD"/>
    <n v="1619323.2202550001"/>
    <m/>
    <n v="1619323.2202550001"/>
    <s v="USD"/>
    <n v="1619323.2202550001"/>
    <m/>
    <n v="1619323.2202550001"/>
    <s v="USD"/>
    <n v="1619323.2202550001"/>
    <m/>
    <n v="1619323.2202550001"/>
    <s v="Reporting"/>
    <x v="0"/>
    <n v="1619323.2202550001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7"/>
    <s v="USD"/>
    <n v="468686.85"/>
    <m/>
    <n v="468686.85"/>
    <s v="USD"/>
    <n v="468686.85"/>
    <m/>
    <n v="468686.85"/>
    <s v="USD"/>
    <n v="468686.85"/>
    <m/>
    <n v="468686.85"/>
    <s v="Reporting"/>
    <x v="0"/>
    <n v="468686.85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3"/>
    <s v="USD"/>
    <m/>
    <n v="160360.705835"/>
    <n v="-160360.705835"/>
    <s v="USD"/>
    <m/>
    <n v="160360.705835"/>
    <n v="-160360.705835"/>
    <s v="USD"/>
    <m/>
    <n v="160360.705835"/>
    <n v="-160360.705835"/>
    <s v="Reporting"/>
    <x v="0"/>
    <n v="-160360.705835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2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6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5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0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1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7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3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TBD"/>
    <s v="Office"/>
    <m/>
    <m/>
    <m/>
    <x v="4"/>
    <s v="USD"/>
    <n v="12180.058743"/>
    <m/>
    <n v="12180.058743"/>
    <s v="USD"/>
    <n v="12180.058743"/>
    <m/>
    <n v="12180.058743"/>
    <s v="USD"/>
    <n v="12180.058743"/>
    <m/>
    <n v="12180.058743"/>
    <s v="Reporting"/>
    <x v="0"/>
    <n v="12180.058743"/>
    <s v="2022 Finance Vanilla lease"/>
    <s v="Schedule 2022 Finance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TBD"/>
    <s v="Office"/>
    <m/>
    <m/>
    <m/>
    <x v="4"/>
    <s v="USD"/>
    <m/>
    <m/>
    <n v="0"/>
    <s v="USD"/>
    <m/>
    <m/>
    <n v="0"/>
    <s v="USD"/>
    <m/>
    <m/>
    <n v="0"/>
    <s v="Reporting"/>
    <x v="0"/>
    <n v="0"/>
    <s v="2022 Finance Vanilla lease"/>
    <s v="Schedule 2022 Finance Vanilla lease"/>
    <x v="6"/>
    <x v="1"/>
    <s v="Opening Balance"/>
    <s v="As at 31-Dec-2022"/>
    <x v="1"/>
    <m/>
    <s v="Opening Balance"/>
    <s v="..0.0"/>
    <m/>
    <m/>
    <m/>
    <x v="0"/>
    <x v="0"/>
  </r>
  <r>
    <m/>
    <m/>
    <m/>
    <m/>
    <m/>
    <m/>
    <m/>
    <m/>
    <m/>
    <m/>
    <m/>
    <m/>
    <m/>
    <m/>
    <x v="8"/>
    <m/>
    <m/>
    <m/>
    <m/>
    <m/>
    <m/>
    <m/>
    <m/>
    <m/>
    <m/>
    <m/>
    <m/>
    <m/>
    <x v="1"/>
    <m/>
    <m/>
    <m/>
    <x v="7"/>
    <x v="2"/>
    <m/>
    <m/>
    <x v="2"/>
    <m/>
    <m/>
    <m/>
    <m/>
    <m/>
    <m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C88D70-1BD2-4D02-A38D-30EC85872794}" name="pivot_summary" cacheId="67" applyNumberFormats="0" applyBorderFormats="0" applyFontFormats="0" applyPatternFormats="0" applyAlignmentFormats="0" applyWidthHeightFormats="1" dataCaption="Values" updatedVersion="8" minRefreshableVersion="3" asteriskTotals="1" showMemberPropertyTips="0" useAutoFormatting="1" pageOverThenDown="1" itemPrintTitles="1" createdVersion="6" indent="0" outline="1" outlineData="1" multipleFieldFilters="0">
  <location ref="A3:C13" firstHeaderRow="0" firstDataRow="1" firstDataCol="1" rowPageCount="1" colPageCount="1"/>
  <pivotFields count="9">
    <pivotField axis="axisRow" showAll="0">
      <items count="10">
        <item x="2"/>
        <item x="6"/>
        <item x="5"/>
        <item x="0"/>
        <item x="1"/>
        <item x="7"/>
        <item x="4"/>
        <item x="3"/>
        <item x="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showAll="0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Sum of DR" fld="1" baseField="0" baseItem="0"/>
    <dataField name="Sum of CR" fld="2" baseField="0" baseItem="0"/>
  </dataFields>
  <formats count="34"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0" type="button" dataOnly="0" labelOnly="1" outline="0" axis="axisRow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grandRow="1" outline="0" fieldPosition="0"/>
    </format>
    <format dxfId="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0" type="button" dataOnly="0" labelOnly="1" outline="0" axis="axisRow" fieldPosition="0"/>
    </format>
    <format dxfId="26">
      <pivotArea dataOnly="0" labelOnly="1" fieldPosition="0">
        <references count="1">
          <reference field="0" count="0"/>
        </references>
      </pivotArea>
    </format>
    <format dxfId="25">
      <pivotArea dataOnly="0" labelOnly="1" grandRow="1" outline="0" fieldPosition="0"/>
    </format>
    <format dxfId="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0" type="button" dataOnly="0" labelOnly="1" outline="0" axis="axisRow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0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Row="1" outline="0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collapsedLevelsAreSubtotals="1" fieldPosition="0">
        <references count="1">
          <reference field="0" count="1">
            <x v="0"/>
          </reference>
        </references>
      </pivotArea>
    </format>
    <format dxfId="10">
      <pivotArea dataOnly="0" labelOnly="1" fieldPosition="0">
        <references count="1">
          <reference field="0" count="1">
            <x v="0"/>
          </reference>
        </references>
      </pivotArea>
    </format>
    <format dxfId="9">
      <pivotArea collapsedLevelsAreSubtotals="1" fieldPosition="0">
        <references count="1">
          <reference field="0" count="1">
            <x v="1"/>
          </reference>
        </references>
      </pivotArea>
    </format>
    <format dxfId="8">
      <pivotArea dataOnly="0" labelOnly="1" fieldPosition="0">
        <references count="1">
          <reference field="0" count="1">
            <x v="1"/>
          </reference>
        </references>
      </pivotArea>
    </format>
    <format dxfId="7">
      <pivotArea collapsedLevelsAreSubtotals="1" fieldPosition="0">
        <references count="1">
          <reference field="0" count="1">
            <x v="2"/>
          </reference>
        </references>
      </pivotArea>
    </format>
    <format dxfId="6">
      <pivotArea dataOnly="0" labelOnly="1" fieldPosition="0">
        <references count="1">
          <reference field="0" count="1">
            <x v="2"/>
          </reference>
        </references>
      </pivotArea>
    </format>
    <format dxfId="5">
      <pivotArea collapsedLevelsAreSubtotals="1" fieldPosition="0">
        <references count="1">
          <reference field="0" count="1">
            <x v="3"/>
          </reference>
        </references>
      </pivotArea>
    </format>
    <format dxfId="4">
      <pivotArea dataOnly="0" labelOnly="1" fieldPosition="0">
        <references count="1">
          <reference field="0" count="1">
            <x v="3"/>
          </reference>
        </references>
      </pivotArea>
    </format>
    <format dxfId="3">
      <pivotArea collapsedLevelsAreSubtotals="1" fieldPosition="0">
        <references count="1">
          <reference field="0" count="1">
            <x v="7"/>
          </reference>
        </references>
      </pivotArea>
    </format>
    <format dxfId="2">
      <pivotArea dataOnly="0" labelOnly="1" fieldPosition="0">
        <references count="1">
          <reference field="0" count="1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C8AB34-9B6E-478D-9C1F-0452892B0E9A}" name="PivotTable1" cacheId="68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multipleFieldFilters="0">
  <location ref="A5:L17" firstHeaderRow="1" firstDataRow="3" firstDataCol="3" rowPageCount="2" colPageCount="1"/>
  <pivotFields count="45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>
      <items count="10">
        <item sd="0" x="2"/>
        <item sd="0" x="6"/>
        <item sd="0" x="5"/>
        <item sd="0" x="0"/>
        <item sd="0" x="1"/>
        <item sd="0" x="7"/>
        <item sd="0" x="4"/>
        <item sd="0" x="3"/>
        <item sd="0" x="8"/>
        <item t="default" sd="0"/>
      </items>
    </pivotField>
    <pivotField compact="0" outline="0" showAll="0" sortType="ascending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">
        <item x="1"/>
        <item x="0"/>
      </items>
    </pivotField>
    <pivotField dataField="1" compact="0" outline="0" subtotalTop="0" showAll="0" defaultSubtotal="0"/>
    <pivotField compact="0" outline="0" subtotalTop="0" showAll="0" defaultSubtotal="0"/>
    <pivotField compact="0" outline="0" showAll="0" sortType="ascending"/>
    <pivotField axis="axisCol" compact="0" outline="0" showAll="0" sortType="ascending" defaultSubtotal="0">
      <items count="8">
        <item x="6"/>
        <item x="0"/>
        <item x="3"/>
        <item x="2"/>
        <item x="1"/>
        <item x="4"/>
        <item x="5"/>
        <item sd="0" x="7"/>
      </items>
    </pivotField>
    <pivotField axis="axisCol" compact="0" outline="0" showAll="0" sortType="ascending">
      <items count="4">
        <item x="1"/>
        <item x="0"/>
        <item x="2"/>
        <item t="default"/>
      </items>
    </pivotField>
    <pivotField compact="0" outline="0" showAll="0"/>
    <pivotField compact="0" outline="0" showAll="0"/>
    <pivotField axis="axisPage" compact="0" outline="0" showAll="0">
      <items count="4">
        <item x="2"/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x="1"/>
        <item x="0"/>
        <item t="default"/>
      </items>
    </pivotField>
    <pivotField axis="axisRow" compact="0" outline="0" showAll="0" sortType="ascending">
      <items count="3">
        <item x="0"/>
        <item sd="0" x="1"/>
        <item t="default" sd="0"/>
      </items>
    </pivotField>
  </pivotFields>
  <rowFields count="3">
    <field x="14"/>
    <field x="44"/>
    <field x="28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2">
    <field x="32"/>
    <field x="33"/>
  </colFields>
  <colItems count="9">
    <i>
      <x/>
      <x/>
    </i>
    <i>
      <x v="1"/>
      <x v="1"/>
    </i>
    <i>
      <x v="2"/>
      <x v="1"/>
    </i>
    <i>
      <x v="3"/>
      <x v="1"/>
    </i>
    <i>
      <x v="4"/>
      <x v="1"/>
    </i>
    <i>
      <x v="5"/>
      <x v="1"/>
    </i>
    <i>
      <x v="6"/>
      <x/>
    </i>
    <i>
      <x v="7"/>
    </i>
    <i t="grand">
      <x/>
    </i>
  </colItems>
  <pageFields count="2">
    <pageField fld="43" hier="0"/>
    <pageField fld="36" hier="0"/>
  </pageFields>
  <dataFields count="1">
    <dataField name="Sum of Pivot Net" fld="29" baseField="14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8D90-4925-4102-BFE6-5AA71DD0E676}">
  <sheetPr>
    <tabColor rgb="FF00B0F0"/>
  </sheetPr>
  <dimension ref="A2:B6"/>
  <sheetViews>
    <sheetView showGridLines="0" workbookViewId="0">
      <selection activeCell="A2" sqref="A2:B6"/>
    </sheetView>
  </sheetViews>
  <sheetFormatPr defaultRowHeight="14.4" x14ac:dyDescent="0.3"/>
  <cols>
    <col min="1" max="1" width="28.33203125" bestFit="1" customWidth="1"/>
    <col min="2" max="2" width="22.5546875" bestFit="1" customWidth="1"/>
  </cols>
  <sheetData>
    <row r="2" spans="1:2" x14ac:dyDescent="0.3">
      <c r="A2" s="182" t="s">
        <v>0</v>
      </c>
      <c r="B2" s="182" t="s">
        <v>6</v>
      </c>
    </row>
    <row r="3" spans="1:2" x14ac:dyDescent="0.3">
      <c r="A3" s="183" t="s">
        <v>1</v>
      </c>
      <c r="B3" s="184" t="s">
        <v>2</v>
      </c>
    </row>
    <row r="4" spans="1:2" x14ac:dyDescent="0.3">
      <c r="A4" s="183" t="s">
        <v>3</v>
      </c>
      <c r="B4" s="185">
        <v>7.0000000000000007E-2</v>
      </c>
    </row>
    <row r="5" spans="1:2" x14ac:dyDescent="0.3">
      <c r="A5" s="183" t="s">
        <v>4</v>
      </c>
      <c r="B5" s="186">
        <v>44562</v>
      </c>
    </row>
    <row r="6" spans="1:2" x14ac:dyDescent="0.3">
      <c r="A6" s="183" t="s">
        <v>5</v>
      </c>
      <c r="B6" s="184">
        <v>60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2AC7-3D9E-45F4-9284-64FCC064F943}">
  <sheetPr>
    <tabColor rgb="FF00B0F0"/>
  </sheetPr>
  <dimension ref="A1:G61"/>
  <sheetViews>
    <sheetView workbookViewId="0"/>
  </sheetViews>
  <sheetFormatPr defaultRowHeight="14.4" x14ac:dyDescent="0.3"/>
  <cols>
    <col min="1" max="1" width="8.88671875" style="7"/>
    <col min="2" max="2" width="11.33203125" style="7" customWidth="1"/>
    <col min="3" max="3" width="16.88671875" style="7" bestFit="1" customWidth="1"/>
    <col min="4" max="4" width="10.109375" style="7" bestFit="1" customWidth="1"/>
    <col min="5" max="5" width="11.77734375" style="7" customWidth="1"/>
    <col min="6" max="6" width="10.109375" style="7" bestFit="1" customWidth="1"/>
    <col min="7" max="7" width="14.44140625" style="7" bestFit="1" customWidth="1"/>
    <col min="8" max="16384" width="8.88671875" style="7"/>
  </cols>
  <sheetData>
    <row r="1" spans="1:7" x14ac:dyDescent="0.3">
      <c r="B1" s="7" t="s">
        <v>1294</v>
      </c>
      <c r="C1" s="35" t="s">
        <v>1290</v>
      </c>
      <c r="D1" s="35" t="s">
        <v>57</v>
      </c>
      <c r="E1" s="35" t="s">
        <v>1291</v>
      </c>
      <c r="F1" s="35" t="s">
        <v>1292</v>
      </c>
      <c r="G1" s="35" t="s">
        <v>1293</v>
      </c>
    </row>
    <row r="2" spans="1:7" x14ac:dyDescent="0.3">
      <c r="A2" s="7">
        <v>1</v>
      </c>
      <c r="B2" s="36">
        <v>44562</v>
      </c>
      <c r="C2" s="37">
        <f>'Ledger Entries-schedule'!AB2</f>
        <v>2539829.4231627379</v>
      </c>
      <c r="D2" s="38">
        <v>50000</v>
      </c>
      <c r="E2" s="35">
        <f>(C2-D2)*('Lease Overview'!$B$4/12)</f>
        <v>14524.004968449304</v>
      </c>
      <c r="F2" s="35">
        <f>D2-E2</f>
        <v>35475.995031550694</v>
      </c>
      <c r="G2" s="37">
        <f>C2+E2-D2</f>
        <v>2504353.4281311873</v>
      </c>
    </row>
    <row r="3" spans="1:7" x14ac:dyDescent="0.3">
      <c r="A3" s="7">
        <v>2</v>
      </c>
      <c r="B3" s="36">
        <v>44593</v>
      </c>
      <c r="C3" s="35">
        <f t="shared" ref="C3:C37" si="0">G2</f>
        <v>2504353.4281311873</v>
      </c>
      <c r="D3" s="38">
        <v>50000</v>
      </c>
      <c r="E3" s="35">
        <f>(C3-D3)*('Lease Overview'!$B$4/12)</f>
        <v>14317.061664098594</v>
      </c>
      <c r="F3" s="35">
        <f t="shared" ref="F3:F37" si="1">D3-E3</f>
        <v>35682.938335901403</v>
      </c>
      <c r="G3" s="35">
        <f t="shared" ref="G3:G37" si="2">C3+E3-D3</f>
        <v>2468670.4897952857</v>
      </c>
    </row>
    <row r="4" spans="1:7" x14ac:dyDescent="0.3">
      <c r="A4" s="7">
        <v>3</v>
      </c>
      <c r="B4" s="36">
        <v>44621</v>
      </c>
      <c r="C4" s="35">
        <f t="shared" si="0"/>
        <v>2468670.4897952857</v>
      </c>
      <c r="D4" s="35">
        <v>50000</v>
      </c>
      <c r="E4" s="35">
        <f>(C4-D4)*('Lease Overview'!$B$4/12)</f>
        <v>14108.911190472501</v>
      </c>
      <c r="F4" s="35">
        <f t="shared" si="1"/>
        <v>35891.0888095275</v>
      </c>
      <c r="G4" s="35">
        <f t="shared" si="2"/>
        <v>2432779.4009857583</v>
      </c>
    </row>
    <row r="5" spans="1:7" x14ac:dyDescent="0.3">
      <c r="A5" s="7">
        <v>4</v>
      </c>
      <c r="B5" s="36">
        <v>44652</v>
      </c>
      <c r="C5" s="35">
        <f t="shared" si="0"/>
        <v>2432779.4009857583</v>
      </c>
      <c r="D5" s="35">
        <v>50000</v>
      </c>
      <c r="E5" s="35">
        <f>(C5-D5)*('Lease Overview'!$B$4/12)</f>
        <v>13899.546505750257</v>
      </c>
      <c r="F5" s="35">
        <f t="shared" si="1"/>
        <v>36100.453494249741</v>
      </c>
      <c r="G5" s="35">
        <f t="shared" si="2"/>
        <v>2396678.9474915084</v>
      </c>
    </row>
    <row r="6" spans="1:7" x14ac:dyDescent="0.3">
      <c r="A6" s="7">
        <v>5</v>
      </c>
      <c r="B6" s="36">
        <v>44682</v>
      </c>
      <c r="C6" s="35">
        <f t="shared" si="0"/>
        <v>2396678.9474915084</v>
      </c>
      <c r="D6" s="35">
        <v>50000</v>
      </c>
      <c r="E6" s="35">
        <f>(C6-D6)*('Lease Overview'!$B$4/12)</f>
        <v>13688.9605270338</v>
      </c>
      <c r="F6" s="35">
        <f t="shared" si="1"/>
        <v>36311.0394729662</v>
      </c>
      <c r="G6" s="35">
        <f t="shared" si="2"/>
        <v>2360367.9080185425</v>
      </c>
    </row>
    <row r="7" spans="1:7" x14ac:dyDescent="0.3">
      <c r="A7" s="7">
        <v>6</v>
      </c>
      <c r="B7" s="36">
        <v>44713</v>
      </c>
      <c r="C7" s="35">
        <f t="shared" si="0"/>
        <v>2360367.9080185425</v>
      </c>
      <c r="D7" s="35">
        <v>50000</v>
      </c>
      <c r="E7" s="35">
        <f>(C7-D7)*('Lease Overview'!$B$4/12)</f>
        <v>13477.146130108165</v>
      </c>
      <c r="F7" s="35">
        <f t="shared" si="1"/>
        <v>36522.853869891835</v>
      </c>
      <c r="G7" s="35">
        <f t="shared" si="2"/>
        <v>2323845.0541486507</v>
      </c>
    </row>
    <row r="8" spans="1:7" x14ac:dyDescent="0.3">
      <c r="A8" s="7">
        <v>7</v>
      </c>
      <c r="B8" s="36">
        <v>44743</v>
      </c>
      <c r="C8" s="35">
        <f t="shared" si="0"/>
        <v>2323845.0541486507</v>
      </c>
      <c r="D8" s="35">
        <v>50000</v>
      </c>
      <c r="E8" s="35">
        <f>(C8-D8)*('Lease Overview'!$B$4/12)</f>
        <v>13264.096149200463</v>
      </c>
      <c r="F8" s="35">
        <f t="shared" si="1"/>
        <v>36735.903850799536</v>
      </c>
      <c r="G8" s="35">
        <f t="shared" si="2"/>
        <v>2287109.1502978513</v>
      </c>
    </row>
    <row r="9" spans="1:7" x14ac:dyDescent="0.3">
      <c r="A9" s="7">
        <v>8</v>
      </c>
      <c r="B9" s="36">
        <v>44774</v>
      </c>
      <c r="C9" s="35">
        <f t="shared" si="0"/>
        <v>2287109.1502978513</v>
      </c>
      <c r="D9" s="35">
        <v>50000</v>
      </c>
      <c r="E9" s="35">
        <f>(C9-D9)*('Lease Overview'!$B$4/12)</f>
        <v>13049.803376737467</v>
      </c>
      <c r="F9" s="35">
        <f t="shared" si="1"/>
        <v>36950.196623262535</v>
      </c>
      <c r="G9" s="35">
        <f t="shared" si="2"/>
        <v>2250158.9536745888</v>
      </c>
    </row>
    <row r="10" spans="1:7" x14ac:dyDescent="0.3">
      <c r="A10" s="7">
        <v>9</v>
      </c>
      <c r="B10" s="36">
        <v>44805</v>
      </c>
      <c r="C10" s="35">
        <f t="shared" si="0"/>
        <v>2250158.9536745888</v>
      </c>
      <c r="D10" s="35">
        <v>50000</v>
      </c>
      <c r="E10" s="35">
        <f>(C10-D10)*('Lease Overview'!$B$4/12)</f>
        <v>12834.260563101769</v>
      </c>
      <c r="F10" s="35">
        <f t="shared" si="1"/>
        <v>37165.739436898235</v>
      </c>
      <c r="G10" s="35">
        <f t="shared" si="2"/>
        <v>2212993.2142376904</v>
      </c>
    </row>
    <row r="11" spans="1:7" x14ac:dyDescent="0.3">
      <c r="A11" s="7">
        <v>10</v>
      </c>
      <c r="B11" s="36">
        <v>44835</v>
      </c>
      <c r="C11" s="35">
        <f t="shared" si="0"/>
        <v>2212993.2142376904</v>
      </c>
      <c r="D11" s="35">
        <v>50000</v>
      </c>
      <c r="E11" s="35">
        <f>(C11-D11)*('Lease Overview'!$B$4/12)</f>
        <v>12617.460416386528</v>
      </c>
      <c r="F11" s="35">
        <f t="shared" si="1"/>
        <v>37382.53958361347</v>
      </c>
      <c r="G11" s="35">
        <f t="shared" si="2"/>
        <v>2175610.6746540768</v>
      </c>
    </row>
    <row r="12" spans="1:7" x14ac:dyDescent="0.3">
      <c r="A12" s="7">
        <v>11</v>
      </c>
      <c r="B12" s="36">
        <v>44866</v>
      </c>
      <c r="C12" s="35">
        <f t="shared" si="0"/>
        <v>2175610.6746540768</v>
      </c>
      <c r="D12" s="35">
        <v>50000</v>
      </c>
      <c r="E12" s="35">
        <f>(C12-D12)*('Lease Overview'!$B$4/12)</f>
        <v>12399.395602148781</v>
      </c>
      <c r="F12" s="35">
        <f t="shared" si="1"/>
        <v>37600.604397851217</v>
      </c>
      <c r="G12" s="35">
        <f t="shared" si="2"/>
        <v>2138010.0702562258</v>
      </c>
    </row>
    <row r="13" spans="1:7" x14ac:dyDescent="0.3">
      <c r="A13" s="7">
        <v>12</v>
      </c>
      <c r="B13" s="36">
        <v>44896</v>
      </c>
      <c r="C13" s="35">
        <f t="shared" si="0"/>
        <v>2138010.0702562258</v>
      </c>
      <c r="D13" s="35">
        <v>50000</v>
      </c>
      <c r="E13" s="35">
        <f>(C13-D13)*('Lease Overview'!$B$4/12)</f>
        <v>12180.058743161317</v>
      </c>
      <c r="F13" s="35">
        <f t="shared" si="1"/>
        <v>37819.941256838683</v>
      </c>
      <c r="G13" s="35">
        <f t="shared" si="2"/>
        <v>2100190.1289993869</v>
      </c>
    </row>
    <row r="14" spans="1:7" x14ac:dyDescent="0.3">
      <c r="A14" s="7">
        <v>13</v>
      </c>
      <c r="B14" s="36">
        <v>44927</v>
      </c>
      <c r="C14" s="35">
        <f t="shared" si="0"/>
        <v>2100190.1289993869</v>
      </c>
      <c r="D14" s="35">
        <v>50000</v>
      </c>
      <c r="E14" s="35">
        <f>(C14-D14)*('Lease Overview'!$B$4/12)</f>
        <v>11959.442419163091</v>
      </c>
      <c r="F14" s="35">
        <f t="shared" si="1"/>
        <v>38040.55758083691</v>
      </c>
      <c r="G14" s="35">
        <f t="shared" si="2"/>
        <v>2062149.5714185499</v>
      </c>
    </row>
    <row r="15" spans="1:7" x14ac:dyDescent="0.3">
      <c r="A15" s="7">
        <v>14</v>
      </c>
      <c r="B15" s="36">
        <v>44958</v>
      </c>
      <c r="C15" s="35">
        <f t="shared" si="0"/>
        <v>2062149.5714185499</v>
      </c>
      <c r="D15" s="35">
        <v>50000</v>
      </c>
      <c r="E15" s="35">
        <f>(C15-D15)*('Lease Overview'!$B$4/12)</f>
        <v>11737.539166608209</v>
      </c>
      <c r="F15" s="35">
        <f t="shared" si="1"/>
        <v>38262.460833391793</v>
      </c>
      <c r="G15" s="35">
        <f t="shared" si="2"/>
        <v>2023887.110585158</v>
      </c>
    </row>
    <row r="16" spans="1:7" x14ac:dyDescent="0.3">
      <c r="A16" s="7">
        <v>15</v>
      </c>
      <c r="B16" s="36">
        <v>44986</v>
      </c>
      <c r="C16" s="35">
        <f t="shared" si="0"/>
        <v>2023887.110585158</v>
      </c>
      <c r="D16" s="35">
        <v>50000</v>
      </c>
      <c r="E16" s="35">
        <f>(C16-D16)*('Lease Overview'!$B$4/12)</f>
        <v>11514.341478413422</v>
      </c>
      <c r="F16" s="35">
        <f t="shared" si="1"/>
        <v>38485.658521586578</v>
      </c>
      <c r="G16" s="35">
        <f t="shared" si="2"/>
        <v>1985401.4520635714</v>
      </c>
    </row>
    <row r="17" spans="1:7" x14ac:dyDescent="0.3">
      <c r="A17" s="7">
        <v>16</v>
      </c>
      <c r="B17" s="36">
        <v>45017</v>
      </c>
      <c r="C17" s="35">
        <f t="shared" si="0"/>
        <v>1985401.4520635714</v>
      </c>
      <c r="D17" s="35">
        <v>50000</v>
      </c>
      <c r="E17" s="35">
        <f>(C17-D17)*('Lease Overview'!$B$4/12)</f>
        <v>11289.841803704167</v>
      </c>
      <c r="F17" s="35">
        <f t="shared" si="1"/>
        <v>38710.15819629583</v>
      </c>
      <c r="G17" s="35">
        <f t="shared" si="2"/>
        <v>1946691.2938672756</v>
      </c>
    </row>
    <row r="18" spans="1:7" x14ac:dyDescent="0.3">
      <c r="A18" s="7">
        <v>17</v>
      </c>
      <c r="B18" s="36">
        <v>45047</v>
      </c>
      <c r="C18" s="35">
        <f t="shared" si="0"/>
        <v>1946691.2938672756</v>
      </c>
      <c r="D18" s="35">
        <v>50000</v>
      </c>
      <c r="E18" s="35">
        <f>(C18-D18)*('Lease Overview'!$B$4/12)</f>
        <v>11064.032547559109</v>
      </c>
      <c r="F18" s="35">
        <f t="shared" si="1"/>
        <v>38935.967452440891</v>
      </c>
      <c r="G18" s="35">
        <f t="shared" si="2"/>
        <v>1907755.3264148347</v>
      </c>
    </row>
    <row r="19" spans="1:7" x14ac:dyDescent="0.3">
      <c r="A19" s="7">
        <v>18</v>
      </c>
      <c r="B19" s="36">
        <v>45078</v>
      </c>
      <c r="C19" s="35">
        <f t="shared" si="0"/>
        <v>1907755.3264148347</v>
      </c>
      <c r="D19" s="35">
        <v>50000</v>
      </c>
      <c r="E19" s="35">
        <f>(C19-D19)*('Lease Overview'!$B$4/12)</f>
        <v>10836.906070753203</v>
      </c>
      <c r="F19" s="35">
        <f t="shared" si="1"/>
        <v>39163.093929246796</v>
      </c>
      <c r="G19" s="35">
        <f t="shared" si="2"/>
        <v>1868592.2324855879</v>
      </c>
    </row>
    <row r="20" spans="1:7" x14ac:dyDescent="0.3">
      <c r="A20" s="7">
        <v>19</v>
      </c>
      <c r="B20" s="36">
        <v>45108</v>
      </c>
      <c r="C20" s="35">
        <f t="shared" si="0"/>
        <v>1868592.2324855879</v>
      </c>
      <c r="D20" s="35">
        <v>50000</v>
      </c>
      <c r="E20" s="35">
        <f>(C20-D20)*('Lease Overview'!$B$4/12)</f>
        <v>10608.454689499264</v>
      </c>
      <c r="F20" s="35">
        <f t="shared" si="1"/>
        <v>39391.545310500733</v>
      </c>
      <c r="G20" s="35">
        <f t="shared" si="2"/>
        <v>1829200.6871750872</v>
      </c>
    </row>
    <row r="21" spans="1:7" x14ac:dyDescent="0.3">
      <c r="A21" s="7">
        <v>20</v>
      </c>
      <c r="B21" s="36">
        <v>45139</v>
      </c>
      <c r="C21" s="35">
        <f t="shared" si="0"/>
        <v>1829200.6871750872</v>
      </c>
      <c r="D21" s="35">
        <v>50000</v>
      </c>
      <c r="E21" s="35">
        <f>(C21-D21)*('Lease Overview'!$B$4/12)</f>
        <v>10378.670675188008</v>
      </c>
      <c r="F21" s="35">
        <f t="shared" si="1"/>
        <v>39621.329324811988</v>
      </c>
      <c r="G21" s="35">
        <f t="shared" si="2"/>
        <v>1789579.3578502752</v>
      </c>
    </row>
    <row r="22" spans="1:7" x14ac:dyDescent="0.3">
      <c r="A22" s="7">
        <v>21</v>
      </c>
      <c r="B22" s="36">
        <v>45170</v>
      </c>
      <c r="C22" s="35">
        <f t="shared" si="0"/>
        <v>1789579.3578502752</v>
      </c>
      <c r="D22" s="35">
        <v>50000</v>
      </c>
      <c r="E22" s="35">
        <f>(C22-D22)*('Lease Overview'!$B$4/12)</f>
        <v>10147.546254126606</v>
      </c>
      <c r="F22" s="35">
        <f t="shared" si="1"/>
        <v>39852.453745873398</v>
      </c>
      <c r="G22" s="35">
        <f t="shared" si="2"/>
        <v>1749726.9041044018</v>
      </c>
    </row>
    <row r="23" spans="1:7" x14ac:dyDescent="0.3">
      <c r="A23" s="7">
        <v>22</v>
      </c>
      <c r="B23" s="36">
        <v>45200</v>
      </c>
      <c r="C23" s="35">
        <f t="shared" si="0"/>
        <v>1749726.9041044018</v>
      </c>
      <c r="D23" s="35">
        <v>50000</v>
      </c>
      <c r="E23" s="35">
        <f>(C23-D23)*('Lease Overview'!$B$4/12)</f>
        <v>9915.0736072756772</v>
      </c>
      <c r="F23" s="35">
        <f t="shared" si="1"/>
        <v>40084.926392724323</v>
      </c>
      <c r="G23" s="35">
        <f t="shared" si="2"/>
        <v>1709641.9777116776</v>
      </c>
    </row>
    <row r="24" spans="1:7" x14ac:dyDescent="0.3">
      <c r="A24" s="7">
        <v>23</v>
      </c>
      <c r="B24" s="36">
        <v>45231</v>
      </c>
      <c r="C24" s="35">
        <f t="shared" si="0"/>
        <v>1709641.9777116776</v>
      </c>
      <c r="D24" s="35">
        <v>50000</v>
      </c>
      <c r="E24" s="35">
        <f>(C24-D24)*('Lease Overview'!$B$4/12)</f>
        <v>9681.2448699847864</v>
      </c>
      <c r="F24" s="35">
        <f t="shared" si="1"/>
        <v>40318.755130015212</v>
      </c>
      <c r="G24" s="35">
        <f t="shared" si="2"/>
        <v>1669323.2225816622</v>
      </c>
    </row>
    <row r="25" spans="1:7" x14ac:dyDescent="0.3">
      <c r="A25" s="7">
        <v>24</v>
      </c>
      <c r="B25" s="36">
        <v>45261</v>
      </c>
      <c r="C25" s="35">
        <f t="shared" si="0"/>
        <v>1669323.2225816622</v>
      </c>
      <c r="D25" s="35">
        <v>50000</v>
      </c>
      <c r="E25" s="35">
        <f>(C25-D25)*('Lease Overview'!$B$4/12)</f>
        <v>9446.0521317263629</v>
      </c>
      <c r="F25" s="35">
        <f t="shared" si="1"/>
        <v>40553.947868273637</v>
      </c>
      <c r="G25" s="35">
        <f t="shared" si="2"/>
        <v>1628769.2747133886</v>
      </c>
    </row>
    <row r="26" spans="1:7" x14ac:dyDescent="0.3">
      <c r="A26" s="7">
        <v>25</v>
      </c>
      <c r="B26" s="36">
        <v>45292</v>
      </c>
      <c r="C26" s="35">
        <f t="shared" si="0"/>
        <v>1628769.2747133886</v>
      </c>
      <c r="D26" s="35">
        <v>50000</v>
      </c>
      <c r="E26" s="35">
        <f>(C26-D26)*('Lease Overview'!$B$4/12)</f>
        <v>9209.4874358281013</v>
      </c>
      <c r="F26" s="35">
        <f t="shared" si="1"/>
        <v>40790.512564171899</v>
      </c>
      <c r="G26" s="35">
        <f t="shared" si="2"/>
        <v>1587978.7621492168</v>
      </c>
    </row>
    <row r="27" spans="1:7" x14ac:dyDescent="0.3">
      <c r="A27" s="7">
        <v>26</v>
      </c>
      <c r="B27" s="36">
        <v>45323</v>
      </c>
      <c r="C27" s="35">
        <f t="shared" si="0"/>
        <v>1587978.7621492168</v>
      </c>
      <c r="D27" s="35">
        <v>50000</v>
      </c>
      <c r="E27" s="35">
        <f>(C27-D27)*('Lease Overview'!$B$4/12)</f>
        <v>8971.5427792037644</v>
      </c>
      <c r="F27" s="35">
        <f t="shared" si="1"/>
        <v>41028.457220796234</v>
      </c>
      <c r="G27" s="35">
        <f t="shared" si="2"/>
        <v>1546950.3049284206</v>
      </c>
    </row>
    <row r="28" spans="1:7" x14ac:dyDescent="0.3">
      <c r="A28" s="7">
        <v>27</v>
      </c>
      <c r="B28" s="36">
        <v>45352</v>
      </c>
      <c r="C28" s="35">
        <f t="shared" si="0"/>
        <v>1546950.3049284206</v>
      </c>
      <c r="D28" s="35">
        <v>50000</v>
      </c>
      <c r="E28" s="35">
        <f>(C28-D28)*('Lease Overview'!$B$4/12)</f>
        <v>8732.2101120824536</v>
      </c>
      <c r="F28" s="35">
        <f t="shared" si="1"/>
        <v>41267.789887917548</v>
      </c>
      <c r="G28" s="35">
        <f t="shared" si="2"/>
        <v>1505682.5150405031</v>
      </c>
    </row>
    <row r="29" spans="1:7" x14ac:dyDescent="0.3">
      <c r="A29" s="7">
        <v>28</v>
      </c>
      <c r="B29" s="36">
        <v>45383</v>
      </c>
      <c r="C29" s="35">
        <f t="shared" si="0"/>
        <v>1505682.5150405031</v>
      </c>
      <c r="D29" s="35">
        <v>50000</v>
      </c>
      <c r="E29" s="35">
        <f>(C29-D29)*('Lease Overview'!$B$4/12)</f>
        <v>8491.481337736268</v>
      </c>
      <c r="F29" s="35">
        <f t="shared" si="1"/>
        <v>41508.518662263734</v>
      </c>
      <c r="G29" s="35">
        <f t="shared" si="2"/>
        <v>1464173.9963782395</v>
      </c>
    </row>
    <row r="30" spans="1:7" x14ac:dyDescent="0.3">
      <c r="A30" s="7">
        <v>29</v>
      </c>
      <c r="B30" s="36">
        <v>45413</v>
      </c>
      <c r="C30" s="35">
        <f t="shared" si="0"/>
        <v>1464173.9963782395</v>
      </c>
      <c r="D30" s="35">
        <v>50000</v>
      </c>
      <c r="E30" s="35">
        <f>(C30-D30)*('Lease Overview'!$B$4/12)</f>
        <v>8249.3483122063972</v>
      </c>
      <c r="F30" s="35">
        <f t="shared" si="1"/>
        <v>41750.651687793601</v>
      </c>
      <c r="G30" s="35">
        <f t="shared" si="2"/>
        <v>1422423.3446904458</v>
      </c>
    </row>
    <row r="31" spans="1:7" x14ac:dyDescent="0.3">
      <c r="A31" s="7">
        <v>30</v>
      </c>
      <c r="B31" s="36">
        <v>45444</v>
      </c>
      <c r="C31" s="35">
        <f t="shared" si="0"/>
        <v>1422423.3446904458</v>
      </c>
      <c r="D31" s="35">
        <v>50000</v>
      </c>
      <c r="E31" s="35">
        <f>(C31-D31)*('Lease Overview'!$B$4/12)</f>
        <v>8005.8028440276012</v>
      </c>
      <c r="F31" s="35">
        <f t="shared" si="1"/>
        <v>41994.197155972397</v>
      </c>
      <c r="G31" s="35">
        <f t="shared" si="2"/>
        <v>1380429.1475344733</v>
      </c>
    </row>
    <row r="32" spans="1:7" x14ac:dyDescent="0.3">
      <c r="A32" s="7">
        <v>31</v>
      </c>
      <c r="B32" s="36">
        <v>45474</v>
      </c>
      <c r="C32" s="35">
        <f t="shared" si="0"/>
        <v>1380429.1475344733</v>
      </c>
      <c r="D32" s="35">
        <v>50000</v>
      </c>
      <c r="E32" s="35">
        <f>(C32-D32)*('Lease Overview'!$B$4/12)</f>
        <v>7760.8366939510952</v>
      </c>
      <c r="F32" s="35">
        <f t="shared" si="1"/>
        <v>42239.163306048904</v>
      </c>
      <c r="G32" s="35">
        <f t="shared" si="2"/>
        <v>1338189.9842284245</v>
      </c>
    </row>
    <row r="33" spans="1:7" x14ac:dyDescent="0.3">
      <c r="A33" s="7">
        <v>32</v>
      </c>
      <c r="B33" s="36">
        <v>45505</v>
      </c>
      <c r="C33" s="35">
        <f t="shared" si="0"/>
        <v>1338189.9842284245</v>
      </c>
      <c r="D33" s="35">
        <v>50000</v>
      </c>
      <c r="E33" s="35">
        <f>(C33-D33)*('Lease Overview'!$B$4/12)</f>
        <v>7514.4415746658096</v>
      </c>
      <c r="F33" s="35">
        <f t="shared" si="1"/>
        <v>42485.558425334188</v>
      </c>
      <c r="G33" s="35">
        <f t="shared" si="2"/>
        <v>1295704.4258030902</v>
      </c>
    </row>
    <row r="34" spans="1:7" x14ac:dyDescent="0.3">
      <c r="A34" s="7">
        <v>33</v>
      </c>
      <c r="B34" s="36">
        <v>45536</v>
      </c>
      <c r="C34" s="35">
        <f t="shared" si="0"/>
        <v>1295704.4258030902</v>
      </c>
      <c r="D34" s="35">
        <v>50000</v>
      </c>
      <c r="E34" s="35">
        <f>(C34-D34)*('Lease Overview'!$B$4/12)</f>
        <v>7266.6091505180266</v>
      </c>
      <c r="F34" s="35">
        <f t="shared" si="1"/>
        <v>42733.390849481977</v>
      </c>
      <c r="G34" s="35">
        <f t="shared" si="2"/>
        <v>1252971.0349536082</v>
      </c>
    </row>
    <row r="35" spans="1:7" x14ac:dyDescent="0.3">
      <c r="A35" s="7">
        <v>34</v>
      </c>
      <c r="B35" s="36">
        <v>45566</v>
      </c>
      <c r="C35" s="35">
        <f t="shared" si="0"/>
        <v>1252971.0349536082</v>
      </c>
      <c r="D35" s="35">
        <v>50000</v>
      </c>
      <c r="E35" s="35">
        <f>(C35-D35)*('Lease Overview'!$B$4/12)</f>
        <v>7017.3310372293818</v>
      </c>
      <c r="F35" s="35">
        <f t="shared" si="1"/>
        <v>42982.668962770622</v>
      </c>
      <c r="G35" s="35">
        <f t="shared" si="2"/>
        <v>1209988.3659908376</v>
      </c>
    </row>
    <row r="36" spans="1:7" x14ac:dyDescent="0.3">
      <c r="A36" s="7">
        <v>35</v>
      </c>
      <c r="B36" s="36">
        <v>45597</v>
      </c>
      <c r="C36" s="35">
        <f t="shared" si="0"/>
        <v>1209988.3659908376</v>
      </c>
      <c r="D36" s="35">
        <v>50000</v>
      </c>
      <c r="E36" s="35">
        <f>(C36-D36)*('Lease Overview'!$B$4/12)</f>
        <v>6766.5988016132196</v>
      </c>
      <c r="F36" s="35">
        <f t="shared" si="1"/>
        <v>43233.401198386782</v>
      </c>
      <c r="G36" s="35">
        <f t="shared" si="2"/>
        <v>1166754.9647924509</v>
      </c>
    </row>
    <row r="37" spans="1:7" x14ac:dyDescent="0.3">
      <c r="A37" s="7">
        <v>36</v>
      </c>
      <c r="B37" s="36">
        <v>45627</v>
      </c>
      <c r="C37" s="35">
        <f t="shared" si="0"/>
        <v>1166754.9647924509</v>
      </c>
      <c r="D37" s="35">
        <v>50000</v>
      </c>
      <c r="E37" s="35">
        <f>(C37-D37)*('Lease Overview'!$B$4/12)</f>
        <v>6514.4039612892975</v>
      </c>
      <c r="F37" s="35">
        <f t="shared" si="1"/>
        <v>43485.596038710704</v>
      </c>
      <c r="G37" s="35">
        <f t="shared" si="2"/>
        <v>1123269.3687537401</v>
      </c>
    </row>
    <row r="38" spans="1:7" x14ac:dyDescent="0.3">
      <c r="A38" s="7">
        <v>37</v>
      </c>
      <c r="B38" s="36">
        <v>45658</v>
      </c>
      <c r="C38" s="35">
        <f t="shared" ref="C38:C61" si="3">G37</f>
        <v>1123269.3687537401</v>
      </c>
      <c r="D38" s="35">
        <v>50000</v>
      </c>
      <c r="E38" s="35">
        <f>(C38-D38)*('Lease Overview'!$B$4/12)</f>
        <v>6260.7379843968174</v>
      </c>
      <c r="F38" s="35">
        <f t="shared" ref="F38:F61" si="4">D38-E38</f>
        <v>43739.262015603184</v>
      </c>
      <c r="G38" s="35">
        <f t="shared" ref="G38:G61" si="5">C38+E38-D38</f>
        <v>1079530.1067381368</v>
      </c>
    </row>
    <row r="39" spans="1:7" x14ac:dyDescent="0.3">
      <c r="A39" s="7">
        <v>38</v>
      </c>
      <c r="B39" s="36">
        <v>45689</v>
      </c>
      <c r="C39" s="35">
        <f t="shared" si="3"/>
        <v>1079530.1067381368</v>
      </c>
      <c r="D39" s="35">
        <v>50000</v>
      </c>
      <c r="E39" s="35">
        <f>(C39-D39)*('Lease Overview'!$B$4/12)</f>
        <v>6005.5922893057987</v>
      </c>
      <c r="F39" s="35">
        <f t="shared" si="4"/>
        <v>43994.407710694199</v>
      </c>
      <c r="G39" s="35">
        <f t="shared" si="5"/>
        <v>1035535.6990274426</v>
      </c>
    </row>
    <row r="40" spans="1:7" x14ac:dyDescent="0.3">
      <c r="A40" s="7">
        <v>39</v>
      </c>
      <c r="B40" s="36">
        <v>45717</v>
      </c>
      <c r="C40" s="35">
        <f t="shared" si="3"/>
        <v>1035535.6990274426</v>
      </c>
      <c r="D40" s="35">
        <v>50000</v>
      </c>
      <c r="E40" s="35">
        <f>(C40-D40)*('Lease Overview'!$B$4/12)</f>
        <v>5748.9582443267491</v>
      </c>
      <c r="F40" s="35">
        <f t="shared" si="4"/>
        <v>44251.04175567325</v>
      </c>
      <c r="G40" s="35">
        <f t="shared" si="5"/>
        <v>991284.65727176936</v>
      </c>
    </row>
    <row r="41" spans="1:7" x14ac:dyDescent="0.3">
      <c r="A41" s="7">
        <v>40</v>
      </c>
      <c r="B41" s="36">
        <v>45748</v>
      </c>
      <c r="C41" s="35">
        <f t="shared" si="3"/>
        <v>991284.65727176936</v>
      </c>
      <c r="D41" s="35">
        <v>50000</v>
      </c>
      <c r="E41" s="35">
        <f>(C41-D41)*('Lease Overview'!$B$4/12)</f>
        <v>5490.8271674186544</v>
      </c>
      <c r="F41" s="35">
        <f t="shared" si="4"/>
        <v>44509.172832581346</v>
      </c>
      <c r="G41" s="35">
        <f t="shared" si="5"/>
        <v>946775.48443918803</v>
      </c>
    </row>
    <row r="42" spans="1:7" x14ac:dyDescent="0.3">
      <c r="A42" s="7">
        <v>41</v>
      </c>
      <c r="B42" s="36">
        <v>45778</v>
      </c>
      <c r="C42" s="35">
        <f t="shared" si="3"/>
        <v>946775.48443918803</v>
      </c>
      <c r="D42" s="35">
        <v>50000</v>
      </c>
      <c r="E42" s="35">
        <f>(C42-D42)*('Lease Overview'!$B$4/12)</f>
        <v>5231.1903258952634</v>
      </c>
      <c r="F42" s="35">
        <f t="shared" si="4"/>
        <v>44768.809674104734</v>
      </c>
      <c r="G42" s="35">
        <f t="shared" si="5"/>
        <v>902006.67476508324</v>
      </c>
    </row>
    <row r="43" spans="1:7" x14ac:dyDescent="0.3">
      <c r="A43" s="7">
        <v>42</v>
      </c>
      <c r="B43" s="36">
        <v>45809</v>
      </c>
      <c r="C43" s="35">
        <f t="shared" si="3"/>
        <v>902006.67476508324</v>
      </c>
      <c r="D43" s="35">
        <v>50000</v>
      </c>
      <c r="E43" s="35">
        <f>(C43-D43)*('Lease Overview'!$B$4/12)</f>
        <v>4970.038936129652</v>
      </c>
      <c r="F43" s="35">
        <f t="shared" si="4"/>
        <v>45029.961063870345</v>
      </c>
      <c r="G43" s="35">
        <f t="shared" si="5"/>
        <v>856976.7137012129</v>
      </c>
    </row>
    <row r="44" spans="1:7" x14ac:dyDescent="0.3">
      <c r="A44" s="7">
        <v>43</v>
      </c>
      <c r="B44" s="36">
        <v>45839</v>
      </c>
      <c r="C44" s="35">
        <f t="shared" si="3"/>
        <v>856976.7137012129</v>
      </c>
      <c r="D44" s="35">
        <v>50000</v>
      </c>
      <c r="E44" s="35">
        <f>(C44-D44)*('Lease Overview'!$B$4/12)</f>
        <v>4707.3641632570752</v>
      </c>
      <c r="F44" s="35">
        <f t="shared" si="4"/>
        <v>45292.635836742927</v>
      </c>
      <c r="G44" s="35">
        <f t="shared" si="5"/>
        <v>811684.07786446996</v>
      </c>
    </row>
    <row r="45" spans="1:7" x14ac:dyDescent="0.3">
      <c r="A45" s="7">
        <v>44</v>
      </c>
      <c r="B45" s="36">
        <v>45870</v>
      </c>
      <c r="C45" s="35">
        <f t="shared" si="3"/>
        <v>811684.07786446996</v>
      </c>
      <c r="D45" s="35">
        <v>50000</v>
      </c>
      <c r="E45" s="35">
        <f>(C45-D45)*('Lease Overview'!$B$4/12)</f>
        <v>4443.1571208760752</v>
      </c>
      <c r="F45" s="35">
        <f t="shared" si="4"/>
        <v>45556.842879123928</v>
      </c>
      <c r="G45" s="35">
        <f t="shared" si="5"/>
        <v>766127.23498534609</v>
      </c>
    </row>
    <row r="46" spans="1:7" x14ac:dyDescent="0.3">
      <c r="A46" s="7">
        <v>45</v>
      </c>
      <c r="B46" s="36">
        <v>45901</v>
      </c>
      <c r="C46" s="35">
        <f t="shared" si="3"/>
        <v>766127.23498534609</v>
      </c>
      <c r="D46" s="35">
        <v>50000</v>
      </c>
      <c r="E46" s="35">
        <f>(C46-D46)*('Lease Overview'!$B$4/12)</f>
        <v>4177.4088707478522</v>
      </c>
      <c r="F46" s="35">
        <f t="shared" si="4"/>
        <v>45822.591129252149</v>
      </c>
      <c r="G46" s="35">
        <f t="shared" si="5"/>
        <v>720304.64385609399</v>
      </c>
    </row>
    <row r="47" spans="1:7" x14ac:dyDescent="0.3">
      <c r="A47" s="7">
        <v>46</v>
      </c>
      <c r="B47" s="36">
        <v>45931</v>
      </c>
      <c r="C47" s="35">
        <f t="shared" si="3"/>
        <v>720304.64385609399</v>
      </c>
      <c r="D47" s="35">
        <v>50000</v>
      </c>
      <c r="E47" s="35">
        <f>(C47-D47)*('Lease Overview'!$B$4/12)</f>
        <v>3910.1104224938817</v>
      </c>
      <c r="F47" s="35">
        <f t="shared" si="4"/>
        <v>46089.889577506117</v>
      </c>
      <c r="G47" s="35">
        <f t="shared" si="5"/>
        <v>674214.75427858788</v>
      </c>
    </row>
    <row r="48" spans="1:7" x14ac:dyDescent="0.3">
      <c r="A48" s="7">
        <v>47</v>
      </c>
      <c r="B48" s="36">
        <v>45962</v>
      </c>
      <c r="C48" s="35">
        <f t="shared" si="3"/>
        <v>674214.75427858788</v>
      </c>
      <c r="D48" s="35">
        <v>50000</v>
      </c>
      <c r="E48" s="35">
        <f>(C48-D48)*('Lease Overview'!$B$4/12)</f>
        <v>3641.252733291763</v>
      </c>
      <c r="F48" s="35">
        <f t="shared" si="4"/>
        <v>46358.74726670824</v>
      </c>
      <c r="G48" s="35">
        <f t="shared" si="5"/>
        <v>627856.00701187958</v>
      </c>
    </row>
    <row r="49" spans="1:7" x14ac:dyDescent="0.3">
      <c r="A49" s="7">
        <v>48</v>
      </c>
      <c r="B49" s="36">
        <v>45992</v>
      </c>
      <c r="C49" s="35">
        <f t="shared" si="3"/>
        <v>627856.00701187958</v>
      </c>
      <c r="D49" s="35">
        <v>50000</v>
      </c>
      <c r="E49" s="35">
        <f>(C49-D49)*('Lease Overview'!$B$4/12)</f>
        <v>3370.8267075692979</v>
      </c>
      <c r="F49" s="35">
        <f t="shared" si="4"/>
        <v>46629.1732924307</v>
      </c>
      <c r="G49" s="35">
        <f t="shared" si="5"/>
        <v>581226.83371944888</v>
      </c>
    </row>
    <row r="50" spans="1:7" x14ac:dyDescent="0.3">
      <c r="A50" s="7">
        <v>49</v>
      </c>
      <c r="B50" s="36">
        <v>46023</v>
      </c>
      <c r="C50" s="35">
        <f t="shared" si="3"/>
        <v>581226.83371944888</v>
      </c>
      <c r="D50" s="35">
        <v>50000</v>
      </c>
      <c r="E50" s="35">
        <f>(C50-D50)*('Lease Overview'!$B$4/12)</f>
        <v>3098.8231966967851</v>
      </c>
      <c r="F50" s="35">
        <f t="shared" si="4"/>
        <v>46901.176803303213</v>
      </c>
      <c r="G50" s="35">
        <f t="shared" si="5"/>
        <v>534325.6569161457</v>
      </c>
    </row>
    <row r="51" spans="1:7" x14ac:dyDescent="0.3">
      <c r="A51" s="7">
        <v>50</v>
      </c>
      <c r="B51" s="36">
        <v>46054</v>
      </c>
      <c r="C51" s="35">
        <f t="shared" si="3"/>
        <v>534325.6569161457</v>
      </c>
      <c r="D51" s="35">
        <v>50000</v>
      </c>
      <c r="E51" s="35">
        <f>(C51-D51)*('Lease Overview'!$B$4/12)</f>
        <v>2825.2329986775167</v>
      </c>
      <c r="F51" s="35">
        <f t="shared" si="4"/>
        <v>47174.767001322485</v>
      </c>
      <c r="G51" s="35">
        <f t="shared" si="5"/>
        <v>487150.88991482323</v>
      </c>
    </row>
    <row r="52" spans="1:7" x14ac:dyDescent="0.3">
      <c r="A52" s="7">
        <v>51</v>
      </c>
      <c r="B52" s="36">
        <v>46082</v>
      </c>
      <c r="C52" s="35">
        <f t="shared" si="3"/>
        <v>487150.88991482323</v>
      </c>
      <c r="D52" s="35">
        <v>50000</v>
      </c>
      <c r="E52" s="35">
        <f>(C52-D52)*('Lease Overview'!$B$4/12)</f>
        <v>2550.0468578364689</v>
      </c>
      <c r="F52" s="35">
        <f t="shared" si="4"/>
        <v>47449.953142163533</v>
      </c>
      <c r="G52" s="35">
        <f t="shared" si="5"/>
        <v>439700.93677265971</v>
      </c>
    </row>
    <row r="53" spans="1:7" x14ac:dyDescent="0.3">
      <c r="A53" s="7">
        <v>52</v>
      </c>
      <c r="B53" s="36">
        <v>46113</v>
      </c>
      <c r="C53" s="35">
        <f t="shared" si="3"/>
        <v>439700.93677265971</v>
      </c>
      <c r="D53" s="35">
        <v>50000</v>
      </c>
      <c r="E53" s="35">
        <f>(C53-D53)*('Lease Overview'!$B$4/12)</f>
        <v>2273.2554645071818</v>
      </c>
      <c r="F53" s="35">
        <f t="shared" si="4"/>
        <v>47726.74453549282</v>
      </c>
      <c r="G53" s="35">
        <f t="shared" si="5"/>
        <v>391974.19223716692</v>
      </c>
    </row>
    <row r="54" spans="1:7" x14ac:dyDescent="0.3">
      <c r="A54" s="7">
        <v>53</v>
      </c>
      <c r="B54" s="36">
        <v>46143</v>
      </c>
      <c r="C54" s="35">
        <f t="shared" si="3"/>
        <v>391974.19223716692</v>
      </c>
      <c r="D54" s="35">
        <v>50000</v>
      </c>
      <c r="E54" s="35">
        <f>(C54-D54)*('Lease Overview'!$B$4/12)</f>
        <v>1994.849454716807</v>
      </c>
      <c r="F54" s="35">
        <f t="shared" si="4"/>
        <v>48005.150545283192</v>
      </c>
      <c r="G54" s="35">
        <f t="shared" si="5"/>
        <v>343969.0416918837</v>
      </c>
    </row>
    <row r="55" spans="1:7" x14ac:dyDescent="0.3">
      <c r="A55" s="7">
        <v>54</v>
      </c>
      <c r="B55" s="36">
        <v>46174</v>
      </c>
      <c r="C55" s="35">
        <f t="shared" si="3"/>
        <v>343969.0416918837</v>
      </c>
      <c r="D55" s="35">
        <v>50000</v>
      </c>
      <c r="E55" s="35">
        <f>(C55-D55)*('Lease Overview'!$B$4/12)</f>
        <v>1714.8194098693216</v>
      </c>
      <c r="F55" s="35">
        <f t="shared" si="4"/>
        <v>48285.18059013068</v>
      </c>
      <c r="G55" s="35">
        <f t="shared" si="5"/>
        <v>295683.86110175302</v>
      </c>
    </row>
    <row r="56" spans="1:7" x14ac:dyDescent="0.3">
      <c r="A56" s="7">
        <v>55</v>
      </c>
      <c r="B56" s="36">
        <v>46204</v>
      </c>
      <c r="C56" s="35">
        <f t="shared" si="3"/>
        <v>295683.86110175302</v>
      </c>
      <c r="D56" s="35">
        <v>50000</v>
      </c>
      <c r="E56" s="35">
        <f>(C56-D56)*('Lease Overview'!$B$4/12)</f>
        <v>1433.1558564268928</v>
      </c>
      <c r="F56" s="35">
        <f t="shared" si="4"/>
        <v>48566.844143573107</v>
      </c>
      <c r="G56" s="35">
        <f t="shared" si="5"/>
        <v>247117.01695817994</v>
      </c>
    </row>
    <row r="57" spans="1:7" x14ac:dyDescent="0.3">
      <c r="A57" s="7">
        <v>56</v>
      </c>
      <c r="B57" s="36">
        <v>46235</v>
      </c>
      <c r="C57" s="35">
        <f t="shared" si="3"/>
        <v>247117.01695817994</v>
      </c>
      <c r="D57" s="35">
        <v>50000</v>
      </c>
      <c r="E57" s="35">
        <f>(C57-D57)*('Lease Overview'!$B$4/12)</f>
        <v>1149.8492655893831</v>
      </c>
      <c r="F57" s="35">
        <f t="shared" si="4"/>
        <v>48850.150734410614</v>
      </c>
      <c r="G57" s="35">
        <f t="shared" si="5"/>
        <v>198266.86622376932</v>
      </c>
    </row>
    <row r="58" spans="1:7" x14ac:dyDescent="0.3">
      <c r="A58" s="7">
        <v>57</v>
      </c>
      <c r="B58" s="36">
        <v>46266</v>
      </c>
      <c r="C58" s="35">
        <f t="shared" si="3"/>
        <v>198266.86622376932</v>
      </c>
      <c r="D58" s="35">
        <v>50000</v>
      </c>
      <c r="E58" s="35">
        <f>(C58-D58)*('Lease Overview'!$B$4/12)</f>
        <v>864.89005297198776</v>
      </c>
      <c r="F58" s="35">
        <f t="shared" si="4"/>
        <v>49135.10994702801</v>
      </c>
      <c r="G58" s="35">
        <f t="shared" si="5"/>
        <v>149131.7562767413</v>
      </c>
    </row>
    <row r="59" spans="1:7" x14ac:dyDescent="0.3">
      <c r="A59" s="7">
        <v>58</v>
      </c>
      <c r="B59" s="36">
        <v>46296</v>
      </c>
      <c r="C59" s="35">
        <f t="shared" si="3"/>
        <v>149131.7562767413</v>
      </c>
      <c r="D59" s="35">
        <v>50000</v>
      </c>
      <c r="E59" s="35">
        <f>(C59-D59)*('Lease Overview'!$B$4/12)</f>
        <v>578.26857828099094</v>
      </c>
      <c r="F59" s="35">
        <f t="shared" si="4"/>
        <v>49421.731421719007</v>
      </c>
      <c r="G59" s="35">
        <f t="shared" si="5"/>
        <v>99710.02485502229</v>
      </c>
    </row>
    <row r="60" spans="1:7" x14ac:dyDescent="0.3">
      <c r="A60" s="7">
        <v>59</v>
      </c>
      <c r="B60" s="36">
        <v>46327</v>
      </c>
      <c r="C60" s="35">
        <f t="shared" si="3"/>
        <v>99710.02485502229</v>
      </c>
      <c r="D60" s="35">
        <v>50000</v>
      </c>
      <c r="E60" s="35">
        <f>(C60-D60)*('Lease Overview'!$B$4/12)</f>
        <v>289.97514498763002</v>
      </c>
      <c r="F60" s="35">
        <f t="shared" si="4"/>
        <v>49710.024855012372</v>
      </c>
      <c r="G60" s="35">
        <f t="shared" si="5"/>
        <v>50000.000000009924</v>
      </c>
    </row>
    <row r="61" spans="1:7" x14ac:dyDescent="0.3">
      <c r="A61" s="7">
        <v>60</v>
      </c>
      <c r="B61" s="36">
        <v>46357</v>
      </c>
      <c r="C61" s="35">
        <f t="shared" si="3"/>
        <v>50000.000000009924</v>
      </c>
      <c r="D61" s="35">
        <v>50000</v>
      </c>
      <c r="E61" s="35">
        <f>(C61-D61)*('Lease Overview'!$B$4/12)</f>
        <v>5.7892369416852795E-11</v>
      </c>
      <c r="F61" s="35">
        <f t="shared" si="4"/>
        <v>49999.999999999942</v>
      </c>
      <c r="G61" s="35">
        <f t="shared" si="5"/>
        <v>9.9826138466596603E-9</v>
      </c>
    </row>
  </sheetData>
  <phoneticPr fontId="2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4F7F-0CA2-4276-9414-F18B00227D60}">
  <sheetPr>
    <tabColor rgb="FFFFFF00"/>
  </sheetPr>
  <dimension ref="A1:CY12"/>
  <sheetViews>
    <sheetView topLeftCell="AG1" workbookViewId="0">
      <selection activeCell="AR12" sqref="AR12"/>
    </sheetView>
  </sheetViews>
  <sheetFormatPr defaultColWidth="9.109375" defaultRowHeight="13.2" x14ac:dyDescent="0.25"/>
  <cols>
    <col min="1" max="42" width="9.109375" style="39"/>
    <col min="43" max="43" width="33" style="39" bestFit="1" customWidth="1"/>
    <col min="44" max="44" width="10.88671875" style="39" bestFit="1" customWidth="1"/>
    <col min="45" max="48" width="8.77734375" style="39" bestFit="1" customWidth="1"/>
    <col min="49" max="16384" width="9.109375" style="39"/>
  </cols>
  <sheetData>
    <row r="1" spans="1:103" x14ac:dyDescent="0.25">
      <c r="B1" s="40" t="s">
        <v>1295</v>
      </c>
    </row>
    <row r="2" spans="1:103" x14ac:dyDescent="0.25">
      <c r="A2" s="41" t="s">
        <v>0</v>
      </c>
      <c r="B2" s="41" t="s">
        <v>1296</v>
      </c>
      <c r="C2" s="41" t="s">
        <v>1297</v>
      </c>
      <c r="D2" s="41" t="s">
        <v>1298</v>
      </c>
      <c r="E2" s="41" t="s">
        <v>1299</v>
      </c>
      <c r="F2" s="41" t="s">
        <v>191</v>
      </c>
      <c r="G2" s="41" t="s">
        <v>1300</v>
      </c>
      <c r="H2" s="41" t="s">
        <v>189</v>
      </c>
      <c r="I2" s="41" t="s">
        <v>190</v>
      </c>
      <c r="J2" s="41" t="s">
        <v>1301</v>
      </c>
      <c r="K2" s="41" t="s">
        <v>1302</v>
      </c>
      <c r="L2" s="41" t="s">
        <v>1303</v>
      </c>
      <c r="M2" s="41" t="s">
        <v>1304</v>
      </c>
      <c r="N2" s="41" t="s">
        <v>1305</v>
      </c>
      <c r="O2" s="41" t="s">
        <v>1306</v>
      </c>
      <c r="P2" s="41" t="s">
        <v>1307</v>
      </c>
      <c r="Q2" s="41" t="s">
        <v>1308</v>
      </c>
      <c r="R2" s="41" t="s">
        <v>1309</v>
      </c>
      <c r="S2" s="41" t="s">
        <v>1310</v>
      </c>
      <c r="T2" s="41" t="s">
        <v>1223</v>
      </c>
      <c r="U2" s="41" t="s">
        <v>1311</v>
      </c>
      <c r="V2" s="41" t="s">
        <v>1312</v>
      </c>
      <c r="W2" s="41" t="s">
        <v>1313</v>
      </c>
      <c r="X2" s="41" t="s">
        <v>1314</v>
      </c>
      <c r="Y2" s="41" t="s">
        <v>1232</v>
      </c>
      <c r="Z2" s="41" t="s">
        <v>1315</v>
      </c>
      <c r="AA2" s="41" t="s">
        <v>188</v>
      </c>
      <c r="AB2" s="41" t="s">
        <v>1316</v>
      </c>
      <c r="AC2" s="41" t="s">
        <v>1317</v>
      </c>
      <c r="AD2" s="41" t="s">
        <v>1318</v>
      </c>
      <c r="AE2" s="41" t="s">
        <v>1319</v>
      </c>
      <c r="AF2" s="41" t="s">
        <v>1274</v>
      </c>
      <c r="AG2" s="41" t="s">
        <v>196</v>
      </c>
      <c r="AH2" s="41" t="s">
        <v>197</v>
      </c>
      <c r="AI2" s="41" t="s">
        <v>198</v>
      </c>
      <c r="AJ2" s="41" t="s">
        <v>199</v>
      </c>
      <c r="AK2" s="41" t="s">
        <v>200</v>
      </c>
      <c r="AL2" s="41" t="s">
        <v>201</v>
      </c>
      <c r="AM2" s="41" t="s">
        <v>202</v>
      </c>
      <c r="AN2" s="41" t="s">
        <v>203</v>
      </c>
      <c r="AO2" s="41" t="s">
        <v>204</v>
      </c>
      <c r="AP2" s="41" t="s">
        <v>205</v>
      </c>
      <c r="AQ2" s="41" t="s">
        <v>206</v>
      </c>
      <c r="AR2" s="41">
        <v>2022</v>
      </c>
      <c r="AS2" s="41">
        <v>2023</v>
      </c>
      <c r="AT2" s="41">
        <v>2024</v>
      </c>
      <c r="AU2" s="41">
        <v>2025</v>
      </c>
      <c r="AV2" s="41">
        <v>2026</v>
      </c>
    </row>
    <row r="3" spans="1:103" x14ac:dyDescent="0.25">
      <c r="A3" s="42" t="s">
        <v>6</v>
      </c>
      <c r="B3" s="42" t="s">
        <v>1320</v>
      </c>
      <c r="C3" s="42" t="s">
        <v>1321</v>
      </c>
      <c r="D3" s="42" t="s">
        <v>1322</v>
      </c>
      <c r="E3" s="42" t="s">
        <v>36</v>
      </c>
      <c r="F3" s="42" t="s">
        <v>1323</v>
      </c>
      <c r="G3" s="42" t="s">
        <v>1324</v>
      </c>
      <c r="H3" s="42" t="s">
        <v>1325</v>
      </c>
      <c r="I3" s="42" t="s">
        <v>1326</v>
      </c>
      <c r="J3" s="42" t="s">
        <v>1209</v>
      </c>
      <c r="K3" s="42" t="s">
        <v>1209</v>
      </c>
      <c r="L3" s="42" t="s">
        <v>1209</v>
      </c>
      <c r="M3" s="42" t="s">
        <v>1327</v>
      </c>
      <c r="N3" s="42" t="s">
        <v>159</v>
      </c>
      <c r="O3" s="42" t="s">
        <v>1280</v>
      </c>
      <c r="P3" s="42" t="s">
        <v>159</v>
      </c>
      <c r="Q3" s="42" t="s">
        <v>1209</v>
      </c>
      <c r="R3" s="42" t="s">
        <v>1209</v>
      </c>
      <c r="S3" s="42" t="s">
        <v>1209</v>
      </c>
      <c r="T3" s="42" t="s">
        <v>1209</v>
      </c>
      <c r="U3" s="42" t="s">
        <v>1328</v>
      </c>
      <c r="V3" s="42" t="s">
        <v>1239</v>
      </c>
      <c r="W3" s="42" t="s">
        <v>1194</v>
      </c>
      <c r="X3" s="42" t="s">
        <v>1327</v>
      </c>
      <c r="Y3" s="42" t="s">
        <v>1231</v>
      </c>
      <c r="Z3" s="42" t="s">
        <v>1218</v>
      </c>
      <c r="AA3" s="42" t="s">
        <v>38</v>
      </c>
      <c r="AB3" s="43">
        <v>1600000</v>
      </c>
      <c r="AC3" s="44">
        <v>1600000</v>
      </c>
      <c r="AD3" s="43">
        <v>50000</v>
      </c>
      <c r="AE3" s="44">
        <v>50000</v>
      </c>
      <c r="AF3" s="42" t="s">
        <v>1244</v>
      </c>
      <c r="AG3" s="42" t="s">
        <v>37</v>
      </c>
      <c r="AH3" s="42" t="s">
        <v>1209</v>
      </c>
      <c r="AI3" s="42" t="s">
        <v>1209</v>
      </c>
      <c r="AJ3" s="42" t="s">
        <v>1209</v>
      </c>
      <c r="AK3" s="42" t="s">
        <v>38</v>
      </c>
      <c r="AL3" s="42" t="s">
        <v>39</v>
      </c>
      <c r="AM3" s="42" t="s">
        <v>1329</v>
      </c>
      <c r="AN3" s="42" t="s">
        <v>41</v>
      </c>
      <c r="AO3" s="42" t="s">
        <v>1209</v>
      </c>
      <c r="AP3" s="42" t="s">
        <v>1209</v>
      </c>
      <c r="AQ3" s="42" t="s">
        <v>1209</v>
      </c>
      <c r="AR3" s="43">
        <v>600000</v>
      </c>
      <c r="AS3" s="43">
        <v>600000</v>
      </c>
      <c r="AT3" s="43">
        <v>600000</v>
      </c>
      <c r="AU3" s="43">
        <v>600000</v>
      </c>
      <c r="AV3" s="43">
        <v>600000</v>
      </c>
    </row>
    <row r="4" spans="1:103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4"/>
      <c r="AD4" s="43"/>
      <c r="AE4" s="44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108" t="s">
        <v>1671</v>
      </c>
      <c r="AR4" s="109">
        <f>SUM(AR12:BC12)</f>
        <v>600000</v>
      </c>
      <c r="AS4" s="109">
        <f>SUM(BD12:BO12)</f>
        <v>600000</v>
      </c>
      <c r="AT4" s="109">
        <f>SUM(BP12:CA12)</f>
        <v>600000</v>
      </c>
      <c r="AU4" s="109">
        <f>SUM(CB12:CM12)</f>
        <v>600000</v>
      </c>
      <c r="AV4" s="109">
        <f>SUM(CN12:CY12)</f>
        <v>600000</v>
      </c>
    </row>
    <row r="5" spans="1:103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3"/>
      <c r="AC5" s="44"/>
      <c r="AD5" s="43"/>
      <c r="AE5" s="44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108" t="s">
        <v>1594</v>
      </c>
      <c r="AR5" s="109">
        <f>AR3-AR4</f>
        <v>0</v>
      </c>
      <c r="AS5" s="109">
        <f t="shared" ref="AS5:AT5" si="0">AS3-AS4</f>
        <v>0</v>
      </c>
      <c r="AT5" s="109">
        <f t="shared" si="0"/>
        <v>0</v>
      </c>
      <c r="AU5" s="109">
        <f t="shared" ref="AU5:AV5" si="1">AU3-AU4</f>
        <v>0</v>
      </c>
      <c r="AV5" s="109">
        <f t="shared" si="1"/>
        <v>0</v>
      </c>
    </row>
    <row r="6" spans="1:103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3"/>
      <c r="AC6" s="44"/>
      <c r="AD6" s="43"/>
      <c r="AE6" s="44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108" t="s">
        <v>1672</v>
      </c>
      <c r="AR6" s="109">
        <f>SUMIFS('Ledger Entries-schedule'!$T:$T,'Ledger Entries-schedule'!$R:$R,'Ledger Entries-schedule'!$R$6)/5</f>
        <v>600000</v>
      </c>
      <c r="AS6" s="109">
        <f>SUMIFS('Ledger Entries-schedule'!$T:$T,'Ledger Entries-schedule'!$R:$R,'Ledger Entries-schedule'!$R$6)/5</f>
        <v>600000</v>
      </c>
      <c r="AT6" s="109">
        <f>SUMIFS('Ledger Entries-schedule'!$T:$T,'Ledger Entries-schedule'!$R:$R,'Ledger Entries-schedule'!$R$6)/5</f>
        <v>600000</v>
      </c>
      <c r="AU6" s="109">
        <f>SUMIFS('Ledger Entries-schedule'!$T:$T,'Ledger Entries-schedule'!$R:$R,'Ledger Entries-schedule'!$R$6)/5</f>
        <v>600000</v>
      </c>
      <c r="AV6" s="109">
        <f>SUMIFS('Ledger Entries-schedule'!$T:$T,'Ledger Entries-schedule'!$R:$R,'Ledger Entries-schedule'!$R$6)/5</f>
        <v>600000</v>
      </c>
    </row>
    <row r="7" spans="1:103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3"/>
      <c r="AC7" s="44"/>
      <c r="AD7" s="43"/>
      <c r="AE7" s="44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108" t="s">
        <v>1594</v>
      </c>
      <c r="AR7" s="109">
        <f>AR3-AR6</f>
        <v>0</v>
      </c>
      <c r="AS7" s="109">
        <f t="shared" ref="AS7:AT7" si="2">AS3-AS6</f>
        <v>0</v>
      </c>
      <c r="AT7" s="109">
        <f t="shared" si="2"/>
        <v>0</v>
      </c>
      <c r="AU7" s="109">
        <f t="shared" ref="AU7:AV7" si="3">AU3-AU6</f>
        <v>0</v>
      </c>
      <c r="AV7" s="109">
        <f t="shared" si="3"/>
        <v>0</v>
      </c>
    </row>
    <row r="8" spans="1:103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3"/>
      <c r="AC8" s="44"/>
      <c r="AD8" s="43"/>
      <c r="AE8" s="44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3"/>
      <c r="AS8" s="43"/>
      <c r="AT8" s="43"/>
      <c r="AU8" s="43"/>
      <c r="AV8" s="43"/>
    </row>
    <row r="10" spans="1:103" x14ac:dyDescent="0.25">
      <c r="B10" s="40" t="s">
        <v>1342</v>
      </c>
    </row>
    <row r="11" spans="1:103" x14ac:dyDescent="0.25">
      <c r="A11" s="41" t="s">
        <v>0</v>
      </c>
      <c r="B11" s="41" t="s">
        <v>1296</v>
      </c>
      <c r="C11" s="41" t="s">
        <v>1297</v>
      </c>
      <c r="D11" s="41" t="s">
        <v>32</v>
      </c>
      <c r="E11" s="41" t="s">
        <v>1299</v>
      </c>
      <c r="F11" s="41" t="s">
        <v>191</v>
      </c>
      <c r="G11" s="41" t="s">
        <v>1300</v>
      </c>
      <c r="H11" s="41" t="s">
        <v>189</v>
      </c>
      <c r="I11" s="41" t="s">
        <v>190</v>
      </c>
      <c r="J11" s="41" t="s">
        <v>1301</v>
      </c>
      <c r="K11" s="41" t="s">
        <v>1302</v>
      </c>
      <c r="L11" s="41" t="s">
        <v>1303</v>
      </c>
      <c r="M11" s="41" t="s">
        <v>1304</v>
      </c>
      <c r="N11" s="41" t="s">
        <v>1305</v>
      </c>
      <c r="O11" s="41" t="s">
        <v>1306</v>
      </c>
      <c r="P11" s="41" t="s">
        <v>1307</v>
      </c>
      <c r="Q11" s="41" t="s">
        <v>1308</v>
      </c>
      <c r="R11" s="41" t="s">
        <v>1309</v>
      </c>
      <c r="S11" s="41" t="s">
        <v>1310</v>
      </c>
      <c r="T11" s="41" t="s">
        <v>1223</v>
      </c>
      <c r="U11" s="41" t="s">
        <v>1311</v>
      </c>
      <c r="V11" s="41" t="s">
        <v>1312</v>
      </c>
      <c r="W11" s="41" t="s">
        <v>1313</v>
      </c>
      <c r="X11" s="41" t="s">
        <v>1314</v>
      </c>
      <c r="Y11" s="41" t="s">
        <v>1232</v>
      </c>
      <c r="Z11" s="41" t="s">
        <v>1315</v>
      </c>
      <c r="AA11" s="41" t="s">
        <v>188</v>
      </c>
      <c r="AB11" s="41" t="s">
        <v>1316</v>
      </c>
      <c r="AC11" s="41" t="s">
        <v>1343</v>
      </c>
      <c r="AD11" s="41" t="s">
        <v>1318</v>
      </c>
      <c r="AE11" s="41" t="s">
        <v>1319</v>
      </c>
      <c r="AF11" s="41" t="s">
        <v>1274</v>
      </c>
      <c r="AG11" s="41" t="s">
        <v>196</v>
      </c>
      <c r="AH11" s="41" t="s">
        <v>197</v>
      </c>
      <c r="AI11" s="41" t="s">
        <v>198</v>
      </c>
      <c r="AJ11" s="41" t="s">
        <v>199</v>
      </c>
      <c r="AK11" s="41" t="s">
        <v>200</v>
      </c>
      <c r="AL11" s="41" t="s">
        <v>201</v>
      </c>
      <c r="AM11" s="41" t="s">
        <v>202</v>
      </c>
      <c r="AN11" s="41" t="s">
        <v>203</v>
      </c>
      <c r="AO11" s="41" t="s">
        <v>204</v>
      </c>
      <c r="AP11" s="41" t="s">
        <v>205</v>
      </c>
      <c r="AQ11" s="41" t="s">
        <v>206</v>
      </c>
      <c r="AR11" s="41" t="s">
        <v>1344</v>
      </c>
      <c r="AS11" s="41" t="s">
        <v>1345</v>
      </c>
      <c r="AT11" s="41" t="s">
        <v>1346</v>
      </c>
      <c r="AU11" s="41" t="s">
        <v>1347</v>
      </c>
      <c r="AV11" s="41" t="s">
        <v>1348</v>
      </c>
      <c r="AW11" s="41" t="s">
        <v>1349</v>
      </c>
      <c r="AX11" s="41" t="s">
        <v>1350</v>
      </c>
      <c r="AY11" s="41" t="s">
        <v>1351</v>
      </c>
      <c r="AZ11" s="41" t="s">
        <v>1352</v>
      </c>
      <c r="BA11" s="41" t="s">
        <v>1353</v>
      </c>
      <c r="BB11" s="41" t="s">
        <v>1354</v>
      </c>
      <c r="BC11" s="41" t="s">
        <v>1355</v>
      </c>
      <c r="BD11" s="41" t="s">
        <v>1356</v>
      </c>
      <c r="BE11" s="41" t="s">
        <v>1357</v>
      </c>
      <c r="BF11" s="41" t="s">
        <v>1358</v>
      </c>
      <c r="BG11" s="41" t="s">
        <v>1359</v>
      </c>
      <c r="BH11" s="41" t="s">
        <v>1360</v>
      </c>
      <c r="BI11" s="41" t="s">
        <v>1361</v>
      </c>
      <c r="BJ11" s="41" t="s">
        <v>1362</v>
      </c>
      <c r="BK11" s="41" t="s">
        <v>1363</v>
      </c>
      <c r="BL11" s="41" t="s">
        <v>1364</v>
      </c>
      <c r="BM11" s="41" t="s">
        <v>1365</v>
      </c>
      <c r="BN11" s="41" t="s">
        <v>1366</v>
      </c>
      <c r="BO11" s="41" t="s">
        <v>1367</v>
      </c>
      <c r="BP11" s="41" t="s">
        <v>1368</v>
      </c>
      <c r="BQ11" s="41" t="s">
        <v>1369</v>
      </c>
      <c r="BR11" s="41" t="s">
        <v>1370</v>
      </c>
      <c r="BS11" s="41" t="s">
        <v>1371</v>
      </c>
      <c r="BT11" s="41" t="s">
        <v>1372</v>
      </c>
      <c r="BU11" s="41" t="s">
        <v>1373</v>
      </c>
      <c r="BV11" s="41" t="s">
        <v>1374</v>
      </c>
      <c r="BW11" s="41" t="s">
        <v>1375</v>
      </c>
      <c r="BX11" s="41" t="s">
        <v>1376</v>
      </c>
      <c r="BY11" s="41" t="s">
        <v>1377</v>
      </c>
      <c r="BZ11" s="41" t="s">
        <v>1378</v>
      </c>
      <c r="CA11" s="41" t="s">
        <v>1379</v>
      </c>
      <c r="CB11" s="41" t="s">
        <v>1380</v>
      </c>
      <c r="CC11" s="41" t="s">
        <v>1381</v>
      </c>
      <c r="CD11" s="41" t="s">
        <v>1382</v>
      </c>
      <c r="CE11" s="41" t="s">
        <v>1383</v>
      </c>
      <c r="CF11" s="41" t="s">
        <v>1384</v>
      </c>
      <c r="CG11" s="41" t="s">
        <v>1385</v>
      </c>
      <c r="CH11" s="41" t="s">
        <v>1386</v>
      </c>
      <c r="CI11" s="41" t="s">
        <v>1387</v>
      </c>
      <c r="CJ11" s="41" t="s">
        <v>1388</v>
      </c>
      <c r="CK11" s="41" t="s">
        <v>1389</v>
      </c>
      <c r="CL11" s="41" t="s">
        <v>1390</v>
      </c>
      <c r="CM11" s="41" t="s">
        <v>1391</v>
      </c>
      <c r="CN11" s="41" t="s">
        <v>1392</v>
      </c>
      <c r="CO11" s="41" t="s">
        <v>1393</v>
      </c>
      <c r="CP11" s="41" t="s">
        <v>1394</v>
      </c>
      <c r="CQ11" s="41" t="s">
        <v>1395</v>
      </c>
      <c r="CR11" s="41" t="s">
        <v>1396</v>
      </c>
      <c r="CS11" s="41" t="s">
        <v>1397</v>
      </c>
      <c r="CT11" s="41" t="s">
        <v>1398</v>
      </c>
      <c r="CU11" s="41" t="s">
        <v>1399</v>
      </c>
      <c r="CV11" s="41" t="s">
        <v>1400</v>
      </c>
      <c r="CW11" s="41" t="s">
        <v>1401</v>
      </c>
      <c r="CX11" s="41" t="s">
        <v>1402</v>
      </c>
      <c r="CY11" s="41" t="s">
        <v>1403</v>
      </c>
    </row>
    <row r="12" spans="1:103" x14ac:dyDescent="0.25">
      <c r="A12" s="42" t="s">
        <v>6</v>
      </c>
      <c r="B12" s="42" t="s">
        <v>1320</v>
      </c>
      <c r="C12" s="42" t="s">
        <v>1321</v>
      </c>
      <c r="D12" s="42" t="s">
        <v>1322</v>
      </c>
      <c r="E12" s="42" t="s">
        <v>36</v>
      </c>
      <c r="F12" s="42" t="s">
        <v>1323</v>
      </c>
      <c r="G12" s="42" t="s">
        <v>1324</v>
      </c>
      <c r="H12" s="42" t="s">
        <v>1325</v>
      </c>
      <c r="I12" s="42" t="s">
        <v>1326</v>
      </c>
      <c r="J12" s="42" t="s">
        <v>1209</v>
      </c>
      <c r="K12" s="42" t="s">
        <v>1209</v>
      </c>
      <c r="L12" s="42" t="s">
        <v>1209</v>
      </c>
      <c r="M12" s="42" t="s">
        <v>1327</v>
      </c>
      <c r="N12" s="42" t="s">
        <v>159</v>
      </c>
      <c r="O12" s="42" t="s">
        <v>1280</v>
      </c>
      <c r="P12" s="42" t="s">
        <v>159</v>
      </c>
      <c r="Q12" s="42" t="s">
        <v>1209</v>
      </c>
      <c r="R12" s="42" t="s">
        <v>1209</v>
      </c>
      <c r="S12" s="42" t="s">
        <v>1209</v>
      </c>
      <c r="T12" s="42" t="s">
        <v>1209</v>
      </c>
      <c r="U12" s="42" t="s">
        <v>1328</v>
      </c>
      <c r="V12" s="42" t="s">
        <v>1239</v>
      </c>
      <c r="W12" s="42" t="s">
        <v>1194</v>
      </c>
      <c r="X12" s="42" t="s">
        <v>1327</v>
      </c>
      <c r="Y12" s="42" t="s">
        <v>1231</v>
      </c>
      <c r="Z12" s="42" t="s">
        <v>1218</v>
      </c>
      <c r="AA12" s="42" t="s">
        <v>38</v>
      </c>
      <c r="AB12" s="43">
        <v>1600000</v>
      </c>
      <c r="AC12" s="44">
        <v>1600000</v>
      </c>
      <c r="AD12" s="43">
        <v>50000</v>
      </c>
      <c r="AE12" s="44">
        <v>50000</v>
      </c>
      <c r="AF12" s="42" t="s">
        <v>1244</v>
      </c>
      <c r="AG12" s="42" t="s">
        <v>37</v>
      </c>
      <c r="AH12" s="42" t="s">
        <v>1209</v>
      </c>
      <c r="AI12" s="42" t="s">
        <v>1209</v>
      </c>
      <c r="AJ12" s="42" t="s">
        <v>1209</v>
      </c>
      <c r="AK12" s="42" t="s">
        <v>38</v>
      </c>
      <c r="AL12" s="42" t="s">
        <v>39</v>
      </c>
      <c r="AM12" s="42" t="s">
        <v>1329</v>
      </c>
      <c r="AN12" s="42" t="s">
        <v>41</v>
      </c>
      <c r="AO12" s="42" t="s">
        <v>1209</v>
      </c>
      <c r="AP12" s="42" t="s">
        <v>1209</v>
      </c>
      <c r="AQ12" s="42" t="s">
        <v>1209</v>
      </c>
      <c r="AR12" s="43">
        <v>50000</v>
      </c>
      <c r="AS12" s="43">
        <v>50000</v>
      </c>
      <c r="AT12" s="43">
        <v>50000</v>
      </c>
      <c r="AU12" s="43">
        <v>50000</v>
      </c>
      <c r="AV12" s="43">
        <v>50000</v>
      </c>
      <c r="AW12" s="43">
        <v>50000</v>
      </c>
      <c r="AX12" s="43">
        <v>50000</v>
      </c>
      <c r="AY12" s="43">
        <v>50000</v>
      </c>
      <c r="AZ12" s="43">
        <v>50000</v>
      </c>
      <c r="BA12" s="43">
        <v>50000</v>
      </c>
      <c r="BB12" s="43">
        <v>50000</v>
      </c>
      <c r="BC12" s="43">
        <v>50000</v>
      </c>
      <c r="BD12" s="43">
        <v>50000</v>
      </c>
      <c r="BE12" s="43">
        <v>50000</v>
      </c>
      <c r="BF12" s="43">
        <v>50000</v>
      </c>
      <c r="BG12" s="43">
        <v>50000</v>
      </c>
      <c r="BH12" s="43">
        <v>50000</v>
      </c>
      <c r="BI12" s="43">
        <v>50000</v>
      </c>
      <c r="BJ12" s="43">
        <v>50000</v>
      </c>
      <c r="BK12" s="43">
        <v>50000</v>
      </c>
      <c r="BL12" s="43">
        <v>50000</v>
      </c>
      <c r="BM12" s="43">
        <v>50000</v>
      </c>
      <c r="BN12" s="43">
        <v>50000</v>
      </c>
      <c r="BO12" s="43">
        <v>50000</v>
      </c>
      <c r="BP12" s="43">
        <v>50000</v>
      </c>
      <c r="BQ12" s="43">
        <v>50000</v>
      </c>
      <c r="BR12" s="43">
        <v>50000</v>
      </c>
      <c r="BS12" s="43">
        <v>50000</v>
      </c>
      <c r="BT12" s="43">
        <v>50000</v>
      </c>
      <c r="BU12" s="43">
        <v>50000</v>
      </c>
      <c r="BV12" s="43">
        <v>50000</v>
      </c>
      <c r="BW12" s="43">
        <v>50000</v>
      </c>
      <c r="BX12" s="43">
        <v>50000</v>
      </c>
      <c r="BY12" s="43">
        <v>50000</v>
      </c>
      <c r="BZ12" s="43">
        <v>50000</v>
      </c>
      <c r="CA12" s="43">
        <v>50000</v>
      </c>
      <c r="CB12" s="43">
        <v>50000</v>
      </c>
      <c r="CC12" s="43">
        <v>50000</v>
      </c>
      <c r="CD12" s="43">
        <v>50000</v>
      </c>
      <c r="CE12" s="43">
        <v>50000</v>
      </c>
      <c r="CF12" s="43">
        <v>50000</v>
      </c>
      <c r="CG12" s="43">
        <v>50000</v>
      </c>
      <c r="CH12" s="43">
        <v>50000</v>
      </c>
      <c r="CI12" s="43">
        <v>50000</v>
      </c>
      <c r="CJ12" s="43">
        <v>50000</v>
      </c>
      <c r="CK12" s="43">
        <v>50000</v>
      </c>
      <c r="CL12" s="43">
        <v>50000</v>
      </c>
      <c r="CM12" s="43">
        <v>50000</v>
      </c>
      <c r="CN12" s="43">
        <v>50000</v>
      </c>
      <c r="CO12" s="43">
        <v>50000</v>
      </c>
      <c r="CP12" s="43">
        <v>50000</v>
      </c>
      <c r="CQ12" s="43">
        <v>50000</v>
      </c>
      <c r="CR12" s="43">
        <v>50000</v>
      </c>
      <c r="CS12" s="43">
        <v>50000</v>
      </c>
      <c r="CT12" s="43">
        <v>50000</v>
      </c>
      <c r="CU12" s="43">
        <v>50000</v>
      </c>
      <c r="CV12" s="43">
        <v>50000</v>
      </c>
      <c r="CW12" s="43">
        <v>50000</v>
      </c>
      <c r="CX12" s="43">
        <v>50000</v>
      </c>
      <c r="CY12" s="43">
        <v>50000</v>
      </c>
    </row>
  </sheetData>
  <pageMargins left="0.75" right="0.75" top="1" bottom="1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D99C-9919-4901-B8D7-68E40B69E205}">
  <sheetPr>
    <tabColor rgb="FFFFFF00"/>
  </sheetPr>
  <dimension ref="A1:C16"/>
  <sheetViews>
    <sheetView workbookViewId="0">
      <selection activeCell="C15" sqref="C15"/>
    </sheetView>
  </sheetViews>
  <sheetFormatPr defaultColWidth="9.109375" defaultRowHeight="13.2" x14ac:dyDescent="0.25"/>
  <cols>
    <col min="1" max="1" width="9.109375" style="39"/>
    <col min="2" max="2" width="23.109375" style="39" bestFit="1" customWidth="1"/>
    <col min="3" max="3" width="16.109375" style="39" bestFit="1" customWidth="1"/>
    <col min="4" max="16384" width="9.109375" style="39"/>
  </cols>
  <sheetData>
    <row r="1" spans="1:3" ht="14.4" x14ac:dyDescent="0.3">
      <c r="B1" s="45" t="s">
        <v>1330</v>
      </c>
      <c r="C1" s="179" t="s">
        <v>2781</v>
      </c>
    </row>
    <row r="2" spans="1:3" x14ac:dyDescent="0.25">
      <c r="A2" s="45" t="s">
        <v>1331</v>
      </c>
      <c r="B2" s="45" t="s">
        <v>63</v>
      </c>
    </row>
    <row r="3" spans="1:3" x14ac:dyDescent="0.25">
      <c r="A3" s="45" t="s">
        <v>1332</v>
      </c>
      <c r="B3" s="45" t="s">
        <v>228</v>
      </c>
    </row>
    <row r="4" spans="1:3" x14ac:dyDescent="0.25">
      <c r="A4" s="45" t="s">
        <v>1333</v>
      </c>
      <c r="B4" s="45" t="s">
        <v>159</v>
      </c>
    </row>
    <row r="5" spans="1:3" x14ac:dyDescent="0.25">
      <c r="A5" s="45" t="s">
        <v>1334</v>
      </c>
      <c r="B5" s="45" t="s">
        <v>1209</v>
      </c>
    </row>
    <row r="6" spans="1:3" x14ac:dyDescent="0.25">
      <c r="A6" s="45" t="s">
        <v>1335</v>
      </c>
      <c r="B6" s="45" t="s">
        <v>1336</v>
      </c>
    </row>
    <row r="7" spans="1:3" x14ac:dyDescent="0.25">
      <c r="A7" s="45" t="s">
        <v>1299</v>
      </c>
      <c r="B7" s="45" t="s">
        <v>36</v>
      </c>
    </row>
    <row r="8" spans="1:3" x14ac:dyDescent="0.25">
      <c r="A8" s="45" t="s">
        <v>1337</v>
      </c>
      <c r="B8" s="45" t="s">
        <v>1209</v>
      </c>
    </row>
    <row r="9" spans="1:3" x14ac:dyDescent="0.25">
      <c r="A9" s="45" t="s">
        <v>1243</v>
      </c>
      <c r="B9" s="45" t="s">
        <v>194</v>
      </c>
    </row>
    <row r="10" spans="1:3" x14ac:dyDescent="0.25">
      <c r="A10" s="45" t="s">
        <v>1338</v>
      </c>
      <c r="B10" s="45" t="s">
        <v>208</v>
      </c>
    </row>
    <row r="11" spans="1:3" x14ac:dyDescent="0.25">
      <c r="A11" s="45" t="s">
        <v>1339</v>
      </c>
      <c r="B11" s="45" t="s">
        <v>6</v>
      </c>
    </row>
    <row r="12" spans="1:3" x14ac:dyDescent="0.25">
      <c r="A12" s="45" t="s">
        <v>187</v>
      </c>
      <c r="B12" s="45" t="s">
        <v>1209</v>
      </c>
    </row>
    <row r="13" spans="1:3" x14ac:dyDescent="0.25">
      <c r="A13" s="45" t="s">
        <v>1340</v>
      </c>
      <c r="B13" s="45" t="s">
        <v>1209</v>
      </c>
    </row>
    <row r="14" spans="1:3" x14ac:dyDescent="0.25">
      <c r="A14" s="45" t="s">
        <v>190</v>
      </c>
      <c r="B14" s="45" t="s">
        <v>1209</v>
      </c>
    </row>
    <row r="15" spans="1:3" x14ac:dyDescent="0.25">
      <c r="A15" s="45" t="s">
        <v>189</v>
      </c>
      <c r="B15" s="45" t="s">
        <v>1209</v>
      </c>
    </row>
    <row r="16" spans="1:3" x14ac:dyDescent="0.25">
      <c r="A16" s="45" t="s">
        <v>1341</v>
      </c>
      <c r="B16" s="45" t="s">
        <v>1209</v>
      </c>
    </row>
  </sheetData>
  <hyperlinks>
    <hyperlink ref="C1" location="'Comparison-Sheet'!A1" display="'Comparison-Sheet'!A1" xr:uid="{F9432A35-AE4B-4694-A259-6DBE8831095E}"/>
  </hyperlinks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99A5-70FD-4777-8B0B-6EEE70440C29}">
  <sheetPr>
    <tabColor theme="9" tint="0.39997558519241921"/>
  </sheetPr>
  <dimension ref="A1:AF44"/>
  <sheetViews>
    <sheetView workbookViewId="0">
      <selection activeCell="E19" sqref="E19"/>
    </sheetView>
  </sheetViews>
  <sheetFormatPr defaultColWidth="9.109375" defaultRowHeight="13.2" x14ac:dyDescent="0.25"/>
  <cols>
    <col min="1" max="1" width="12.5546875" style="39" customWidth="1"/>
    <col min="2" max="3" width="9.109375" style="39"/>
    <col min="4" max="4" width="29.6640625" style="39" customWidth="1"/>
    <col min="5" max="5" width="42.109375" style="39" customWidth="1"/>
    <col min="6" max="6" width="25.88671875" style="39" customWidth="1"/>
    <col min="7" max="7" width="25.33203125" style="39" customWidth="1"/>
    <col min="8" max="8" width="32" style="39" customWidth="1"/>
    <col min="9" max="9" width="32.109375" style="39" customWidth="1"/>
    <col min="10" max="10" width="21.6640625" style="39" customWidth="1"/>
    <col min="11" max="11" width="34.33203125" style="39" customWidth="1"/>
    <col min="12" max="12" width="45" style="39" customWidth="1"/>
    <col min="13" max="13" width="18.6640625" style="39" customWidth="1"/>
    <col min="14" max="24" width="9.109375" style="39"/>
    <col min="25" max="25" width="14" style="39" bestFit="1" customWidth="1"/>
    <col min="26" max="26" width="14.77734375" style="39" bestFit="1" customWidth="1"/>
    <col min="27" max="27" width="14.77734375" style="39" customWidth="1"/>
    <col min="28" max="16384" width="9.109375" style="39"/>
  </cols>
  <sheetData>
    <row r="1" spans="1:32" s="190" customFormat="1" x14ac:dyDescent="0.25">
      <c r="A1" s="189" t="s">
        <v>2783</v>
      </c>
    </row>
    <row r="2" spans="1:32" x14ac:dyDescent="0.25">
      <c r="B2" s="40" t="s">
        <v>1415</v>
      </c>
    </row>
    <row r="3" spans="1:32" x14ac:dyDescent="0.25">
      <c r="A3" s="41" t="s">
        <v>1296</v>
      </c>
      <c r="B3" s="41" t="s">
        <v>1414</v>
      </c>
      <c r="C3" s="41" t="s">
        <v>1299</v>
      </c>
      <c r="D3" s="41" t="s">
        <v>1413</v>
      </c>
      <c r="E3" s="41" t="s">
        <v>1412</v>
      </c>
      <c r="F3" s="41" t="s">
        <v>1411</v>
      </c>
      <c r="G3" s="41" t="s">
        <v>1410</v>
      </c>
      <c r="H3" s="41" t="s">
        <v>1409</v>
      </c>
      <c r="I3" s="41" t="s">
        <v>1408</v>
      </c>
      <c r="J3" s="41" t="s">
        <v>1407</v>
      </c>
      <c r="K3" s="41" t="s">
        <v>1406</v>
      </c>
      <c r="L3" s="41" t="s">
        <v>1405</v>
      </c>
      <c r="M3" s="41" t="s">
        <v>1404</v>
      </c>
    </row>
    <row r="4" spans="1:32" x14ac:dyDescent="0.25">
      <c r="A4" s="42" t="s">
        <v>1320</v>
      </c>
      <c r="B4" s="42" t="s">
        <v>6</v>
      </c>
      <c r="C4" s="42" t="s">
        <v>36</v>
      </c>
      <c r="D4" s="44">
        <v>-600000</v>
      </c>
      <c r="E4" s="44">
        <v>-507965.88</v>
      </c>
      <c r="F4" s="44">
        <v>507965.88</v>
      </c>
      <c r="G4" s="44">
        <v>2539829.423163</v>
      </c>
      <c r="H4" s="44">
        <v>-1619323.2202550001</v>
      </c>
      <c r="I4" s="44">
        <v>-468686.85</v>
      </c>
      <c r="J4" s="44">
        <v>160360.705835</v>
      </c>
      <c r="K4" s="44">
        <v>0</v>
      </c>
      <c r="L4" s="44">
        <v>0</v>
      </c>
      <c r="M4" s="44">
        <v>-12180.058743</v>
      </c>
      <c r="N4" s="46"/>
    </row>
    <row r="5" spans="1:32" x14ac:dyDescent="0.25">
      <c r="A5" s="42"/>
      <c r="B5" s="42"/>
      <c r="C5" s="42"/>
      <c r="D5" s="44"/>
      <c r="E5" s="44"/>
      <c r="F5" s="44"/>
      <c r="G5" s="44"/>
      <c r="H5" s="44"/>
      <c r="I5" s="44"/>
      <c r="J5" s="44"/>
      <c r="K5" s="44"/>
      <c r="L5" s="44"/>
      <c r="M5" s="44"/>
      <c r="N5" s="46"/>
    </row>
    <row r="6" spans="1:32" x14ac:dyDescent="0.25">
      <c r="C6" s="114" t="s">
        <v>1673</v>
      </c>
      <c r="D6" s="115">
        <f t="shared" ref="D6:M6" si="0">_xlfn.XLOOKUP(D$3,$AF:$AF,$Y:$Y)</f>
        <v>-600000</v>
      </c>
      <c r="E6" s="115">
        <f t="shared" si="0"/>
        <v>-507965.88</v>
      </c>
      <c r="F6" s="115">
        <f t="shared" si="0"/>
        <v>507965.88</v>
      </c>
      <c r="G6" s="115">
        <f t="shared" si="0"/>
        <v>2539829.423163</v>
      </c>
      <c r="H6" s="115">
        <f t="shared" si="0"/>
        <v>-1619323.2202550001</v>
      </c>
      <c r="I6" s="115">
        <f t="shared" si="0"/>
        <v>-468686.85</v>
      </c>
      <c r="J6" s="115">
        <f t="shared" si="0"/>
        <v>160360.705835</v>
      </c>
      <c r="K6" s="115">
        <f t="shared" si="0"/>
        <v>0</v>
      </c>
      <c r="L6" s="115">
        <f t="shared" si="0"/>
        <v>0</v>
      </c>
      <c r="M6" s="115">
        <f t="shared" si="0"/>
        <v>-12180.058743</v>
      </c>
    </row>
    <row r="7" spans="1:32" x14ac:dyDescent="0.25">
      <c r="C7" s="114" t="s">
        <v>1594</v>
      </c>
      <c r="D7" s="115">
        <f>D4-D6</f>
        <v>0</v>
      </c>
      <c r="E7" s="115">
        <f t="shared" ref="E7:M7" si="1">E4-E6</f>
        <v>0</v>
      </c>
      <c r="F7" s="115">
        <f t="shared" si="1"/>
        <v>0</v>
      </c>
      <c r="G7" s="115">
        <f t="shared" si="1"/>
        <v>0</v>
      </c>
      <c r="H7" s="115">
        <f t="shared" si="1"/>
        <v>0</v>
      </c>
      <c r="I7" s="115">
        <f t="shared" si="1"/>
        <v>0</v>
      </c>
      <c r="J7" s="115">
        <f t="shared" si="1"/>
        <v>0</v>
      </c>
      <c r="K7" s="115">
        <f t="shared" si="1"/>
        <v>0</v>
      </c>
      <c r="L7" s="115">
        <f t="shared" si="1"/>
        <v>0</v>
      </c>
      <c r="M7" s="115">
        <f t="shared" si="1"/>
        <v>0</v>
      </c>
    </row>
    <row r="9" spans="1:32" x14ac:dyDescent="0.25">
      <c r="B9" s="54" t="s">
        <v>1452</v>
      </c>
    </row>
    <row r="10" spans="1:32" x14ac:dyDescent="0.25">
      <c r="A10" s="47" t="s">
        <v>1296</v>
      </c>
      <c r="B10" s="47" t="s">
        <v>1297</v>
      </c>
      <c r="C10" s="47" t="s">
        <v>1414</v>
      </c>
      <c r="D10" s="47" t="s">
        <v>1421</v>
      </c>
      <c r="E10" s="47" t="s">
        <v>1422</v>
      </c>
      <c r="F10" s="47" t="s">
        <v>1423</v>
      </c>
      <c r="G10" s="47" t="s">
        <v>1424</v>
      </c>
      <c r="H10" s="47" t="s">
        <v>1425</v>
      </c>
      <c r="I10" s="47" t="s">
        <v>1426</v>
      </c>
      <c r="J10" s="47" t="s">
        <v>1299</v>
      </c>
      <c r="K10" s="47" t="s">
        <v>1427</v>
      </c>
      <c r="L10" s="47" t="s">
        <v>1428</v>
      </c>
      <c r="M10" s="47" t="s">
        <v>188</v>
      </c>
      <c r="N10" s="47" t="s">
        <v>196</v>
      </c>
      <c r="O10" s="47" t="s">
        <v>197</v>
      </c>
      <c r="P10" s="47" t="s">
        <v>198</v>
      </c>
      <c r="Q10" s="47" t="s">
        <v>199</v>
      </c>
      <c r="R10" s="47" t="s">
        <v>200</v>
      </c>
      <c r="S10" s="47" t="s">
        <v>201</v>
      </c>
      <c r="T10" s="47" t="s">
        <v>202</v>
      </c>
      <c r="U10" s="47" t="s">
        <v>203</v>
      </c>
      <c r="V10" s="47" t="s">
        <v>204</v>
      </c>
      <c r="W10" s="47" t="s">
        <v>205</v>
      </c>
      <c r="X10" s="47" t="s">
        <v>206</v>
      </c>
      <c r="Y10" s="47" t="s">
        <v>1429</v>
      </c>
      <c r="Z10" s="111" t="s">
        <v>1661</v>
      </c>
      <c r="AA10" s="111" t="s">
        <v>1594</v>
      </c>
      <c r="AB10" s="47" t="s">
        <v>1430</v>
      </c>
      <c r="AC10" s="47" t="s">
        <v>1431</v>
      </c>
      <c r="AD10" s="47" t="s">
        <v>1274</v>
      </c>
      <c r="AE10" s="47" t="s">
        <v>11</v>
      </c>
    </row>
    <row r="11" spans="1:32" x14ac:dyDescent="0.25">
      <c r="A11" s="48" t="s">
        <v>1320</v>
      </c>
      <c r="B11" s="49" t="s">
        <v>1321</v>
      </c>
      <c r="C11" s="48" t="s">
        <v>6</v>
      </c>
      <c r="D11" s="48" t="s">
        <v>1322</v>
      </c>
      <c r="E11" s="48" t="s">
        <v>1432</v>
      </c>
      <c r="F11" s="48" t="s">
        <v>1433</v>
      </c>
      <c r="G11" s="48" t="s">
        <v>1434</v>
      </c>
      <c r="H11" s="49" t="s">
        <v>1435</v>
      </c>
      <c r="I11" s="50">
        <v>44926</v>
      </c>
      <c r="J11" s="48" t="s">
        <v>36</v>
      </c>
      <c r="K11" s="48" t="s">
        <v>40</v>
      </c>
      <c r="L11" s="48" t="s">
        <v>52</v>
      </c>
      <c r="M11" s="48" t="s">
        <v>38</v>
      </c>
      <c r="N11" s="48" t="s">
        <v>37</v>
      </c>
      <c r="O11" s="48" t="s">
        <v>1436</v>
      </c>
      <c r="P11" s="48" t="s">
        <v>1436</v>
      </c>
      <c r="Q11" s="48" t="s">
        <v>1436</v>
      </c>
      <c r="R11" s="48" t="s">
        <v>38</v>
      </c>
      <c r="S11" s="48" t="s">
        <v>39</v>
      </c>
      <c r="T11" s="48" t="s">
        <v>40</v>
      </c>
      <c r="U11" s="48" t="s">
        <v>41</v>
      </c>
      <c r="V11" s="48" t="s">
        <v>1436</v>
      </c>
      <c r="W11" s="48" t="s">
        <v>1436</v>
      </c>
      <c r="X11" s="48" t="s">
        <v>1436</v>
      </c>
      <c r="Y11" s="51">
        <v>-507965.88</v>
      </c>
      <c r="Z11" s="112">
        <f>SUMIFS('Ledger Entries-schedule'!$S$2:$S$145,'Ledger Entries-schedule'!$R$2:$R$145,L11)-SUMIFS('Ledger Entries-schedule'!$T$2:$T$145,'Ledger Entries-schedule'!$R$2:$R$145,L11)</f>
        <v>-507965.87999999995</v>
      </c>
      <c r="AA11" s="112">
        <f>Y11-Z11</f>
        <v>0</v>
      </c>
      <c r="AB11" s="49" t="s">
        <v>193</v>
      </c>
      <c r="AC11" s="48" t="s">
        <v>1194</v>
      </c>
      <c r="AD11" s="48" t="s">
        <v>1244</v>
      </c>
      <c r="AE11" s="48" t="s">
        <v>36</v>
      </c>
      <c r="AF11" s="39" t="str">
        <f>K11&amp;" - "&amp;L11</f>
        <v>123456 - Accumulated depreciation - Finance Lease</v>
      </c>
    </row>
    <row r="12" spans="1:32" x14ac:dyDescent="0.25">
      <c r="A12" s="48" t="s">
        <v>1320</v>
      </c>
      <c r="B12" s="49" t="s">
        <v>1321</v>
      </c>
      <c r="C12" s="48" t="s">
        <v>6</v>
      </c>
      <c r="D12" s="48" t="s">
        <v>1322</v>
      </c>
      <c r="E12" s="48" t="s">
        <v>1432</v>
      </c>
      <c r="F12" s="48" t="s">
        <v>1433</v>
      </c>
      <c r="G12" s="48" t="s">
        <v>1434</v>
      </c>
      <c r="H12" s="49" t="s">
        <v>1437</v>
      </c>
      <c r="I12" s="50">
        <v>44926</v>
      </c>
      <c r="J12" s="48" t="s">
        <v>36</v>
      </c>
      <c r="K12" s="48" t="s">
        <v>40</v>
      </c>
      <c r="L12" s="48" t="s">
        <v>42</v>
      </c>
      <c r="M12" s="48" t="s">
        <v>38</v>
      </c>
      <c r="N12" s="48" t="s">
        <v>37</v>
      </c>
      <c r="O12" s="48" t="s">
        <v>1436</v>
      </c>
      <c r="P12" s="48" t="s">
        <v>1436</v>
      </c>
      <c r="Q12" s="48" t="s">
        <v>1436</v>
      </c>
      <c r="R12" s="48" t="s">
        <v>38</v>
      </c>
      <c r="S12" s="48" t="s">
        <v>39</v>
      </c>
      <c r="T12" s="48" t="s">
        <v>40</v>
      </c>
      <c r="U12" s="48" t="s">
        <v>41</v>
      </c>
      <c r="V12" s="48" t="s">
        <v>1436</v>
      </c>
      <c r="W12" s="48" t="s">
        <v>1436</v>
      </c>
      <c r="X12" s="48" t="s">
        <v>1436</v>
      </c>
      <c r="Y12" s="51">
        <v>2539829.423163</v>
      </c>
      <c r="Z12" s="112">
        <f>SUMIFS('Ledger Entries-schedule'!$S$2:$S$145,'Ledger Entries-schedule'!$R$2:$R$145,L12)-SUMIFS('Ledger Entries-schedule'!$T$2:$T$145,'Ledger Entries-schedule'!$R$2:$R$145,L12)</f>
        <v>2539829.423163</v>
      </c>
      <c r="AA12" s="112">
        <f t="shared" ref="AA12:AA20" si="2">Y12-Z12</f>
        <v>0</v>
      </c>
      <c r="AB12" s="49" t="s">
        <v>193</v>
      </c>
      <c r="AC12" s="48" t="s">
        <v>1194</v>
      </c>
      <c r="AD12" s="48" t="s">
        <v>1244</v>
      </c>
      <c r="AE12" s="48" t="s">
        <v>36</v>
      </c>
      <c r="AF12" s="39" t="str">
        <f t="shared" ref="AF12:AF20" si="3">K12&amp;" - "&amp;L12</f>
        <v>123456 - Finance Lease asset</v>
      </c>
    </row>
    <row r="13" spans="1:32" x14ac:dyDescent="0.25">
      <c r="A13" s="48" t="s">
        <v>1320</v>
      </c>
      <c r="B13" s="49" t="s">
        <v>1321</v>
      </c>
      <c r="C13" s="48" t="s">
        <v>6</v>
      </c>
      <c r="D13" s="48" t="s">
        <v>1322</v>
      </c>
      <c r="E13" s="48" t="s">
        <v>1432</v>
      </c>
      <c r="F13" s="48" t="s">
        <v>1438</v>
      </c>
      <c r="G13" s="48" t="s">
        <v>1439</v>
      </c>
      <c r="H13" s="49" t="s">
        <v>1440</v>
      </c>
      <c r="I13" s="50">
        <v>44926</v>
      </c>
      <c r="J13" s="48" t="s">
        <v>36</v>
      </c>
      <c r="K13" s="48" t="s">
        <v>1194</v>
      </c>
      <c r="L13" s="48" t="s">
        <v>1441</v>
      </c>
      <c r="M13" s="48" t="s">
        <v>38</v>
      </c>
      <c r="N13" s="48" t="s">
        <v>37</v>
      </c>
      <c r="O13" s="48" t="s">
        <v>1436</v>
      </c>
      <c r="P13" s="48" t="s">
        <v>1436</v>
      </c>
      <c r="Q13" s="48" t="s">
        <v>1436</v>
      </c>
      <c r="R13" s="48" t="s">
        <v>38</v>
      </c>
      <c r="S13" s="48" t="s">
        <v>39</v>
      </c>
      <c r="T13" s="48" t="s">
        <v>1194</v>
      </c>
      <c r="U13" s="48" t="s">
        <v>41</v>
      </c>
      <c r="V13" s="48" t="s">
        <v>1436</v>
      </c>
      <c r="W13" s="48" t="s">
        <v>1436</v>
      </c>
      <c r="X13" s="48" t="s">
        <v>1436</v>
      </c>
      <c r="Y13" s="51">
        <v>0</v>
      </c>
      <c r="Z13" s="112">
        <f>SUMIFS('Ledger Entries-schedule'!$S$2:$S$145,'Ledger Entries-schedule'!$R$2:$R$145,L13)-SUMIFS('Ledger Entries-schedule'!$T$2:$T$145,'Ledger Entries-schedule'!$R$2:$R$145,L13)</f>
        <v>0</v>
      </c>
      <c r="AA13" s="112">
        <f t="shared" si="2"/>
        <v>0</v>
      </c>
      <c r="AB13" s="49" t="s">
        <v>193</v>
      </c>
      <c r="AC13" s="48" t="s">
        <v>1194</v>
      </c>
      <c r="AD13" s="48" t="s">
        <v>1244</v>
      </c>
      <c r="AE13" s="48" t="s">
        <v>36</v>
      </c>
      <c r="AF13" s="39" t="str">
        <f t="shared" si="3"/>
        <v>Office Equipment - Translation Adjustment</v>
      </c>
    </row>
    <row r="14" spans="1:32" x14ac:dyDescent="0.25">
      <c r="A14" s="48" t="s">
        <v>1320</v>
      </c>
      <c r="B14" s="49" t="s">
        <v>1321</v>
      </c>
      <c r="C14" s="48" t="s">
        <v>6</v>
      </c>
      <c r="D14" s="48" t="s">
        <v>1322</v>
      </c>
      <c r="E14" s="48" t="s">
        <v>1432</v>
      </c>
      <c r="F14" s="48" t="s">
        <v>1438</v>
      </c>
      <c r="G14" s="48" t="s">
        <v>1439</v>
      </c>
      <c r="H14" s="49" t="s">
        <v>1442</v>
      </c>
      <c r="I14" s="50">
        <v>44926</v>
      </c>
      <c r="J14" s="48" t="s">
        <v>36</v>
      </c>
      <c r="K14" s="48" t="s">
        <v>1194</v>
      </c>
      <c r="L14" s="48" t="s">
        <v>1443</v>
      </c>
      <c r="M14" s="48" t="s">
        <v>38</v>
      </c>
      <c r="N14" s="48" t="s">
        <v>37</v>
      </c>
      <c r="O14" s="48" t="s">
        <v>1436</v>
      </c>
      <c r="P14" s="48" t="s">
        <v>1436</v>
      </c>
      <c r="Q14" s="48" t="s">
        <v>1436</v>
      </c>
      <c r="R14" s="48" t="s">
        <v>38</v>
      </c>
      <c r="S14" s="48" t="s">
        <v>39</v>
      </c>
      <c r="T14" s="48" t="s">
        <v>1194</v>
      </c>
      <c r="U14" s="48" t="s">
        <v>41</v>
      </c>
      <c r="V14" s="48" t="s">
        <v>1436</v>
      </c>
      <c r="W14" s="48" t="s">
        <v>1436</v>
      </c>
      <c r="X14" s="48" t="s">
        <v>1436</v>
      </c>
      <c r="Y14" s="51">
        <v>0</v>
      </c>
      <c r="Z14" s="112">
        <f>SUMIFS('Ledger Entries-schedule'!$S$2:$S$145,'Ledger Entries-schedule'!$R$2:$R$145,L14)-SUMIFS('Ledger Entries-schedule'!$T$2:$T$145,'Ledger Entries-schedule'!$R$2:$R$145,L14)</f>
        <v>0</v>
      </c>
      <c r="AA14" s="112">
        <f t="shared" si="2"/>
        <v>0</v>
      </c>
      <c r="AB14" s="49" t="s">
        <v>193</v>
      </c>
      <c r="AC14" s="48" t="s">
        <v>1194</v>
      </c>
      <c r="AD14" s="48" t="s">
        <v>1244</v>
      </c>
      <c r="AE14" s="48" t="s">
        <v>36</v>
      </c>
      <c r="AF14" s="39" t="str">
        <f t="shared" si="3"/>
        <v>Office Equipment - Translation Adjustment - AP Clearing</v>
      </c>
    </row>
    <row r="15" spans="1:32" x14ac:dyDescent="0.25">
      <c r="A15" s="48" t="s">
        <v>1320</v>
      </c>
      <c r="B15" s="49" t="s">
        <v>1321</v>
      </c>
      <c r="C15" s="48" t="s">
        <v>6</v>
      </c>
      <c r="D15" s="48" t="s">
        <v>1322</v>
      </c>
      <c r="E15" s="48" t="s">
        <v>1432</v>
      </c>
      <c r="F15" s="48" t="s">
        <v>1438</v>
      </c>
      <c r="G15" s="48" t="s">
        <v>1444</v>
      </c>
      <c r="H15" s="49" t="s">
        <v>1445</v>
      </c>
      <c r="I15" s="50">
        <v>44926</v>
      </c>
      <c r="J15" s="48" t="s">
        <v>36</v>
      </c>
      <c r="K15" s="48" t="s">
        <v>40</v>
      </c>
      <c r="L15" s="48" t="s">
        <v>50</v>
      </c>
      <c r="M15" s="48" t="s">
        <v>38</v>
      </c>
      <c r="N15" s="48" t="s">
        <v>37</v>
      </c>
      <c r="O15" s="48" t="s">
        <v>1436</v>
      </c>
      <c r="P15" s="48" t="s">
        <v>1436</v>
      </c>
      <c r="Q15" s="48" t="s">
        <v>1436</v>
      </c>
      <c r="R15" s="48" t="s">
        <v>38</v>
      </c>
      <c r="S15" s="48" t="s">
        <v>39</v>
      </c>
      <c r="T15" s="48" t="s">
        <v>40</v>
      </c>
      <c r="U15" s="48" t="s">
        <v>41</v>
      </c>
      <c r="V15" s="48" t="s">
        <v>1436</v>
      </c>
      <c r="W15" s="48" t="s">
        <v>1436</v>
      </c>
      <c r="X15" s="48" t="s">
        <v>1436</v>
      </c>
      <c r="Y15" s="51">
        <v>507965.88</v>
      </c>
      <c r="Z15" s="112">
        <f>SUMIFS('Ledger Entries-schedule'!$S$2:$S$145,'Ledger Entries-schedule'!$R$2:$R$145,L15)-SUMIFS('Ledger Entries-schedule'!$T$2:$T$145,'Ledger Entries-schedule'!$R$2:$R$145,L15)</f>
        <v>507965.87999999995</v>
      </c>
      <c r="AA15" s="112">
        <f t="shared" si="2"/>
        <v>0</v>
      </c>
      <c r="AB15" s="49" t="s">
        <v>193</v>
      </c>
      <c r="AC15" s="48" t="s">
        <v>1194</v>
      </c>
      <c r="AD15" s="48" t="s">
        <v>1244</v>
      </c>
      <c r="AE15" s="48" t="s">
        <v>36</v>
      </c>
      <c r="AF15" s="39" t="str">
        <f t="shared" si="3"/>
        <v>123456 - Depreciation expense</v>
      </c>
    </row>
    <row r="16" spans="1:32" x14ac:dyDescent="0.25">
      <c r="A16" s="48" t="s">
        <v>1320</v>
      </c>
      <c r="B16" s="49" t="s">
        <v>1321</v>
      </c>
      <c r="C16" s="48" t="s">
        <v>6</v>
      </c>
      <c r="D16" s="48" t="s">
        <v>1322</v>
      </c>
      <c r="E16" s="48" t="s">
        <v>1432</v>
      </c>
      <c r="F16" s="48" t="s">
        <v>1438</v>
      </c>
      <c r="G16" s="48" t="s">
        <v>1444</v>
      </c>
      <c r="H16" s="49" t="s">
        <v>1446</v>
      </c>
      <c r="I16" s="50">
        <v>44926</v>
      </c>
      <c r="J16" s="48" t="s">
        <v>36</v>
      </c>
      <c r="K16" s="48" t="s">
        <v>40</v>
      </c>
      <c r="L16" s="48" t="s">
        <v>47</v>
      </c>
      <c r="M16" s="48" t="s">
        <v>38</v>
      </c>
      <c r="N16" s="48" t="s">
        <v>37</v>
      </c>
      <c r="O16" s="48" t="s">
        <v>1436</v>
      </c>
      <c r="P16" s="48" t="s">
        <v>1436</v>
      </c>
      <c r="Q16" s="48" t="s">
        <v>1436</v>
      </c>
      <c r="R16" s="48" t="s">
        <v>38</v>
      </c>
      <c r="S16" s="48" t="s">
        <v>39</v>
      </c>
      <c r="T16" s="48" t="s">
        <v>40</v>
      </c>
      <c r="U16" s="48" t="s">
        <v>41</v>
      </c>
      <c r="V16" s="48" t="s">
        <v>1436</v>
      </c>
      <c r="W16" s="48" t="s">
        <v>1436</v>
      </c>
      <c r="X16" s="48" t="s">
        <v>1436</v>
      </c>
      <c r="Y16" s="51">
        <v>160360.705835</v>
      </c>
      <c r="Z16" s="112">
        <f>SUMIFS('Ledger Entries-schedule'!$S$2:$S$145,'Ledger Entries-schedule'!$R$2:$R$145,L16)-SUMIFS('Ledger Entries-schedule'!$T$2:$T$145,'Ledger Entries-schedule'!$R$2:$R$145,L16)</f>
        <v>160360.705835</v>
      </c>
      <c r="AA16" s="112">
        <f t="shared" si="2"/>
        <v>0</v>
      </c>
      <c r="AB16" s="49" t="s">
        <v>193</v>
      </c>
      <c r="AC16" s="48" t="s">
        <v>1194</v>
      </c>
      <c r="AD16" s="48" t="s">
        <v>1244</v>
      </c>
      <c r="AE16" s="48" t="s">
        <v>36</v>
      </c>
      <c r="AF16" s="39" t="str">
        <f t="shared" si="3"/>
        <v>123456 - Interest expense</v>
      </c>
    </row>
    <row r="17" spans="1:32" x14ac:dyDescent="0.25">
      <c r="A17" s="48" t="s">
        <v>1320</v>
      </c>
      <c r="B17" s="49" t="s">
        <v>1321</v>
      </c>
      <c r="C17" s="48" t="s">
        <v>6</v>
      </c>
      <c r="D17" s="48" t="s">
        <v>1322</v>
      </c>
      <c r="E17" s="48" t="s">
        <v>1432</v>
      </c>
      <c r="F17" s="48" t="s">
        <v>1433</v>
      </c>
      <c r="G17" s="48" t="s">
        <v>1447</v>
      </c>
      <c r="H17" s="49" t="s">
        <v>1448</v>
      </c>
      <c r="I17" s="50">
        <v>44926</v>
      </c>
      <c r="J17" s="48" t="s">
        <v>36</v>
      </c>
      <c r="K17" s="48" t="s">
        <v>40</v>
      </c>
      <c r="L17" s="48" t="s">
        <v>58</v>
      </c>
      <c r="M17" s="48" t="s">
        <v>38</v>
      </c>
      <c r="N17" s="48" t="s">
        <v>37</v>
      </c>
      <c r="O17" s="48" t="s">
        <v>1436</v>
      </c>
      <c r="P17" s="48" t="s">
        <v>1436</v>
      </c>
      <c r="Q17" s="48" t="s">
        <v>1436</v>
      </c>
      <c r="R17" s="48" t="s">
        <v>38</v>
      </c>
      <c r="S17" s="48" t="s">
        <v>39</v>
      </c>
      <c r="T17" s="48" t="s">
        <v>40</v>
      </c>
      <c r="U17" s="48" t="s">
        <v>41</v>
      </c>
      <c r="V17" s="48" t="s">
        <v>1436</v>
      </c>
      <c r="W17" s="48" t="s">
        <v>1436</v>
      </c>
      <c r="X17" s="48" t="s">
        <v>1436</v>
      </c>
      <c r="Y17" s="51">
        <v>-600000</v>
      </c>
      <c r="Z17" s="112">
        <f>SUMIFS('Ledger Entries-schedule'!$S$2:$S$145,'Ledger Entries-schedule'!$R$2:$R$145,L17)-SUMIFS('Ledger Entries-schedule'!$T$2:$T$145,'Ledger Entries-schedule'!$R$2:$R$145,L17)</f>
        <v>-600000</v>
      </c>
      <c r="AA17" s="112">
        <f t="shared" si="2"/>
        <v>0</v>
      </c>
      <c r="AB17" s="49" t="s">
        <v>193</v>
      </c>
      <c r="AC17" s="48" t="s">
        <v>1194</v>
      </c>
      <c r="AD17" s="48" t="s">
        <v>1244</v>
      </c>
      <c r="AE17" s="48" t="s">
        <v>36</v>
      </c>
      <c r="AF17" s="39" t="str">
        <f t="shared" si="3"/>
        <v>123456 - Accounts Payable Clearing</v>
      </c>
    </row>
    <row r="18" spans="1:32" x14ac:dyDescent="0.25">
      <c r="A18" s="48" t="s">
        <v>1320</v>
      </c>
      <c r="B18" s="49" t="s">
        <v>1321</v>
      </c>
      <c r="C18" s="48" t="s">
        <v>6</v>
      </c>
      <c r="D18" s="48" t="s">
        <v>1322</v>
      </c>
      <c r="E18" s="48" t="s">
        <v>1432</v>
      </c>
      <c r="F18" s="48" t="s">
        <v>1433</v>
      </c>
      <c r="G18" s="48" t="s">
        <v>1447</v>
      </c>
      <c r="H18" s="49" t="s">
        <v>1449</v>
      </c>
      <c r="I18" s="50">
        <v>44926</v>
      </c>
      <c r="J18" s="48" t="s">
        <v>36</v>
      </c>
      <c r="K18" s="48" t="s">
        <v>40</v>
      </c>
      <c r="L18" s="48" t="s">
        <v>45</v>
      </c>
      <c r="M18" s="48" t="s">
        <v>38</v>
      </c>
      <c r="N18" s="48" t="s">
        <v>37</v>
      </c>
      <c r="O18" s="48" t="s">
        <v>1436</v>
      </c>
      <c r="P18" s="48" t="s">
        <v>1436</v>
      </c>
      <c r="Q18" s="48" t="s">
        <v>1436</v>
      </c>
      <c r="R18" s="48" t="s">
        <v>38</v>
      </c>
      <c r="S18" s="48" t="s">
        <v>39</v>
      </c>
      <c r="T18" s="48" t="s">
        <v>40</v>
      </c>
      <c r="U18" s="48" t="s">
        <v>41</v>
      </c>
      <c r="V18" s="48" t="s">
        <v>1436</v>
      </c>
      <c r="W18" s="48" t="s">
        <v>1436</v>
      </c>
      <c r="X18" s="48" t="s">
        <v>1436</v>
      </c>
      <c r="Y18" s="51">
        <v>-1619323.2202550001</v>
      </c>
      <c r="Z18" s="112">
        <f>SUMIFS('Ledger Entries-schedule'!$S$2:$S$145,'Ledger Entries-schedule'!$R$2:$R$145,L18)-SUMIFS('Ledger Entries-schedule'!$T$2:$T$145,'Ledger Entries-schedule'!$R$2:$R$145,L18)</f>
        <v>-1619323.2202550005</v>
      </c>
      <c r="AA18" s="112">
        <f t="shared" si="2"/>
        <v>0</v>
      </c>
      <c r="AB18" s="49" t="s">
        <v>193</v>
      </c>
      <c r="AC18" s="48" t="s">
        <v>1194</v>
      </c>
      <c r="AD18" s="48" t="s">
        <v>1244</v>
      </c>
      <c r="AE18" s="48" t="s">
        <v>36</v>
      </c>
      <c r="AF18" s="39" t="str">
        <f t="shared" si="3"/>
        <v>123456 - Finance Lease obligation - LT</v>
      </c>
    </row>
    <row r="19" spans="1:32" x14ac:dyDescent="0.25">
      <c r="A19" s="48" t="s">
        <v>1320</v>
      </c>
      <c r="B19" s="49" t="s">
        <v>1321</v>
      </c>
      <c r="C19" s="48" t="s">
        <v>6</v>
      </c>
      <c r="D19" s="48" t="s">
        <v>1322</v>
      </c>
      <c r="E19" s="48" t="s">
        <v>1432</v>
      </c>
      <c r="F19" s="48" t="s">
        <v>1433</v>
      </c>
      <c r="G19" s="48" t="s">
        <v>1447</v>
      </c>
      <c r="H19" s="49" t="s">
        <v>1450</v>
      </c>
      <c r="I19" s="50">
        <v>44926</v>
      </c>
      <c r="J19" s="48" t="s">
        <v>36</v>
      </c>
      <c r="K19" s="48" t="s">
        <v>40</v>
      </c>
      <c r="L19" s="48" t="s">
        <v>54</v>
      </c>
      <c r="M19" s="48" t="s">
        <v>38</v>
      </c>
      <c r="N19" s="48" t="s">
        <v>37</v>
      </c>
      <c r="O19" s="48" t="s">
        <v>1436</v>
      </c>
      <c r="P19" s="48" t="s">
        <v>1436</v>
      </c>
      <c r="Q19" s="48" t="s">
        <v>1436</v>
      </c>
      <c r="R19" s="48" t="s">
        <v>38</v>
      </c>
      <c r="S19" s="48" t="s">
        <v>39</v>
      </c>
      <c r="T19" s="48" t="s">
        <v>40</v>
      </c>
      <c r="U19" s="48" t="s">
        <v>41</v>
      </c>
      <c r="V19" s="48" t="s">
        <v>1436</v>
      </c>
      <c r="W19" s="48" t="s">
        <v>1436</v>
      </c>
      <c r="X19" s="48" t="s">
        <v>1436</v>
      </c>
      <c r="Y19" s="51">
        <v>-468686.85</v>
      </c>
      <c r="Z19" s="112">
        <f>SUMIFS('Ledger Entries-schedule'!$S$2:$S$145,'Ledger Entries-schedule'!$R$2:$R$145,L19)-SUMIFS('Ledger Entries-schedule'!$T$2:$T$145,'Ledger Entries-schedule'!$R$2:$R$145,L19)</f>
        <v>-468686.84999999963</v>
      </c>
      <c r="AA19" s="112">
        <f t="shared" si="2"/>
        <v>0</v>
      </c>
      <c r="AB19" s="49" t="s">
        <v>193</v>
      </c>
      <c r="AC19" s="48" t="s">
        <v>1194</v>
      </c>
      <c r="AD19" s="48" t="s">
        <v>1244</v>
      </c>
      <c r="AE19" s="48" t="s">
        <v>36</v>
      </c>
      <c r="AF19" s="39" t="str">
        <f t="shared" si="3"/>
        <v>123456 - Finance Lease obligation - ST</v>
      </c>
    </row>
    <row r="20" spans="1:32" x14ac:dyDescent="0.25">
      <c r="A20" s="48" t="s">
        <v>1320</v>
      </c>
      <c r="B20" s="49" t="s">
        <v>1321</v>
      </c>
      <c r="C20" s="48" t="s">
        <v>6</v>
      </c>
      <c r="D20" s="48" t="s">
        <v>1322</v>
      </c>
      <c r="E20" s="48" t="s">
        <v>1432</v>
      </c>
      <c r="F20" s="48" t="s">
        <v>1433</v>
      </c>
      <c r="G20" s="48" t="s">
        <v>1447</v>
      </c>
      <c r="H20" s="49" t="s">
        <v>1451</v>
      </c>
      <c r="I20" s="50">
        <v>44926</v>
      </c>
      <c r="J20" s="48" t="s">
        <v>36</v>
      </c>
      <c r="K20" s="48" t="s">
        <v>38</v>
      </c>
      <c r="L20" s="48" t="s">
        <v>49</v>
      </c>
      <c r="M20" s="48" t="s">
        <v>38</v>
      </c>
      <c r="N20" s="48" t="s">
        <v>37</v>
      </c>
      <c r="O20" s="48" t="s">
        <v>1436</v>
      </c>
      <c r="P20" s="48" t="s">
        <v>1436</v>
      </c>
      <c r="Q20" s="48" t="s">
        <v>1436</v>
      </c>
      <c r="R20" s="48" t="s">
        <v>38</v>
      </c>
      <c r="S20" s="48" t="s">
        <v>39</v>
      </c>
      <c r="T20" s="48" t="s">
        <v>38</v>
      </c>
      <c r="U20" s="48" t="s">
        <v>41</v>
      </c>
      <c r="V20" s="48" t="s">
        <v>1436</v>
      </c>
      <c r="W20" s="48" t="s">
        <v>1436</v>
      </c>
      <c r="X20" s="48" t="s">
        <v>1436</v>
      </c>
      <c r="Y20" s="51">
        <v>-12180.058743</v>
      </c>
      <c r="Z20" s="112">
        <f>SUMIFS('Ledger Entries-schedule'!$S$2:$S$145,'Ledger Entries-schedule'!$R$2:$R$145,L20)-SUMIFS('Ledger Entries-schedule'!$T$2:$T$145,'Ledger Entries-schedule'!$R$2:$R$145,L20)</f>
        <v>-12180.058743000001</v>
      </c>
      <c r="AA20" s="112">
        <f t="shared" si="2"/>
        <v>0</v>
      </c>
      <c r="AB20" s="49" t="s">
        <v>193</v>
      </c>
      <c r="AC20" s="48" t="s">
        <v>1194</v>
      </c>
      <c r="AD20" s="48" t="s">
        <v>1244</v>
      </c>
      <c r="AE20" s="48" t="s">
        <v>36</v>
      </c>
      <c r="AF20" s="39" t="str">
        <f t="shared" si="3"/>
        <v>TBD - Interest accrued</v>
      </c>
    </row>
    <row r="21" spans="1:32" x14ac:dyDescent="0.25">
      <c r="A21" s="52" t="s">
        <v>1209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</row>
    <row r="22" spans="1:32" x14ac:dyDescent="0.25">
      <c r="A22" s="52" t="s">
        <v>1209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</row>
    <row r="23" spans="1:32" s="191" customFormat="1" x14ac:dyDescent="0.25">
      <c r="A23" s="188" t="s">
        <v>2784</v>
      </c>
    </row>
    <row r="25" spans="1:32" customFormat="1" ht="14.4" x14ac:dyDescent="0.3">
      <c r="B25" s="78" t="s">
        <v>1415</v>
      </c>
    </row>
    <row r="26" spans="1:32" customFormat="1" ht="14.4" x14ac:dyDescent="0.3">
      <c r="A26" s="79" t="s">
        <v>1296</v>
      </c>
      <c r="B26" s="79" t="s">
        <v>1414</v>
      </c>
      <c r="C26" s="79" t="s">
        <v>1299</v>
      </c>
      <c r="D26" s="79" t="s">
        <v>1413</v>
      </c>
      <c r="E26" s="79" t="s">
        <v>1412</v>
      </c>
      <c r="F26" s="79" t="s">
        <v>1411</v>
      </c>
      <c r="G26" s="79" t="s">
        <v>1410</v>
      </c>
      <c r="H26" s="79" t="s">
        <v>1409</v>
      </c>
      <c r="I26" s="79" t="s">
        <v>1408</v>
      </c>
      <c r="J26" s="79" t="s">
        <v>1407</v>
      </c>
      <c r="K26" s="79" t="s">
        <v>1406</v>
      </c>
      <c r="L26" s="79" t="s">
        <v>1405</v>
      </c>
      <c r="M26" s="79" t="s">
        <v>1404</v>
      </c>
    </row>
    <row r="27" spans="1:32" customFormat="1" ht="14.4" x14ac:dyDescent="0.3">
      <c r="A27" s="80" t="s">
        <v>1320</v>
      </c>
      <c r="B27" s="80" t="s">
        <v>6</v>
      </c>
      <c r="C27" s="80" t="s">
        <v>36</v>
      </c>
      <c r="D27" s="81">
        <v>-1200000</v>
      </c>
      <c r="E27" s="81">
        <v>-1015931.77</v>
      </c>
      <c r="F27" s="81">
        <v>507965.89</v>
      </c>
      <c r="G27" s="81">
        <v>2539829.423163</v>
      </c>
      <c r="H27" s="81">
        <v>-1116754.9725800001</v>
      </c>
      <c r="I27" s="81">
        <v>-502568.25</v>
      </c>
      <c r="J27" s="81">
        <v>128579.145714</v>
      </c>
      <c r="K27" s="81">
        <v>0</v>
      </c>
      <c r="L27" s="81">
        <v>0</v>
      </c>
      <c r="M27" s="81">
        <v>-9446.0521320000007</v>
      </c>
    </row>
    <row r="31" spans="1:32" x14ac:dyDescent="0.25">
      <c r="A31" s="78" t="s">
        <v>1452</v>
      </c>
    </row>
    <row r="32" spans="1:32" x14ac:dyDescent="0.25">
      <c r="A32" s="82" t="s">
        <v>1296</v>
      </c>
      <c r="B32" s="82" t="s">
        <v>1297</v>
      </c>
      <c r="C32" s="82" t="s">
        <v>1414</v>
      </c>
      <c r="D32" s="82" t="s">
        <v>1421</v>
      </c>
      <c r="E32" s="82" t="s">
        <v>1422</v>
      </c>
      <c r="F32" s="82" t="s">
        <v>1423</v>
      </c>
      <c r="G32" s="82" t="s">
        <v>1424</v>
      </c>
      <c r="H32" s="82" t="s">
        <v>1425</v>
      </c>
      <c r="I32" s="82" t="s">
        <v>1426</v>
      </c>
      <c r="J32" s="82" t="s">
        <v>1299</v>
      </c>
      <c r="K32" s="82" t="s">
        <v>1427</v>
      </c>
      <c r="L32" s="82" t="s">
        <v>1428</v>
      </c>
      <c r="M32" s="82" t="s">
        <v>188</v>
      </c>
      <c r="N32" s="82" t="s">
        <v>196</v>
      </c>
      <c r="O32" s="82" t="s">
        <v>197</v>
      </c>
      <c r="P32" s="82" t="s">
        <v>198</v>
      </c>
      <c r="Q32" s="82" t="s">
        <v>199</v>
      </c>
      <c r="R32" s="82" t="s">
        <v>200</v>
      </c>
      <c r="S32" s="82" t="s">
        <v>201</v>
      </c>
      <c r="T32" s="82" t="s">
        <v>202</v>
      </c>
      <c r="U32" s="82" t="s">
        <v>203</v>
      </c>
      <c r="V32" s="82" t="s">
        <v>204</v>
      </c>
      <c r="W32" s="82" t="s">
        <v>205</v>
      </c>
      <c r="X32" s="82" t="s">
        <v>206</v>
      </c>
      <c r="Y32" s="82" t="s">
        <v>1429</v>
      </c>
      <c r="Z32" s="82" t="s">
        <v>1430</v>
      </c>
      <c r="AA32" s="82" t="s">
        <v>1431</v>
      </c>
      <c r="AB32" s="82" t="s">
        <v>1274</v>
      </c>
      <c r="AC32" s="82" t="s">
        <v>11</v>
      </c>
    </row>
    <row r="33" spans="1:29" x14ac:dyDescent="0.25">
      <c r="A33" s="83" t="s">
        <v>1320</v>
      </c>
      <c r="B33" s="84" t="s">
        <v>1321</v>
      </c>
      <c r="C33" s="83" t="s">
        <v>6</v>
      </c>
      <c r="D33" s="83" t="s">
        <v>1322</v>
      </c>
      <c r="E33" s="83" t="s">
        <v>1432</v>
      </c>
      <c r="F33" s="83" t="s">
        <v>1433</v>
      </c>
      <c r="G33" s="83" t="s">
        <v>1434</v>
      </c>
      <c r="H33" s="84" t="s">
        <v>1435</v>
      </c>
      <c r="I33" s="85">
        <v>45291</v>
      </c>
      <c r="J33" s="83" t="s">
        <v>36</v>
      </c>
      <c r="K33" s="83" t="s">
        <v>40</v>
      </c>
      <c r="L33" s="83" t="s">
        <v>52</v>
      </c>
      <c r="M33" s="83" t="s">
        <v>38</v>
      </c>
      <c r="N33" s="83" t="s">
        <v>37</v>
      </c>
      <c r="O33" s="83" t="s">
        <v>1436</v>
      </c>
      <c r="P33" s="83" t="s">
        <v>1436</v>
      </c>
      <c r="Q33" s="83" t="s">
        <v>1436</v>
      </c>
      <c r="R33" s="83" t="s">
        <v>38</v>
      </c>
      <c r="S33" s="83" t="s">
        <v>39</v>
      </c>
      <c r="T33" s="83" t="s">
        <v>40</v>
      </c>
      <c r="U33" s="83" t="s">
        <v>41</v>
      </c>
      <c r="V33" s="83" t="s">
        <v>1436</v>
      </c>
      <c r="W33" s="83" t="s">
        <v>1436</v>
      </c>
      <c r="X33" s="83" t="s">
        <v>1436</v>
      </c>
      <c r="Y33" s="86">
        <v>-1015931.77</v>
      </c>
      <c r="Z33" s="84" t="s">
        <v>193</v>
      </c>
      <c r="AA33" s="83" t="s">
        <v>1194</v>
      </c>
      <c r="AB33" s="83" t="s">
        <v>1244</v>
      </c>
      <c r="AC33" s="83" t="s">
        <v>36</v>
      </c>
    </row>
    <row r="34" spans="1:29" x14ac:dyDescent="0.25">
      <c r="A34" s="83" t="s">
        <v>1320</v>
      </c>
      <c r="B34" s="84" t="s">
        <v>1321</v>
      </c>
      <c r="C34" s="83" t="s">
        <v>6</v>
      </c>
      <c r="D34" s="83" t="s">
        <v>1322</v>
      </c>
      <c r="E34" s="83" t="s">
        <v>1432</v>
      </c>
      <c r="F34" s="83" t="s">
        <v>1433</v>
      </c>
      <c r="G34" s="83" t="s">
        <v>1434</v>
      </c>
      <c r="H34" s="84" t="s">
        <v>1437</v>
      </c>
      <c r="I34" s="85">
        <v>45291</v>
      </c>
      <c r="J34" s="83" t="s">
        <v>36</v>
      </c>
      <c r="K34" s="83" t="s">
        <v>40</v>
      </c>
      <c r="L34" s="83" t="s">
        <v>42</v>
      </c>
      <c r="M34" s="83" t="s">
        <v>38</v>
      </c>
      <c r="N34" s="83" t="s">
        <v>37</v>
      </c>
      <c r="O34" s="83" t="s">
        <v>1436</v>
      </c>
      <c r="P34" s="83" t="s">
        <v>1436</v>
      </c>
      <c r="Q34" s="83" t="s">
        <v>1436</v>
      </c>
      <c r="R34" s="83" t="s">
        <v>38</v>
      </c>
      <c r="S34" s="83" t="s">
        <v>39</v>
      </c>
      <c r="T34" s="83" t="s">
        <v>40</v>
      </c>
      <c r="U34" s="83" t="s">
        <v>41</v>
      </c>
      <c r="V34" s="83" t="s">
        <v>1436</v>
      </c>
      <c r="W34" s="83" t="s">
        <v>1436</v>
      </c>
      <c r="X34" s="83" t="s">
        <v>1436</v>
      </c>
      <c r="Y34" s="86">
        <v>2539829.423163</v>
      </c>
      <c r="Z34" s="84" t="s">
        <v>193</v>
      </c>
      <c r="AA34" s="83" t="s">
        <v>1194</v>
      </c>
      <c r="AB34" s="83" t="s">
        <v>1244</v>
      </c>
      <c r="AC34" s="83" t="s">
        <v>36</v>
      </c>
    </row>
    <row r="35" spans="1:29" x14ac:dyDescent="0.25">
      <c r="A35" s="83" t="s">
        <v>1320</v>
      </c>
      <c r="B35" s="84" t="s">
        <v>1321</v>
      </c>
      <c r="C35" s="83" t="s">
        <v>6</v>
      </c>
      <c r="D35" s="83" t="s">
        <v>1322</v>
      </c>
      <c r="E35" s="83" t="s">
        <v>1432</v>
      </c>
      <c r="F35" s="83" t="s">
        <v>1438</v>
      </c>
      <c r="G35" s="83" t="s">
        <v>1439</v>
      </c>
      <c r="H35" s="84" t="s">
        <v>1440</v>
      </c>
      <c r="I35" s="85">
        <v>45291</v>
      </c>
      <c r="J35" s="83" t="s">
        <v>36</v>
      </c>
      <c r="K35" s="83" t="s">
        <v>1194</v>
      </c>
      <c r="L35" s="83" t="s">
        <v>1441</v>
      </c>
      <c r="M35" s="83" t="s">
        <v>38</v>
      </c>
      <c r="N35" s="83" t="s">
        <v>37</v>
      </c>
      <c r="O35" s="83" t="s">
        <v>1436</v>
      </c>
      <c r="P35" s="83" t="s">
        <v>1436</v>
      </c>
      <c r="Q35" s="83" t="s">
        <v>1436</v>
      </c>
      <c r="R35" s="83" t="s">
        <v>38</v>
      </c>
      <c r="S35" s="83" t="s">
        <v>39</v>
      </c>
      <c r="T35" s="83" t="s">
        <v>1194</v>
      </c>
      <c r="U35" s="83" t="s">
        <v>41</v>
      </c>
      <c r="V35" s="83" t="s">
        <v>1436</v>
      </c>
      <c r="W35" s="83" t="s">
        <v>1436</v>
      </c>
      <c r="X35" s="83" t="s">
        <v>1436</v>
      </c>
      <c r="Y35" s="86">
        <v>0</v>
      </c>
      <c r="Z35" s="84" t="s">
        <v>193</v>
      </c>
      <c r="AA35" s="83" t="s">
        <v>1194</v>
      </c>
      <c r="AB35" s="83" t="s">
        <v>1244</v>
      </c>
      <c r="AC35" s="83" t="s">
        <v>36</v>
      </c>
    </row>
    <row r="36" spans="1:29" x14ac:dyDescent="0.25">
      <c r="A36" s="83" t="s">
        <v>1320</v>
      </c>
      <c r="B36" s="84" t="s">
        <v>1321</v>
      </c>
      <c r="C36" s="83" t="s">
        <v>6</v>
      </c>
      <c r="D36" s="83" t="s">
        <v>1322</v>
      </c>
      <c r="E36" s="83" t="s">
        <v>1432</v>
      </c>
      <c r="F36" s="83" t="s">
        <v>1438</v>
      </c>
      <c r="G36" s="83" t="s">
        <v>1439</v>
      </c>
      <c r="H36" s="84" t="s">
        <v>1442</v>
      </c>
      <c r="I36" s="85">
        <v>45291</v>
      </c>
      <c r="J36" s="83" t="s">
        <v>36</v>
      </c>
      <c r="K36" s="83" t="s">
        <v>1194</v>
      </c>
      <c r="L36" s="83" t="s">
        <v>1443</v>
      </c>
      <c r="M36" s="83" t="s">
        <v>38</v>
      </c>
      <c r="N36" s="83" t="s">
        <v>37</v>
      </c>
      <c r="O36" s="83" t="s">
        <v>1436</v>
      </c>
      <c r="P36" s="83" t="s">
        <v>1436</v>
      </c>
      <c r="Q36" s="83" t="s">
        <v>1436</v>
      </c>
      <c r="R36" s="83" t="s">
        <v>38</v>
      </c>
      <c r="S36" s="83" t="s">
        <v>39</v>
      </c>
      <c r="T36" s="83" t="s">
        <v>1194</v>
      </c>
      <c r="U36" s="83" t="s">
        <v>41</v>
      </c>
      <c r="V36" s="83" t="s">
        <v>1436</v>
      </c>
      <c r="W36" s="83" t="s">
        <v>1436</v>
      </c>
      <c r="X36" s="83" t="s">
        <v>1436</v>
      </c>
      <c r="Y36" s="86">
        <v>0</v>
      </c>
      <c r="Z36" s="84" t="s">
        <v>193</v>
      </c>
      <c r="AA36" s="83" t="s">
        <v>1194</v>
      </c>
      <c r="AB36" s="83" t="s">
        <v>1244</v>
      </c>
      <c r="AC36" s="83" t="s">
        <v>36</v>
      </c>
    </row>
    <row r="37" spans="1:29" x14ac:dyDescent="0.25">
      <c r="A37" s="83" t="s">
        <v>1320</v>
      </c>
      <c r="B37" s="84" t="s">
        <v>1321</v>
      </c>
      <c r="C37" s="83" t="s">
        <v>6</v>
      </c>
      <c r="D37" s="83" t="s">
        <v>1322</v>
      </c>
      <c r="E37" s="83" t="s">
        <v>1432</v>
      </c>
      <c r="F37" s="83" t="s">
        <v>1438</v>
      </c>
      <c r="G37" s="83" t="s">
        <v>1444</v>
      </c>
      <c r="H37" s="84" t="s">
        <v>1445</v>
      </c>
      <c r="I37" s="85">
        <v>45291</v>
      </c>
      <c r="J37" s="83" t="s">
        <v>36</v>
      </c>
      <c r="K37" s="83" t="s">
        <v>40</v>
      </c>
      <c r="L37" s="83" t="s">
        <v>50</v>
      </c>
      <c r="M37" s="83" t="s">
        <v>38</v>
      </c>
      <c r="N37" s="83" t="s">
        <v>37</v>
      </c>
      <c r="O37" s="83" t="s">
        <v>1436</v>
      </c>
      <c r="P37" s="83" t="s">
        <v>1436</v>
      </c>
      <c r="Q37" s="83" t="s">
        <v>1436</v>
      </c>
      <c r="R37" s="83" t="s">
        <v>38</v>
      </c>
      <c r="S37" s="83" t="s">
        <v>39</v>
      </c>
      <c r="T37" s="83" t="s">
        <v>40</v>
      </c>
      <c r="U37" s="83" t="s">
        <v>41</v>
      </c>
      <c r="V37" s="83" t="s">
        <v>1436</v>
      </c>
      <c r="W37" s="83" t="s">
        <v>1436</v>
      </c>
      <c r="X37" s="83" t="s">
        <v>1436</v>
      </c>
      <c r="Y37" s="86">
        <v>507965.89</v>
      </c>
      <c r="Z37" s="84" t="s">
        <v>193</v>
      </c>
      <c r="AA37" s="83" t="s">
        <v>1194</v>
      </c>
      <c r="AB37" s="83" t="s">
        <v>1244</v>
      </c>
      <c r="AC37" s="83" t="s">
        <v>36</v>
      </c>
    </row>
    <row r="38" spans="1:29" x14ac:dyDescent="0.25">
      <c r="A38" s="83" t="s">
        <v>1320</v>
      </c>
      <c r="B38" s="84" t="s">
        <v>1321</v>
      </c>
      <c r="C38" s="83" t="s">
        <v>6</v>
      </c>
      <c r="D38" s="83" t="s">
        <v>1322</v>
      </c>
      <c r="E38" s="83" t="s">
        <v>1432</v>
      </c>
      <c r="F38" s="83" t="s">
        <v>1438</v>
      </c>
      <c r="G38" s="83" t="s">
        <v>1444</v>
      </c>
      <c r="H38" s="84" t="s">
        <v>1446</v>
      </c>
      <c r="I38" s="85">
        <v>45291</v>
      </c>
      <c r="J38" s="83" t="s">
        <v>36</v>
      </c>
      <c r="K38" s="83" t="s">
        <v>40</v>
      </c>
      <c r="L38" s="83" t="s">
        <v>47</v>
      </c>
      <c r="M38" s="83" t="s">
        <v>38</v>
      </c>
      <c r="N38" s="83" t="s">
        <v>37</v>
      </c>
      <c r="O38" s="83" t="s">
        <v>1436</v>
      </c>
      <c r="P38" s="83" t="s">
        <v>1436</v>
      </c>
      <c r="Q38" s="83" t="s">
        <v>1436</v>
      </c>
      <c r="R38" s="83" t="s">
        <v>38</v>
      </c>
      <c r="S38" s="83" t="s">
        <v>39</v>
      </c>
      <c r="T38" s="83" t="s">
        <v>40</v>
      </c>
      <c r="U38" s="83" t="s">
        <v>41</v>
      </c>
      <c r="V38" s="83" t="s">
        <v>1436</v>
      </c>
      <c r="W38" s="83" t="s">
        <v>1436</v>
      </c>
      <c r="X38" s="83" t="s">
        <v>1436</v>
      </c>
      <c r="Y38" s="86">
        <v>128579.145714</v>
      </c>
      <c r="Z38" s="84" t="s">
        <v>193</v>
      </c>
      <c r="AA38" s="83" t="s">
        <v>1194</v>
      </c>
      <c r="AB38" s="83" t="s">
        <v>1244</v>
      </c>
      <c r="AC38" s="83" t="s">
        <v>36</v>
      </c>
    </row>
    <row r="39" spans="1:29" x14ac:dyDescent="0.25">
      <c r="A39" s="83" t="s">
        <v>1320</v>
      </c>
      <c r="B39" s="84" t="s">
        <v>1321</v>
      </c>
      <c r="C39" s="83" t="s">
        <v>6</v>
      </c>
      <c r="D39" s="83" t="s">
        <v>1322</v>
      </c>
      <c r="E39" s="83" t="s">
        <v>1432</v>
      </c>
      <c r="F39" s="83" t="s">
        <v>1433</v>
      </c>
      <c r="G39" s="83" t="s">
        <v>1447</v>
      </c>
      <c r="H39" s="84" t="s">
        <v>1448</v>
      </c>
      <c r="I39" s="85">
        <v>45291</v>
      </c>
      <c r="J39" s="83" t="s">
        <v>36</v>
      </c>
      <c r="K39" s="83" t="s">
        <v>40</v>
      </c>
      <c r="L39" s="83" t="s">
        <v>58</v>
      </c>
      <c r="M39" s="83" t="s">
        <v>38</v>
      </c>
      <c r="N39" s="83" t="s">
        <v>37</v>
      </c>
      <c r="O39" s="83" t="s">
        <v>1436</v>
      </c>
      <c r="P39" s="83" t="s">
        <v>1436</v>
      </c>
      <c r="Q39" s="83" t="s">
        <v>1436</v>
      </c>
      <c r="R39" s="83" t="s">
        <v>38</v>
      </c>
      <c r="S39" s="83" t="s">
        <v>39</v>
      </c>
      <c r="T39" s="83" t="s">
        <v>40</v>
      </c>
      <c r="U39" s="83" t="s">
        <v>41</v>
      </c>
      <c r="V39" s="83" t="s">
        <v>1436</v>
      </c>
      <c r="W39" s="83" t="s">
        <v>1436</v>
      </c>
      <c r="X39" s="83" t="s">
        <v>1436</v>
      </c>
      <c r="Y39" s="86">
        <v>-1200000</v>
      </c>
      <c r="Z39" s="84" t="s">
        <v>193</v>
      </c>
      <c r="AA39" s="83" t="s">
        <v>1194</v>
      </c>
      <c r="AB39" s="83" t="s">
        <v>1244</v>
      </c>
      <c r="AC39" s="83" t="s">
        <v>36</v>
      </c>
    </row>
    <row r="40" spans="1:29" x14ac:dyDescent="0.25">
      <c r="A40" s="83" t="s">
        <v>1320</v>
      </c>
      <c r="B40" s="84" t="s">
        <v>1321</v>
      </c>
      <c r="C40" s="83" t="s">
        <v>6</v>
      </c>
      <c r="D40" s="83" t="s">
        <v>1322</v>
      </c>
      <c r="E40" s="83" t="s">
        <v>1432</v>
      </c>
      <c r="F40" s="83" t="s">
        <v>1433</v>
      </c>
      <c r="G40" s="83" t="s">
        <v>1447</v>
      </c>
      <c r="H40" s="84" t="s">
        <v>1449</v>
      </c>
      <c r="I40" s="85">
        <v>45291</v>
      </c>
      <c r="J40" s="83" t="s">
        <v>36</v>
      </c>
      <c r="K40" s="83" t="s">
        <v>40</v>
      </c>
      <c r="L40" s="83" t="s">
        <v>45</v>
      </c>
      <c r="M40" s="83" t="s">
        <v>38</v>
      </c>
      <c r="N40" s="83" t="s">
        <v>37</v>
      </c>
      <c r="O40" s="83" t="s">
        <v>1436</v>
      </c>
      <c r="P40" s="83" t="s">
        <v>1436</v>
      </c>
      <c r="Q40" s="83" t="s">
        <v>1436</v>
      </c>
      <c r="R40" s="83" t="s">
        <v>38</v>
      </c>
      <c r="S40" s="83" t="s">
        <v>39</v>
      </c>
      <c r="T40" s="83" t="s">
        <v>40</v>
      </c>
      <c r="U40" s="83" t="s">
        <v>41</v>
      </c>
      <c r="V40" s="83" t="s">
        <v>1436</v>
      </c>
      <c r="W40" s="83" t="s">
        <v>1436</v>
      </c>
      <c r="X40" s="83" t="s">
        <v>1436</v>
      </c>
      <c r="Y40" s="86">
        <v>-1116754.9725800001</v>
      </c>
      <c r="Z40" s="84" t="s">
        <v>193</v>
      </c>
      <c r="AA40" s="83" t="s">
        <v>1194</v>
      </c>
      <c r="AB40" s="83" t="s">
        <v>1244</v>
      </c>
      <c r="AC40" s="83" t="s">
        <v>36</v>
      </c>
    </row>
    <row r="41" spans="1:29" x14ac:dyDescent="0.25">
      <c r="A41" s="83" t="s">
        <v>1320</v>
      </c>
      <c r="B41" s="84" t="s">
        <v>1321</v>
      </c>
      <c r="C41" s="83" t="s">
        <v>6</v>
      </c>
      <c r="D41" s="83" t="s">
        <v>1322</v>
      </c>
      <c r="E41" s="83" t="s">
        <v>1432</v>
      </c>
      <c r="F41" s="83" t="s">
        <v>1433</v>
      </c>
      <c r="G41" s="83" t="s">
        <v>1447</v>
      </c>
      <c r="H41" s="84" t="s">
        <v>1450</v>
      </c>
      <c r="I41" s="85">
        <v>45291</v>
      </c>
      <c r="J41" s="83" t="s">
        <v>36</v>
      </c>
      <c r="K41" s="83" t="s">
        <v>40</v>
      </c>
      <c r="L41" s="83" t="s">
        <v>54</v>
      </c>
      <c r="M41" s="83" t="s">
        <v>38</v>
      </c>
      <c r="N41" s="83" t="s">
        <v>37</v>
      </c>
      <c r="O41" s="83" t="s">
        <v>1436</v>
      </c>
      <c r="P41" s="83" t="s">
        <v>1436</v>
      </c>
      <c r="Q41" s="83" t="s">
        <v>1436</v>
      </c>
      <c r="R41" s="83" t="s">
        <v>38</v>
      </c>
      <c r="S41" s="83" t="s">
        <v>39</v>
      </c>
      <c r="T41" s="83" t="s">
        <v>40</v>
      </c>
      <c r="U41" s="83" t="s">
        <v>41</v>
      </c>
      <c r="V41" s="83" t="s">
        <v>1436</v>
      </c>
      <c r="W41" s="83" t="s">
        <v>1436</v>
      </c>
      <c r="X41" s="83" t="s">
        <v>1436</v>
      </c>
      <c r="Y41" s="86">
        <v>-502568.25</v>
      </c>
      <c r="Z41" s="84" t="s">
        <v>193</v>
      </c>
      <c r="AA41" s="83" t="s">
        <v>1194</v>
      </c>
      <c r="AB41" s="83" t="s">
        <v>1244</v>
      </c>
      <c r="AC41" s="83" t="s">
        <v>36</v>
      </c>
    </row>
    <row r="42" spans="1:29" x14ac:dyDescent="0.25">
      <c r="A42" s="83" t="s">
        <v>1320</v>
      </c>
      <c r="B42" s="84" t="s">
        <v>1321</v>
      </c>
      <c r="C42" s="83" t="s">
        <v>6</v>
      </c>
      <c r="D42" s="83" t="s">
        <v>1322</v>
      </c>
      <c r="E42" s="83" t="s">
        <v>1432</v>
      </c>
      <c r="F42" s="83" t="s">
        <v>1433</v>
      </c>
      <c r="G42" s="83" t="s">
        <v>1447</v>
      </c>
      <c r="H42" s="84" t="s">
        <v>1451</v>
      </c>
      <c r="I42" s="85">
        <v>45291</v>
      </c>
      <c r="J42" s="83" t="s">
        <v>36</v>
      </c>
      <c r="K42" s="83" t="s">
        <v>38</v>
      </c>
      <c r="L42" s="83" t="s">
        <v>49</v>
      </c>
      <c r="M42" s="83" t="s">
        <v>38</v>
      </c>
      <c r="N42" s="83" t="s">
        <v>37</v>
      </c>
      <c r="O42" s="83" t="s">
        <v>1436</v>
      </c>
      <c r="P42" s="83" t="s">
        <v>1436</v>
      </c>
      <c r="Q42" s="83" t="s">
        <v>1436</v>
      </c>
      <c r="R42" s="83" t="s">
        <v>38</v>
      </c>
      <c r="S42" s="83" t="s">
        <v>39</v>
      </c>
      <c r="T42" s="83" t="s">
        <v>38</v>
      </c>
      <c r="U42" s="83" t="s">
        <v>41</v>
      </c>
      <c r="V42" s="83" t="s">
        <v>1436</v>
      </c>
      <c r="W42" s="83" t="s">
        <v>1436</v>
      </c>
      <c r="X42" s="83" t="s">
        <v>1436</v>
      </c>
      <c r="Y42" s="86">
        <v>-9446.0521320000007</v>
      </c>
      <c r="Z42" s="84" t="s">
        <v>193</v>
      </c>
      <c r="AA42" s="83" t="s">
        <v>1194</v>
      </c>
      <c r="AB42" s="83" t="s">
        <v>1244</v>
      </c>
      <c r="AC42" s="83" t="s">
        <v>36</v>
      </c>
    </row>
    <row r="43" spans="1:29" ht="14.4" x14ac:dyDescent="0.3">
      <c r="A43" s="87" t="s">
        <v>1209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ht="14.4" x14ac:dyDescent="0.3">
      <c r="A44" s="87" t="s">
        <v>1209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</sheetData>
  <pageMargins left="0.75" right="0.75" top="1" bottom="1" header="0.5" footer="0.5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BA5A-A1F5-4445-96FF-54B36BA60B58}">
  <sheetPr>
    <tabColor theme="9" tint="0.39997558519241921"/>
  </sheetPr>
  <dimension ref="A1:C27"/>
  <sheetViews>
    <sheetView workbookViewId="0">
      <selection activeCell="C16" sqref="C16"/>
    </sheetView>
  </sheetViews>
  <sheetFormatPr defaultColWidth="9.109375" defaultRowHeight="13.2" x14ac:dyDescent="0.25"/>
  <cols>
    <col min="1" max="1" width="23" style="39" bestFit="1" customWidth="1"/>
    <col min="2" max="2" width="23.109375" style="39" bestFit="1" customWidth="1"/>
    <col min="3" max="3" width="16.109375" style="39" bestFit="1" customWidth="1"/>
    <col min="4" max="16384" width="9.109375" style="39"/>
  </cols>
  <sheetData>
    <row r="1" spans="1:3" ht="14.4" x14ac:dyDescent="0.3">
      <c r="C1" s="179" t="s">
        <v>2781</v>
      </c>
    </row>
    <row r="2" spans="1:3" x14ac:dyDescent="0.25">
      <c r="A2" s="45" t="s">
        <v>1330</v>
      </c>
    </row>
    <row r="3" spans="1:3" x14ac:dyDescent="0.25">
      <c r="A3" s="45" t="s">
        <v>1331</v>
      </c>
      <c r="B3" s="45" t="s">
        <v>63</v>
      </c>
    </row>
    <row r="4" spans="1:3" x14ac:dyDescent="0.25">
      <c r="A4" s="45" t="s">
        <v>1420</v>
      </c>
      <c r="B4" s="45" t="s">
        <v>63</v>
      </c>
    </row>
    <row r="5" spans="1:3" x14ac:dyDescent="0.25">
      <c r="A5" s="45" t="s">
        <v>1334</v>
      </c>
      <c r="B5" s="45" t="s">
        <v>1209</v>
      </c>
    </row>
    <row r="6" spans="1:3" x14ac:dyDescent="0.25">
      <c r="A6" s="45" t="s">
        <v>1335</v>
      </c>
      <c r="B6" s="45" t="s">
        <v>1336</v>
      </c>
    </row>
    <row r="7" spans="1:3" x14ac:dyDescent="0.25">
      <c r="A7" s="45" t="s">
        <v>1299</v>
      </c>
      <c r="B7" s="45" t="s">
        <v>36</v>
      </c>
    </row>
    <row r="8" spans="1:3" x14ac:dyDescent="0.25">
      <c r="A8" s="45" t="s">
        <v>1337</v>
      </c>
      <c r="B8" s="45" t="s">
        <v>1209</v>
      </c>
    </row>
    <row r="9" spans="1:3" x14ac:dyDescent="0.25">
      <c r="A9" s="45" t="s">
        <v>1419</v>
      </c>
      <c r="B9" s="45" t="s">
        <v>194</v>
      </c>
    </row>
    <row r="10" spans="1:3" x14ac:dyDescent="0.25">
      <c r="A10" s="45" t="s">
        <v>1418</v>
      </c>
      <c r="B10" s="45" t="s">
        <v>6</v>
      </c>
    </row>
    <row r="11" spans="1:3" x14ac:dyDescent="0.25">
      <c r="A11" s="45" t="s">
        <v>187</v>
      </c>
      <c r="B11" s="45" t="s">
        <v>1209</v>
      </c>
    </row>
    <row r="12" spans="1:3" x14ac:dyDescent="0.25">
      <c r="A12" s="45" t="s">
        <v>1340</v>
      </c>
      <c r="B12" s="45" t="s">
        <v>1209</v>
      </c>
    </row>
    <row r="13" spans="1:3" x14ac:dyDescent="0.25">
      <c r="A13" s="45" t="s">
        <v>1417</v>
      </c>
      <c r="B13" s="45" t="s">
        <v>1209</v>
      </c>
    </row>
    <row r="14" spans="1:3" x14ac:dyDescent="0.25">
      <c r="A14" s="45" t="s">
        <v>189</v>
      </c>
      <c r="B14" s="45" t="s">
        <v>1209</v>
      </c>
    </row>
    <row r="15" spans="1:3" x14ac:dyDescent="0.25">
      <c r="A15" s="45" t="s">
        <v>188</v>
      </c>
      <c r="B15" s="45" t="s">
        <v>1209</v>
      </c>
    </row>
    <row r="16" spans="1:3" x14ac:dyDescent="0.25">
      <c r="A16" s="45" t="s">
        <v>1416</v>
      </c>
      <c r="B16" s="45" t="s">
        <v>1209</v>
      </c>
    </row>
    <row r="17" spans="1:2" x14ac:dyDescent="0.25">
      <c r="A17" s="45" t="s">
        <v>196</v>
      </c>
      <c r="B17" s="45" t="s">
        <v>1209</v>
      </c>
    </row>
    <row r="18" spans="1:2" x14ac:dyDescent="0.25">
      <c r="A18" s="45" t="s">
        <v>197</v>
      </c>
      <c r="B18" s="45" t="s">
        <v>1209</v>
      </c>
    </row>
    <row r="19" spans="1:2" x14ac:dyDescent="0.25">
      <c r="A19" s="45" t="s">
        <v>198</v>
      </c>
      <c r="B19" s="45" t="s">
        <v>1209</v>
      </c>
    </row>
    <row r="20" spans="1:2" x14ac:dyDescent="0.25">
      <c r="A20" s="45" t="s">
        <v>199</v>
      </c>
      <c r="B20" s="45" t="s">
        <v>1209</v>
      </c>
    </row>
    <row r="21" spans="1:2" x14ac:dyDescent="0.25">
      <c r="A21" s="45" t="s">
        <v>200</v>
      </c>
      <c r="B21" s="45" t="s">
        <v>1209</v>
      </c>
    </row>
    <row r="22" spans="1:2" x14ac:dyDescent="0.25">
      <c r="A22" s="45" t="s">
        <v>201</v>
      </c>
      <c r="B22" s="45" t="s">
        <v>1209</v>
      </c>
    </row>
    <row r="23" spans="1:2" x14ac:dyDescent="0.25">
      <c r="A23" s="45" t="s">
        <v>202</v>
      </c>
      <c r="B23" s="45" t="s">
        <v>1209</v>
      </c>
    </row>
    <row r="24" spans="1:2" x14ac:dyDescent="0.25">
      <c r="A24" s="45" t="s">
        <v>203</v>
      </c>
      <c r="B24" s="45" t="s">
        <v>1209</v>
      </c>
    </row>
    <row r="25" spans="1:2" x14ac:dyDescent="0.25">
      <c r="A25" s="45" t="s">
        <v>204</v>
      </c>
      <c r="B25" s="45" t="s">
        <v>1209</v>
      </c>
    </row>
    <row r="26" spans="1:2" x14ac:dyDescent="0.25">
      <c r="A26" s="45" t="s">
        <v>205</v>
      </c>
      <c r="B26" s="45" t="s">
        <v>1209</v>
      </c>
    </row>
    <row r="27" spans="1:2" x14ac:dyDescent="0.25">
      <c r="A27" s="45" t="s">
        <v>206</v>
      </c>
      <c r="B27" s="45" t="s">
        <v>1209</v>
      </c>
    </row>
  </sheetData>
  <hyperlinks>
    <hyperlink ref="C1" location="'Comparison-Sheet'!A1" display="'Comparison-Sheet'!A1" xr:uid="{34F4B2C7-5A33-44B2-A435-64A6A4BF70B6}"/>
  </hyperlinks>
  <pageMargins left="0.75" right="0.75" top="1" bottom="1" header="0.5" footer="0.5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D449-21A0-47E7-881A-02FED78DB7AA}">
  <sheetPr>
    <tabColor theme="5" tint="0.59999389629810485"/>
  </sheetPr>
  <dimension ref="A1:BP627"/>
  <sheetViews>
    <sheetView workbookViewId="0">
      <selection activeCell="E16" sqref="E16"/>
    </sheetView>
  </sheetViews>
  <sheetFormatPr defaultRowHeight="14.4" x14ac:dyDescent="0.3"/>
  <cols>
    <col min="1" max="1" width="10.88671875" customWidth="1"/>
    <col min="3" max="3" width="45.5546875" bestFit="1" customWidth="1"/>
    <col min="5" max="5" width="18.44140625" bestFit="1" customWidth="1"/>
    <col min="6" max="6" width="43.77734375" bestFit="1" customWidth="1"/>
    <col min="7" max="7" width="8.5546875" bestFit="1" customWidth="1"/>
    <col min="8" max="8" width="11.33203125" bestFit="1" customWidth="1"/>
    <col min="9" max="9" width="22.33203125" bestFit="1" customWidth="1"/>
    <col min="10" max="10" width="9.77734375" bestFit="1" customWidth="1"/>
    <col min="11" max="11" width="26.5546875" customWidth="1"/>
    <col min="12" max="14" width="9.77734375" bestFit="1" customWidth="1"/>
    <col min="15" max="15" width="13.109375" bestFit="1" customWidth="1"/>
    <col min="16" max="16" width="10.77734375" bestFit="1" customWidth="1"/>
    <col min="17" max="17" width="12.5546875" bestFit="1" customWidth="1"/>
    <col min="18" max="18" width="12.44140625" bestFit="1" customWidth="1"/>
    <col min="19" max="19" width="10.44140625" bestFit="1" customWidth="1"/>
    <col min="20" max="20" width="11.33203125" bestFit="1" customWidth="1"/>
    <col min="21" max="26" width="9.77734375" bestFit="1" customWidth="1"/>
    <col min="27" max="27" width="13.109375" bestFit="1" customWidth="1"/>
    <col min="28" max="28" width="10.77734375" bestFit="1" customWidth="1"/>
    <col min="29" max="29" width="12.5546875" bestFit="1" customWidth="1"/>
    <col min="30" max="30" width="12.44140625" bestFit="1" customWidth="1"/>
    <col min="31" max="31" width="10.44140625" bestFit="1" customWidth="1"/>
    <col min="32" max="32" width="11.33203125" bestFit="1" customWidth="1"/>
    <col min="33" max="38" width="9.77734375" bestFit="1" customWidth="1"/>
    <col min="39" max="39" width="13.109375" bestFit="1" customWidth="1"/>
    <col min="40" max="40" width="14" bestFit="1" customWidth="1"/>
    <col min="41" max="42" width="14" customWidth="1"/>
    <col min="43" max="43" width="12.5546875" bestFit="1" customWidth="1"/>
    <col min="44" max="44" width="12.44140625" bestFit="1" customWidth="1"/>
    <col min="45" max="45" width="15.21875" customWidth="1"/>
    <col min="46" max="46" width="13.5546875" customWidth="1"/>
    <col min="47" max="47" width="11.6640625" customWidth="1"/>
    <col min="48" max="52" width="9.77734375" bestFit="1" customWidth="1"/>
    <col min="53" max="53" width="13.109375" bestFit="1" customWidth="1"/>
    <col min="54" max="54" width="10.77734375" bestFit="1" customWidth="1"/>
    <col min="55" max="55" width="12.5546875" bestFit="1" customWidth="1"/>
    <col min="56" max="56" width="12.44140625" bestFit="1" customWidth="1"/>
    <col min="57" max="57" width="10.44140625" bestFit="1" customWidth="1"/>
    <col min="58" max="58" width="11.33203125" bestFit="1" customWidth="1"/>
    <col min="59" max="64" width="9.77734375" bestFit="1" customWidth="1"/>
    <col min="65" max="65" width="13.109375" bestFit="1" customWidth="1"/>
    <col min="66" max="66" width="10.77734375" bestFit="1" customWidth="1"/>
    <col min="67" max="67" width="12.5546875" bestFit="1" customWidth="1"/>
    <col min="68" max="68" width="12.44140625" bestFit="1" customWidth="1"/>
  </cols>
  <sheetData>
    <row r="1" spans="1:68" x14ac:dyDescent="0.3">
      <c r="A1" s="53"/>
      <c r="B1" s="54" t="s">
        <v>1424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</row>
    <row r="2" spans="1:68" x14ac:dyDescent="0.3">
      <c r="A2" s="66" t="s">
        <v>1296</v>
      </c>
      <c r="B2" s="66" t="s">
        <v>1299</v>
      </c>
      <c r="C2" s="66" t="s">
        <v>1424</v>
      </c>
      <c r="D2" s="66" t="s">
        <v>1421</v>
      </c>
      <c r="E2" s="66" t="s">
        <v>1596</v>
      </c>
      <c r="F2" s="110" t="s">
        <v>1662</v>
      </c>
      <c r="G2" s="110" t="s">
        <v>1594</v>
      </c>
      <c r="H2" s="66" t="s">
        <v>1597</v>
      </c>
      <c r="I2" s="66" t="s">
        <v>1598</v>
      </c>
      <c r="J2" s="66" t="s">
        <v>1599</v>
      </c>
      <c r="K2" s="66" t="s">
        <v>1600</v>
      </c>
      <c r="L2" s="66" t="s">
        <v>1601</v>
      </c>
      <c r="M2" s="66" t="s">
        <v>1602</v>
      </c>
      <c r="N2" s="66" t="s">
        <v>1603</v>
      </c>
      <c r="O2" s="66" t="s">
        <v>1604</v>
      </c>
      <c r="P2" s="66" t="s">
        <v>1605</v>
      </c>
      <c r="Q2" s="66" t="s">
        <v>1606</v>
      </c>
      <c r="R2" s="66" t="s">
        <v>1607</v>
      </c>
      <c r="S2" s="66" t="s">
        <v>1608</v>
      </c>
      <c r="T2" s="66" t="s">
        <v>1609</v>
      </c>
      <c r="U2" s="66" t="s">
        <v>1610</v>
      </c>
      <c r="V2" s="66" t="s">
        <v>1611</v>
      </c>
      <c r="W2" s="66" t="s">
        <v>1612</v>
      </c>
      <c r="X2" s="66" t="s">
        <v>1613</v>
      </c>
      <c r="Y2" s="66" t="s">
        <v>1614</v>
      </c>
      <c r="Z2" s="66" t="s">
        <v>1615</v>
      </c>
      <c r="AA2" s="66" t="s">
        <v>1616</v>
      </c>
      <c r="AB2" s="66" t="s">
        <v>1617</v>
      </c>
      <c r="AC2" s="66" t="s">
        <v>1618</v>
      </c>
      <c r="AD2" s="66" t="s">
        <v>1619</v>
      </c>
      <c r="AE2" s="66" t="s">
        <v>1620</v>
      </c>
      <c r="AF2" s="66" t="s">
        <v>1621</v>
      </c>
      <c r="AG2" s="66" t="s">
        <v>1622</v>
      </c>
      <c r="AH2" s="66" t="s">
        <v>1623</v>
      </c>
      <c r="AI2" s="66" t="s">
        <v>1624</v>
      </c>
      <c r="AJ2" s="66" t="s">
        <v>1625</v>
      </c>
      <c r="AK2" s="66" t="s">
        <v>1626</v>
      </c>
      <c r="AL2" s="66" t="s">
        <v>1627</v>
      </c>
      <c r="AM2" s="66" t="s">
        <v>1628</v>
      </c>
      <c r="AN2" s="66" t="s">
        <v>1629</v>
      </c>
      <c r="AO2" s="66" t="s">
        <v>1630</v>
      </c>
      <c r="AP2" s="66" t="s">
        <v>1631</v>
      </c>
      <c r="AQ2" s="66" t="s">
        <v>1632</v>
      </c>
      <c r="AR2" s="66" t="s">
        <v>1633</v>
      </c>
      <c r="AS2" s="66" t="s">
        <v>1634</v>
      </c>
      <c r="AT2" s="66" t="s">
        <v>1635</v>
      </c>
      <c r="AU2" s="66" t="s">
        <v>1636</v>
      </c>
      <c r="AV2" s="66" t="s">
        <v>1637</v>
      </c>
      <c r="AW2" s="66" t="s">
        <v>1638</v>
      </c>
      <c r="AX2" s="66" t="s">
        <v>1639</v>
      </c>
      <c r="AY2" s="66" t="s">
        <v>1640</v>
      </c>
      <c r="AZ2" s="66" t="s">
        <v>1641</v>
      </c>
      <c r="BA2" s="66" t="s">
        <v>1642</v>
      </c>
      <c r="BB2" s="66" t="s">
        <v>1643</v>
      </c>
      <c r="BC2" s="66" t="s">
        <v>1644</v>
      </c>
      <c r="BD2" s="66" t="s">
        <v>1645</v>
      </c>
      <c r="BE2" s="66" t="s">
        <v>1646</v>
      </c>
      <c r="BF2" s="66" t="s">
        <v>1647</v>
      </c>
      <c r="BG2" s="66" t="s">
        <v>1648</v>
      </c>
      <c r="BH2" s="66" t="s">
        <v>1649</v>
      </c>
      <c r="BI2" s="66" t="s">
        <v>1650</v>
      </c>
      <c r="BJ2" s="66" t="s">
        <v>1651</v>
      </c>
      <c r="BK2" s="66" t="s">
        <v>1652</v>
      </c>
      <c r="BL2" s="66" t="s">
        <v>1653</v>
      </c>
      <c r="BM2" s="66" t="s">
        <v>1654</v>
      </c>
      <c r="BN2" s="66" t="s">
        <v>1655</v>
      </c>
    </row>
    <row r="3" spans="1:68" x14ac:dyDescent="0.3">
      <c r="A3" s="67" t="s">
        <v>1320</v>
      </c>
      <c r="B3" s="67" t="s">
        <v>36</v>
      </c>
      <c r="C3" s="67" t="s">
        <v>1434</v>
      </c>
      <c r="D3" s="67" t="s">
        <v>1322</v>
      </c>
      <c r="E3" s="68">
        <v>2497498.9331629998</v>
      </c>
      <c r="F3" s="192">
        <f>SUMIFS($AN$26:$AN$35,$G$26:$G$35,C3)</f>
        <v>2497498.9331629998</v>
      </c>
      <c r="G3" s="192">
        <f>E3-F3</f>
        <v>0</v>
      </c>
      <c r="H3" s="68">
        <v>-42330.49</v>
      </c>
      <c r="I3" s="68">
        <v>-42330.49</v>
      </c>
      <c r="J3" s="68">
        <v>-42330.49</v>
      </c>
      <c r="K3" s="68">
        <v>-42330.49</v>
      </c>
      <c r="L3" s="68">
        <v>-42330.49</v>
      </c>
      <c r="M3" s="68">
        <v>-42330.49</v>
      </c>
      <c r="N3" s="68">
        <v>-42330.49</v>
      </c>
      <c r="O3" s="68">
        <v>-42330.49</v>
      </c>
      <c r="P3" s="68">
        <v>-42330.49</v>
      </c>
      <c r="Q3" s="68">
        <v>-42330.49</v>
      </c>
      <c r="R3" s="68">
        <v>-42330.49</v>
      </c>
      <c r="S3" s="68">
        <v>-42330.5</v>
      </c>
      <c r="T3" s="68">
        <v>-42330.49</v>
      </c>
      <c r="U3" s="68">
        <v>-42330.49</v>
      </c>
      <c r="V3" s="68">
        <v>-42330.49</v>
      </c>
      <c r="W3" s="68">
        <v>-42330.49</v>
      </c>
      <c r="X3" s="68">
        <v>-42330.49</v>
      </c>
      <c r="Y3" s="68">
        <v>-42330.49</v>
      </c>
      <c r="Z3" s="68">
        <v>-42330.49</v>
      </c>
      <c r="AA3" s="68">
        <v>-42330.49</v>
      </c>
      <c r="AB3" s="68">
        <v>-42330.49</v>
      </c>
      <c r="AC3" s="68">
        <v>-42330.49</v>
      </c>
      <c r="AD3" s="68">
        <v>-42330.49</v>
      </c>
      <c r="AE3" s="68">
        <v>-42330.49</v>
      </c>
      <c r="AF3" s="68">
        <v>-42330.49</v>
      </c>
      <c r="AG3" s="68">
        <v>-42330.49</v>
      </c>
      <c r="AH3" s="68">
        <v>-42330.49</v>
      </c>
      <c r="AI3" s="68">
        <v>-42330.49</v>
      </c>
      <c r="AJ3" s="68">
        <v>-42330.49</v>
      </c>
      <c r="AK3" s="68">
        <v>-42330.49</v>
      </c>
      <c r="AL3" s="68">
        <v>-42330.49</v>
      </c>
      <c r="AM3" s="68">
        <v>-42330.49</v>
      </c>
      <c r="AN3" s="68">
        <v>-42330.49</v>
      </c>
      <c r="AO3" s="68">
        <v>-42330.49</v>
      </c>
      <c r="AP3" s="68">
        <v>-42330.49</v>
      </c>
      <c r="AQ3" s="68">
        <v>-42330.49</v>
      </c>
      <c r="AR3" s="68">
        <v>-42330.49</v>
      </c>
      <c r="AS3" s="68">
        <v>-42330.5</v>
      </c>
      <c r="AT3" s="68">
        <v>-42330.49</v>
      </c>
      <c r="AU3" s="68">
        <v>-42330.49</v>
      </c>
      <c r="AV3" s="68">
        <v>-42330.49</v>
      </c>
      <c r="AW3" s="68">
        <v>-42330.49</v>
      </c>
      <c r="AX3" s="68">
        <v>-42330.49</v>
      </c>
      <c r="AY3" s="68">
        <v>-42330.49</v>
      </c>
      <c r="AZ3" s="68">
        <v>-42330.49</v>
      </c>
      <c r="BA3" s="68">
        <v>-42330.49</v>
      </c>
      <c r="BB3" s="68">
        <v>-42330.49</v>
      </c>
      <c r="BC3" s="68">
        <v>-42330.49</v>
      </c>
      <c r="BD3" s="68">
        <v>-42330.49</v>
      </c>
      <c r="BE3" s="68">
        <v>-42330.49</v>
      </c>
      <c r="BF3" s="68">
        <v>-42330.49</v>
      </c>
      <c r="BG3" s="68">
        <v>-42330.49</v>
      </c>
      <c r="BH3" s="68">
        <v>-42330.49</v>
      </c>
      <c r="BI3" s="68">
        <v>-42330.49</v>
      </c>
      <c r="BJ3" s="68">
        <v>-42330.49</v>
      </c>
      <c r="BK3" s="68">
        <v>-42330.49</v>
      </c>
      <c r="BL3" s="68">
        <v>-42330.49</v>
      </c>
      <c r="BM3" s="68">
        <v>-42330.49</v>
      </c>
      <c r="BN3" s="68">
        <v>-42330.49</v>
      </c>
    </row>
    <row r="4" spans="1:68" x14ac:dyDescent="0.3">
      <c r="A4" s="67" t="s">
        <v>1320</v>
      </c>
      <c r="B4" s="67" t="s">
        <v>36</v>
      </c>
      <c r="C4" s="67" t="s">
        <v>1439</v>
      </c>
      <c r="D4" s="67" t="s">
        <v>1322</v>
      </c>
      <c r="E4" s="68">
        <v>0</v>
      </c>
      <c r="F4" s="192">
        <f t="shared" ref="F4:F6" si="0">SUMIFS($AN$26:$AN$35,$G$26:$G$35,C4)</f>
        <v>0</v>
      </c>
      <c r="G4" s="192">
        <f t="shared" ref="G4:G6" si="1">E4-F4</f>
        <v>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0</v>
      </c>
      <c r="N4" s="68">
        <v>0</v>
      </c>
      <c r="O4" s="68">
        <v>0</v>
      </c>
      <c r="P4" s="68">
        <v>0</v>
      </c>
      <c r="Q4" s="68">
        <v>0</v>
      </c>
      <c r="R4" s="68">
        <v>0</v>
      </c>
      <c r="S4" s="68">
        <v>0</v>
      </c>
      <c r="T4" s="68">
        <v>0</v>
      </c>
      <c r="U4" s="68">
        <v>0</v>
      </c>
      <c r="V4" s="68">
        <v>0</v>
      </c>
      <c r="W4" s="68">
        <v>0</v>
      </c>
      <c r="X4" s="68">
        <v>0</v>
      </c>
      <c r="Y4" s="68">
        <v>0</v>
      </c>
      <c r="Z4" s="68">
        <v>0</v>
      </c>
      <c r="AA4" s="68">
        <v>0</v>
      </c>
      <c r="AB4" s="68">
        <v>0</v>
      </c>
      <c r="AC4" s="68">
        <v>0</v>
      </c>
      <c r="AD4" s="68">
        <v>0</v>
      </c>
      <c r="AE4" s="68">
        <v>0</v>
      </c>
      <c r="AF4" s="68">
        <v>0</v>
      </c>
      <c r="AG4" s="68">
        <v>0</v>
      </c>
      <c r="AH4" s="68">
        <v>0</v>
      </c>
      <c r="AI4" s="68">
        <v>0</v>
      </c>
      <c r="AJ4" s="68">
        <v>0</v>
      </c>
      <c r="AK4" s="68">
        <v>0</v>
      </c>
      <c r="AL4" s="68">
        <v>0</v>
      </c>
      <c r="AM4" s="68">
        <v>0</v>
      </c>
      <c r="AN4" s="68">
        <v>0</v>
      </c>
      <c r="AO4" s="68">
        <v>0</v>
      </c>
      <c r="AP4" s="68">
        <v>0</v>
      </c>
      <c r="AQ4" s="68">
        <v>0</v>
      </c>
      <c r="AR4" s="68">
        <v>0</v>
      </c>
      <c r="AS4" s="68">
        <v>0</v>
      </c>
      <c r="AT4" s="68">
        <v>0</v>
      </c>
      <c r="AU4" s="68">
        <v>0</v>
      </c>
      <c r="AV4" s="68">
        <v>0</v>
      </c>
      <c r="AW4" s="68">
        <v>0</v>
      </c>
      <c r="AX4" s="68">
        <v>0</v>
      </c>
      <c r="AY4" s="68">
        <v>0</v>
      </c>
      <c r="AZ4" s="68">
        <v>0</v>
      </c>
      <c r="BA4" s="68">
        <v>0</v>
      </c>
      <c r="BB4" s="68">
        <v>0</v>
      </c>
      <c r="BC4" s="68">
        <v>0</v>
      </c>
      <c r="BD4" s="68">
        <v>0</v>
      </c>
      <c r="BE4" s="68">
        <v>0</v>
      </c>
      <c r="BF4" s="68">
        <v>0</v>
      </c>
      <c r="BG4" s="68">
        <v>0</v>
      </c>
      <c r="BH4" s="68">
        <v>0</v>
      </c>
      <c r="BI4" s="68">
        <v>0</v>
      </c>
      <c r="BJ4" s="68">
        <v>0</v>
      </c>
      <c r="BK4" s="68">
        <v>0</v>
      </c>
      <c r="BL4" s="68">
        <v>0</v>
      </c>
      <c r="BM4" s="68">
        <v>0</v>
      </c>
      <c r="BN4" s="68">
        <v>0</v>
      </c>
    </row>
    <row r="5" spans="1:68" x14ac:dyDescent="0.3">
      <c r="A5" s="67" t="s">
        <v>1320</v>
      </c>
      <c r="B5" s="67" t="s">
        <v>36</v>
      </c>
      <c r="C5" s="67" t="s">
        <v>1444</v>
      </c>
      <c r="D5" s="67" t="s">
        <v>1322</v>
      </c>
      <c r="E5" s="68">
        <v>56854.494967999999</v>
      </c>
      <c r="F5" s="192">
        <f t="shared" si="0"/>
        <v>56854.494967999999</v>
      </c>
      <c r="G5" s="192">
        <f t="shared" si="1"/>
        <v>0</v>
      </c>
      <c r="H5" s="68">
        <v>56647.551663999999</v>
      </c>
      <c r="I5" s="68">
        <v>56439.401189999997</v>
      </c>
      <c r="J5" s="68">
        <v>56230.036505999997</v>
      </c>
      <c r="K5" s="68">
        <v>56019.450527000001</v>
      </c>
      <c r="L5" s="68">
        <v>55807.636129999999</v>
      </c>
      <c r="M5" s="68">
        <v>55594.586149000002</v>
      </c>
      <c r="N5" s="68">
        <v>55380.293377000002</v>
      </c>
      <c r="O5" s="68">
        <v>55164.750563000001</v>
      </c>
      <c r="P5" s="68">
        <v>54947.950416</v>
      </c>
      <c r="Q5" s="68">
        <v>54729.885602000002</v>
      </c>
      <c r="R5" s="68">
        <v>54510.548742999999</v>
      </c>
      <c r="S5" s="68">
        <v>54289.942418999999</v>
      </c>
      <c r="T5" s="68">
        <v>54068.029167000001</v>
      </c>
      <c r="U5" s="68">
        <v>53844.831478</v>
      </c>
      <c r="V5" s="68">
        <v>53620.331804000001</v>
      </c>
      <c r="W5" s="68">
        <v>53394.522548000001</v>
      </c>
      <c r="X5" s="68">
        <v>53167.396071000003</v>
      </c>
      <c r="Y5" s="68">
        <v>52938.944689000004</v>
      </c>
      <c r="Z5" s="68">
        <v>52709.160674999999</v>
      </c>
      <c r="AA5" s="68">
        <v>52478.036253999999</v>
      </c>
      <c r="AB5" s="68">
        <v>52245.563606999996</v>
      </c>
      <c r="AC5" s="68">
        <v>52011.73487</v>
      </c>
      <c r="AD5" s="68">
        <v>51776.542132000002</v>
      </c>
      <c r="AE5" s="68">
        <v>51539.977436000001</v>
      </c>
      <c r="AF5" s="68">
        <v>51302.032779000001</v>
      </c>
      <c r="AG5" s="68">
        <v>51062.700111999999</v>
      </c>
      <c r="AH5" s="68">
        <v>50821.971338000003</v>
      </c>
      <c r="AI5" s="68">
        <v>50579.838312</v>
      </c>
      <c r="AJ5" s="68">
        <v>50336.292844000003</v>
      </c>
      <c r="AK5" s="68">
        <v>50091.326694000003</v>
      </c>
      <c r="AL5" s="68">
        <v>49844.931575000002</v>
      </c>
      <c r="AM5" s="68">
        <v>49597.099151000002</v>
      </c>
      <c r="AN5" s="68">
        <v>49347.821037000002</v>
      </c>
      <c r="AO5" s="68">
        <v>49097.088801999998</v>
      </c>
      <c r="AP5" s="68">
        <v>48844.893961000002</v>
      </c>
      <c r="AQ5" s="68">
        <v>48591.227983999997</v>
      </c>
      <c r="AR5" s="68">
        <v>48336.082288999998</v>
      </c>
      <c r="AS5" s="68">
        <v>48079.458244000001</v>
      </c>
      <c r="AT5" s="68">
        <v>47821.317167000001</v>
      </c>
      <c r="AU5" s="68">
        <v>47561.680326000002</v>
      </c>
      <c r="AV5" s="68">
        <v>47300.528936000002</v>
      </c>
      <c r="AW5" s="68">
        <v>47037.854163000004</v>
      </c>
      <c r="AX5" s="68">
        <v>46773.647121000002</v>
      </c>
      <c r="AY5" s="68">
        <v>46507.898870999998</v>
      </c>
      <c r="AZ5" s="68">
        <v>46240.600422000003</v>
      </c>
      <c r="BA5" s="68">
        <v>45971.742732999999</v>
      </c>
      <c r="BB5" s="68">
        <v>45701.316707999998</v>
      </c>
      <c r="BC5" s="68">
        <v>45429.313197000003</v>
      </c>
      <c r="BD5" s="68">
        <v>45155.722998999998</v>
      </c>
      <c r="BE5" s="68">
        <v>44880.536857999999</v>
      </c>
      <c r="BF5" s="68">
        <v>44603.745464</v>
      </c>
      <c r="BG5" s="68">
        <v>44325.339455000001</v>
      </c>
      <c r="BH5" s="68">
        <v>44045.309410000002</v>
      </c>
      <c r="BI5" s="68">
        <v>43763.645856000003</v>
      </c>
      <c r="BJ5" s="68">
        <v>43480.339266000003</v>
      </c>
      <c r="BK5" s="68">
        <v>43195.380053000001</v>
      </c>
      <c r="BL5" s="68">
        <v>42908.758578000001</v>
      </c>
      <c r="BM5" s="68">
        <v>42620.465145000002</v>
      </c>
      <c r="BN5" s="68">
        <v>42330.49</v>
      </c>
    </row>
    <row r="6" spans="1:68" x14ac:dyDescent="0.3">
      <c r="A6" s="67" t="s">
        <v>1320</v>
      </c>
      <c r="B6" s="67" t="s">
        <v>36</v>
      </c>
      <c r="C6" s="67" t="s">
        <v>1447</v>
      </c>
      <c r="D6" s="67" t="s">
        <v>1322</v>
      </c>
      <c r="E6" s="68">
        <v>-2554353.4281310001</v>
      </c>
      <c r="F6" s="192">
        <f t="shared" si="0"/>
        <v>-2554353.4281310001</v>
      </c>
      <c r="G6" s="192">
        <f t="shared" si="1"/>
        <v>0</v>
      </c>
      <c r="H6" s="68">
        <v>-14317.061664000001</v>
      </c>
      <c r="I6" s="68">
        <v>-14108.911190000001</v>
      </c>
      <c r="J6" s="68">
        <v>-13899.546506000001</v>
      </c>
      <c r="K6" s="68">
        <v>-13688.960526999999</v>
      </c>
      <c r="L6" s="68">
        <v>-13477.146129999999</v>
      </c>
      <c r="M6" s="68">
        <v>-13264.096149000001</v>
      </c>
      <c r="N6" s="68">
        <v>-13049.803377</v>
      </c>
      <c r="O6" s="68">
        <v>-12834.260563</v>
      </c>
      <c r="P6" s="68">
        <v>-12617.460416</v>
      </c>
      <c r="Q6" s="68">
        <v>-12399.395602000001</v>
      </c>
      <c r="R6" s="68">
        <v>-12180.058743</v>
      </c>
      <c r="S6" s="68">
        <v>-11959.442419000001</v>
      </c>
      <c r="T6" s="68">
        <v>-11737.539167000001</v>
      </c>
      <c r="U6" s="68">
        <v>-11514.341478</v>
      </c>
      <c r="V6" s="68">
        <v>-11289.841804</v>
      </c>
      <c r="W6" s="68">
        <v>-11064.032547999999</v>
      </c>
      <c r="X6" s="68">
        <v>-10836.906070999999</v>
      </c>
      <c r="Y6" s="68">
        <v>-10608.454689</v>
      </c>
      <c r="Z6" s="68">
        <v>-10378.670674999999</v>
      </c>
      <c r="AA6" s="68">
        <v>-10147.546254000001</v>
      </c>
      <c r="AB6" s="68">
        <v>-9915.0736070000003</v>
      </c>
      <c r="AC6" s="68">
        <v>-9681.2448700000004</v>
      </c>
      <c r="AD6" s="68">
        <v>-9446.0521320000007</v>
      </c>
      <c r="AE6" s="68">
        <v>-9209.4874359999994</v>
      </c>
      <c r="AF6" s="68">
        <v>-8971.5427789999994</v>
      </c>
      <c r="AG6" s="68">
        <v>-8732.2101120000007</v>
      </c>
      <c r="AH6" s="68">
        <v>-8491.4813379999996</v>
      </c>
      <c r="AI6" s="68">
        <v>-8249.3483120000001</v>
      </c>
      <c r="AJ6" s="68">
        <v>-8005.8028439999998</v>
      </c>
      <c r="AK6" s="68">
        <v>-7760.8366939999996</v>
      </c>
      <c r="AL6" s="68">
        <v>-7514.4415749999998</v>
      </c>
      <c r="AM6" s="68">
        <v>-7266.6091509999997</v>
      </c>
      <c r="AN6" s="68">
        <v>-7017.3310369999999</v>
      </c>
      <c r="AO6" s="68">
        <v>-6766.5988020000004</v>
      </c>
      <c r="AP6" s="68">
        <v>-6514.403961</v>
      </c>
      <c r="AQ6" s="68">
        <v>-6260.7379840000003</v>
      </c>
      <c r="AR6" s="68">
        <v>-6005.5922890000002</v>
      </c>
      <c r="AS6" s="68">
        <v>-5748.9582440000004</v>
      </c>
      <c r="AT6" s="68">
        <v>-5490.8271670000004</v>
      </c>
      <c r="AU6" s="68">
        <v>-5231.1903259999999</v>
      </c>
      <c r="AV6" s="68">
        <v>-4970.0389359999999</v>
      </c>
      <c r="AW6" s="68">
        <v>-4707.3641630000002</v>
      </c>
      <c r="AX6" s="68">
        <v>-4443.1571210000002</v>
      </c>
      <c r="AY6" s="68">
        <v>-4177.4088709999996</v>
      </c>
      <c r="AZ6" s="68">
        <v>-3910.1104220000002</v>
      </c>
      <c r="BA6" s="68">
        <v>-3641.2527329999998</v>
      </c>
      <c r="BB6" s="68">
        <v>-3370.8267080000001</v>
      </c>
      <c r="BC6" s="68">
        <v>-3098.8231970000002</v>
      </c>
      <c r="BD6" s="68">
        <v>-2825.2329989999998</v>
      </c>
      <c r="BE6" s="68">
        <v>-2550.0468580000002</v>
      </c>
      <c r="BF6" s="68">
        <v>-2273.2554639999998</v>
      </c>
      <c r="BG6" s="68">
        <v>-1994.849455</v>
      </c>
      <c r="BH6" s="68">
        <v>-1714.8194100000001</v>
      </c>
      <c r="BI6" s="68">
        <v>-1433.1558560000001</v>
      </c>
      <c r="BJ6" s="68">
        <v>-1149.8492659999999</v>
      </c>
      <c r="BK6" s="68">
        <v>-864.89005299999997</v>
      </c>
      <c r="BL6" s="68">
        <v>-578.26857800000005</v>
      </c>
      <c r="BM6" s="68">
        <v>-289.975145</v>
      </c>
      <c r="BN6" s="68">
        <v>0</v>
      </c>
    </row>
    <row r="8" spans="1:68" x14ac:dyDescent="0.3">
      <c r="A8" s="53"/>
      <c r="B8" s="54" t="s">
        <v>1656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</row>
    <row r="9" spans="1:68" x14ac:dyDescent="0.3">
      <c r="A9" s="66" t="s">
        <v>1296</v>
      </c>
      <c r="B9" s="66" t="s">
        <v>1299</v>
      </c>
      <c r="C9" s="66" t="s">
        <v>1657</v>
      </c>
      <c r="D9" s="66" t="s">
        <v>1421</v>
      </c>
      <c r="E9" s="66" t="s">
        <v>1596</v>
      </c>
      <c r="F9" s="110" t="s">
        <v>1662</v>
      </c>
      <c r="G9" s="110" t="s">
        <v>1594</v>
      </c>
      <c r="H9" s="66" t="s">
        <v>1597</v>
      </c>
      <c r="I9" s="66" t="s">
        <v>1598</v>
      </c>
      <c r="J9" s="66" t="s">
        <v>1599</v>
      </c>
      <c r="K9" s="66" t="s">
        <v>1600</v>
      </c>
      <c r="L9" s="66" t="s">
        <v>1601</v>
      </c>
      <c r="M9" s="66" t="s">
        <v>1602</v>
      </c>
      <c r="N9" s="66" t="s">
        <v>1603</v>
      </c>
      <c r="O9" s="66" t="s">
        <v>1604</v>
      </c>
      <c r="P9" s="66" t="s">
        <v>1605</v>
      </c>
      <c r="Q9" s="66" t="s">
        <v>1606</v>
      </c>
      <c r="R9" s="66" t="s">
        <v>1607</v>
      </c>
      <c r="S9" s="66" t="s">
        <v>1608</v>
      </c>
      <c r="T9" s="66" t="s">
        <v>1609</v>
      </c>
      <c r="U9" s="66" t="s">
        <v>1610</v>
      </c>
      <c r="V9" s="66" t="s">
        <v>1611</v>
      </c>
      <c r="W9" s="66" t="s">
        <v>1612</v>
      </c>
      <c r="X9" s="66" t="s">
        <v>1613</v>
      </c>
      <c r="Y9" s="66" t="s">
        <v>1614</v>
      </c>
      <c r="Z9" s="66" t="s">
        <v>1615</v>
      </c>
      <c r="AA9" s="66" t="s">
        <v>1616</v>
      </c>
      <c r="AB9" s="66" t="s">
        <v>1617</v>
      </c>
      <c r="AC9" s="66" t="s">
        <v>1618</v>
      </c>
      <c r="AD9" s="66" t="s">
        <v>1619</v>
      </c>
      <c r="AE9" s="66" t="s">
        <v>1620</v>
      </c>
      <c r="AF9" s="66" t="s">
        <v>1621</v>
      </c>
      <c r="AG9" s="66" t="s">
        <v>1622</v>
      </c>
      <c r="AH9" s="66" t="s">
        <v>1623</v>
      </c>
      <c r="AI9" s="66" t="s">
        <v>1624</v>
      </c>
      <c r="AJ9" s="66" t="s">
        <v>1625</v>
      </c>
      <c r="AK9" s="66" t="s">
        <v>1626</v>
      </c>
      <c r="AL9" s="66" t="s">
        <v>1627</v>
      </c>
      <c r="AM9" s="66" t="s">
        <v>1628</v>
      </c>
      <c r="AN9" s="66" t="s">
        <v>1629</v>
      </c>
      <c r="AO9" s="66" t="s">
        <v>1630</v>
      </c>
      <c r="AP9" s="66" t="s">
        <v>1631</v>
      </c>
      <c r="AQ9" s="66" t="s">
        <v>1632</v>
      </c>
      <c r="AR9" s="66" t="s">
        <v>1633</v>
      </c>
      <c r="AS9" s="66" t="s">
        <v>1634</v>
      </c>
      <c r="AT9" s="66" t="s">
        <v>1635</v>
      </c>
      <c r="AU9" s="66" t="s">
        <v>1636</v>
      </c>
      <c r="AV9" s="66" t="s">
        <v>1637</v>
      </c>
      <c r="AW9" s="66" t="s">
        <v>1638</v>
      </c>
      <c r="AX9" s="66" t="s">
        <v>1639</v>
      </c>
      <c r="AY9" s="66" t="s">
        <v>1640</v>
      </c>
      <c r="AZ9" s="66" t="s">
        <v>1641</v>
      </c>
      <c r="BA9" s="66" t="s">
        <v>1642</v>
      </c>
      <c r="BB9" s="66" t="s">
        <v>1643</v>
      </c>
      <c r="BC9" s="66" t="s">
        <v>1644</v>
      </c>
      <c r="BD9" s="66" t="s">
        <v>1645</v>
      </c>
      <c r="BE9" s="66" t="s">
        <v>1646</v>
      </c>
      <c r="BF9" s="66" t="s">
        <v>1647</v>
      </c>
      <c r="BG9" s="66" t="s">
        <v>1648</v>
      </c>
      <c r="BH9" s="66" t="s">
        <v>1649</v>
      </c>
      <c r="BI9" s="66" t="s">
        <v>1650</v>
      </c>
      <c r="BJ9" s="66" t="s">
        <v>1651</v>
      </c>
      <c r="BK9" s="66" t="s">
        <v>1652</v>
      </c>
      <c r="BL9" s="66" t="s">
        <v>1653</v>
      </c>
      <c r="BM9" s="66" t="s">
        <v>1654</v>
      </c>
      <c r="BN9" s="66" t="s">
        <v>1655</v>
      </c>
    </row>
    <row r="10" spans="1:68" x14ac:dyDescent="0.3">
      <c r="A10" s="67" t="s">
        <v>1320</v>
      </c>
      <c r="B10" s="67" t="s">
        <v>36</v>
      </c>
      <c r="C10" s="67" t="s">
        <v>1412</v>
      </c>
      <c r="D10" s="67" t="s">
        <v>1322</v>
      </c>
      <c r="E10" s="68">
        <v>-42330.49</v>
      </c>
      <c r="F10" s="192">
        <f>_xlfn.XLOOKUP(C10,$I$26:$I$35,$AN$26:$AN$35)</f>
        <v>-42330.49</v>
      </c>
      <c r="G10" s="192">
        <f>E10-F10</f>
        <v>0</v>
      </c>
      <c r="H10" s="68">
        <v>-42330.49</v>
      </c>
      <c r="I10" s="68">
        <v>-42330.49</v>
      </c>
      <c r="J10" s="68">
        <v>-42330.49</v>
      </c>
      <c r="K10" s="68">
        <v>-42330.49</v>
      </c>
      <c r="L10" s="68">
        <v>-42330.49</v>
      </c>
      <c r="M10" s="68">
        <v>-42330.49</v>
      </c>
      <c r="N10" s="68">
        <v>-42330.49</v>
      </c>
      <c r="O10" s="68">
        <v>-42330.49</v>
      </c>
      <c r="P10" s="68">
        <v>-42330.49</v>
      </c>
      <c r="Q10" s="68">
        <v>-42330.49</v>
      </c>
      <c r="R10" s="68">
        <v>-42330.49</v>
      </c>
      <c r="S10" s="68">
        <v>-42330.5</v>
      </c>
      <c r="T10" s="68">
        <v>-42330.49</v>
      </c>
      <c r="U10" s="68">
        <v>-42330.49</v>
      </c>
      <c r="V10" s="68">
        <v>-42330.49</v>
      </c>
      <c r="W10" s="68">
        <v>-42330.49</v>
      </c>
      <c r="X10" s="68">
        <v>-42330.49</v>
      </c>
      <c r="Y10" s="68">
        <v>-42330.49</v>
      </c>
      <c r="Z10" s="68">
        <v>-42330.49</v>
      </c>
      <c r="AA10" s="68">
        <v>-42330.49</v>
      </c>
      <c r="AB10" s="68">
        <v>-42330.49</v>
      </c>
      <c r="AC10" s="68">
        <v>-42330.49</v>
      </c>
      <c r="AD10" s="68">
        <v>-42330.49</v>
      </c>
      <c r="AE10" s="68">
        <v>-42330.49</v>
      </c>
      <c r="AF10" s="68">
        <v>-42330.49</v>
      </c>
      <c r="AG10" s="68">
        <v>-42330.49</v>
      </c>
      <c r="AH10" s="68">
        <v>-42330.49</v>
      </c>
      <c r="AI10" s="68">
        <v>-42330.49</v>
      </c>
      <c r="AJ10" s="68">
        <v>-42330.49</v>
      </c>
      <c r="AK10" s="68">
        <v>-42330.49</v>
      </c>
      <c r="AL10" s="68">
        <v>-42330.49</v>
      </c>
      <c r="AM10" s="68">
        <v>-42330.49</v>
      </c>
      <c r="AN10" s="68">
        <v>-42330.49</v>
      </c>
      <c r="AO10" s="68">
        <v>-42330.49</v>
      </c>
      <c r="AP10" s="68">
        <v>-42330.49</v>
      </c>
      <c r="AQ10" s="68">
        <v>-42330.49</v>
      </c>
      <c r="AR10" s="68">
        <v>-42330.49</v>
      </c>
      <c r="AS10" s="68">
        <v>-42330.5</v>
      </c>
      <c r="AT10" s="68">
        <v>-42330.49</v>
      </c>
      <c r="AU10" s="68">
        <v>-42330.49</v>
      </c>
      <c r="AV10" s="68">
        <v>-42330.49</v>
      </c>
      <c r="AW10" s="68">
        <v>-42330.49</v>
      </c>
      <c r="AX10" s="68">
        <v>-42330.49</v>
      </c>
      <c r="AY10" s="68">
        <v>-42330.49</v>
      </c>
      <c r="AZ10" s="68">
        <v>-42330.49</v>
      </c>
      <c r="BA10" s="68">
        <v>-42330.49</v>
      </c>
      <c r="BB10" s="68">
        <v>-42330.49</v>
      </c>
      <c r="BC10" s="68">
        <v>-42330.49</v>
      </c>
      <c r="BD10" s="68">
        <v>-42330.49</v>
      </c>
      <c r="BE10" s="68">
        <v>-42330.49</v>
      </c>
      <c r="BF10" s="68">
        <v>-42330.49</v>
      </c>
      <c r="BG10" s="68">
        <v>-42330.49</v>
      </c>
      <c r="BH10" s="68">
        <v>-42330.49</v>
      </c>
      <c r="BI10" s="68">
        <v>-42330.49</v>
      </c>
      <c r="BJ10" s="68">
        <v>-42330.49</v>
      </c>
      <c r="BK10" s="68">
        <v>-42330.49</v>
      </c>
      <c r="BL10" s="68">
        <v>-42330.49</v>
      </c>
      <c r="BM10" s="68">
        <v>-42330.49</v>
      </c>
      <c r="BN10" s="68">
        <v>-42330.49</v>
      </c>
    </row>
    <row r="11" spans="1:68" x14ac:dyDescent="0.3">
      <c r="A11" s="67" t="s">
        <v>1320</v>
      </c>
      <c r="B11" s="67" t="s">
        <v>36</v>
      </c>
      <c r="C11" s="67" t="s">
        <v>1410</v>
      </c>
      <c r="D11" s="67" t="s">
        <v>1322</v>
      </c>
      <c r="E11" s="68">
        <v>2539829.423163</v>
      </c>
      <c r="F11" s="192">
        <f t="shared" ref="F11:F19" si="2">_xlfn.XLOOKUP(C11,$I$26:$I$35,$AN$26:$AN$35)</f>
        <v>2539829.423163</v>
      </c>
      <c r="G11" s="192">
        <f t="shared" ref="G11:G19" si="3">E11-F11</f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68">
        <v>0</v>
      </c>
      <c r="AN11" s="68">
        <v>0</v>
      </c>
      <c r="AO11" s="68">
        <v>0</v>
      </c>
      <c r="AP11" s="68">
        <v>0</v>
      </c>
      <c r="AQ11" s="68">
        <v>0</v>
      </c>
      <c r="AR11" s="68">
        <v>0</v>
      </c>
      <c r="AS11" s="68">
        <v>0</v>
      </c>
      <c r="AT11" s="68">
        <v>0</v>
      </c>
      <c r="AU11" s="68">
        <v>0</v>
      </c>
      <c r="AV11" s="68">
        <v>0</v>
      </c>
      <c r="AW11" s="68">
        <v>0</v>
      </c>
      <c r="AX11" s="68">
        <v>0</v>
      </c>
      <c r="AY11" s="68">
        <v>0</v>
      </c>
      <c r="AZ11" s="68">
        <v>0</v>
      </c>
      <c r="BA11" s="68">
        <v>0</v>
      </c>
      <c r="BB11" s="68">
        <v>0</v>
      </c>
      <c r="BC11" s="68">
        <v>0</v>
      </c>
      <c r="BD11" s="68">
        <v>0</v>
      </c>
      <c r="BE11" s="68">
        <v>0</v>
      </c>
      <c r="BF11" s="68">
        <v>0</v>
      </c>
      <c r="BG11" s="68">
        <v>0</v>
      </c>
      <c r="BH11" s="68">
        <v>0</v>
      </c>
      <c r="BI11" s="68">
        <v>0</v>
      </c>
      <c r="BJ11" s="68">
        <v>0</v>
      </c>
      <c r="BK11" s="68">
        <v>0</v>
      </c>
      <c r="BL11" s="68">
        <v>0</v>
      </c>
      <c r="BM11" s="68">
        <v>0</v>
      </c>
      <c r="BN11" s="68">
        <v>0</v>
      </c>
    </row>
    <row r="12" spans="1:68" x14ac:dyDescent="0.3">
      <c r="A12" s="67" t="s">
        <v>1320</v>
      </c>
      <c r="B12" s="67" t="s">
        <v>36</v>
      </c>
      <c r="C12" s="67" t="s">
        <v>1406</v>
      </c>
      <c r="D12" s="67" t="s">
        <v>1322</v>
      </c>
      <c r="E12" s="68">
        <v>0</v>
      </c>
      <c r="F12" s="192">
        <f t="shared" si="2"/>
        <v>0</v>
      </c>
      <c r="G12" s="192">
        <f t="shared" si="3"/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8">
        <v>0</v>
      </c>
      <c r="AN12" s="68">
        <v>0</v>
      </c>
      <c r="AO12" s="68">
        <v>0</v>
      </c>
      <c r="AP12" s="68">
        <v>0</v>
      </c>
      <c r="AQ12" s="68">
        <v>0</v>
      </c>
      <c r="AR12" s="68">
        <v>0</v>
      </c>
      <c r="AS12" s="68">
        <v>0</v>
      </c>
      <c r="AT12" s="68">
        <v>0</v>
      </c>
      <c r="AU12" s="68">
        <v>0</v>
      </c>
      <c r="AV12" s="68">
        <v>0</v>
      </c>
      <c r="AW12" s="68">
        <v>0</v>
      </c>
      <c r="AX12" s="68">
        <v>0</v>
      </c>
      <c r="AY12" s="68">
        <v>0</v>
      </c>
      <c r="AZ12" s="68">
        <v>0</v>
      </c>
      <c r="BA12" s="68">
        <v>0</v>
      </c>
      <c r="BB12" s="68">
        <v>0</v>
      </c>
      <c r="BC12" s="68">
        <v>0</v>
      </c>
      <c r="BD12" s="68">
        <v>0</v>
      </c>
      <c r="BE12" s="68">
        <v>0</v>
      </c>
      <c r="BF12" s="68">
        <v>0</v>
      </c>
      <c r="BG12" s="68">
        <v>0</v>
      </c>
      <c r="BH12" s="68">
        <v>0</v>
      </c>
      <c r="BI12" s="68">
        <v>0</v>
      </c>
      <c r="BJ12" s="68">
        <v>0</v>
      </c>
      <c r="BK12" s="68">
        <v>0</v>
      </c>
      <c r="BL12" s="68">
        <v>0</v>
      </c>
      <c r="BM12" s="68">
        <v>0</v>
      </c>
      <c r="BN12" s="68">
        <v>0</v>
      </c>
    </row>
    <row r="13" spans="1:68" x14ac:dyDescent="0.3">
      <c r="A13" s="67" t="s">
        <v>1320</v>
      </c>
      <c r="B13" s="67" t="s">
        <v>36</v>
      </c>
      <c r="C13" s="67" t="s">
        <v>1405</v>
      </c>
      <c r="D13" s="67" t="s">
        <v>1322</v>
      </c>
      <c r="E13" s="68">
        <v>0</v>
      </c>
      <c r="F13" s="192">
        <f t="shared" si="2"/>
        <v>0</v>
      </c>
      <c r="G13" s="192">
        <f t="shared" si="3"/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8">
        <v>0</v>
      </c>
      <c r="AN13" s="68">
        <v>0</v>
      </c>
      <c r="AO13" s="68">
        <v>0</v>
      </c>
      <c r="AP13" s="68">
        <v>0</v>
      </c>
      <c r="AQ13" s="68">
        <v>0</v>
      </c>
      <c r="AR13" s="68">
        <v>0</v>
      </c>
      <c r="AS13" s="68">
        <v>0</v>
      </c>
      <c r="AT13" s="68">
        <v>0</v>
      </c>
      <c r="AU13" s="68">
        <v>0</v>
      </c>
      <c r="AV13" s="68">
        <v>0</v>
      </c>
      <c r="AW13" s="68">
        <v>0</v>
      </c>
      <c r="AX13" s="68">
        <v>0</v>
      </c>
      <c r="AY13" s="68">
        <v>0</v>
      </c>
      <c r="AZ13" s="68">
        <v>0</v>
      </c>
      <c r="BA13" s="68">
        <v>0</v>
      </c>
      <c r="BB13" s="68">
        <v>0</v>
      </c>
      <c r="BC13" s="68">
        <v>0</v>
      </c>
      <c r="BD13" s="68">
        <v>0</v>
      </c>
      <c r="BE13" s="68">
        <v>0</v>
      </c>
      <c r="BF13" s="68">
        <v>0</v>
      </c>
      <c r="BG13" s="68">
        <v>0</v>
      </c>
      <c r="BH13" s="68">
        <v>0</v>
      </c>
      <c r="BI13" s="68">
        <v>0</v>
      </c>
      <c r="BJ13" s="68">
        <v>0</v>
      </c>
      <c r="BK13" s="68">
        <v>0</v>
      </c>
      <c r="BL13" s="68">
        <v>0</v>
      </c>
      <c r="BM13" s="68">
        <v>0</v>
      </c>
      <c r="BN13" s="68">
        <v>0</v>
      </c>
    </row>
    <row r="14" spans="1:68" x14ac:dyDescent="0.3">
      <c r="A14" s="67" t="s">
        <v>1320</v>
      </c>
      <c r="B14" s="67" t="s">
        <v>36</v>
      </c>
      <c r="C14" s="67" t="s">
        <v>1411</v>
      </c>
      <c r="D14" s="67" t="s">
        <v>1322</v>
      </c>
      <c r="E14" s="68">
        <v>42330.49</v>
      </c>
      <c r="F14" s="192">
        <f t="shared" si="2"/>
        <v>42330.49</v>
      </c>
      <c r="G14" s="192">
        <f t="shared" si="3"/>
        <v>0</v>
      </c>
      <c r="H14" s="68">
        <v>42330.49</v>
      </c>
      <c r="I14" s="68">
        <v>42330.49</v>
      </c>
      <c r="J14" s="68">
        <v>42330.49</v>
      </c>
      <c r="K14" s="68">
        <v>42330.49</v>
      </c>
      <c r="L14" s="68">
        <v>42330.49</v>
      </c>
      <c r="M14" s="68">
        <v>42330.49</v>
      </c>
      <c r="N14" s="68">
        <v>42330.49</v>
      </c>
      <c r="O14" s="68">
        <v>42330.49</v>
      </c>
      <c r="P14" s="68">
        <v>42330.49</v>
      </c>
      <c r="Q14" s="68">
        <v>42330.49</v>
      </c>
      <c r="R14" s="68">
        <v>42330.49</v>
      </c>
      <c r="S14" s="68">
        <v>42330.5</v>
      </c>
      <c r="T14" s="68">
        <v>42330.49</v>
      </c>
      <c r="U14" s="68">
        <v>42330.49</v>
      </c>
      <c r="V14" s="68">
        <v>42330.49</v>
      </c>
      <c r="W14" s="68">
        <v>42330.49</v>
      </c>
      <c r="X14" s="68">
        <v>42330.49</v>
      </c>
      <c r="Y14" s="68">
        <v>42330.49</v>
      </c>
      <c r="Z14" s="68">
        <v>42330.49</v>
      </c>
      <c r="AA14" s="68">
        <v>42330.49</v>
      </c>
      <c r="AB14" s="68">
        <v>42330.49</v>
      </c>
      <c r="AC14" s="68">
        <v>42330.49</v>
      </c>
      <c r="AD14" s="68">
        <v>42330.49</v>
      </c>
      <c r="AE14" s="68">
        <v>42330.49</v>
      </c>
      <c r="AF14" s="68">
        <v>42330.49</v>
      </c>
      <c r="AG14" s="68">
        <v>42330.49</v>
      </c>
      <c r="AH14" s="68">
        <v>42330.49</v>
      </c>
      <c r="AI14" s="68">
        <v>42330.49</v>
      </c>
      <c r="AJ14" s="68">
        <v>42330.49</v>
      </c>
      <c r="AK14" s="68">
        <v>42330.49</v>
      </c>
      <c r="AL14" s="68">
        <v>42330.49</v>
      </c>
      <c r="AM14" s="68">
        <v>42330.49</v>
      </c>
      <c r="AN14" s="68">
        <v>42330.49</v>
      </c>
      <c r="AO14" s="68">
        <v>42330.49</v>
      </c>
      <c r="AP14" s="68">
        <v>42330.49</v>
      </c>
      <c r="AQ14" s="68">
        <v>42330.49</v>
      </c>
      <c r="AR14" s="68">
        <v>42330.49</v>
      </c>
      <c r="AS14" s="68">
        <v>42330.5</v>
      </c>
      <c r="AT14" s="68">
        <v>42330.49</v>
      </c>
      <c r="AU14" s="68">
        <v>42330.49</v>
      </c>
      <c r="AV14" s="68">
        <v>42330.49</v>
      </c>
      <c r="AW14" s="68">
        <v>42330.49</v>
      </c>
      <c r="AX14" s="68">
        <v>42330.49</v>
      </c>
      <c r="AY14" s="68">
        <v>42330.49</v>
      </c>
      <c r="AZ14" s="68">
        <v>42330.49</v>
      </c>
      <c r="BA14" s="68">
        <v>42330.49</v>
      </c>
      <c r="BB14" s="68">
        <v>42330.49</v>
      </c>
      <c r="BC14" s="68">
        <v>42330.49</v>
      </c>
      <c r="BD14" s="68">
        <v>42330.49</v>
      </c>
      <c r="BE14" s="68">
        <v>42330.49</v>
      </c>
      <c r="BF14" s="68">
        <v>42330.49</v>
      </c>
      <c r="BG14" s="68">
        <v>42330.49</v>
      </c>
      <c r="BH14" s="68">
        <v>42330.49</v>
      </c>
      <c r="BI14" s="68">
        <v>42330.49</v>
      </c>
      <c r="BJ14" s="68">
        <v>42330.49</v>
      </c>
      <c r="BK14" s="68">
        <v>42330.49</v>
      </c>
      <c r="BL14" s="68">
        <v>42330.49</v>
      </c>
      <c r="BM14" s="68">
        <v>42330.49</v>
      </c>
      <c r="BN14" s="68">
        <v>42330.49</v>
      </c>
    </row>
    <row r="15" spans="1:68" x14ac:dyDescent="0.3">
      <c r="A15" s="67" t="s">
        <v>1320</v>
      </c>
      <c r="B15" s="67" t="s">
        <v>36</v>
      </c>
      <c r="C15" s="67" t="s">
        <v>1407</v>
      </c>
      <c r="D15" s="67" t="s">
        <v>1322</v>
      </c>
      <c r="E15" s="68">
        <v>14524.004967999999</v>
      </c>
      <c r="F15" s="192">
        <f t="shared" si="2"/>
        <v>14524.004967999999</v>
      </c>
      <c r="G15" s="192">
        <f t="shared" si="3"/>
        <v>0</v>
      </c>
      <c r="H15" s="68">
        <v>14317.061664000001</v>
      </c>
      <c r="I15" s="68">
        <v>14108.911190000001</v>
      </c>
      <c r="J15" s="68">
        <v>13899.546506000001</v>
      </c>
      <c r="K15" s="68">
        <v>13688.960526999999</v>
      </c>
      <c r="L15" s="68">
        <v>13477.146129999999</v>
      </c>
      <c r="M15" s="68">
        <v>13264.096149000001</v>
      </c>
      <c r="N15" s="68">
        <v>13049.803377</v>
      </c>
      <c r="O15" s="68">
        <v>12834.260563</v>
      </c>
      <c r="P15" s="68">
        <v>12617.460416</v>
      </c>
      <c r="Q15" s="68">
        <v>12399.395602000001</v>
      </c>
      <c r="R15" s="68">
        <v>12180.058743</v>
      </c>
      <c r="S15" s="68">
        <v>11959.442419000001</v>
      </c>
      <c r="T15" s="68">
        <v>11737.539167000001</v>
      </c>
      <c r="U15" s="68">
        <v>11514.341478</v>
      </c>
      <c r="V15" s="68">
        <v>11289.841804</v>
      </c>
      <c r="W15" s="68">
        <v>11064.032547999999</v>
      </c>
      <c r="X15" s="68">
        <v>10836.906070999999</v>
      </c>
      <c r="Y15" s="68">
        <v>10608.454689</v>
      </c>
      <c r="Z15" s="68">
        <v>10378.670674999999</v>
      </c>
      <c r="AA15" s="68">
        <v>10147.546254000001</v>
      </c>
      <c r="AB15" s="68">
        <v>9915.0736070000003</v>
      </c>
      <c r="AC15" s="68">
        <v>9681.2448700000004</v>
      </c>
      <c r="AD15" s="68">
        <v>9446.0521320000007</v>
      </c>
      <c r="AE15" s="68">
        <v>9209.4874359999994</v>
      </c>
      <c r="AF15" s="68">
        <v>8971.5427789999994</v>
      </c>
      <c r="AG15" s="68">
        <v>8732.2101120000007</v>
      </c>
      <c r="AH15" s="68">
        <v>8491.4813379999996</v>
      </c>
      <c r="AI15" s="68">
        <v>8249.3483120000001</v>
      </c>
      <c r="AJ15" s="68">
        <v>8005.8028439999998</v>
      </c>
      <c r="AK15" s="68">
        <v>7760.8366939999996</v>
      </c>
      <c r="AL15" s="68">
        <v>7514.4415749999998</v>
      </c>
      <c r="AM15" s="68">
        <v>7266.6091509999997</v>
      </c>
      <c r="AN15" s="68">
        <v>7017.3310369999999</v>
      </c>
      <c r="AO15" s="68">
        <v>6766.5988020000004</v>
      </c>
      <c r="AP15" s="68">
        <v>6514.403961</v>
      </c>
      <c r="AQ15" s="68">
        <v>6260.7379840000003</v>
      </c>
      <c r="AR15" s="68">
        <v>6005.5922890000002</v>
      </c>
      <c r="AS15" s="68">
        <v>5748.9582440000004</v>
      </c>
      <c r="AT15" s="68">
        <v>5490.8271670000004</v>
      </c>
      <c r="AU15" s="68">
        <v>5231.1903259999999</v>
      </c>
      <c r="AV15" s="68">
        <v>4970.0389359999999</v>
      </c>
      <c r="AW15" s="68">
        <v>4707.3641630000002</v>
      </c>
      <c r="AX15" s="68">
        <v>4443.1571210000002</v>
      </c>
      <c r="AY15" s="68">
        <v>4177.4088709999996</v>
      </c>
      <c r="AZ15" s="68">
        <v>3910.1104220000002</v>
      </c>
      <c r="BA15" s="68">
        <v>3641.2527329999998</v>
      </c>
      <c r="BB15" s="68">
        <v>3370.8267080000001</v>
      </c>
      <c r="BC15" s="68">
        <v>3098.8231970000002</v>
      </c>
      <c r="BD15" s="68">
        <v>2825.2329989999998</v>
      </c>
      <c r="BE15" s="68">
        <v>2550.0468580000002</v>
      </c>
      <c r="BF15" s="68">
        <v>2273.2554639999998</v>
      </c>
      <c r="BG15" s="68">
        <v>1994.849455</v>
      </c>
      <c r="BH15" s="68">
        <v>1714.8194100000001</v>
      </c>
      <c r="BI15" s="68">
        <v>1433.1558560000001</v>
      </c>
      <c r="BJ15" s="68">
        <v>1149.8492659999999</v>
      </c>
      <c r="BK15" s="68">
        <v>864.89005299999997</v>
      </c>
      <c r="BL15" s="68">
        <v>578.26857800000005</v>
      </c>
      <c r="BM15" s="68">
        <v>289.975145</v>
      </c>
      <c r="BN15" s="68">
        <v>0</v>
      </c>
    </row>
    <row r="16" spans="1:68" x14ac:dyDescent="0.3">
      <c r="A16" s="67" t="s">
        <v>1320</v>
      </c>
      <c r="B16" s="67" t="s">
        <v>36</v>
      </c>
      <c r="C16" s="67" t="s">
        <v>1413</v>
      </c>
      <c r="D16" s="67" t="s">
        <v>1322</v>
      </c>
      <c r="E16" s="68">
        <v>-50000</v>
      </c>
      <c r="F16" s="192">
        <f t="shared" si="2"/>
        <v>-50000</v>
      </c>
      <c r="G16" s="192">
        <f t="shared" si="3"/>
        <v>0</v>
      </c>
      <c r="H16" s="68">
        <v>-50000</v>
      </c>
      <c r="I16" s="68">
        <v>-50000</v>
      </c>
      <c r="J16" s="68">
        <v>-50000</v>
      </c>
      <c r="K16" s="68">
        <v>-50000</v>
      </c>
      <c r="L16" s="68">
        <v>-50000</v>
      </c>
      <c r="M16" s="68">
        <v>-50000</v>
      </c>
      <c r="N16" s="68">
        <v>-50000</v>
      </c>
      <c r="O16" s="68">
        <v>-50000</v>
      </c>
      <c r="P16" s="68">
        <v>-50000</v>
      </c>
      <c r="Q16" s="68">
        <v>-50000</v>
      </c>
      <c r="R16" s="68">
        <v>-50000</v>
      </c>
      <c r="S16" s="68">
        <v>-50000</v>
      </c>
      <c r="T16" s="68">
        <v>-50000</v>
      </c>
      <c r="U16" s="68">
        <v>-50000</v>
      </c>
      <c r="V16" s="68">
        <v>-50000</v>
      </c>
      <c r="W16" s="68">
        <v>-50000</v>
      </c>
      <c r="X16" s="68">
        <v>-50000</v>
      </c>
      <c r="Y16" s="68">
        <v>-50000</v>
      </c>
      <c r="Z16" s="68">
        <v>-50000</v>
      </c>
      <c r="AA16" s="68">
        <v>-50000</v>
      </c>
      <c r="AB16" s="68">
        <v>-50000</v>
      </c>
      <c r="AC16" s="68">
        <v>-50000</v>
      </c>
      <c r="AD16" s="68">
        <v>-50000</v>
      </c>
      <c r="AE16" s="68">
        <v>-50000</v>
      </c>
      <c r="AF16" s="68">
        <v>-50000</v>
      </c>
      <c r="AG16" s="68">
        <v>-50000</v>
      </c>
      <c r="AH16" s="68">
        <v>-50000</v>
      </c>
      <c r="AI16" s="68">
        <v>-50000</v>
      </c>
      <c r="AJ16" s="68">
        <v>-50000</v>
      </c>
      <c r="AK16" s="68">
        <v>-50000</v>
      </c>
      <c r="AL16" s="68">
        <v>-50000</v>
      </c>
      <c r="AM16" s="68">
        <v>-50000</v>
      </c>
      <c r="AN16" s="68">
        <v>-50000</v>
      </c>
      <c r="AO16" s="68">
        <v>-50000</v>
      </c>
      <c r="AP16" s="68">
        <v>-50000</v>
      </c>
      <c r="AQ16" s="68">
        <v>-50000</v>
      </c>
      <c r="AR16" s="68">
        <v>-50000</v>
      </c>
      <c r="AS16" s="68">
        <v>-50000</v>
      </c>
      <c r="AT16" s="68">
        <v>-50000</v>
      </c>
      <c r="AU16" s="68">
        <v>-50000</v>
      </c>
      <c r="AV16" s="68">
        <v>-50000</v>
      </c>
      <c r="AW16" s="68">
        <v>-50000</v>
      </c>
      <c r="AX16" s="68">
        <v>-50000</v>
      </c>
      <c r="AY16" s="68">
        <v>-50000</v>
      </c>
      <c r="AZ16" s="68">
        <v>-50000</v>
      </c>
      <c r="BA16" s="68">
        <v>-50000</v>
      </c>
      <c r="BB16" s="68">
        <v>-50000</v>
      </c>
      <c r="BC16" s="68">
        <v>-50000</v>
      </c>
      <c r="BD16" s="68">
        <v>-50000</v>
      </c>
      <c r="BE16" s="68">
        <v>-50000</v>
      </c>
      <c r="BF16" s="68">
        <v>-50000</v>
      </c>
      <c r="BG16" s="68">
        <v>-50000</v>
      </c>
      <c r="BH16" s="68">
        <v>-50000</v>
      </c>
      <c r="BI16" s="68">
        <v>-50000</v>
      </c>
      <c r="BJ16" s="68">
        <v>-50000</v>
      </c>
      <c r="BK16" s="68">
        <v>-50000</v>
      </c>
      <c r="BL16" s="68">
        <v>-50000</v>
      </c>
      <c r="BM16" s="68">
        <v>-50000</v>
      </c>
      <c r="BN16" s="68">
        <v>-50000</v>
      </c>
    </row>
    <row r="17" spans="1:66" x14ac:dyDescent="0.3">
      <c r="A17" s="67" t="s">
        <v>1320</v>
      </c>
      <c r="B17" s="67" t="s">
        <v>36</v>
      </c>
      <c r="C17" s="67" t="s">
        <v>1409</v>
      </c>
      <c r="D17" s="67" t="s">
        <v>1322</v>
      </c>
      <c r="E17" s="68">
        <v>-2050190.133163</v>
      </c>
      <c r="F17" s="192">
        <f t="shared" si="2"/>
        <v>-2050190.133163</v>
      </c>
      <c r="G17" s="192">
        <f t="shared" si="3"/>
        <v>0</v>
      </c>
      <c r="H17" s="68">
        <v>38040.565031999999</v>
      </c>
      <c r="I17" s="68">
        <v>38262.458336000003</v>
      </c>
      <c r="J17" s="68">
        <v>38485.658810000001</v>
      </c>
      <c r="K17" s="68">
        <v>38710.153493999998</v>
      </c>
      <c r="L17" s="68">
        <v>38935.969472999997</v>
      </c>
      <c r="M17" s="68">
        <v>39163.103869999999</v>
      </c>
      <c r="N17" s="68">
        <v>39391.533851</v>
      </c>
      <c r="O17" s="68">
        <v>39621.326623000001</v>
      </c>
      <c r="P17" s="68">
        <v>39852.459436999998</v>
      </c>
      <c r="Q17" s="68">
        <v>40084.929583999998</v>
      </c>
      <c r="R17" s="68">
        <v>40318.754397999997</v>
      </c>
      <c r="S17" s="68">
        <v>40553.941256999999</v>
      </c>
      <c r="T17" s="68">
        <v>40790.517581</v>
      </c>
      <c r="U17" s="68">
        <v>41028.460832999997</v>
      </c>
      <c r="V17" s="68">
        <v>41267.788522000003</v>
      </c>
      <c r="W17" s="68">
        <v>41508.508196000002</v>
      </c>
      <c r="X17" s="68">
        <v>41750.667452000002</v>
      </c>
      <c r="Y17" s="68">
        <v>41994.183928999999</v>
      </c>
      <c r="Z17" s="68">
        <v>42239.165310999997</v>
      </c>
      <c r="AA17" s="68">
        <v>42485.569324999997</v>
      </c>
      <c r="AB17" s="68">
        <v>42733.373745999997</v>
      </c>
      <c r="AC17" s="68">
        <v>42982.686393000004</v>
      </c>
      <c r="AD17" s="68">
        <v>43233.385130000002</v>
      </c>
      <c r="AE17" s="68">
        <v>43485.607867999999</v>
      </c>
      <c r="AF17" s="68">
        <v>43739.262563999997</v>
      </c>
      <c r="AG17" s="68">
        <v>43994.397220999999</v>
      </c>
      <c r="AH17" s="68">
        <v>44251.049888000001</v>
      </c>
      <c r="AI17" s="68">
        <v>44509.168661999996</v>
      </c>
      <c r="AJ17" s="68">
        <v>44768.811688000002</v>
      </c>
      <c r="AK17" s="68">
        <v>45029.957155999997</v>
      </c>
      <c r="AL17" s="68">
        <v>45292.643305999998</v>
      </c>
      <c r="AM17" s="68">
        <v>45556.838425000002</v>
      </c>
      <c r="AN17" s="68">
        <v>45822.590849</v>
      </c>
      <c r="AO17" s="68">
        <v>46089.888962999998</v>
      </c>
      <c r="AP17" s="68">
        <v>46358.751197999998</v>
      </c>
      <c r="AQ17" s="68">
        <v>46629.176038999998</v>
      </c>
      <c r="AR17" s="68">
        <v>46901.172015999997</v>
      </c>
      <c r="AS17" s="68">
        <v>47174.767711</v>
      </c>
      <c r="AT17" s="68">
        <v>47449.951756000002</v>
      </c>
      <c r="AU17" s="68">
        <v>47726.742832999997</v>
      </c>
      <c r="AV17" s="68">
        <v>48005.149674</v>
      </c>
      <c r="AW17" s="68">
        <v>48285.181063999997</v>
      </c>
      <c r="AX17" s="68">
        <v>48566.855837000003</v>
      </c>
      <c r="AY17" s="68">
        <v>48850.132878999997</v>
      </c>
      <c r="AZ17" s="68">
        <v>49135.121128999999</v>
      </c>
      <c r="BA17" s="68">
        <v>49421.729577999999</v>
      </c>
      <c r="BB17" s="68">
        <v>49710.027266999998</v>
      </c>
      <c r="BC17" s="68">
        <v>-2.9889999999999999E-3</v>
      </c>
      <c r="BD17" s="68">
        <v>0</v>
      </c>
      <c r="BE17" s="68">
        <v>0</v>
      </c>
      <c r="BF17" s="68">
        <v>0</v>
      </c>
      <c r="BG17" s="68">
        <v>0</v>
      </c>
      <c r="BH17" s="68">
        <v>0</v>
      </c>
      <c r="BI17" s="68">
        <v>0</v>
      </c>
      <c r="BJ17" s="68">
        <v>0</v>
      </c>
      <c r="BK17" s="68">
        <v>0</v>
      </c>
      <c r="BL17" s="68">
        <v>0</v>
      </c>
      <c r="BM17" s="68">
        <v>0</v>
      </c>
      <c r="BN17" s="68">
        <v>0</v>
      </c>
    </row>
    <row r="18" spans="1:66" x14ac:dyDescent="0.3">
      <c r="A18" s="67" t="s">
        <v>1320</v>
      </c>
      <c r="B18" s="67" t="s">
        <v>36</v>
      </c>
      <c r="C18" s="67" t="s">
        <v>1408</v>
      </c>
      <c r="D18" s="67" t="s">
        <v>1322</v>
      </c>
      <c r="E18" s="68">
        <v>-439639.29</v>
      </c>
      <c r="F18" s="192">
        <f t="shared" si="2"/>
        <v>-439639.29</v>
      </c>
      <c r="G18" s="192">
        <f t="shared" si="3"/>
        <v>0</v>
      </c>
      <c r="H18" s="68">
        <v>-2564.5700000000002</v>
      </c>
      <c r="I18" s="68">
        <v>-2579.52</v>
      </c>
      <c r="J18" s="68">
        <v>-2594.5700000000002</v>
      </c>
      <c r="K18" s="68">
        <v>-2609.6999999999998</v>
      </c>
      <c r="L18" s="68">
        <v>-2624.93</v>
      </c>
      <c r="M18" s="68">
        <v>-2640.25</v>
      </c>
      <c r="N18" s="68">
        <v>-2655.63</v>
      </c>
      <c r="O18" s="68">
        <v>-2671.13</v>
      </c>
      <c r="P18" s="68">
        <v>-2686.72</v>
      </c>
      <c r="Q18" s="68">
        <v>-2702.39</v>
      </c>
      <c r="R18" s="68">
        <v>-2718.15</v>
      </c>
      <c r="S18" s="68">
        <v>-2734</v>
      </c>
      <c r="T18" s="68">
        <v>-2749.96</v>
      </c>
      <c r="U18" s="68">
        <v>-2766</v>
      </c>
      <c r="V18" s="68">
        <v>-2782.13</v>
      </c>
      <c r="W18" s="68">
        <v>-2798.35</v>
      </c>
      <c r="X18" s="68">
        <v>-2814.7</v>
      </c>
      <c r="Y18" s="68">
        <v>-2831.09</v>
      </c>
      <c r="Z18" s="68">
        <v>-2847.62</v>
      </c>
      <c r="AA18" s="68">
        <v>-2864.24</v>
      </c>
      <c r="AB18" s="68">
        <v>-2880.92</v>
      </c>
      <c r="AC18" s="68">
        <v>-2897.76</v>
      </c>
      <c r="AD18" s="68">
        <v>-2914.63</v>
      </c>
      <c r="AE18" s="68">
        <v>-2931.66</v>
      </c>
      <c r="AF18" s="68">
        <v>-2948.75</v>
      </c>
      <c r="AG18" s="68">
        <v>-2965.94</v>
      </c>
      <c r="AH18" s="68">
        <v>-2983.26</v>
      </c>
      <c r="AI18" s="68">
        <v>-3000.65</v>
      </c>
      <c r="AJ18" s="68">
        <v>-3018.16</v>
      </c>
      <c r="AK18" s="68">
        <v>-3035.76</v>
      </c>
      <c r="AL18" s="68">
        <v>-3053.48</v>
      </c>
      <c r="AM18" s="68">
        <v>-3071.28</v>
      </c>
      <c r="AN18" s="68">
        <v>-3089.2</v>
      </c>
      <c r="AO18" s="68">
        <v>-3107.22</v>
      </c>
      <c r="AP18" s="68">
        <v>-3125.35</v>
      </c>
      <c r="AQ18" s="68">
        <v>-3143.58</v>
      </c>
      <c r="AR18" s="68">
        <v>-3161.91</v>
      </c>
      <c r="AS18" s="68">
        <v>-3180.36</v>
      </c>
      <c r="AT18" s="68">
        <v>-3198.91</v>
      </c>
      <c r="AU18" s="68">
        <v>-3217.57</v>
      </c>
      <c r="AV18" s="68">
        <v>-3236.34</v>
      </c>
      <c r="AW18" s="68">
        <v>-3255.22</v>
      </c>
      <c r="AX18" s="68">
        <v>-3274.22</v>
      </c>
      <c r="AY18" s="68">
        <v>-3293.29</v>
      </c>
      <c r="AZ18" s="68">
        <v>-3312.53</v>
      </c>
      <c r="BA18" s="68">
        <v>-3331.84</v>
      </c>
      <c r="BB18" s="68">
        <v>-3351.28</v>
      </c>
      <c r="BC18" s="68">
        <v>46629.176281</v>
      </c>
      <c r="BD18" s="68">
        <v>46901.176803000002</v>
      </c>
      <c r="BE18" s="68">
        <v>47174.767001</v>
      </c>
      <c r="BF18" s="68">
        <v>47449.953141999998</v>
      </c>
      <c r="BG18" s="68">
        <v>47726.744535999998</v>
      </c>
      <c r="BH18" s="68">
        <v>48005.150544999997</v>
      </c>
      <c r="BI18" s="68">
        <v>48285.180590000004</v>
      </c>
      <c r="BJ18" s="68">
        <v>48566.844144000002</v>
      </c>
      <c r="BK18" s="68">
        <v>48850.150734000003</v>
      </c>
      <c r="BL18" s="68">
        <v>49135.109946999997</v>
      </c>
      <c r="BM18" s="68">
        <v>49421.731421999997</v>
      </c>
      <c r="BN18" s="68">
        <v>49710.024855000003</v>
      </c>
    </row>
    <row r="19" spans="1:66" x14ac:dyDescent="0.3">
      <c r="A19" s="67" t="s">
        <v>1320</v>
      </c>
      <c r="B19" s="67" t="s">
        <v>36</v>
      </c>
      <c r="C19" s="67" t="s">
        <v>1404</v>
      </c>
      <c r="D19" s="67" t="s">
        <v>1322</v>
      </c>
      <c r="E19" s="68">
        <v>-14524.004967999999</v>
      </c>
      <c r="F19" s="192">
        <f t="shared" si="2"/>
        <v>-14524.004967999999</v>
      </c>
      <c r="G19" s="192">
        <f t="shared" si="3"/>
        <v>0</v>
      </c>
      <c r="H19" s="68">
        <v>206.94330400000001</v>
      </c>
      <c r="I19" s="68">
        <v>208.150474</v>
      </c>
      <c r="J19" s="68">
        <v>209.36468400000001</v>
      </c>
      <c r="K19" s="68">
        <v>210.58597900000001</v>
      </c>
      <c r="L19" s="68">
        <v>211.81439700000001</v>
      </c>
      <c r="M19" s="68">
        <v>213.049981</v>
      </c>
      <c r="N19" s="68">
        <v>214.29277200000001</v>
      </c>
      <c r="O19" s="68">
        <v>215.54281399999999</v>
      </c>
      <c r="P19" s="68">
        <v>216.80014700000001</v>
      </c>
      <c r="Q19" s="68">
        <v>218.06481400000001</v>
      </c>
      <c r="R19" s="68">
        <v>219.336859</v>
      </c>
      <c r="S19" s="68">
        <v>220.61632399999999</v>
      </c>
      <c r="T19" s="68">
        <v>221.90325200000001</v>
      </c>
      <c r="U19" s="68">
        <v>223.197689</v>
      </c>
      <c r="V19" s="68">
        <v>224.499674</v>
      </c>
      <c r="W19" s="68">
        <v>225.809256</v>
      </c>
      <c r="X19" s="68">
        <v>227.12647699999999</v>
      </c>
      <c r="Y19" s="68">
        <v>228.451382</v>
      </c>
      <c r="Z19" s="68">
        <v>229.78401400000001</v>
      </c>
      <c r="AA19" s="68">
        <v>231.12442100000001</v>
      </c>
      <c r="AB19" s="68">
        <v>232.47264699999999</v>
      </c>
      <c r="AC19" s="68">
        <v>233.82873699999999</v>
      </c>
      <c r="AD19" s="68">
        <v>235.19273799999999</v>
      </c>
      <c r="AE19" s="68">
        <v>236.564696</v>
      </c>
      <c r="AF19" s="68">
        <v>237.94465700000001</v>
      </c>
      <c r="AG19" s="68">
        <v>239.33266699999999</v>
      </c>
      <c r="AH19" s="68">
        <v>240.72877399999999</v>
      </c>
      <c r="AI19" s="68">
        <v>242.133026</v>
      </c>
      <c r="AJ19" s="68">
        <v>243.545468</v>
      </c>
      <c r="AK19" s="68">
        <v>244.96615</v>
      </c>
      <c r="AL19" s="68">
        <v>246.39511899999999</v>
      </c>
      <c r="AM19" s="68">
        <v>247.832424</v>
      </c>
      <c r="AN19" s="68">
        <v>249.27811399999999</v>
      </c>
      <c r="AO19" s="68">
        <v>250.732235</v>
      </c>
      <c r="AP19" s="68">
        <v>252.194841</v>
      </c>
      <c r="AQ19" s="68">
        <v>253.665977</v>
      </c>
      <c r="AR19" s="68">
        <v>255.14569499999999</v>
      </c>
      <c r="AS19" s="68">
        <v>256.63404500000001</v>
      </c>
      <c r="AT19" s="68">
        <v>258.131077</v>
      </c>
      <c r="AU19" s="68">
        <v>259.636841</v>
      </c>
      <c r="AV19" s="68">
        <v>261.15138999999999</v>
      </c>
      <c r="AW19" s="68">
        <v>262.67477300000002</v>
      </c>
      <c r="AX19" s="68">
        <v>264.207042</v>
      </c>
      <c r="AY19" s="68">
        <v>265.74824999999998</v>
      </c>
      <c r="AZ19" s="68">
        <v>267.29844900000001</v>
      </c>
      <c r="BA19" s="68">
        <v>268.85768899999999</v>
      </c>
      <c r="BB19" s="68">
        <v>270.42602499999998</v>
      </c>
      <c r="BC19" s="68">
        <v>272.003511</v>
      </c>
      <c r="BD19" s="68">
        <v>273.59019799999999</v>
      </c>
      <c r="BE19" s="68">
        <v>275.18614100000002</v>
      </c>
      <c r="BF19" s="68">
        <v>276.79139400000003</v>
      </c>
      <c r="BG19" s="68">
        <v>278.40600899999998</v>
      </c>
      <c r="BH19" s="68">
        <v>280.03004499999997</v>
      </c>
      <c r="BI19" s="68">
        <v>281.66355399999998</v>
      </c>
      <c r="BJ19" s="68">
        <v>283.30659000000003</v>
      </c>
      <c r="BK19" s="68">
        <v>284.95921299999998</v>
      </c>
      <c r="BL19" s="68">
        <v>286.62147499999998</v>
      </c>
      <c r="BM19" s="68">
        <v>288.29343299999999</v>
      </c>
      <c r="BN19" s="68">
        <v>289.975145</v>
      </c>
    </row>
    <row r="23" spans="1:66" x14ac:dyDescent="0.3">
      <c r="A23" s="53"/>
      <c r="B23" s="54" t="s">
        <v>1664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</row>
    <row r="24" spans="1:66" x14ac:dyDescent="0.3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</row>
    <row r="25" spans="1:66" x14ac:dyDescent="0.3">
      <c r="A25" s="47" t="s">
        <v>1296</v>
      </c>
      <c r="B25" s="47" t="s">
        <v>1414</v>
      </c>
      <c r="C25" s="47" t="s">
        <v>1421</v>
      </c>
      <c r="D25" s="47" t="s">
        <v>1426</v>
      </c>
      <c r="E25" s="47" t="s">
        <v>1299</v>
      </c>
      <c r="F25" s="47" t="s">
        <v>1423</v>
      </c>
      <c r="G25" s="47" t="s">
        <v>1424</v>
      </c>
      <c r="H25" s="47" t="s">
        <v>1425</v>
      </c>
      <c r="I25" s="47" t="s">
        <v>1657</v>
      </c>
      <c r="J25" s="47" t="s">
        <v>1427</v>
      </c>
      <c r="K25" s="47" t="s">
        <v>1428</v>
      </c>
      <c r="L25" s="47" t="s">
        <v>188</v>
      </c>
      <c r="M25" s="47" t="s">
        <v>196</v>
      </c>
      <c r="N25" s="47" t="s">
        <v>197</v>
      </c>
      <c r="O25" s="47" t="s">
        <v>198</v>
      </c>
      <c r="P25" s="47" t="s">
        <v>199</v>
      </c>
      <c r="Q25" s="47" t="s">
        <v>200</v>
      </c>
      <c r="R25" s="47" t="s">
        <v>201</v>
      </c>
      <c r="S25" s="47" t="s">
        <v>202</v>
      </c>
      <c r="T25" s="47" t="s">
        <v>203</v>
      </c>
      <c r="U25" s="47" t="s">
        <v>204</v>
      </c>
      <c r="V25" s="47" t="s">
        <v>205</v>
      </c>
      <c r="W25" s="47" t="s">
        <v>206</v>
      </c>
      <c r="X25" s="47" t="s">
        <v>1660</v>
      </c>
      <c r="Y25" s="47" t="s">
        <v>1431</v>
      </c>
      <c r="Z25" s="47" t="s">
        <v>1659</v>
      </c>
      <c r="AA25" s="47" t="s">
        <v>1300</v>
      </c>
      <c r="AB25" s="47" t="s">
        <v>189</v>
      </c>
      <c r="AC25" s="47" t="s">
        <v>1312</v>
      </c>
      <c r="AD25" s="47" t="s">
        <v>1232</v>
      </c>
      <c r="AE25" s="47" t="s">
        <v>1223</v>
      </c>
      <c r="AF25" s="47" t="s">
        <v>1301</v>
      </c>
      <c r="AG25" s="47" t="s">
        <v>1302</v>
      </c>
      <c r="AH25" s="47" t="s">
        <v>1665</v>
      </c>
      <c r="AI25" s="47" t="s">
        <v>1304</v>
      </c>
      <c r="AJ25" s="47" t="s">
        <v>1305</v>
      </c>
      <c r="AK25" s="47" t="s">
        <v>1306</v>
      </c>
      <c r="AL25" s="47" t="s">
        <v>1235</v>
      </c>
      <c r="AM25" s="47" t="s">
        <v>11</v>
      </c>
      <c r="AN25" s="47" t="s">
        <v>1429</v>
      </c>
      <c r="AO25" s="111" t="s">
        <v>1661</v>
      </c>
      <c r="AP25" s="111" t="s">
        <v>1594</v>
      </c>
      <c r="AQ25" s="47" t="s">
        <v>1666</v>
      </c>
      <c r="AR25" s="47" t="s">
        <v>1667</v>
      </c>
      <c r="AS25" s="47" t="s">
        <v>1307</v>
      </c>
      <c r="AT25" s="47" t="s">
        <v>1308</v>
      </c>
      <c r="AU25" s="47" t="s">
        <v>1309</v>
      </c>
      <c r="AV25" s="47" t="s">
        <v>1668</v>
      </c>
      <c r="AW25" s="47" t="s">
        <v>1274</v>
      </c>
    </row>
    <row r="26" spans="1:66" x14ac:dyDescent="0.3">
      <c r="A26" s="48" t="s">
        <v>1320</v>
      </c>
      <c r="B26" s="48" t="s">
        <v>6</v>
      </c>
      <c r="C26" s="48" t="s">
        <v>1322</v>
      </c>
      <c r="D26" s="50">
        <v>44592</v>
      </c>
      <c r="E26" s="48" t="s">
        <v>36</v>
      </c>
      <c r="F26" s="48" t="s">
        <v>1433</v>
      </c>
      <c r="G26" s="48" t="s">
        <v>1434</v>
      </c>
      <c r="H26" s="49" t="s">
        <v>1435</v>
      </c>
      <c r="I26" s="48" t="s">
        <v>1412</v>
      </c>
      <c r="J26" s="48" t="s">
        <v>40</v>
      </c>
      <c r="K26" s="48" t="s">
        <v>52</v>
      </c>
      <c r="L26" s="48" t="s">
        <v>38</v>
      </c>
      <c r="M26" s="48" t="s">
        <v>37</v>
      </c>
      <c r="N26" s="48" t="s">
        <v>1436</v>
      </c>
      <c r="O26" s="48" t="s">
        <v>1436</v>
      </c>
      <c r="P26" s="48" t="s">
        <v>1436</v>
      </c>
      <c r="Q26" s="48" t="s">
        <v>38</v>
      </c>
      <c r="R26" s="48" t="s">
        <v>39</v>
      </c>
      <c r="S26" s="48" t="s">
        <v>40</v>
      </c>
      <c r="T26" s="48" t="s">
        <v>41</v>
      </c>
      <c r="U26" s="48" t="s">
        <v>1436</v>
      </c>
      <c r="V26" s="48" t="s">
        <v>1436</v>
      </c>
      <c r="W26" s="48" t="s">
        <v>1436</v>
      </c>
      <c r="X26" s="49" t="s">
        <v>193</v>
      </c>
      <c r="Y26" s="48" t="s">
        <v>1194</v>
      </c>
      <c r="Z26" s="49" t="s">
        <v>1321</v>
      </c>
      <c r="AA26" s="48" t="s">
        <v>1324</v>
      </c>
      <c r="AB26" s="48" t="s">
        <v>1325</v>
      </c>
      <c r="AC26" s="48" t="s">
        <v>1239</v>
      </c>
      <c r="AD26" s="48" t="s">
        <v>1231</v>
      </c>
      <c r="AE26" s="48" t="s">
        <v>1669</v>
      </c>
      <c r="AF26" s="48" t="s">
        <v>1436</v>
      </c>
      <c r="AG26" s="48" t="s">
        <v>1436</v>
      </c>
      <c r="AH26" s="48" t="s">
        <v>208</v>
      </c>
      <c r="AI26" s="50">
        <v>44562</v>
      </c>
      <c r="AJ26" s="50">
        <v>46387</v>
      </c>
      <c r="AK26" s="49" t="s">
        <v>1280</v>
      </c>
      <c r="AL26" s="48" t="s">
        <v>36</v>
      </c>
      <c r="AM26" s="48" t="s">
        <v>36</v>
      </c>
      <c r="AN26" s="51">
        <v>-42330.49</v>
      </c>
      <c r="AO26" s="112">
        <f>-'Ledger Entries-schedule'!T12</f>
        <v>-42330.49</v>
      </c>
      <c r="AP26" s="112">
        <f>AN26-AO26</f>
        <v>0</v>
      </c>
      <c r="AQ26" s="72">
        <v>1600000</v>
      </c>
      <c r="AR26" s="72">
        <v>50000</v>
      </c>
      <c r="AS26" s="50">
        <v>46387</v>
      </c>
      <c r="AT26" s="50" t="s">
        <v>1436</v>
      </c>
      <c r="AU26" s="49" t="s">
        <v>1436</v>
      </c>
      <c r="AV26" s="49" t="s">
        <v>1670</v>
      </c>
      <c r="AW26" s="48" t="s">
        <v>1244</v>
      </c>
    </row>
    <row r="27" spans="1:66" x14ac:dyDescent="0.3">
      <c r="A27" s="48" t="s">
        <v>1320</v>
      </c>
      <c r="B27" s="48" t="s">
        <v>6</v>
      </c>
      <c r="C27" s="48" t="s">
        <v>1322</v>
      </c>
      <c r="D27" s="50">
        <v>44592</v>
      </c>
      <c r="E27" s="48" t="s">
        <v>36</v>
      </c>
      <c r="F27" s="48" t="s">
        <v>1433</v>
      </c>
      <c r="G27" s="48" t="s">
        <v>1434</v>
      </c>
      <c r="H27" s="49" t="s">
        <v>1437</v>
      </c>
      <c r="I27" s="48" t="s">
        <v>1410</v>
      </c>
      <c r="J27" s="48" t="s">
        <v>40</v>
      </c>
      <c r="K27" s="48" t="s">
        <v>42</v>
      </c>
      <c r="L27" s="48" t="s">
        <v>38</v>
      </c>
      <c r="M27" s="48" t="s">
        <v>37</v>
      </c>
      <c r="N27" s="48" t="s">
        <v>1436</v>
      </c>
      <c r="O27" s="48" t="s">
        <v>1436</v>
      </c>
      <c r="P27" s="48" t="s">
        <v>1436</v>
      </c>
      <c r="Q27" s="48" t="s">
        <v>38</v>
      </c>
      <c r="R27" s="48" t="s">
        <v>39</v>
      </c>
      <c r="S27" s="48" t="s">
        <v>40</v>
      </c>
      <c r="T27" s="48" t="s">
        <v>41</v>
      </c>
      <c r="U27" s="48" t="s">
        <v>1436</v>
      </c>
      <c r="V27" s="48" t="s">
        <v>1436</v>
      </c>
      <c r="W27" s="48" t="s">
        <v>1436</v>
      </c>
      <c r="X27" s="49" t="s">
        <v>193</v>
      </c>
      <c r="Y27" s="48" t="s">
        <v>1194</v>
      </c>
      <c r="Z27" s="49" t="s">
        <v>1321</v>
      </c>
      <c r="AA27" s="48" t="s">
        <v>1324</v>
      </c>
      <c r="AB27" s="48" t="s">
        <v>1325</v>
      </c>
      <c r="AC27" s="48" t="s">
        <v>1239</v>
      </c>
      <c r="AD27" s="48" t="s">
        <v>1231</v>
      </c>
      <c r="AE27" s="48" t="s">
        <v>1669</v>
      </c>
      <c r="AF27" s="48" t="s">
        <v>1436</v>
      </c>
      <c r="AG27" s="48" t="s">
        <v>1436</v>
      </c>
      <c r="AH27" s="48" t="s">
        <v>208</v>
      </c>
      <c r="AI27" s="50">
        <v>44562</v>
      </c>
      <c r="AJ27" s="50">
        <v>46387</v>
      </c>
      <c r="AK27" s="49" t="s">
        <v>1280</v>
      </c>
      <c r="AL27" s="48" t="s">
        <v>36</v>
      </c>
      <c r="AM27" s="48" t="s">
        <v>36</v>
      </c>
      <c r="AN27" s="51">
        <v>2539829.423163</v>
      </c>
      <c r="AO27" s="112">
        <f>'Ledger Entries-schedule'!S2</f>
        <v>2539829.423163</v>
      </c>
      <c r="AP27" s="112">
        <f t="shared" ref="AP27:AP35" si="4">AN27-AO27</f>
        <v>0</v>
      </c>
      <c r="AQ27" s="72">
        <v>1600000</v>
      </c>
      <c r="AR27" s="72">
        <v>50000</v>
      </c>
      <c r="AS27" s="50">
        <v>46387</v>
      </c>
      <c r="AT27" s="50" t="s">
        <v>1436</v>
      </c>
      <c r="AU27" s="49" t="s">
        <v>1436</v>
      </c>
      <c r="AV27" s="49" t="s">
        <v>1670</v>
      </c>
      <c r="AW27" s="48" t="s">
        <v>1244</v>
      </c>
    </row>
    <row r="28" spans="1:66" x14ac:dyDescent="0.3">
      <c r="A28" s="48" t="s">
        <v>1320</v>
      </c>
      <c r="B28" s="48" t="s">
        <v>6</v>
      </c>
      <c r="C28" s="48" t="s">
        <v>1322</v>
      </c>
      <c r="D28" s="50">
        <v>44592</v>
      </c>
      <c r="E28" s="48" t="s">
        <v>36</v>
      </c>
      <c r="F28" s="48" t="s">
        <v>1438</v>
      </c>
      <c r="G28" s="48" t="s">
        <v>1439</v>
      </c>
      <c r="H28" s="49" t="s">
        <v>1440</v>
      </c>
      <c r="I28" s="48" t="s">
        <v>1406</v>
      </c>
      <c r="J28" s="48" t="s">
        <v>1194</v>
      </c>
      <c r="K28" s="48" t="s">
        <v>1441</v>
      </c>
      <c r="L28" s="48" t="s">
        <v>38</v>
      </c>
      <c r="M28" s="48" t="s">
        <v>37</v>
      </c>
      <c r="N28" s="48" t="s">
        <v>1436</v>
      </c>
      <c r="O28" s="48" t="s">
        <v>1436</v>
      </c>
      <c r="P28" s="48" t="s">
        <v>1436</v>
      </c>
      <c r="Q28" s="48" t="s">
        <v>38</v>
      </c>
      <c r="R28" s="48" t="s">
        <v>39</v>
      </c>
      <c r="S28" s="48" t="s">
        <v>1194</v>
      </c>
      <c r="T28" s="48" t="s">
        <v>41</v>
      </c>
      <c r="U28" s="48" t="s">
        <v>1436</v>
      </c>
      <c r="V28" s="48" t="s">
        <v>1436</v>
      </c>
      <c r="W28" s="48" t="s">
        <v>1436</v>
      </c>
      <c r="X28" s="49" t="s">
        <v>193</v>
      </c>
      <c r="Y28" s="48" t="s">
        <v>1194</v>
      </c>
      <c r="Z28" s="49" t="s">
        <v>1321</v>
      </c>
      <c r="AA28" s="48" t="s">
        <v>1324</v>
      </c>
      <c r="AB28" s="48" t="s">
        <v>1325</v>
      </c>
      <c r="AC28" s="48" t="s">
        <v>1239</v>
      </c>
      <c r="AD28" s="48" t="s">
        <v>1231</v>
      </c>
      <c r="AE28" s="48" t="s">
        <v>1669</v>
      </c>
      <c r="AF28" s="48" t="s">
        <v>1436</v>
      </c>
      <c r="AG28" s="48" t="s">
        <v>1436</v>
      </c>
      <c r="AH28" s="48" t="s">
        <v>208</v>
      </c>
      <c r="AI28" s="50">
        <v>44562</v>
      </c>
      <c r="AJ28" s="50">
        <v>46387</v>
      </c>
      <c r="AK28" s="49" t="s">
        <v>1280</v>
      </c>
      <c r="AL28" s="48" t="s">
        <v>36</v>
      </c>
      <c r="AM28" s="48" t="s">
        <v>36</v>
      </c>
      <c r="AN28" s="51">
        <v>0</v>
      </c>
      <c r="AO28" s="112">
        <f>'Ledger Entries-schedule'!AV18</f>
        <v>0</v>
      </c>
      <c r="AP28" s="112">
        <f t="shared" si="4"/>
        <v>0</v>
      </c>
      <c r="AQ28" s="72">
        <v>1600000</v>
      </c>
      <c r="AR28" s="72">
        <v>50000</v>
      </c>
      <c r="AS28" s="50">
        <v>46387</v>
      </c>
      <c r="AT28" s="50" t="s">
        <v>1436</v>
      </c>
      <c r="AU28" s="49" t="s">
        <v>1436</v>
      </c>
      <c r="AV28" s="49" t="s">
        <v>1670</v>
      </c>
      <c r="AW28" s="48" t="s">
        <v>1244</v>
      </c>
    </row>
    <row r="29" spans="1:66" x14ac:dyDescent="0.3">
      <c r="A29" s="48" t="s">
        <v>1320</v>
      </c>
      <c r="B29" s="48" t="s">
        <v>6</v>
      </c>
      <c r="C29" s="48" t="s">
        <v>1322</v>
      </c>
      <c r="D29" s="50">
        <v>44592</v>
      </c>
      <c r="E29" s="48" t="s">
        <v>36</v>
      </c>
      <c r="F29" s="48" t="s">
        <v>1438</v>
      </c>
      <c r="G29" s="48" t="s">
        <v>1439</v>
      </c>
      <c r="H29" s="49" t="s">
        <v>1442</v>
      </c>
      <c r="I29" s="48" t="s">
        <v>1405</v>
      </c>
      <c r="J29" s="48" t="s">
        <v>1194</v>
      </c>
      <c r="K29" s="48" t="s">
        <v>1443</v>
      </c>
      <c r="L29" s="48" t="s">
        <v>38</v>
      </c>
      <c r="M29" s="48" t="s">
        <v>37</v>
      </c>
      <c r="N29" s="48" t="s">
        <v>1436</v>
      </c>
      <c r="O29" s="48" t="s">
        <v>1436</v>
      </c>
      <c r="P29" s="48" t="s">
        <v>1436</v>
      </c>
      <c r="Q29" s="48" t="s">
        <v>38</v>
      </c>
      <c r="R29" s="48" t="s">
        <v>39</v>
      </c>
      <c r="S29" s="48" t="s">
        <v>1194</v>
      </c>
      <c r="T29" s="48" t="s">
        <v>41</v>
      </c>
      <c r="U29" s="48" t="s">
        <v>1436</v>
      </c>
      <c r="V29" s="48" t="s">
        <v>1436</v>
      </c>
      <c r="W29" s="48" t="s">
        <v>1436</v>
      </c>
      <c r="X29" s="49" t="s">
        <v>193</v>
      </c>
      <c r="Y29" s="48" t="s">
        <v>1194</v>
      </c>
      <c r="Z29" s="49" t="s">
        <v>1321</v>
      </c>
      <c r="AA29" s="48" t="s">
        <v>1324</v>
      </c>
      <c r="AB29" s="48" t="s">
        <v>1325</v>
      </c>
      <c r="AC29" s="48" t="s">
        <v>1239</v>
      </c>
      <c r="AD29" s="48" t="s">
        <v>1231</v>
      </c>
      <c r="AE29" s="48" t="s">
        <v>1669</v>
      </c>
      <c r="AF29" s="48" t="s">
        <v>1436</v>
      </c>
      <c r="AG29" s="48" t="s">
        <v>1436</v>
      </c>
      <c r="AH29" s="48" t="s">
        <v>208</v>
      </c>
      <c r="AI29" s="50">
        <v>44562</v>
      </c>
      <c r="AJ29" s="50">
        <v>46387</v>
      </c>
      <c r="AK29" s="49" t="s">
        <v>1280</v>
      </c>
      <c r="AL29" s="48" t="s">
        <v>36</v>
      </c>
      <c r="AM29" s="48" t="s">
        <v>36</v>
      </c>
      <c r="AN29" s="51">
        <v>0</v>
      </c>
      <c r="AO29" s="112">
        <f>'Ledger Entries-schedule'!AV8</f>
        <v>0</v>
      </c>
      <c r="AP29" s="112">
        <f t="shared" si="4"/>
        <v>0</v>
      </c>
      <c r="AQ29" s="72">
        <v>1600000</v>
      </c>
      <c r="AR29" s="72">
        <v>50000</v>
      </c>
      <c r="AS29" s="50">
        <v>46387</v>
      </c>
      <c r="AT29" s="50" t="s">
        <v>1436</v>
      </c>
      <c r="AU29" s="49" t="s">
        <v>1436</v>
      </c>
      <c r="AV29" s="49" t="s">
        <v>1670</v>
      </c>
      <c r="AW29" s="48" t="s">
        <v>1244</v>
      </c>
    </row>
    <row r="30" spans="1:66" x14ac:dyDescent="0.3">
      <c r="A30" s="48" t="s">
        <v>1320</v>
      </c>
      <c r="B30" s="48" t="s">
        <v>6</v>
      </c>
      <c r="C30" s="48" t="s">
        <v>1322</v>
      </c>
      <c r="D30" s="50">
        <v>44592</v>
      </c>
      <c r="E30" s="48" t="s">
        <v>36</v>
      </c>
      <c r="F30" s="48" t="s">
        <v>1438</v>
      </c>
      <c r="G30" s="48" t="s">
        <v>1444</v>
      </c>
      <c r="H30" s="49" t="s">
        <v>1445</v>
      </c>
      <c r="I30" s="48" t="s">
        <v>1411</v>
      </c>
      <c r="J30" s="48" t="s">
        <v>40</v>
      </c>
      <c r="K30" s="48" t="s">
        <v>50</v>
      </c>
      <c r="L30" s="48" t="s">
        <v>38</v>
      </c>
      <c r="M30" s="48" t="s">
        <v>37</v>
      </c>
      <c r="N30" s="48" t="s">
        <v>1436</v>
      </c>
      <c r="O30" s="48" t="s">
        <v>1436</v>
      </c>
      <c r="P30" s="48" t="s">
        <v>1436</v>
      </c>
      <c r="Q30" s="48" t="s">
        <v>38</v>
      </c>
      <c r="R30" s="48" t="s">
        <v>39</v>
      </c>
      <c r="S30" s="48" t="s">
        <v>40</v>
      </c>
      <c r="T30" s="48" t="s">
        <v>41</v>
      </c>
      <c r="U30" s="48" t="s">
        <v>1436</v>
      </c>
      <c r="V30" s="48" t="s">
        <v>1436</v>
      </c>
      <c r="W30" s="48" t="s">
        <v>1436</v>
      </c>
      <c r="X30" s="49" t="s">
        <v>193</v>
      </c>
      <c r="Y30" s="48" t="s">
        <v>1194</v>
      </c>
      <c r="Z30" s="49" t="s">
        <v>1321</v>
      </c>
      <c r="AA30" s="48" t="s">
        <v>1324</v>
      </c>
      <c r="AB30" s="48" t="s">
        <v>1325</v>
      </c>
      <c r="AC30" s="48" t="s">
        <v>1239</v>
      </c>
      <c r="AD30" s="48" t="s">
        <v>1231</v>
      </c>
      <c r="AE30" s="48" t="s">
        <v>1669</v>
      </c>
      <c r="AF30" s="48" t="s">
        <v>1436</v>
      </c>
      <c r="AG30" s="48" t="s">
        <v>1436</v>
      </c>
      <c r="AH30" s="48" t="s">
        <v>208</v>
      </c>
      <c r="AI30" s="50">
        <v>44562</v>
      </c>
      <c r="AJ30" s="50">
        <v>46387</v>
      </c>
      <c r="AK30" s="49" t="s">
        <v>1280</v>
      </c>
      <c r="AL30" s="48" t="s">
        <v>36</v>
      </c>
      <c r="AM30" s="48" t="s">
        <v>36</v>
      </c>
      <c r="AN30" s="51">
        <v>42330.49</v>
      </c>
      <c r="AO30" s="112">
        <f>'Ledger Entries-schedule'!S11</f>
        <v>42330.49</v>
      </c>
      <c r="AP30" s="112">
        <f t="shared" si="4"/>
        <v>0</v>
      </c>
      <c r="AQ30" s="72">
        <v>1600000</v>
      </c>
      <c r="AR30" s="72">
        <v>50000</v>
      </c>
      <c r="AS30" s="50">
        <v>46387</v>
      </c>
      <c r="AT30" s="50" t="s">
        <v>1436</v>
      </c>
      <c r="AU30" s="49" t="s">
        <v>1436</v>
      </c>
      <c r="AV30" s="49" t="s">
        <v>1670</v>
      </c>
      <c r="AW30" s="48" t="s">
        <v>1244</v>
      </c>
    </row>
    <row r="31" spans="1:66" x14ac:dyDescent="0.3">
      <c r="A31" s="48" t="s">
        <v>1320</v>
      </c>
      <c r="B31" s="48" t="s">
        <v>6</v>
      </c>
      <c r="C31" s="48" t="s">
        <v>1322</v>
      </c>
      <c r="D31" s="50">
        <v>44592</v>
      </c>
      <c r="E31" s="48" t="s">
        <v>36</v>
      </c>
      <c r="F31" s="48" t="s">
        <v>1438</v>
      </c>
      <c r="G31" s="48" t="s">
        <v>1444</v>
      </c>
      <c r="H31" s="49" t="s">
        <v>1446</v>
      </c>
      <c r="I31" s="48" t="s">
        <v>1407</v>
      </c>
      <c r="J31" s="48" t="s">
        <v>40</v>
      </c>
      <c r="K31" s="48" t="s">
        <v>47</v>
      </c>
      <c r="L31" s="48" t="s">
        <v>38</v>
      </c>
      <c r="M31" s="48" t="s">
        <v>37</v>
      </c>
      <c r="N31" s="48" t="s">
        <v>1436</v>
      </c>
      <c r="O31" s="48" t="s">
        <v>1436</v>
      </c>
      <c r="P31" s="48" t="s">
        <v>1436</v>
      </c>
      <c r="Q31" s="48" t="s">
        <v>38</v>
      </c>
      <c r="R31" s="48" t="s">
        <v>39</v>
      </c>
      <c r="S31" s="48" t="s">
        <v>40</v>
      </c>
      <c r="T31" s="48" t="s">
        <v>41</v>
      </c>
      <c r="U31" s="48" t="s">
        <v>1436</v>
      </c>
      <c r="V31" s="48" t="s">
        <v>1436</v>
      </c>
      <c r="W31" s="48" t="s">
        <v>1436</v>
      </c>
      <c r="X31" s="49" t="s">
        <v>193</v>
      </c>
      <c r="Y31" s="48" t="s">
        <v>1194</v>
      </c>
      <c r="Z31" s="49" t="s">
        <v>1321</v>
      </c>
      <c r="AA31" s="48" t="s">
        <v>1324</v>
      </c>
      <c r="AB31" s="48" t="s">
        <v>1325</v>
      </c>
      <c r="AC31" s="48" t="s">
        <v>1239</v>
      </c>
      <c r="AD31" s="48" t="s">
        <v>1231</v>
      </c>
      <c r="AE31" s="48" t="s">
        <v>1669</v>
      </c>
      <c r="AF31" s="48" t="s">
        <v>1436</v>
      </c>
      <c r="AG31" s="48" t="s">
        <v>1436</v>
      </c>
      <c r="AH31" s="48" t="s">
        <v>208</v>
      </c>
      <c r="AI31" s="50">
        <v>44562</v>
      </c>
      <c r="AJ31" s="50">
        <v>46387</v>
      </c>
      <c r="AK31" s="49" t="s">
        <v>1280</v>
      </c>
      <c r="AL31" s="48" t="s">
        <v>36</v>
      </c>
      <c r="AM31" s="48" t="s">
        <v>36</v>
      </c>
      <c r="AN31" s="51">
        <v>14524.004967999999</v>
      </c>
      <c r="AO31" s="112">
        <f>'Ledger Entries-schedule'!S8</f>
        <v>14524.004967999999</v>
      </c>
      <c r="AP31" s="112">
        <f t="shared" si="4"/>
        <v>0</v>
      </c>
      <c r="AQ31" s="72">
        <v>1600000</v>
      </c>
      <c r="AR31" s="72">
        <v>50000</v>
      </c>
      <c r="AS31" s="50">
        <v>46387</v>
      </c>
      <c r="AT31" s="50" t="s">
        <v>1436</v>
      </c>
      <c r="AU31" s="49" t="s">
        <v>1436</v>
      </c>
      <c r="AV31" s="49" t="s">
        <v>1670</v>
      </c>
      <c r="AW31" s="48" t="s">
        <v>1244</v>
      </c>
    </row>
    <row r="32" spans="1:66" x14ac:dyDescent="0.3">
      <c r="A32" s="48" t="s">
        <v>1320</v>
      </c>
      <c r="B32" s="48" t="s">
        <v>6</v>
      </c>
      <c r="C32" s="48" t="s">
        <v>1322</v>
      </c>
      <c r="D32" s="50">
        <v>44592</v>
      </c>
      <c r="E32" s="48" t="s">
        <v>36</v>
      </c>
      <c r="F32" s="48" t="s">
        <v>1433</v>
      </c>
      <c r="G32" s="48" t="s">
        <v>1447</v>
      </c>
      <c r="H32" s="49" t="s">
        <v>1448</v>
      </c>
      <c r="I32" s="48" t="s">
        <v>1413</v>
      </c>
      <c r="J32" s="48" t="s">
        <v>40</v>
      </c>
      <c r="K32" s="48" t="s">
        <v>58</v>
      </c>
      <c r="L32" s="48" t="s">
        <v>38</v>
      </c>
      <c r="M32" s="48" t="s">
        <v>37</v>
      </c>
      <c r="N32" s="48" t="s">
        <v>1436</v>
      </c>
      <c r="O32" s="48" t="s">
        <v>1436</v>
      </c>
      <c r="P32" s="48" t="s">
        <v>1436</v>
      </c>
      <c r="Q32" s="48" t="s">
        <v>38</v>
      </c>
      <c r="R32" s="48" t="s">
        <v>39</v>
      </c>
      <c r="S32" s="48" t="s">
        <v>40</v>
      </c>
      <c r="T32" s="48" t="s">
        <v>41</v>
      </c>
      <c r="U32" s="48" t="s">
        <v>1436</v>
      </c>
      <c r="V32" s="48" t="s">
        <v>1436</v>
      </c>
      <c r="W32" s="48" t="s">
        <v>1436</v>
      </c>
      <c r="X32" s="49" t="s">
        <v>193</v>
      </c>
      <c r="Y32" s="48" t="s">
        <v>1194</v>
      </c>
      <c r="Z32" s="49" t="s">
        <v>1321</v>
      </c>
      <c r="AA32" s="48" t="s">
        <v>1324</v>
      </c>
      <c r="AB32" s="48" t="s">
        <v>1325</v>
      </c>
      <c r="AC32" s="48" t="s">
        <v>1239</v>
      </c>
      <c r="AD32" s="48" t="s">
        <v>1231</v>
      </c>
      <c r="AE32" s="48" t="s">
        <v>1669</v>
      </c>
      <c r="AF32" s="48" t="s">
        <v>1436</v>
      </c>
      <c r="AG32" s="48" t="s">
        <v>1436</v>
      </c>
      <c r="AH32" s="48" t="s">
        <v>208</v>
      </c>
      <c r="AI32" s="50">
        <v>44562</v>
      </c>
      <c r="AJ32" s="50">
        <v>46387</v>
      </c>
      <c r="AK32" s="49" t="s">
        <v>1280</v>
      </c>
      <c r="AL32" s="48" t="s">
        <v>36</v>
      </c>
      <c r="AM32" s="48" t="s">
        <v>36</v>
      </c>
      <c r="AN32" s="51">
        <v>-50000</v>
      </c>
      <c r="AO32" s="112">
        <f>-'Ledger Entries-schedule'!T6</f>
        <v>-50000</v>
      </c>
      <c r="AP32" s="112">
        <f t="shared" si="4"/>
        <v>0</v>
      </c>
      <c r="AQ32" s="72">
        <v>1600000</v>
      </c>
      <c r="AR32" s="72">
        <v>50000</v>
      </c>
      <c r="AS32" s="50">
        <v>46387</v>
      </c>
      <c r="AT32" s="50" t="s">
        <v>1436</v>
      </c>
      <c r="AU32" s="49" t="s">
        <v>1436</v>
      </c>
      <c r="AV32" s="49" t="s">
        <v>1670</v>
      </c>
      <c r="AW32" s="48" t="s">
        <v>1244</v>
      </c>
    </row>
    <row r="33" spans="1:49" x14ac:dyDescent="0.3">
      <c r="A33" s="48" t="s">
        <v>1320</v>
      </c>
      <c r="B33" s="48" t="s">
        <v>6</v>
      </c>
      <c r="C33" s="48" t="s">
        <v>1322</v>
      </c>
      <c r="D33" s="50">
        <v>44592</v>
      </c>
      <c r="E33" s="48" t="s">
        <v>36</v>
      </c>
      <c r="F33" s="48" t="s">
        <v>1433</v>
      </c>
      <c r="G33" s="48" t="s">
        <v>1447</v>
      </c>
      <c r="H33" s="49" t="s">
        <v>1449</v>
      </c>
      <c r="I33" s="48" t="s">
        <v>1409</v>
      </c>
      <c r="J33" s="48" t="s">
        <v>40</v>
      </c>
      <c r="K33" s="48" t="s">
        <v>45</v>
      </c>
      <c r="L33" s="48" t="s">
        <v>38</v>
      </c>
      <c r="M33" s="48" t="s">
        <v>37</v>
      </c>
      <c r="N33" s="48" t="s">
        <v>1436</v>
      </c>
      <c r="O33" s="48" t="s">
        <v>1436</v>
      </c>
      <c r="P33" s="48" t="s">
        <v>1436</v>
      </c>
      <c r="Q33" s="48" t="s">
        <v>38</v>
      </c>
      <c r="R33" s="48" t="s">
        <v>39</v>
      </c>
      <c r="S33" s="48" t="s">
        <v>40</v>
      </c>
      <c r="T33" s="48" t="s">
        <v>41</v>
      </c>
      <c r="U33" s="48" t="s">
        <v>1436</v>
      </c>
      <c r="V33" s="48" t="s">
        <v>1436</v>
      </c>
      <c r="W33" s="48" t="s">
        <v>1436</v>
      </c>
      <c r="X33" s="49" t="s">
        <v>193</v>
      </c>
      <c r="Y33" s="48" t="s">
        <v>1194</v>
      </c>
      <c r="Z33" s="49" t="s">
        <v>1321</v>
      </c>
      <c r="AA33" s="48" t="s">
        <v>1324</v>
      </c>
      <c r="AB33" s="48" t="s">
        <v>1325</v>
      </c>
      <c r="AC33" s="48" t="s">
        <v>1239</v>
      </c>
      <c r="AD33" s="48" t="s">
        <v>1231</v>
      </c>
      <c r="AE33" s="48" t="s">
        <v>1669</v>
      </c>
      <c r="AF33" s="48" t="s">
        <v>1436</v>
      </c>
      <c r="AG33" s="48" t="s">
        <v>1436</v>
      </c>
      <c r="AH33" s="48" t="s">
        <v>208</v>
      </c>
      <c r="AI33" s="50">
        <v>44562</v>
      </c>
      <c r="AJ33" s="50">
        <v>46387</v>
      </c>
      <c r="AK33" s="49" t="s">
        <v>1280</v>
      </c>
      <c r="AL33" s="48" t="s">
        <v>36</v>
      </c>
      <c r="AM33" s="48" t="s">
        <v>36</v>
      </c>
      <c r="AN33" s="51">
        <v>-2050190.133163</v>
      </c>
      <c r="AO33" s="112">
        <f>('Ledger Entries-schedule'!T3-'Ledger Entries-schedule'!S5-'Ledger Entries-schedule'!S14)*-1</f>
        <v>-2050190.133163</v>
      </c>
      <c r="AP33" s="112">
        <f t="shared" si="4"/>
        <v>0</v>
      </c>
      <c r="AQ33" s="72">
        <v>1600000</v>
      </c>
      <c r="AR33" s="72">
        <v>50000</v>
      </c>
      <c r="AS33" s="50">
        <v>46387</v>
      </c>
      <c r="AT33" s="50" t="s">
        <v>1436</v>
      </c>
      <c r="AU33" s="49" t="s">
        <v>1436</v>
      </c>
      <c r="AV33" s="49" t="s">
        <v>1670</v>
      </c>
      <c r="AW33" s="48" t="s">
        <v>1244</v>
      </c>
    </row>
    <row r="34" spans="1:49" x14ac:dyDescent="0.3">
      <c r="A34" s="48" t="s">
        <v>1320</v>
      </c>
      <c r="B34" s="48" t="s">
        <v>6</v>
      </c>
      <c r="C34" s="48" t="s">
        <v>1322</v>
      </c>
      <c r="D34" s="50">
        <v>44592</v>
      </c>
      <c r="E34" s="48" t="s">
        <v>36</v>
      </c>
      <c r="F34" s="48" t="s">
        <v>1433</v>
      </c>
      <c r="G34" s="48" t="s">
        <v>1447</v>
      </c>
      <c r="H34" s="49" t="s">
        <v>1450</v>
      </c>
      <c r="I34" s="48" t="s">
        <v>1408</v>
      </c>
      <c r="J34" s="48" t="s">
        <v>40</v>
      </c>
      <c r="K34" s="48" t="s">
        <v>54</v>
      </c>
      <c r="L34" s="48" t="s">
        <v>38</v>
      </c>
      <c r="M34" s="48" t="s">
        <v>37</v>
      </c>
      <c r="N34" s="48" t="s">
        <v>1436</v>
      </c>
      <c r="O34" s="48" t="s">
        <v>1436</v>
      </c>
      <c r="P34" s="48" t="s">
        <v>1436</v>
      </c>
      <c r="Q34" s="48" t="s">
        <v>38</v>
      </c>
      <c r="R34" s="48" t="s">
        <v>39</v>
      </c>
      <c r="S34" s="48" t="s">
        <v>40</v>
      </c>
      <c r="T34" s="48" t="s">
        <v>41</v>
      </c>
      <c r="U34" s="48" t="s">
        <v>1436</v>
      </c>
      <c r="V34" s="48" t="s">
        <v>1436</v>
      </c>
      <c r="W34" s="48" t="s">
        <v>1436</v>
      </c>
      <c r="X34" s="49" t="s">
        <v>193</v>
      </c>
      <c r="Y34" s="48" t="s">
        <v>1194</v>
      </c>
      <c r="Z34" s="49" t="s">
        <v>1321</v>
      </c>
      <c r="AA34" s="48" t="s">
        <v>1324</v>
      </c>
      <c r="AB34" s="48" t="s">
        <v>1325</v>
      </c>
      <c r="AC34" s="48" t="s">
        <v>1239</v>
      </c>
      <c r="AD34" s="48" t="s">
        <v>1231</v>
      </c>
      <c r="AE34" s="48" t="s">
        <v>1669</v>
      </c>
      <c r="AF34" s="48" t="s">
        <v>1436</v>
      </c>
      <c r="AG34" s="48" t="s">
        <v>1436</v>
      </c>
      <c r="AH34" s="48" t="s">
        <v>208</v>
      </c>
      <c r="AI34" s="50">
        <v>44562</v>
      </c>
      <c r="AJ34" s="50">
        <v>46387</v>
      </c>
      <c r="AK34" s="49" t="s">
        <v>1280</v>
      </c>
      <c r="AL34" s="48" t="s">
        <v>36</v>
      </c>
      <c r="AM34" s="48" t="s">
        <v>36</v>
      </c>
      <c r="AN34" s="51">
        <v>-439639.29</v>
      </c>
      <c r="AO34" s="112">
        <f>-'Ledger Entries-schedule'!T15</f>
        <v>-439639.29</v>
      </c>
      <c r="AP34" s="112">
        <f t="shared" si="4"/>
        <v>0</v>
      </c>
      <c r="AQ34" s="72">
        <v>1600000</v>
      </c>
      <c r="AR34" s="72">
        <v>50000</v>
      </c>
      <c r="AS34" s="50">
        <v>46387</v>
      </c>
      <c r="AT34" s="50" t="s">
        <v>1436</v>
      </c>
      <c r="AU34" s="49" t="s">
        <v>1436</v>
      </c>
      <c r="AV34" s="49" t="s">
        <v>1670</v>
      </c>
      <c r="AW34" s="48" t="s">
        <v>1244</v>
      </c>
    </row>
    <row r="35" spans="1:49" x14ac:dyDescent="0.3">
      <c r="A35" s="48" t="s">
        <v>1320</v>
      </c>
      <c r="B35" s="48" t="s">
        <v>6</v>
      </c>
      <c r="C35" s="48" t="s">
        <v>1322</v>
      </c>
      <c r="D35" s="50">
        <v>44592</v>
      </c>
      <c r="E35" s="48" t="s">
        <v>36</v>
      </c>
      <c r="F35" s="48" t="s">
        <v>1433</v>
      </c>
      <c r="G35" s="48" t="s">
        <v>1447</v>
      </c>
      <c r="H35" s="49" t="s">
        <v>1451</v>
      </c>
      <c r="I35" s="48" t="s">
        <v>1404</v>
      </c>
      <c r="J35" s="48" t="s">
        <v>38</v>
      </c>
      <c r="K35" s="48" t="s">
        <v>49</v>
      </c>
      <c r="L35" s="48" t="s">
        <v>38</v>
      </c>
      <c r="M35" s="48" t="s">
        <v>37</v>
      </c>
      <c r="N35" s="48" t="s">
        <v>1436</v>
      </c>
      <c r="O35" s="48" t="s">
        <v>1436</v>
      </c>
      <c r="P35" s="48" t="s">
        <v>1436</v>
      </c>
      <c r="Q35" s="48" t="s">
        <v>38</v>
      </c>
      <c r="R35" s="48" t="s">
        <v>39</v>
      </c>
      <c r="S35" s="48" t="s">
        <v>38</v>
      </c>
      <c r="T35" s="48" t="s">
        <v>41</v>
      </c>
      <c r="U35" s="48" t="s">
        <v>1436</v>
      </c>
      <c r="V35" s="48" t="s">
        <v>1436</v>
      </c>
      <c r="W35" s="48" t="s">
        <v>1436</v>
      </c>
      <c r="X35" s="49" t="s">
        <v>193</v>
      </c>
      <c r="Y35" s="48" t="s">
        <v>1194</v>
      </c>
      <c r="Z35" s="49" t="s">
        <v>1321</v>
      </c>
      <c r="AA35" s="48" t="s">
        <v>1324</v>
      </c>
      <c r="AB35" s="48" t="s">
        <v>1325</v>
      </c>
      <c r="AC35" s="48" t="s">
        <v>1239</v>
      </c>
      <c r="AD35" s="48" t="s">
        <v>1231</v>
      </c>
      <c r="AE35" s="48" t="s">
        <v>1669</v>
      </c>
      <c r="AF35" s="48" t="s">
        <v>1436</v>
      </c>
      <c r="AG35" s="48" t="s">
        <v>1436</v>
      </c>
      <c r="AH35" s="48" t="s">
        <v>208</v>
      </c>
      <c r="AI35" s="50">
        <v>44562</v>
      </c>
      <c r="AJ35" s="50">
        <v>46387</v>
      </c>
      <c r="AK35" s="49" t="s">
        <v>1280</v>
      </c>
      <c r="AL35" s="48" t="s">
        <v>36</v>
      </c>
      <c r="AM35" s="48" t="s">
        <v>36</v>
      </c>
      <c r="AN35" s="51">
        <v>-14524.004967999999</v>
      </c>
      <c r="AO35" s="112">
        <f>-'Ledger Entries-schedule'!T9</f>
        <v>-14524.004967999999</v>
      </c>
      <c r="AP35" s="112">
        <f t="shared" si="4"/>
        <v>0</v>
      </c>
      <c r="AQ35" s="72">
        <v>1600000</v>
      </c>
      <c r="AR35" s="72">
        <v>50000</v>
      </c>
      <c r="AS35" s="50">
        <v>46387</v>
      </c>
      <c r="AT35" s="50" t="s">
        <v>1436</v>
      </c>
      <c r="AU35" s="49" t="s">
        <v>1436</v>
      </c>
      <c r="AV35" s="49" t="s">
        <v>1670</v>
      </c>
      <c r="AW35" s="48" t="s">
        <v>1244</v>
      </c>
    </row>
    <row r="36" spans="1:49" x14ac:dyDescent="0.3">
      <c r="A36" s="48" t="s">
        <v>1320</v>
      </c>
      <c r="B36" s="48" t="s">
        <v>6</v>
      </c>
      <c r="C36" s="48" t="s">
        <v>1322</v>
      </c>
      <c r="D36" s="50">
        <v>44620</v>
      </c>
      <c r="E36" s="48" t="s">
        <v>36</v>
      </c>
      <c r="F36" s="48" t="s">
        <v>1433</v>
      </c>
      <c r="G36" s="48" t="s">
        <v>1434</v>
      </c>
      <c r="H36" s="49" t="s">
        <v>1435</v>
      </c>
      <c r="I36" s="48" t="s">
        <v>1412</v>
      </c>
      <c r="J36" s="48" t="s">
        <v>40</v>
      </c>
      <c r="K36" s="48" t="s">
        <v>52</v>
      </c>
      <c r="L36" s="48" t="s">
        <v>38</v>
      </c>
      <c r="M36" s="48" t="s">
        <v>37</v>
      </c>
      <c r="N36" s="48" t="s">
        <v>1436</v>
      </c>
      <c r="O36" s="48" t="s">
        <v>1436</v>
      </c>
      <c r="P36" s="48" t="s">
        <v>1436</v>
      </c>
      <c r="Q36" s="48" t="s">
        <v>38</v>
      </c>
      <c r="R36" s="48" t="s">
        <v>39</v>
      </c>
      <c r="S36" s="48" t="s">
        <v>40</v>
      </c>
      <c r="T36" s="48" t="s">
        <v>41</v>
      </c>
      <c r="U36" s="48" t="s">
        <v>1436</v>
      </c>
      <c r="V36" s="48" t="s">
        <v>1436</v>
      </c>
      <c r="W36" s="48" t="s">
        <v>1436</v>
      </c>
      <c r="X36" s="49" t="s">
        <v>193</v>
      </c>
      <c r="Y36" s="48" t="s">
        <v>1194</v>
      </c>
      <c r="Z36" s="49" t="s">
        <v>1321</v>
      </c>
      <c r="AA36" s="48" t="s">
        <v>1324</v>
      </c>
      <c r="AB36" s="48" t="s">
        <v>1325</v>
      </c>
      <c r="AC36" s="48" t="s">
        <v>1239</v>
      </c>
      <c r="AD36" s="48" t="s">
        <v>1231</v>
      </c>
      <c r="AE36" s="48" t="s">
        <v>1669</v>
      </c>
      <c r="AF36" s="48" t="s">
        <v>1436</v>
      </c>
      <c r="AG36" s="48" t="s">
        <v>1436</v>
      </c>
      <c r="AH36" s="48" t="s">
        <v>208</v>
      </c>
      <c r="AI36" s="50">
        <v>44562</v>
      </c>
      <c r="AJ36" s="50">
        <v>46387</v>
      </c>
      <c r="AK36" s="49" t="s">
        <v>1280</v>
      </c>
      <c r="AL36" s="48" t="s">
        <v>36</v>
      </c>
      <c r="AM36" s="48" t="s">
        <v>36</v>
      </c>
      <c r="AN36" s="51">
        <v>-42330.49</v>
      </c>
      <c r="AO36" s="51"/>
      <c r="AP36" s="51"/>
      <c r="AQ36" s="72">
        <v>1600000</v>
      </c>
      <c r="AR36" s="72">
        <v>50000</v>
      </c>
      <c r="AS36" s="50">
        <v>46387</v>
      </c>
      <c r="AT36" s="50" t="s">
        <v>1436</v>
      </c>
      <c r="AU36" s="49" t="s">
        <v>1436</v>
      </c>
      <c r="AV36" s="49" t="s">
        <v>1670</v>
      </c>
      <c r="AW36" s="48" t="s">
        <v>1244</v>
      </c>
    </row>
    <row r="37" spans="1:49" x14ac:dyDescent="0.3">
      <c r="A37" s="48" t="s">
        <v>1320</v>
      </c>
      <c r="B37" s="48" t="s">
        <v>6</v>
      </c>
      <c r="C37" s="48" t="s">
        <v>1322</v>
      </c>
      <c r="D37" s="50">
        <v>44620</v>
      </c>
      <c r="E37" s="48" t="s">
        <v>36</v>
      </c>
      <c r="F37" s="48" t="s">
        <v>1433</v>
      </c>
      <c r="G37" s="48" t="s">
        <v>1434</v>
      </c>
      <c r="H37" s="49" t="s">
        <v>1437</v>
      </c>
      <c r="I37" s="48" t="s">
        <v>1410</v>
      </c>
      <c r="J37" s="48" t="s">
        <v>40</v>
      </c>
      <c r="K37" s="48" t="s">
        <v>42</v>
      </c>
      <c r="L37" s="48" t="s">
        <v>38</v>
      </c>
      <c r="M37" s="48" t="s">
        <v>37</v>
      </c>
      <c r="N37" s="48" t="s">
        <v>1436</v>
      </c>
      <c r="O37" s="48" t="s">
        <v>1436</v>
      </c>
      <c r="P37" s="48" t="s">
        <v>1436</v>
      </c>
      <c r="Q37" s="48" t="s">
        <v>38</v>
      </c>
      <c r="R37" s="48" t="s">
        <v>39</v>
      </c>
      <c r="S37" s="48" t="s">
        <v>40</v>
      </c>
      <c r="T37" s="48" t="s">
        <v>41</v>
      </c>
      <c r="U37" s="48" t="s">
        <v>1436</v>
      </c>
      <c r="V37" s="48" t="s">
        <v>1436</v>
      </c>
      <c r="W37" s="48" t="s">
        <v>1436</v>
      </c>
      <c r="X37" s="49" t="s">
        <v>193</v>
      </c>
      <c r="Y37" s="48" t="s">
        <v>1194</v>
      </c>
      <c r="Z37" s="49" t="s">
        <v>1321</v>
      </c>
      <c r="AA37" s="48" t="s">
        <v>1324</v>
      </c>
      <c r="AB37" s="48" t="s">
        <v>1325</v>
      </c>
      <c r="AC37" s="48" t="s">
        <v>1239</v>
      </c>
      <c r="AD37" s="48" t="s">
        <v>1231</v>
      </c>
      <c r="AE37" s="48" t="s">
        <v>1669</v>
      </c>
      <c r="AF37" s="48" t="s">
        <v>1436</v>
      </c>
      <c r="AG37" s="48" t="s">
        <v>1436</v>
      </c>
      <c r="AH37" s="48" t="s">
        <v>208</v>
      </c>
      <c r="AI37" s="50">
        <v>44562</v>
      </c>
      <c r="AJ37" s="50">
        <v>46387</v>
      </c>
      <c r="AK37" s="49" t="s">
        <v>1280</v>
      </c>
      <c r="AL37" s="48" t="s">
        <v>36</v>
      </c>
      <c r="AM37" s="48" t="s">
        <v>36</v>
      </c>
      <c r="AN37" s="51">
        <v>0</v>
      </c>
      <c r="AO37" s="51"/>
      <c r="AP37" s="51"/>
      <c r="AQ37" s="72">
        <v>1600000</v>
      </c>
      <c r="AR37" s="72">
        <v>50000</v>
      </c>
      <c r="AS37" s="50">
        <v>46387</v>
      </c>
      <c r="AT37" s="50" t="s">
        <v>1436</v>
      </c>
      <c r="AU37" s="49" t="s">
        <v>1436</v>
      </c>
      <c r="AV37" s="49" t="s">
        <v>1670</v>
      </c>
      <c r="AW37" s="48" t="s">
        <v>1244</v>
      </c>
    </row>
    <row r="38" spans="1:49" x14ac:dyDescent="0.3">
      <c r="A38" s="48" t="s">
        <v>1320</v>
      </c>
      <c r="B38" s="48" t="s">
        <v>6</v>
      </c>
      <c r="C38" s="48" t="s">
        <v>1322</v>
      </c>
      <c r="D38" s="50">
        <v>44620</v>
      </c>
      <c r="E38" s="48" t="s">
        <v>36</v>
      </c>
      <c r="F38" s="48" t="s">
        <v>1438</v>
      </c>
      <c r="G38" s="48" t="s">
        <v>1439</v>
      </c>
      <c r="H38" s="49" t="s">
        <v>1440</v>
      </c>
      <c r="I38" s="48" t="s">
        <v>1406</v>
      </c>
      <c r="J38" s="48" t="s">
        <v>1194</v>
      </c>
      <c r="K38" s="48" t="s">
        <v>1441</v>
      </c>
      <c r="L38" s="48" t="s">
        <v>38</v>
      </c>
      <c r="M38" s="48" t="s">
        <v>37</v>
      </c>
      <c r="N38" s="48" t="s">
        <v>1436</v>
      </c>
      <c r="O38" s="48" t="s">
        <v>1436</v>
      </c>
      <c r="P38" s="48" t="s">
        <v>1436</v>
      </c>
      <c r="Q38" s="48" t="s">
        <v>38</v>
      </c>
      <c r="R38" s="48" t="s">
        <v>39</v>
      </c>
      <c r="S38" s="48" t="s">
        <v>1194</v>
      </c>
      <c r="T38" s="48" t="s">
        <v>41</v>
      </c>
      <c r="U38" s="48" t="s">
        <v>1436</v>
      </c>
      <c r="V38" s="48" t="s">
        <v>1436</v>
      </c>
      <c r="W38" s="48" t="s">
        <v>1436</v>
      </c>
      <c r="X38" s="49" t="s">
        <v>193</v>
      </c>
      <c r="Y38" s="48" t="s">
        <v>1194</v>
      </c>
      <c r="Z38" s="49" t="s">
        <v>1321</v>
      </c>
      <c r="AA38" s="48" t="s">
        <v>1324</v>
      </c>
      <c r="AB38" s="48" t="s">
        <v>1325</v>
      </c>
      <c r="AC38" s="48" t="s">
        <v>1239</v>
      </c>
      <c r="AD38" s="48" t="s">
        <v>1231</v>
      </c>
      <c r="AE38" s="48" t="s">
        <v>1669</v>
      </c>
      <c r="AF38" s="48" t="s">
        <v>1436</v>
      </c>
      <c r="AG38" s="48" t="s">
        <v>1436</v>
      </c>
      <c r="AH38" s="48" t="s">
        <v>208</v>
      </c>
      <c r="AI38" s="50">
        <v>44562</v>
      </c>
      <c r="AJ38" s="50">
        <v>46387</v>
      </c>
      <c r="AK38" s="49" t="s">
        <v>1280</v>
      </c>
      <c r="AL38" s="48" t="s">
        <v>36</v>
      </c>
      <c r="AM38" s="48" t="s">
        <v>36</v>
      </c>
      <c r="AN38" s="51">
        <v>0</v>
      </c>
      <c r="AO38" s="51"/>
      <c r="AP38" s="51"/>
      <c r="AQ38" s="72">
        <v>1600000</v>
      </c>
      <c r="AR38" s="72">
        <v>50000</v>
      </c>
      <c r="AS38" s="50">
        <v>46387</v>
      </c>
      <c r="AT38" s="50" t="s">
        <v>1436</v>
      </c>
      <c r="AU38" s="49" t="s">
        <v>1436</v>
      </c>
      <c r="AV38" s="49" t="s">
        <v>1670</v>
      </c>
      <c r="AW38" s="48" t="s">
        <v>1244</v>
      </c>
    </row>
    <row r="39" spans="1:49" x14ac:dyDescent="0.3">
      <c r="A39" s="48" t="s">
        <v>1320</v>
      </c>
      <c r="B39" s="48" t="s">
        <v>6</v>
      </c>
      <c r="C39" s="48" t="s">
        <v>1322</v>
      </c>
      <c r="D39" s="50">
        <v>44620</v>
      </c>
      <c r="E39" s="48" t="s">
        <v>36</v>
      </c>
      <c r="F39" s="48" t="s">
        <v>1438</v>
      </c>
      <c r="G39" s="48" t="s">
        <v>1439</v>
      </c>
      <c r="H39" s="49" t="s">
        <v>1442</v>
      </c>
      <c r="I39" s="48" t="s">
        <v>1405</v>
      </c>
      <c r="J39" s="48" t="s">
        <v>1194</v>
      </c>
      <c r="K39" s="48" t="s">
        <v>1443</v>
      </c>
      <c r="L39" s="48" t="s">
        <v>38</v>
      </c>
      <c r="M39" s="48" t="s">
        <v>37</v>
      </c>
      <c r="N39" s="48" t="s">
        <v>1436</v>
      </c>
      <c r="O39" s="48" t="s">
        <v>1436</v>
      </c>
      <c r="P39" s="48" t="s">
        <v>1436</v>
      </c>
      <c r="Q39" s="48" t="s">
        <v>38</v>
      </c>
      <c r="R39" s="48" t="s">
        <v>39</v>
      </c>
      <c r="S39" s="48" t="s">
        <v>1194</v>
      </c>
      <c r="T39" s="48" t="s">
        <v>41</v>
      </c>
      <c r="U39" s="48" t="s">
        <v>1436</v>
      </c>
      <c r="V39" s="48" t="s">
        <v>1436</v>
      </c>
      <c r="W39" s="48" t="s">
        <v>1436</v>
      </c>
      <c r="X39" s="49" t="s">
        <v>193</v>
      </c>
      <c r="Y39" s="48" t="s">
        <v>1194</v>
      </c>
      <c r="Z39" s="49" t="s">
        <v>1321</v>
      </c>
      <c r="AA39" s="48" t="s">
        <v>1324</v>
      </c>
      <c r="AB39" s="48" t="s">
        <v>1325</v>
      </c>
      <c r="AC39" s="48" t="s">
        <v>1239</v>
      </c>
      <c r="AD39" s="48" t="s">
        <v>1231</v>
      </c>
      <c r="AE39" s="48" t="s">
        <v>1669</v>
      </c>
      <c r="AF39" s="48" t="s">
        <v>1436</v>
      </c>
      <c r="AG39" s="48" t="s">
        <v>1436</v>
      </c>
      <c r="AH39" s="48" t="s">
        <v>208</v>
      </c>
      <c r="AI39" s="50">
        <v>44562</v>
      </c>
      <c r="AJ39" s="50">
        <v>46387</v>
      </c>
      <c r="AK39" s="49" t="s">
        <v>1280</v>
      </c>
      <c r="AL39" s="48" t="s">
        <v>36</v>
      </c>
      <c r="AM39" s="48" t="s">
        <v>36</v>
      </c>
      <c r="AN39" s="51">
        <v>0</v>
      </c>
      <c r="AO39" s="51"/>
      <c r="AP39" s="51"/>
      <c r="AQ39" s="72">
        <v>1600000</v>
      </c>
      <c r="AR39" s="72">
        <v>50000</v>
      </c>
      <c r="AS39" s="50">
        <v>46387</v>
      </c>
      <c r="AT39" s="50" t="s">
        <v>1436</v>
      </c>
      <c r="AU39" s="49" t="s">
        <v>1436</v>
      </c>
      <c r="AV39" s="49" t="s">
        <v>1670</v>
      </c>
      <c r="AW39" s="48" t="s">
        <v>1244</v>
      </c>
    </row>
    <row r="40" spans="1:49" x14ac:dyDescent="0.3">
      <c r="A40" s="48" t="s">
        <v>1320</v>
      </c>
      <c r="B40" s="48" t="s">
        <v>6</v>
      </c>
      <c r="C40" s="48" t="s">
        <v>1322</v>
      </c>
      <c r="D40" s="50">
        <v>44620</v>
      </c>
      <c r="E40" s="48" t="s">
        <v>36</v>
      </c>
      <c r="F40" s="48" t="s">
        <v>1438</v>
      </c>
      <c r="G40" s="48" t="s">
        <v>1444</v>
      </c>
      <c r="H40" s="49" t="s">
        <v>1445</v>
      </c>
      <c r="I40" s="48" t="s">
        <v>1411</v>
      </c>
      <c r="J40" s="48" t="s">
        <v>40</v>
      </c>
      <c r="K40" s="48" t="s">
        <v>50</v>
      </c>
      <c r="L40" s="48" t="s">
        <v>38</v>
      </c>
      <c r="M40" s="48" t="s">
        <v>37</v>
      </c>
      <c r="N40" s="48" t="s">
        <v>1436</v>
      </c>
      <c r="O40" s="48" t="s">
        <v>1436</v>
      </c>
      <c r="P40" s="48" t="s">
        <v>1436</v>
      </c>
      <c r="Q40" s="48" t="s">
        <v>38</v>
      </c>
      <c r="R40" s="48" t="s">
        <v>39</v>
      </c>
      <c r="S40" s="48" t="s">
        <v>40</v>
      </c>
      <c r="T40" s="48" t="s">
        <v>41</v>
      </c>
      <c r="U40" s="48" t="s">
        <v>1436</v>
      </c>
      <c r="V40" s="48" t="s">
        <v>1436</v>
      </c>
      <c r="W40" s="48" t="s">
        <v>1436</v>
      </c>
      <c r="X40" s="49" t="s">
        <v>193</v>
      </c>
      <c r="Y40" s="48" t="s">
        <v>1194</v>
      </c>
      <c r="Z40" s="49" t="s">
        <v>1321</v>
      </c>
      <c r="AA40" s="48" t="s">
        <v>1324</v>
      </c>
      <c r="AB40" s="48" t="s">
        <v>1325</v>
      </c>
      <c r="AC40" s="48" t="s">
        <v>1239</v>
      </c>
      <c r="AD40" s="48" t="s">
        <v>1231</v>
      </c>
      <c r="AE40" s="48" t="s">
        <v>1669</v>
      </c>
      <c r="AF40" s="48" t="s">
        <v>1436</v>
      </c>
      <c r="AG40" s="48" t="s">
        <v>1436</v>
      </c>
      <c r="AH40" s="48" t="s">
        <v>208</v>
      </c>
      <c r="AI40" s="50">
        <v>44562</v>
      </c>
      <c r="AJ40" s="50">
        <v>46387</v>
      </c>
      <c r="AK40" s="49" t="s">
        <v>1280</v>
      </c>
      <c r="AL40" s="48" t="s">
        <v>36</v>
      </c>
      <c r="AM40" s="48" t="s">
        <v>36</v>
      </c>
      <c r="AN40" s="51">
        <v>42330.49</v>
      </c>
      <c r="AO40" s="51"/>
      <c r="AP40" s="51"/>
      <c r="AQ40" s="72">
        <v>1600000</v>
      </c>
      <c r="AR40" s="72">
        <v>50000</v>
      </c>
      <c r="AS40" s="50">
        <v>46387</v>
      </c>
      <c r="AT40" s="50" t="s">
        <v>1436</v>
      </c>
      <c r="AU40" s="49" t="s">
        <v>1436</v>
      </c>
      <c r="AV40" s="49" t="s">
        <v>1670</v>
      </c>
      <c r="AW40" s="48" t="s">
        <v>1244</v>
      </c>
    </row>
    <row r="41" spans="1:49" x14ac:dyDescent="0.3">
      <c r="A41" s="48" t="s">
        <v>1320</v>
      </c>
      <c r="B41" s="48" t="s">
        <v>6</v>
      </c>
      <c r="C41" s="48" t="s">
        <v>1322</v>
      </c>
      <c r="D41" s="50">
        <v>44620</v>
      </c>
      <c r="E41" s="48" t="s">
        <v>36</v>
      </c>
      <c r="F41" s="48" t="s">
        <v>1438</v>
      </c>
      <c r="G41" s="48" t="s">
        <v>1444</v>
      </c>
      <c r="H41" s="49" t="s">
        <v>1446</v>
      </c>
      <c r="I41" s="48" t="s">
        <v>1407</v>
      </c>
      <c r="J41" s="48" t="s">
        <v>40</v>
      </c>
      <c r="K41" s="48" t="s">
        <v>47</v>
      </c>
      <c r="L41" s="48" t="s">
        <v>38</v>
      </c>
      <c r="M41" s="48" t="s">
        <v>37</v>
      </c>
      <c r="N41" s="48" t="s">
        <v>1436</v>
      </c>
      <c r="O41" s="48" t="s">
        <v>1436</v>
      </c>
      <c r="P41" s="48" t="s">
        <v>1436</v>
      </c>
      <c r="Q41" s="48" t="s">
        <v>38</v>
      </c>
      <c r="R41" s="48" t="s">
        <v>39</v>
      </c>
      <c r="S41" s="48" t="s">
        <v>40</v>
      </c>
      <c r="T41" s="48" t="s">
        <v>41</v>
      </c>
      <c r="U41" s="48" t="s">
        <v>1436</v>
      </c>
      <c r="V41" s="48" t="s">
        <v>1436</v>
      </c>
      <c r="W41" s="48" t="s">
        <v>1436</v>
      </c>
      <c r="X41" s="49" t="s">
        <v>193</v>
      </c>
      <c r="Y41" s="48" t="s">
        <v>1194</v>
      </c>
      <c r="Z41" s="49" t="s">
        <v>1321</v>
      </c>
      <c r="AA41" s="48" t="s">
        <v>1324</v>
      </c>
      <c r="AB41" s="48" t="s">
        <v>1325</v>
      </c>
      <c r="AC41" s="48" t="s">
        <v>1239</v>
      </c>
      <c r="AD41" s="48" t="s">
        <v>1231</v>
      </c>
      <c r="AE41" s="48" t="s">
        <v>1669</v>
      </c>
      <c r="AF41" s="48" t="s">
        <v>1436</v>
      </c>
      <c r="AG41" s="48" t="s">
        <v>1436</v>
      </c>
      <c r="AH41" s="48" t="s">
        <v>208</v>
      </c>
      <c r="AI41" s="50">
        <v>44562</v>
      </c>
      <c r="AJ41" s="50">
        <v>46387</v>
      </c>
      <c r="AK41" s="49" t="s">
        <v>1280</v>
      </c>
      <c r="AL41" s="48" t="s">
        <v>36</v>
      </c>
      <c r="AM41" s="48" t="s">
        <v>36</v>
      </c>
      <c r="AN41" s="51">
        <v>14317.061664000001</v>
      </c>
      <c r="AO41" s="51"/>
      <c r="AP41" s="51"/>
      <c r="AQ41" s="72">
        <v>1600000</v>
      </c>
      <c r="AR41" s="72">
        <v>50000</v>
      </c>
      <c r="AS41" s="50">
        <v>46387</v>
      </c>
      <c r="AT41" s="50" t="s">
        <v>1436</v>
      </c>
      <c r="AU41" s="49" t="s">
        <v>1436</v>
      </c>
      <c r="AV41" s="49" t="s">
        <v>1670</v>
      </c>
      <c r="AW41" s="48" t="s">
        <v>1244</v>
      </c>
    </row>
    <row r="42" spans="1:49" x14ac:dyDescent="0.3">
      <c r="A42" s="48" t="s">
        <v>1320</v>
      </c>
      <c r="B42" s="48" t="s">
        <v>6</v>
      </c>
      <c r="C42" s="48" t="s">
        <v>1322</v>
      </c>
      <c r="D42" s="50">
        <v>44620</v>
      </c>
      <c r="E42" s="48" t="s">
        <v>36</v>
      </c>
      <c r="F42" s="48" t="s">
        <v>1433</v>
      </c>
      <c r="G42" s="48" t="s">
        <v>1447</v>
      </c>
      <c r="H42" s="49" t="s">
        <v>1448</v>
      </c>
      <c r="I42" s="48" t="s">
        <v>1413</v>
      </c>
      <c r="J42" s="48" t="s">
        <v>40</v>
      </c>
      <c r="K42" s="48" t="s">
        <v>58</v>
      </c>
      <c r="L42" s="48" t="s">
        <v>38</v>
      </c>
      <c r="M42" s="48" t="s">
        <v>37</v>
      </c>
      <c r="N42" s="48" t="s">
        <v>1436</v>
      </c>
      <c r="O42" s="48" t="s">
        <v>1436</v>
      </c>
      <c r="P42" s="48" t="s">
        <v>1436</v>
      </c>
      <c r="Q42" s="48" t="s">
        <v>38</v>
      </c>
      <c r="R42" s="48" t="s">
        <v>39</v>
      </c>
      <c r="S42" s="48" t="s">
        <v>40</v>
      </c>
      <c r="T42" s="48" t="s">
        <v>41</v>
      </c>
      <c r="U42" s="48" t="s">
        <v>1436</v>
      </c>
      <c r="V42" s="48" t="s">
        <v>1436</v>
      </c>
      <c r="W42" s="48" t="s">
        <v>1436</v>
      </c>
      <c r="X42" s="49" t="s">
        <v>193</v>
      </c>
      <c r="Y42" s="48" t="s">
        <v>1194</v>
      </c>
      <c r="Z42" s="49" t="s">
        <v>1321</v>
      </c>
      <c r="AA42" s="48" t="s">
        <v>1324</v>
      </c>
      <c r="AB42" s="48" t="s">
        <v>1325</v>
      </c>
      <c r="AC42" s="48" t="s">
        <v>1239</v>
      </c>
      <c r="AD42" s="48" t="s">
        <v>1231</v>
      </c>
      <c r="AE42" s="48" t="s">
        <v>1669</v>
      </c>
      <c r="AF42" s="48" t="s">
        <v>1436</v>
      </c>
      <c r="AG42" s="48" t="s">
        <v>1436</v>
      </c>
      <c r="AH42" s="48" t="s">
        <v>208</v>
      </c>
      <c r="AI42" s="50">
        <v>44562</v>
      </c>
      <c r="AJ42" s="50">
        <v>46387</v>
      </c>
      <c r="AK42" s="49" t="s">
        <v>1280</v>
      </c>
      <c r="AL42" s="48" t="s">
        <v>36</v>
      </c>
      <c r="AM42" s="48" t="s">
        <v>36</v>
      </c>
      <c r="AN42" s="51">
        <v>-50000</v>
      </c>
      <c r="AO42" s="51"/>
      <c r="AP42" s="51"/>
      <c r="AQ42" s="72">
        <v>1600000</v>
      </c>
      <c r="AR42" s="72">
        <v>50000</v>
      </c>
      <c r="AS42" s="50">
        <v>46387</v>
      </c>
      <c r="AT42" s="50" t="s">
        <v>1436</v>
      </c>
      <c r="AU42" s="49" t="s">
        <v>1436</v>
      </c>
      <c r="AV42" s="49" t="s">
        <v>1670</v>
      </c>
      <c r="AW42" s="48" t="s">
        <v>1244</v>
      </c>
    </row>
    <row r="43" spans="1:49" x14ac:dyDescent="0.3">
      <c r="A43" s="48" t="s">
        <v>1320</v>
      </c>
      <c r="B43" s="48" t="s">
        <v>6</v>
      </c>
      <c r="C43" s="48" t="s">
        <v>1322</v>
      </c>
      <c r="D43" s="50">
        <v>44620</v>
      </c>
      <c r="E43" s="48" t="s">
        <v>36</v>
      </c>
      <c r="F43" s="48" t="s">
        <v>1433</v>
      </c>
      <c r="G43" s="48" t="s">
        <v>1447</v>
      </c>
      <c r="H43" s="49" t="s">
        <v>1449</v>
      </c>
      <c r="I43" s="48" t="s">
        <v>1409</v>
      </c>
      <c r="J43" s="48" t="s">
        <v>40</v>
      </c>
      <c r="K43" s="48" t="s">
        <v>45</v>
      </c>
      <c r="L43" s="48" t="s">
        <v>38</v>
      </c>
      <c r="M43" s="48" t="s">
        <v>37</v>
      </c>
      <c r="N43" s="48" t="s">
        <v>1436</v>
      </c>
      <c r="O43" s="48" t="s">
        <v>1436</v>
      </c>
      <c r="P43" s="48" t="s">
        <v>1436</v>
      </c>
      <c r="Q43" s="48" t="s">
        <v>38</v>
      </c>
      <c r="R43" s="48" t="s">
        <v>39</v>
      </c>
      <c r="S43" s="48" t="s">
        <v>40</v>
      </c>
      <c r="T43" s="48" t="s">
        <v>41</v>
      </c>
      <c r="U43" s="48" t="s">
        <v>1436</v>
      </c>
      <c r="V43" s="48" t="s">
        <v>1436</v>
      </c>
      <c r="W43" s="48" t="s">
        <v>1436</v>
      </c>
      <c r="X43" s="49" t="s">
        <v>193</v>
      </c>
      <c r="Y43" s="48" t="s">
        <v>1194</v>
      </c>
      <c r="Z43" s="49" t="s">
        <v>1321</v>
      </c>
      <c r="AA43" s="48" t="s">
        <v>1324</v>
      </c>
      <c r="AB43" s="48" t="s">
        <v>1325</v>
      </c>
      <c r="AC43" s="48" t="s">
        <v>1239</v>
      </c>
      <c r="AD43" s="48" t="s">
        <v>1231</v>
      </c>
      <c r="AE43" s="48" t="s">
        <v>1669</v>
      </c>
      <c r="AF43" s="48" t="s">
        <v>1436</v>
      </c>
      <c r="AG43" s="48" t="s">
        <v>1436</v>
      </c>
      <c r="AH43" s="48" t="s">
        <v>208</v>
      </c>
      <c r="AI43" s="50">
        <v>44562</v>
      </c>
      <c r="AJ43" s="50">
        <v>46387</v>
      </c>
      <c r="AK43" s="49" t="s">
        <v>1280</v>
      </c>
      <c r="AL43" s="48" t="s">
        <v>36</v>
      </c>
      <c r="AM43" s="48" t="s">
        <v>36</v>
      </c>
      <c r="AN43" s="51">
        <v>38040.565031999999</v>
      </c>
      <c r="AO43" s="51"/>
      <c r="AP43" s="51"/>
      <c r="AQ43" s="72">
        <v>1600000</v>
      </c>
      <c r="AR43" s="72">
        <v>50000</v>
      </c>
      <c r="AS43" s="50">
        <v>46387</v>
      </c>
      <c r="AT43" s="50" t="s">
        <v>1436</v>
      </c>
      <c r="AU43" s="49" t="s">
        <v>1436</v>
      </c>
      <c r="AV43" s="49" t="s">
        <v>1670</v>
      </c>
      <c r="AW43" s="48" t="s">
        <v>1244</v>
      </c>
    </row>
    <row r="44" spans="1:49" x14ac:dyDescent="0.3">
      <c r="A44" s="48" t="s">
        <v>1320</v>
      </c>
      <c r="B44" s="48" t="s">
        <v>6</v>
      </c>
      <c r="C44" s="48" t="s">
        <v>1322</v>
      </c>
      <c r="D44" s="50">
        <v>44620</v>
      </c>
      <c r="E44" s="48" t="s">
        <v>36</v>
      </c>
      <c r="F44" s="48" t="s">
        <v>1433</v>
      </c>
      <c r="G44" s="48" t="s">
        <v>1447</v>
      </c>
      <c r="H44" s="49" t="s">
        <v>1450</v>
      </c>
      <c r="I44" s="48" t="s">
        <v>1408</v>
      </c>
      <c r="J44" s="48" t="s">
        <v>40</v>
      </c>
      <c r="K44" s="48" t="s">
        <v>54</v>
      </c>
      <c r="L44" s="48" t="s">
        <v>38</v>
      </c>
      <c r="M44" s="48" t="s">
        <v>37</v>
      </c>
      <c r="N44" s="48" t="s">
        <v>1436</v>
      </c>
      <c r="O44" s="48" t="s">
        <v>1436</v>
      </c>
      <c r="P44" s="48" t="s">
        <v>1436</v>
      </c>
      <c r="Q44" s="48" t="s">
        <v>38</v>
      </c>
      <c r="R44" s="48" t="s">
        <v>39</v>
      </c>
      <c r="S44" s="48" t="s">
        <v>40</v>
      </c>
      <c r="T44" s="48" t="s">
        <v>41</v>
      </c>
      <c r="U44" s="48" t="s">
        <v>1436</v>
      </c>
      <c r="V44" s="48" t="s">
        <v>1436</v>
      </c>
      <c r="W44" s="48" t="s">
        <v>1436</v>
      </c>
      <c r="X44" s="49" t="s">
        <v>193</v>
      </c>
      <c r="Y44" s="48" t="s">
        <v>1194</v>
      </c>
      <c r="Z44" s="49" t="s">
        <v>1321</v>
      </c>
      <c r="AA44" s="48" t="s">
        <v>1324</v>
      </c>
      <c r="AB44" s="48" t="s">
        <v>1325</v>
      </c>
      <c r="AC44" s="48" t="s">
        <v>1239</v>
      </c>
      <c r="AD44" s="48" t="s">
        <v>1231</v>
      </c>
      <c r="AE44" s="48" t="s">
        <v>1669</v>
      </c>
      <c r="AF44" s="48" t="s">
        <v>1436</v>
      </c>
      <c r="AG44" s="48" t="s">
        <v>1436</v>
      </c>
      <c r="AH44" s="48" t="s">
        <v>208</v>
      </c>
      <c r="AI44" s="50">
        <v>44562</v>
      </c>
      <c r="AJ44" s="50">
        <v>46387</v>
      </c>
      <c r="AK44" s="49" t="s">
        <v>1280</v>
      </c>
      <c r="AL44" s="48" t="s">
        <v>36</v>
      </c>
      <c r="AM44" s="48" t="s">
        <v>36</v>
      </c>
      <c r="AN44" s="51">
        <v>-2564.5700000000002</v>
      </c>
      <c r="AO44" s="51"/>
      <c r="AP44" s="51"/>
      <c r="AQ44" s="72">
        <v>1600000</v>
      </c>
      <c r="AR44" s="72">
        <v>50000</v>
      </c>
      <c r="AS44" s="50">
        <v>46387</v>
      </c>
      <c r="AT44" s="50" t="s">
        <v>1436</v>
      </c>
      <c r="AU44" s="49" t="s">
        <v>1436</v>
      </c>
      <c r="AV44" s="49" t="s">
        <v>1670</v>
      </c>
      <c r="AW44" s="48" t="s">
        <v>1244</v>
      </c>
    </row>
    <row r="45" spans="1:49" x14ac:dyDescent="0.3">
      <c r="A45" s="48" t="s">
        <v>1320</v>
      </c>
      <c r="B45" s="48" t="s">
        <v>6</v>
      </c>
      <c r="C45" s="48" t="s">
        <v>1322</v>
      </c>
      <c r="D45" s="50">
        <v>44620</v>
      </c>
      <c r="E45" s="48" t="s">
        <v>36</v>
      </c>
      <c r="F45" s="48" t="s">
        <v>1433</v>
      </c>
      <c r="G45" s="48" t="s">
        <v>1447</v>
      </c>
      <c r="H45" s="49" t="s">
        <v>1451</v>
      </c>
      <c r="I45" s="48" t="s">
        <v>1404</v>
      </c>
      <c r="J45" s="48" t="s">
        <v>38</v>
      </c>
      <c r="K45" s="48" t="s">
        <v>49</v>
      </c>
      <c r="L45" s="48" t="s">
        <v>38</v>
      </c>
      <c r="M45" s="48" t="s">
        <v>37</v>
      </c>
      <c r="N45" s="48" t="s">
        <v>1436</v>
      </c>
      <c r="O45" s="48" t="s">
        <v>1436</v>
      </c>
      <c r="P45" s="48" t="s">
        <v>1436</v>
      </c>
      <c r="Q45" s="48" t="s">
        <v>38</v>
      </c>
      <c r="R45" s="48" t="s">
        <v>39</v>
      </c>
      <c r="S45" s="48" t="s">
        <v>38</v>
      </c>
      <c r="T45" s="48" t="s">
        <v>41</v>
      </c>
      <c r="U45" s="48" t="s">
        <v>1436</v>
      </c>
      <c r="V45" s="48" t="s">
        <v>1436</v>
      </c>
      <c r="W45" s="48" t="s">
        <v>1436</v>
      </c>
      <c r="X45" s="49" t="s">
        <v>193</v>
      </c>
      <c r="Y45" s="48" t="s">
        <v>1194</v>
      </c>
      <c r="Z45" s="49" t="s">
        <v>1321</v>
      </c>
      <c r="AA45" s="48" t="s">
        <v>1324</v>
      </c>
      <c r="AB45" s="48" t="s">
        <v>1325</v>
      </c>
      <c r="AC45" s="48" t="s">
        <v>1239</v>
      </c>
      <c r="AD45" s="48" t="s">
        <v>1231</v>
      </c>
      <c r="AE45" s="48" t="s">
        <v>1669</v>
      </c>
      <c r="AF45" s="48" t="s">
        <v>1436</v>
      </c>
      <c r="AG45" s="48" t="s">
        <v>1436</v>
      </c>
      <c r="AH45" s="48" t="s">
        <v>208</v>
      </c>
      <c r="AI45" s="50">
        <v>44562</v>
      </c>
      <c r="AJ45" s="50">
        <v>46387</v>
      </c>
      <c r="AK45" s="49" t="s">
        <v>1280</v>
      </c>
      <c r="AL45" s="48" t="s">
        <v>36</v>
      </c>
      <c r="AM45" s="48" t="s">
        <v>36</v>
      </c>
      <c r="AN45" s="51">
        <v>206.94330400000001</v>
      </c>
      <c r="AO45" s="51"/>
      <c r="AP45" s="51"/>
      <c r="AQ45" s="72">
        <v>1600000</v>
      </c>
      <c r="AR45" s="72">
        <v>50000</v>
      </c>
      <c r="AS45" s="50">
        <v>46387</v>
      </c>
      <c r="AT45" s="50" t="s">
        <v>1436</v>
      </c>
      <c r="AU45" s="49" t="s">
        <v>1436</v>
      </c>
      <c r="AV45" s="49" t="s">
        <v>1670</v>
      </c>
      <c r="AW45" s="48" t="s">
        <v>1244</v>
      </c>
    </row>
    <row r="46" spans="1:49" x14ac:dyDescent="0.3">
      <c r="A46" s="48" t="s">
        <v>1320</v>
      </c>
      <c r="B46" s="48" t="s">
        <v>6</v>
      </c>
      <c r="C46" s="48" t="s">
        <v>1322</v>
      </c>
      <c r="D46" s="50">
        <v>44651</v>
      </c>
      <c r="E46" s="48" t="s">
        <v>36</v>
      </c>
      <c r="F46" s="48" t="s">
        <v>1433</v>
      </c>
      <c r="G46" s="48" t="s">
        <v>1434</v>
      </c>
      <c r="H46" s="49" t="s">
        <v>1435</v>
      </c>
      <c r="I46" s="48" t="s">
        <v>1412</v>
      </c>
      <c r="J46" s="48" t="s">
        <v>40</v>
      </c>
      <c r="K46" s="48" t="s">
        <v>52</v>
      </c>
      <c r="L46" s="48" t="s">
        <v>38</v>
      </c>
      <c r="M46" s="48" t="s">
        <v>37</v>
      </c>
      <c r="N46" s="48" t="s">
        <v>1436</v>
      </c>
      <c r="O46" s="48" t="s">
        <v>1436</v>
      </c>
      <c r="P46" s="48" t="s">
        <v>1436</v>
      </c>
      <c r="Q46" s="48" t="s">
        <v>38</v>
      </c>
      <c r="R46" s="48" t="s">
        <v>39</v>
      </c>
      <c r="S46" s="48" t="s">
        <v>40</v>
      </c>
      <c r="T46" s="48" t="s">
        <v>41</v>
      </c>
      <c r="U46" s="48" t="s">
        <v>1436</v>
      </c>
      <c r="V46" s="48" t="s">
        <v>1436</v>
      </c>
      <c r="W46" s="48" t="s">
        <v>1436</v>
      </c>
      <c r="X46" s="49" t="s">
        <v>193</v>
      </c>
      <c r="Y46" s="48" t="s">
        <v>1194</v>
      </c>
      <c r="Z46" s="49" t="s">
        <v>1321</v>
      </c>
      <c r="AA46" s="48" t="s">
        <v>1324</v>
      </c>
      <c r="AB46" s="48" t="s">
        <v>1325</v>
      </c>
      <c r="AC46" s="48" t="s">
        <v>1239</v>
      </c>
      <c r="AD46" s="48" t="s">
        <v>1231</v>
      </c>
      <c r="AE46" s="48" t="s">
        <v>1669</v>
      </c>
      <c r="AF46" s="48" t="s">
        <v>1436</v>
      </c>
      <c r="AG46" s="48" t="s">
        <v>1436</v>
      </c>
      <c r="AH46" s="48" t="s">
        <v>208</v>
      </c>
      <c r="AI46" s="50">
        <v>44562</v>
      </c>
      <c r="AJ46" s="50">
        <v>46387</v>
      </c>
      <c r="AK46" s="49" t="s">
        <v>1280</v>
      </c>
      <c r="AL46" s="48" t="s">
        <v>36</v>
      </c>
      <c r="AM46" s="48" t="s">
        <v>36</v>
      </c>
      <c r="AN46" s="51">
        <v>-42330.49</v>
      </c>
      <c r="AO46" s="51"/>
      <c r="AP46" s="51"/>
      <c r="AQ46" s="72">
        <v>1600000</v>
      </c>
      <c r="AR46" s="72">
        <v>50000</v>
      </c>
      <c r="AS46" s="50">
        <v>46387</v>
      </c>
      <c r="AT46" s="50" t="s">
        <v>1436</v>
      </c>
      <c r="AU46" s="49" t="s">
        <v>1436</v>
      </c>
      <c r="AV46" s="49" t="s">
        <v>1670</v>
      </c>
      <c r="AW46" s="48" t="s">
        <v>1244</v>
      </c>
    </row>
    <row r="47" spans="1:49" x14ac:dyDescent="0.3">
      <c r="A47" s="48" t="s">
        <v>1320</v>
      </c>
      <c r="B47" s="48" t="s">
        <v>6</v>
      </c>
      <c r="C47" s="48" t="s">
        <v>1322</v>
      </c>
      <c r="D47" s="50">
        <v>44651</v>
      </c>
      <c r="E47" s="48" t="s">
        <v>36</v>
      </c>
      <c r="F47" s="48" t="s">
        <v>1433</v>
      </c>
      <c r="G47" s="48" t="s">
        <v>1434</v>
      </c>
      <c r="H47" s="49" t="s">
        <v>1437</v>
      </c>
      <c r="I47" s="48" t="s">
        <v>1410</v>
      </c>
      <c r="J47" s="48" t="s">
        <v>40</v>
      </c>
      <c r="K47" s="48" t="s">
        <v>42</v>
      </c>
      <c r="L47" s="48" t="s">
        <v>38</v>
      </c>
      <c r="M47" s="48" t="s">
        <v>37</v>
      </c>
      <c r="N47" s="48" t="s">
        <v>1436</v>
      </c>
      <c r="O47" s="48" t="s">
        <v>1436</v>
      </c>
      <c r="P47" s="48" t="s">
        <v>1436</v>
      </c>
      <c r="Q47" s="48" t="s">
        <v>38</v>
      </c>
      <c r="R47" s="48" t="s">
        <v>39</v>
      </c>
      <c r="S47" s="48" t="s">
        <v>40</v>
      </c>
      <c r="T47" s="48" t="s">
        <v>41</v>
      </c>
      <c r="U47" s="48" t="s">
        <v>1436</v>
      </c>
      <c r="V47" s="48" t="s">
        <v>1436</v>
      </c>
      <c r="W47" s="48" t="s">
        <v>1436</v>
      </c>
      <c r="X47" s="49" t="s">
        <v>193</v>
      </c>
      <c r="Y47" s="48" t="s">
        <v>1194</v>
      </c>
      <c r="Z47" s="49" t="s">
        <v>1321</v>
      </c>
      <c r="AA47" s="48" t="s">
        <v>1324</v>
      </c>
      <c r="AB47" s="48" t="s">
        <v>1325</v>
      </c>
      <c r="AC47" s="48" t="s">
        <v>1239</v>
      </c>
      <c r="AD47" s="48" t="s">
        <v>1231</v>
      </c>
      <c r="AE47" s="48" t="s">
        <v>1669</v>
      </c>
      <c r="AF47" s="48" t="s">
        <v>1436</v>
      </c>
      <c r="AG47" s="48" t="s">
        <v>1436</v>
      </c>
      <c r="AH47" s="48" t="s">
        <v>208</v>
      </c>
      <c r="AI47" s="50">
        <v>44562</v>
      </c>
      <c r="AJ47" s="50">
        <v>46387</v>
      </c>
      <c r="AK47" s="49" t="s">
        <v>1280</v>
      </c>
      <c r="AL47" s="48" t="s">
        <v>36</v>
      </c>
      <c r="AM47" s="48" t="s">
        <v>36</v>
      </c>
      <c r="AN47" s="51">
        <v>0</v>
      </c>
      <c r="AO47" s="51"/>
      <c r="AP47" s="51"/>
      <c r="AQ47" s="72">
        <v>1600000</v>
      </c>
      <c r="AR47" s="72">
        <v>50000</v>
      </c>
      <c r="AS47" s="50">
        <v>46387</v>
      </c>
      <c r="AT47" s="50" t="s">
        <v>1436</v>
      </c>
      <c r="AU47" s="49" t="s">
        <v>1436</v>
      </c>
      <c r="AV47" s="49" t="s">
        <v>1670</v>
      </c>
      <c r="AW47" s="48" t="s">
        <v>1244</v>
      </c>
    </row>
    <row r="48" spans="1:49" x14ac:dyDescent="0.3">
      <c r="A48" s="48" t="s">
        <v>1320</v>
      </c>
      <c r="B48" s="48" t="s">
        <v>6</v>
      </c>
      <c r="C48" s="48" t="s">
        <v>1322</v>
      </c>
      <c r="D48" s="50">
        <v>44651</v>
      </c>
      <c r="E48" s="48" t="s">
        <v>36</v>
      </c>
      <c r="F48" s="48" t="s">
        <v>1438</v>
      </c>
      <c r="G48" s="48" t="s">
        <v>1439</v>
      </c>
      <c r="H48" s="49" t="s">
        <v>1440</v>
      </c>
      <c r="I48" s="48" t="s">
        <v>1406</v>
      </c>
      <c r="J48" s="48" t="s">
        <v>1194</v>
      </c>
      <c r="K48" s="48" t="s">
        <v>1441</v>
      </c>
      <c r="L48" s="48" t="s">
        <v>38</v>
      </c>
      <c r="M48" s="48" t="s">
        <v>37</v>
      </c>
      <c r="N48" s="48" t="s">
        <v>1436</v>
      </c>
      <c r="O48" s="48" t="s">
        <v>1436</v>
      </c>
      <c r="P48" s="48" t="s">
        <v>1436</v>
      </c>
      <c r="Q48" s="48" t="s">
        <v>38</v>
      </c>
      <c r="R48" s="48" t="s">
        <v>39</v>
      </c>
      <c r="S48" s="48" t="s">
        <v>1194</v>
      </c>
      <c r="T48" s="48" t="s">
        <v>41</v>
      </c>
      <c r="U48" s="48" t="s">
        <v>1436</v>
      </c>
      <c r="V48" s="48" t="s">
        <v>1436</v>
      </c>
      <c r="W48" s="48" t="s">
        <v>1436</v>
      </c>
      <c r="X48" s="49" t="s">
        <v>193</v>
      </c>
      <c r="Y48" s="48" t="s">
        <v>1194</v>
      </c>
      <c r="Z48" s="49" t="s">
        <v>1321</v>
      </c>
      <c r="AA48" s="48" t="s">
        <v>1324</v>
      </c>
      <c r="AB48" s="48" t="s">
        <v>1325</v>
      </c>
      <c r="AC48" s="48" t="s">
        <v>1239</v>
      </c>
      <c r="AD48" s="48" t="s">
        <v>1231</v>
      </c>
      <c r="AE48" s="48" t="s">
        <v>1669</v>
      </c>
      <c r="AF48" s="48" t="s">
        <v>1436</v>
      </c>
      <c r="AG48" s="48" t="s">
        <v>1436</v>
      </c>
      <c r="AH48" s="48" t="s">
        <v>208</v>
      </c>
      <c r="AI48" s="50">
        <v>44562</v>
      </c>
      <c r="AJ48" s="50">
        <v>46387</v>
      </c>
      <c r="AK48" s="49" t="s">
        <v>1280</v>
      </c>
      <c r="AL48" s="48" t="s">
        <v>36</v>
      </c>
      <c r="AM48" s="48" t="s">
        <v>36</v>
      </c>
      <c r="AN48" s="51">
        <v>0</v>
      </c>
      <c r="AO48" s="51"/>
      <c r="AP48" s="51"/>
      <c r="AQ48" s="72">
        <v>1600000</v>
      </c>
      <c r="AR48" s="72">
        <v>50000</v>
      </c>
      <c r="AS48" s="50">
        <v>46387</v>
      </c>
      <c r="AT48" s="50" t="s">
        <v>1436</v>
      </c>
      <c r="AU48" s="49" t="s">
        <v>1436</v>
      </c>
      <c r="AV48" s="49" t="s">
        <v>1670</v>
      </c>
      <c r="AW48" s="48" t="s">
        <v>1244</v>
      </c>
    </row>
    <row r="49" spans="1:49" x14ac:dyDescent="0.3">
      <c r="A49" s="48" t="s">
        <v>1320</v>
      </c>
      <c r="B49" s="48" t="s">
        <v>6</v>
      </c>
      <c r="C49" s="48" t="s">
        <v>1322</v>
      </c>
      <c r="D49" s="50">
        <v>44651</v>
      </c>
      <c r="E49" s="48" t="s">
        <v>36</v>
      </c>
      <c r="F49" s="48" t="s">
        <v>1438</v>
      </c>
      <c r="G49" s="48" t="s">
        <v>1439</v>
      </c>
      <c r="H49" s="49" t="s">
        <v>1442</v>
      </c>
      <c r="I49" s="48" t="s">
        <v>1405</v>
      </c>
      <c r="J49" s="48" t="s">
        <v>1194</v>
      </c>
      <c r="K49" s="48" t="s">
        <v>1443</v>
      </c>
      <c r="L49" s="48" t="s">
        <v>38</v>
      </c>
      <c r="M49" s="48" t="s">
        <v>37</v>
      </c>
      <c r="N49" s="48" t="s">
        <v>1436</v>
      </c>
      <c r="O49" s="48" t="s">
        <v>1436</v>
      </c>
      <c r="P49" s="48" t="s">
        <v>1436</v>
      </c>
      <c r="Q49" s="48" t="s">
        <v>38</v>
      </c>
      <c r="R49" s="48" t="s">
        <v>39</v>
      </c>
      <c r="S49" s="48" t="s">
        <v>1194</v>
      </c>
      <c r="T49" s="48" t="s">
        <v>41</v>
      </c>
      <c r="U49" s="48" t="s">
        <v>1436</v>
      </c>
      <c r="V49" s="48" t="s">
        <v>1436</v>
      </c>
      <c r="W49" s="48" t="s">
        <v>1436</v>
      </c>
      <c r="X49" s="49" t="s">
        <v>193</v>
      </c>
      <c r="Y49" s="48" t="s">
        <v>1194</v>
      </c>
      <c r="Z49" s="49" t="s">
        <v>1321</v>
      </c>
      <c r="AA49" s="48" t="s">
        <v>1324</v>
      </c>
      <c r="AB49" s="48" t="s">
        <v>1325</v>
      </c>
      <c r="AC49" s="48" t="s">
        <v>1239</v>
      </c>
      <c r="AD49" s="48" t="s">
        <v>1231</v>
      </c>
      <c r="AE49" s="48" t="s">
        <v>1669</v>
      </c>
      <c r="AF49" s="48" t="s">
        <v>1436</v>
      </c>
      <c r="AG49" s="48" t="s">
        <v>1436</v>
      </c>
      <c r="AH49" s="48" t="s">
        <v>208</v>
      </c>
      <c r="AI49" s="50">
        <v>44562</v>
      </c>
      <c r="AJ49" s="50">
        <v>46387</v>
      </c>
      <c r="AK49" s="49" t="s">
        <v>1280</v>
      </c>
      <c r="AL49" s="48" t="s">
        <v>36</v>
      </c>
      <c r="AM49" s="48" t="s">
        <v>36</v>
      </c>
      <c r="AN49" s="51">
        <v>0</v>
      </c>
      <c r="AO49" s="51"/>
      <c r="AP49" s="51"/>
      <c r="AQ49" s="72">
        <v>1600000</v>
      </c>
      <c r="AR49" s="72">
        <v>50000</v>
      </c>
      <c r="AS49" s="50">
        <v>46387</v>
      </c>
      <c r="AT49" s="50" t="s">
        <v>1436</v>
      </c>
      <c r="AU49" s="49" t="s">
        <v>1436</v>
      </c>
      <c r="AV49" s="49" t="s">
        <v>1670</v>
      </c>
      <c r="AW49" s="48" t="s">
        <v>1244</v>
      </c>
    </row>
    <row r="50" spans="1:49" x14ac:dyDescent="0.3">
      <c r="A50" s="48" t="s">
        <v>1320</v>
      </c>
      <c r="B50" s="48" t="s">
        <v>6</v>
      </c>
      <c r="C50" s="48" t="s">
        <v>1322</v>
      </c>
      <c r="D50" s="50">
        <v>44651</v>
      </c>
      <c r="E50" s="48" t="s">
        <v>36</v>
      </c>
      <c r="F50" s="48" t="s">
        <v>1438</v>
      </c>
      <c r="G50" s="48" t="s">
        <v>1444</v>
      </c>
      <c r="H50" s="49" t="s">
        <v>1445</v>
      </c>
      <c r="I50" s="48" t="s">
        <v>1411</v>
      </c>
      <c r="J50" s="48" t="s">
        <v>40</v>
      </c>
      <c r="K50" s="48" t="s">
        <v>50</v>
      </c>
      <c r="L50" s="48" t="s">
        <v>38</v>
      </c>
      <c r="M50" s="48" t="s">
        <v>37</v>
      </c>
      <c r="N50" s="48" t="s">
        <v>1436</v>
      </c>
      <c r="O50" s="48" t="s">
        <v>1436</v>
      </c>
      <c r="P50" s="48" t="s">
        <v>1436</v>
      </c>
      <c r="Q50" s="48" t="s">
        <v>38</v>
      </c>
      <c r="R50" s="48" t="s">
        <v>39</v>
      </c>
      <c r="S50" s="48" t="s">
        <v>40</v>
      </c>
      <c r="T50" s="48" t="s">
        <v>41</v>
      </c>
      <c r="U50" s="48" t="s">
        <v>1436</v>
      </c>
      <c r="V50" s="48" t="s">
        <v>1436</v>
      </c>
      <c r="W50" s="48" t="s">
        <v>1436</v>
      </c>
      <c r="X50" s="49" t="s">
        <v>193</v>
      </c>
      <c r="Y50" s="48" t="s">
        <v>1194</v>
      </c>
      <c r="Z50" s="49" t="s">
        <v>1321</v>
      </c>
      <c r="AA50" s="48" t="s">
        <v>1324</v>
      </c>
      <c r="AB50" s="48" t="s">
        <v>1325</v>
      </c>
      <c r="AC50" s="48" t="s">
        <v>1239</v>
      </c>
      <c r="AD50" s="48" t="s">
        <v>1231</v>
      </c>
      <c r="AE50" s="48" t="s">
        <v>1669</v>
      </c>
      <c r="AF50" s="48" t="s">
        <v>1436</v>
      </c>
      <c r="AG50" s="48" t="s">
        <v>1436</v>
      </c>
      <c r="AH50" s="48" t="s">
        <v>208</v>
      </c>
      <c r="AI50" s="50">
        <v>44562</v>
      </c>
      <c r="AJ50" s="50">
        <v>46387</v>
      </c>
      <c r="AK50" s="49" t="s">
        <v>1280</v>
      </c>
      <c r="AL50" s="48" t="s">
        <v>36</v>
      </c>
      <c r="AM50" s="48" t="s">
        <v>36</v>
      </c>
      <c r="AN50" s="51">
        <v>42330.49</v>
      </c>
      <c r="AO50" s="51"/>
      <c r="AP50" s="51"/>
      <c r="AQ50" s="72">
        <v>1600000</v>
      </c>
      <c r="AR50" s="72">
        <v>50000</v>
      </c>
      <c r="AS50" s="50">
        <v>46387</v>
      </c>
      <c r="AT50" s="50" t="s">
        <v>1436</v>
      </c>
      <c r="AU50" s="49" t="s">
        <v>1436</v>
      </c>
      <c r="AV50" s="49" t="s">
        <v>1670</v>
      </c>
      <c r="AW50" s="48" t="s">
        <v>1244</v>
      </c>
    </row>
    <row r="51" spans="1:49" x14ac:dyDescent="0.3">
      <c r="A51" s="48" t="s">
        <v>1320</v>
      </c>
      <c r="B51" s="48" t="s">
        <v>6</v>
      </c>
      <c r="C51" s="48" t="s">
        <v>1322</v>
      </c>
      <c r="D51" s="50">
        <v>44651</v>
      </c>
      <c r="E51" s="48" t="s">
        <v>36</v>
      </c>
      <c r="F51" s="48" t="s">
        <v>1438</v>
      </c>
      <c r="G51" s="48" t="s">
        <v>1444</v>
      </c>
      <c r="H51" s="49" t="s">
        <v>1446</v>
      </c>
      <c r="I51" s="48" t="s">
        <v>1407</v>
      </c>
      <c r="J51" s="48" t="s">
        <v>40</v>
      </c>
      <c r="K51" s="48" t="s">
        <v>47</v>
      </c>
      <c r="L51" s="48" t="s">
        <v>38</v>
      </c>
      <c r="M51" s="48" t="s">
        <v>37</v>
      </c>
      <c r="N51" s="48" t="s">
        <v>1436</v>
      </c>
      <c r="O51" s="48" t="s">
        <v>1436</v>
      </c>
      <c r="P51" s="48" t="s">
        <v>1436</v>
      </c>
      <c r="Q51" s="48" t="s">
        <v>38</v>
      </c>
      <c r="R51" s="48" t="s">
        <v>39</v>
      </c>
      <c r="S51" s="48" t="s">
        <v>40</v>
      </c>
      <c r="T51" s="48" t="s">
        <v>41</v>
      </c>
      <c r="U51" s="48" t="s">
        <v>1436</v>
      </c>
      <c r="V51" s="48" t="s">
        <v>1436</v>
      </c>
      <c r="W51" s="48" t="s">
        <v>1436</v>
      </c>
      <c r="X51" s="49" t="s">
        <v>193</v>
      </c>
      <c r="Y51" s="48" t="s">
        <v>1194</v>
      </c>
      <c r="Z51" s="49" t="s">
        <v>1321</v>
      </c>
      <c r="AA51" s="48" t="s">
        <v>1324</v>
      </c>
      <c r="AB51" s="48" t="s">
        <v>1325</v>
      </c>
      <c r="AC51" s="48" t="s">
        <v>1239</v>
      </c>
      <c r="AD51" s="48" t="s">
        <v>1231</v>
      </c>
      <c r="AE51" s="48" t="s">
        <v>1669</v>
      </c>
      <c r="AF51" s="48" t="s">
        <v>1436</v>
      </c>
      <c r="AG51" s="48" t="s">
        <v>1436</v>
      </c>
      <c r="AH51" s="48" t="s">
        <v>208</v>
      </c>
      <c r="AI51" s="50">
        <v>44562</v>
      </c>
      <c r="AJ51" s="50">
        <v>46387</v>
      </c>
      <c r="AK51" s="49" t="s">
        <v>1280</v>
      </c>
      <c r="AL51" s="48" t="s">
        <v>36</v>
      </c>
      <c r="AM51" s="48" t="s">
        <v>36</v>
      </c>
      <c r="AN51" s="51">
        <v>14108.911190000001</v>
      </c>
      <c r="AO51" s="51"/>
      <c r="AP51" s="51"/>
      <c r="AQ51" s="72">
        <v>1600000</v>
      </c>
      <c r="AR51" s="72">
        <v>50000</v>
      </c>
      <c r="AS51" s="50">
        <v>46387</v>
      </c>
      <c r="AT51" s="50" t="s">
        <v>1436</v>
      </c>
      <c r="AU51" s="49" t="s">
        <v>1436</v>
      </c>
      <c r="AV51" s="49" t="s">
        <v>1670</v>
      </c>
      <c r="AW51" s="48" t="s">
        <v>1244</v>
      </c>
    </row>
    <row r="52" spans="1:49" x14ac:dyDescent="0.3">
      <c r="A52" s="48" t="s">
        <v>1320</v>
      </c>
      <c r="B52" s="48" t="s">
        <v>6</v>
      </c>
      <c r="C52" s="48" t="s">
        <v>1322</v>
      </c>
      <c r="D52" s="50">
        <v>44651</v>
      </c>
      <c r="E52" s="48" t="s">
        <v>36</v>
      </c>
      <c r="F52" s="48" t="s">
        <v>1433</v>
      </c>
      <c r="G52" s="48" t="s">
        <v>1447</v>
      </c>
      <c r="H52" s="49" t="s">
        <v>1448</v>
      </c>
      <c r="I52" s="48" t="s">
        <v>1413</v>
      </c>
      <c r="J52" s="48" t="s">
        <v>40</v>
      </c>
      <c r="K52" s="48" t="s">
        <v>58</v>
      </c>
      <c r="L52" s="48" t="s">
        <v>38</v>
      </c>
      <c r="M52" s="48" t="s">
        <v>37</v>
      </c>
      <c r="N52" s="48" t="s">
        <v>1436</v>
      </c>
      <c r="O52" s="48" t="s">
        <v>1436</v>
      </c>
      <c r="P52" s="48" t="s">
        <v>1436</v>
      </c>
      <c r="Q52" s="48" t="s">
        <v>38</v>
      </c>
      <c r="R52" s="48" t="s">
        <v>39</v>
      </c>
      <c r="S52" s="48" t="s">
        <v>40</v>
      </c>
      <c r="T52" s="48" t="s">
        <v>41</v>
      </c>
      <c r="U52" s="48" t="s">
        <v>1436</v>
      </c>
      <c r="V52" s="48" t="s">
        <v>1436</v>
      </c>
      <c r="W52" s="48" t="s">
        <v>1436</v>
      </c>
      <c r="X52" s="49" t="s">
        <v>193</v>
      </c>
      <c r="Y52" s="48" t="s">
        <v>1194</v>
      </c>
      <c r="Z52" s="49" t="s">
        <v>1321</v>
      </c>
      <c r="AA52" s="48" t="s">
        <v>1324</v>
      </c>
      <c r="AB52" s="48" t="s">
        <v>1325</v>
      </c>
      <c r="AC52" s="48" t="s">
        <v>1239</v>
      </c>
      <c r="AD52" s="48" t="s">
        <v>1231</v>
      </c>
      <c r="AE52" s="48" t="s">
        <v>1669</v>
      </c>
      <c r="AF52" s="48" t="s">
        <v>1436</v>
      </c>
      <c r="AG52" s="48" t="s">
        <v>1436</v>
      </c>
      <c r="AH52" s="48" t="s">
        <v>208</v>
      </c>
      <c r="AI52" s="50">
        <v>44562</v>
      </c>
      <c r="AJ52" s="50">
        <v>46387</v>
      </c>
      <c r="AK52" s="49" t="s">
        <v>1280</v>
      </c>
      <c r="AL52" s="48" t="s">
        <v>36</v>
      </c>
      <c r="AM52" s="48" t="s">
        <v>36</v>
      </c>
      <c r="AN52" s="51">
        <v>-50000</v>
      </c>
      <c r="AO52" s="51"/>
      <c r="AP52" s="51"/>
      <c r="AQ52" s="72">
        <v>1600000</v>
      </c>
      <c r="AR52" s="72">
        <v>50000</v>
      </c>
      <c r="AS52" s="50">
        <v>46387</v>
      </c>
      <c r="AT52" s="50" t="s">
        <v>1436</v>
      </c>
      <c r="AU52" s="49" t="s">
        <v>1436</v>
      </c>
      <c r="AV52" s="49" t="s">
        <v>1670</v>
      </c>
      <c r="AW52" s="48" t="s">
        <v>1244</v>
      </c>
    </row>
    <row r="53" spans="1:49" x14ac:dyDescent="0.3">
      <c r="A53" s="48" t="s">
        <v>1320</v>
      </c>
      <c r="B53" s="48" t="s">
        <v>6</v>
      </c>
      <c r="C53" s="48" t="s">
        <v>1322</v>
      </c>
      <c r="D53" s="50">
        <v>44651</v>
      </c>
      <c r="E53" s="48" t="s">
        <v>36</v>
      </c>
      <c r="F53" s="48" t="s">
        <v>1433</v>
      </c>
      <c r="G53" s="48" t="s">
        <v>1447</v>
      </c>
      <c r="H53" s="49" t="s">
        <v>1449</v>
      </c>
      <c r="I53" s="48" t="s">
        <v>1409</v>
      </c>
      <c r="J53" s="48" t="s">
        <v>40</v>
      </c>
      <c r="K53" s="48" t="s">
        <v>45</v>
      </c>
      <c r="L53" s="48" t="s">
        <v>38</v>
      </c>
      <c r="M53" s="48" t="s">
        <v>37</v>
      </c>
      <c r="N53" s="48" t="s">
        <v>1436</v>
      </c>
      <c r="O53" s="48" t="s">
        <v>1436</v>
      </c>
      <c r="P53" s="48" t="s">
        <v>1436</v>
      </c>
      <c r="Q53" s="48" t="s">
        <v>38</v>
      </c>
      <c r="R53" s="48" t="s">
        <v>39</v>
      </c>
      <c r="S53" s="48" t="s">
        <v>40</v>
      </c>
      <c r="T53" s="48" t="s">
        <v>41</v>
      </c>
      <c r="U53" s="48" t="s">
        <v>1436</v>
      </c>
      <c r="V53" s="48" t="s">
        <v>1436</v>
      </c>
      <c r="W53" s="48" t="s">
        <v>1436</v>
      </c>
      <c r="X53" s="49" t="s">
        <v>193</v>
      </c>
      <c r="Y53" s="48" t="s">
        <v>1194</v>
      </c>
      <c r="Z53" s="49" t="s">
        <v>1321</v>
      </c>
      <c r="AA53" s="48" t="s">
        <v>1324</v>
      </c>
      <c r="AB53" s="48" t="s">
        <v>1325</v>
      </c>
      <c r="AC53" s="48" t="s">
        <v>1239</v>
      </c>
      <c r="AD53" s="48" t="s">
        <v>1231</v>
      </c>
      <c r="AE53" s="48" t="s">
        <v>1669</v>
      </c>
      <c r="AF53" s="48" t="s">
        <v>1436</v>
      </c>
      <c r="AG53" s="48" t="s">
        <v>1436</v>
      </c>
      <c r="AH53" s="48" t="s">
        <v>208</v>
      </c>
      <c r="AI53" s="50">
        <v>44562</v>
      </c>
      <c r="AJ53" s="50">
        <v>46387</v>
      </c>
      <c r="AK53" s="49" t="s">
        <v>1280</v>
      </c>
      <c r="AL53" s="48" t="s">
        <v>36</v>
      </c>
      <c r="AM53" s="48" t="s">
        <v>36</v>
      </c>
      <c r="AN53" s="51">
        <v>38262.458336000003</v>
      </c>
      <c r="AO53" s="51"/>
      <c r="AP53" s="51"/>
      <c r="AQ53" s="72">
        <v>1600000</v>
      </c>
      <c r="AR53" s="72">
        <v>50000</v>
      </c>
      <c r="AS53" s="50">
        <v>46387</v>
      </c>
      <c r="AT53" s="50" t="s">
        <v>1436</v>
      </c>
      <c r="AU53" s="49" t="s">
        <v>1436</v>
      </c>
      <c r="AV53" s="49" t="s">
        <v>1670</v>
      </c>
      <c r="AW53" s="48" t="s">
        <v>1244</v>
      </c>
    </row>
    <row r="54" spans="1:49" x14ac:dyDescent="0.3">
      <c r="A54" s="48" t="s">
        <v>1320</v>
      </c>
      <c r="B54" s="48" t="s">
        <v>6</v>
      </c>
      <c r="C54" s="48" t="s">
        <v>1322</v>
      </c>
      <c r="D54" s="50">
        <v>44651</v>
      </c>
      <c r="E54" s="48" t="s">
        <v>36</v>
      </c>
      <c r="F54" s="48" t="s">
        <v>1433</v>
      </c>
      <c r="G54" s="48" t="s">
        <v>1447</v>
      </c>
      <c r="H54" s="49" t="s">
        <v>1450</v>
      </c>
      <c r="I54" s="48" t="s">
        <v>1408</v>
      </c>
      <c r="J54" s="48" t="s">
        <v>40</v>
      </c>
      <c r="K54" s="48" t="s">
        <v>54</v>
      </c>
      <c r="L54" s="48" t="s">
        <v>38</v>
      </c>
      <c r="M54" s="48" t="s">
        <v>37</v>
      </c>
      <c r="N54" s="48" t="s">
        <v>1436</v>
      </c>
      <c r="O54" s="48" t="s">
        <v>1436</v>
      </c>
      <c r="P54" s="48" t="s">
        <v>1436</v>
      </c>
      <c r="Q54" s="48" t="s">
        <v>38</v>
      </c>
      <c r="R54" s="48" t="s">
        <v>39</v>
      </c>
      <c r="S54" s="48" t="s">
        <v>40</v>
      </c>
      <c r="T54" s="48" t="s">
        <v>41</v>
      </c>
      <c r="U54" s="48" t="s">
        <v>1436</v>
      </c>
      <c r="V54" s="48" t="s">
        <v>1436</v>
      </c>
      <c r="W54" s="48" t="s">
        <v>1436</v>
      </c>
      <c r="X54" s="49" t="s">
        <v>193</v>
      </c>
      <c r="Y54" s="48" t="s">
        <v>1194</v>
      </c>
      <c r="Z54" s="49" t="s">
        <v>1321</v>
      </c>
      <c r="AA54" s="48" t="s">
        <v>1324</v>
      </c>
      <c r="AB54" s="48" t="s">
        <v>1325</v>
      </c>
      <c r="AC54" s="48" t="s">
        <v>1239</v>
      </c>
      <c r="AD54" s="48" t="s">
        <v>1231</v>
      </c>
      <c r="AE54" s="48" t="s">
        <v>1669</v>
      </c>
      <c r="AF54" s="48" t="s">
        <v>1436</v>
      </c>
      <c r="AG54" s="48" t="s">
        <v>1436</v>
      </c>
      <c r="AH54" s="48" t="s">
        <v>208</v>
      </c>
      <c r="AI54" s="50">
        <v>44562</v>
      </c>
      <c r="AJ54" s="50">
        <v>46387</v>
      </c>
      <c r="AK54" s="49" t="s">
        <v>1280</v>
      </c>
      <c r="AL54" s="48" t="s">
        <v>36</v>
      </c>
      <c r="AM54" s="48" t="s">
        <v>36</v>
      </c>
      <c r="AN54" s="51">
        <v>-2579.52</v>
      </c>
      <c r="AO54" s="51"/>
      <c r="AP54" s="51"/>
      <c r="AQ54" s="72">
        <v>1600000</v>
      </c>
      <c r="AR54" s="72">
        <v>50000</v>
      </c>
      <c r="AS54" s="50">
        <v>46387</v>
      </c>
      <c r="AT54" s="50" t="s">
        <v>1436</v>
      </c>
      <c r="AU54" s="49" t="s">
        <v>1436</v>
      </c>
      <c r="AV54" s="49" t="s">
        <v>1670</v>
      </c>
      <c r="AW54" s="48" t="s">
        <v>1244</v>
      </c>
    </row>
    <row r="55" spans="1:49" x14ac:dyDescent="0.3">
      <c r="A55" s="48" t="s">
        <v>1320</v>
      </c>
      <c r="B55" s="48" t="s">
        <v>6</v>
      </c>
      <c r="C55" s="48" t="s">
        <v>1322</v>
      </c>
      <c r="D55" s="50">
        <v>44651</v>
      </c>
      <c r="E55" s="48" t="s">
        <v>36</v>
      </c>
      <c r="F55" s="48" t="s">
        <v>1433</v>
      </c>
      <c r="G55" s="48" t="s">
        <v>1447</v>
      </c>
      <c r="H55" s="49" t="s">
        <v>1451</v>
      </c>
      <c r="I55" s="48" t="s">
        <v>1404</v>
      </c>
      <c r="J55" s="48" t="s">
        <v>38</v>
      </c>
      <c r="K55" s="48" t="s">
        <v>49</v>
      </c>
      <c r="L55" s="48" t="s">
        <v>38</v>
      </c>
      <c r="M55" s="48" t="s">
        <v>37</v>
      </c>
      <c r="N55" s="48" t="s">
        <v>1436</v>
      </c>
      <c r="O55" s="48" t="s">
        <v>1436</v>
      </c>
      <c r="P55" s="48" t="s">
        <v>1436</v>
      </c>
      <c r="Q55" s="48" t="s">
        <v>38</v>
      </c>
      <c r="R55" s="48" t="s">
        <v>39</v>
      </c>
      <c r="S55" s="48" t="s">
        <v>38</v>
      </c>
      <c r="T55" s="48" t="s">
        <v>41</v>
      </c>
      <c r="U55" s="48" t="s">
        <v>1436</v>
      </c>
      <c r="V55" s="48" t="s">
        <v>1436</v>
      </c>
      <c r="W55" s="48" t="s">
        <v>1436</v>
      </c>
      <c r="X55" s="49" t="s">
        <v>193</v>
      </c>
      <c r="Y55" s="48" t="s">
        <v>1194</v>
      </c>
      <c r="Z55" s="49" t="s">
        <v>1321</v>
      </c>
      <c r="AA55" s="48" t="s">
        <v>1324</v>
      </c>
      <c r="AB55" s="48" t="s">
        <v>1325</v>
      </c>
      <c r="AC55" s="48" t="s">
        <v>1239</v>
      </c>
      <c r="AD55" s="48" t="s">
        <v>1231</v>
      </c>
      <c r="AE55" s="48" t="s">
        <v>1669</v>
      </c>
      <c r="AF55" s="48" t="s">
        <v>1436</v>
      </c>
      <c r="AG55" s="48" t="s">
        <v>1436</v>
      </c>
      <c r="AH55" s="48" t="s">
        <v>208</v>
      </c>
      <c r="AI55" s="50">
        <v>44562</v>
      </c>
      <c r="AJ55" s="50">
        <v>46387</v>
      </c>
      <c r="AK55" s="49" t="s">
        <v>1280</v>
      </c>
      <c r="AL55" s="48" t="s">
        <v>36</v>
      </c>
      <c r="AM55" s="48" t="s">
        <v>36</v>
      </c>
      <c r="AN55" s="51">
        <v>208.150474</v>
      </c>
      <c r="AO55" s="51"/>
      <c r="AP55" s="51"/>
      <c r="AQ55" s="72">
        <v>1600000</v>
      </c>
      <c r="AR55" s="72">
        <v>50000</v>
      </c>
      <c r="AS55" s="50">
        <v>46387</v>
      </c>
      <c r="AT55" s="50" t="s">
        <v>1436</v>
      </c>
      <c r="AU55" s="49" t="s">
        <v>1436</v>
      </c>
      <c r="AV55" s="49" t="s">
        <v>1670</v>
      </c>
      <c r="AW55" s="48" t="s">
        <v>1244</v>
      </c>
    </row>
    <row r="56" spans="1:49" x14ac:dyDescent="0.3">
      <c r="A56" s="48" t="s">
        <v>1320</v>
      </c>
      <c r="B56" s="48" t="s">
        <v>6</v>
      </c>
      <c r="C56" s="48" t="s">
        <v>1322</v>
      </c>
      <c r="D56" s="50">
        <v>44681</v>
      </c>
      <c r="E56" s="48" t="s">
        <v>36</v>
      </c>
      <c r="F56" s="48" t="s">
        <v>1433</v>
      </c>
      <c r="G56" s="48" t="s">
        <v>1434</v>
      </c>
      <c r="H56" s="49" t="s">
        <v>1435</v>
      </c>
      <c r="I56" s="48" t="s">
        <v>1412</v>
      </c>
      <c r="J56" s="48" t="s">
        <v>40</v>
      </c>
      <c r="K56" s="48" t="s">
        <v>52</v>
      </c>
      <c r="L56" s="48" t="s">
        <v>38</v>
      </c>
      <c r="M56" s="48" t="s">
        <v>37</v>
      </c>
      <c r="N56" s="48" t="s">
        <v>1436</v>
      </c>
      <c r="O56" s="48" t="s">
        <v>1436</v>
      </c>
      <c r="P56" s="48" t="s">
        <v>1436</v>
      </c>
      <c r="Q56" s="48" t="s">
        <v>38</v>
      </c>
      <c r="R56" s="48" t="s">
        <v>39</v>
      </c>
      <c r="S56" s="48" t="s">
        <v>40</v>
      </c>
      <c r="T56" s="48" t="s">
        <v>41</v>
      </c>
      <c r="U56" s="48" t="s">
        <v>1436</v>
      </c>
      <c r="V56" s="48" t="s">
        <v>1436</v>
      </c>
      <c r="W56" s="48" t="s">
        <v>1436</v>
      </c>
      <c r="X56" s="49" t="s">
        <v>193</v>
      </c>
      <c r="Y56" s="48" t="s">
        <v>1194</v>
      </c>
      <c r="Z56" s="49" t="s">
        <v>1321</v>
      </c>
      <c r="AA56" s="48" t="s">
        <v>1324</v>
      </c>
      <c r="AB56" s="48" t="s">
        <v>1325</v>
      </c>
      <c r="AC56" s="48" t="s">
        <v>1239</v>
      </c>
      <c r="AD56" s="48" t="s">
        <v>1231</v>
      </c>
      <c r="AE56" s="48" t="s">
        <v>1669</v>
      </c>
      <c r="AF56" s="48" t="s">
        <v>1436</v>
      </c>
      <c r="AG56" s="48" t="s">
        <v>1436</v>
      </c>
      <c r="AH56" s="48" t="s">
        <v>208</v>
      </c>
      <c r="AI56" s="50">
        <v>44562</v>
      </c>
      <c r="AJ56" s="50">
        <v>46387</v>
      </c>
      <c r="AK56" s="49" t="s">
        <v>1280</v>
      </c>
      <c r="AL56" s="48" t="s">
        <v>36</v>
      </c>
      <c r="AM56" s="48" t="s">
        <v>36</v>
      </c>
      <c r="AN56" s="51">
        <v>-42330.49</v>
      </c>
      <c r="AO56" s="51"/>
      <c r="AP56" s="51"/>
      <c r="AQ56" s="72">
        <v>1600000</v>
      </c>
      <c r="AR56" s="72">
        <v>50000</v>
      </c>
      <c r="AS56" s="50">
        <v>46387</v>
      </c>
      <c r="AT56" s="50" t="s">
        <v>1436</v>
      </c>
      <c r="AU56" s="49" t="s">
        <v>1436</v>
      </c>
      <c r="AV56" s="49" t="s">
        <v>1670</v>
      </c>
      <c r="AW56" s="48" t="s">
        <v>1244</v>
      </c>
    </row>
    <row r="57" spans="1:49" x14ac:dyDescent="0.3">
      <c r="A57" s="48" t="s">
        <v>1320</v>
      </c>
      <c r="B57" s="48" t="s">
        <v>6</v>
      </c>
      <c r="C57" s="48" t="s">
        <v>1322</v>
      </c>
      <c r="D57" s="50">
        <v>44681</v>
      </c>
      <c r="E57" s="48" t="s">
        <v>36</v>
      </c>
      <c r="F57" s="48" t="s">
        <v>1433</v>
      </c>
      <c r="G57" s="48" t="s">
        <v>1434</v>
      </c>
      <c r="H57" s="49" t="s">
        <v>1437</v>
      </c>
      <c r="I57" s="48" t="s">
        <v>1410</v>
      </c>
      <c r="J57" s="48" t="s">
        <v>40</v>
      </c>
      <c r="K57" s="48" t="s">
        <v>42</v>
      </c>
      <c r="L57" s="48" t="s">
        <v>38</v>
      </c>
      <c r="M57" s="48" t="s">
        <v>37</v>
      </c>
      <c r="N57" s="48" t="s">
        <v>1436</v>
      </c>
      <c r="O57" s="48" t="s">
        <v>1436</v>
      </c>
      <c r="P57" s="48" t="s">
        <v>1436</v>
      </c>
      <c r="Q57" s="48" t="s">
        <v>38</v>
      </c>
      <c r="R57" s="48" t="s">
        <v>39</v>
      </c>
      <c r="S57" s="48" t="s">
        <v>40</v>
      </c>
      <c r="T57" s="48" t="s">
        <v>41</v>
      </c>
      <c r="U57" s="48" t="s">
        <v>1436</v>
      </c>
      <c r="V57" s="48" t="s">
        <v>1436</v>
      </c>
      <c r="W57" s="48" t="s">
        <v>1436</v>
      </c>
      <c r="X57" s="49" t="s">
        <v>193</v>
      </c>
      <c r="Y57" s="48" t="s">
        <v>1194</v>
      </c>
      <c r="Z57" s="49" t="s">
        <v>1321</v>
      </c>
      <c r="AA57" s="48" t="s">
        <v>1324</v>
      </c>
      <c r="AB57" s="48" t="s">
        <v>1325</v>
      </c>
      <c r="AC57" s="48" t="s">
        <v>1239</v>
      </c>
      <c r="AD57" s="48" t="s">
        <v>1231</v>
      </c>
      <c r="AE57" s="48" t="s">
        <v>1669</v>
      </c>
      <c r="AF57" s="48" t="s">
        <v>1436</v>
      </c>
      <c r="AG57" s="48" t="s">
        <v>1436</v>
      </c>
      <c r="AH57" s="48" t="s">
        <v>208</v>
      </c>
      <c r="AI57" s="50">
        <v>44562</v>
      </c>
      <c r="AJ57" s="50">
        <v>46387</v>
      </c>
      <c r="AK57" s="49" t="s">
        <v>1280</v>
      </c>
      <c r="AL57" s="48" t="s">
        <v>36</v>
      </c>
      <c r="AM57" s="48" t="s">
        <v>36</v>
      </c>
      <c r="AN57" s="51">
        <v>0</v>
      </c>
      <c r="AO57" s="51"/>
      <c r="AP57" s="51"/>
      <c r="AQ57" s="72">
        <v>1600000</v>
      </c>
      <c r="AR57" s="72">
        <v>50000</v>
      </c>
      <c r="AS57" s="50">
        <v>46387</v>
      </c>
      <c r="AT57" s="50" t="s">
        <v>1436</v>
      </c>
      <c r="AU57" s="49" t="s">
        <v>1436</v>
      </c>
      <c r="AV57" s="49" t="s">
        <v>1670</v>
      </c>
      <c r="AW57" s="48" t="s">
        <v>1244</v>
      </c>
    </row>
    <row r="58" spans="1:49" x14ac:dyDescent="0.3">
      <c r="A58" s="48" t="s">
        <v>1320</v>
      </c>
      <c r="B58" s="48" t="s">
        <v>6</v>
      </c>
      <c r="C58" s="48" t="s">
        <v>1322</v>
      </c>
      <c r="D58" s="50">
        <v>44681</v>
      </c>
      <c r="E58" s="48" t="s">
        <v>36</v>
      </c>
      <c r="F58" s="48" t="s">
        <v>1438</v>
      </c>
      <c r="G58" s="48" t="s">
        <v>1439</v>
      </c>
      <c r="H58" s="49" t="s">
        <v>1440</v>
      </c>
      <c r="I58" s="48" t="s">
        <v>1406</v>
      </c>
      <c r="J58" s="48" t="s">
        <v>1194</v>
      </c>
      <c r="K58" s="48" t="s">
        <v>1441</v>
      </c>
      <c r="L58" s="48" t="s">
        <v>38</v>
      </c>
      <c r="M58" s="48" t="s">
        <v>37</v>
      </c>
      <c r="N58" s="48" t="s">
        <v>1436</v>
      </c>
      <c r="O58" s="48" t="s">
        <v>1436</v>
      </c>
      <c r="P58" s="48" t="s">
        <v>1436</v>
      </c>
      <c r="Q58" s="48" t="s">
        <v>38</v>
      </c>
      <c r="R58" s="48" t="s">
        <v>39</v>
      </c>
      <c r="S58" s="48" t="s">
        <v>1194</v>
      </c>
      <c r="T58" s="48" t="s">
        <v>41</v>
      </c>
      <c r="U58" s="48" t="s">
        <v>1436</v>
      </c>
      <c r="V58" s="48" t="s">
        <v>1436</v>
      </c>
      <c r="W58" s="48" t="s">
        <v>1436</v>
      </c>
      <c r="X58" s="49" t="s">
        <v>193</v>
      </c>
      <c r="Y58" s="48" t="s">
        <v>1194</v>
      </c>
      <c r="Z58" s="49" t="s">
        <v>1321</v>
      </c>
      <c r="AA58" s="48" t="s">
        <v>1324</v>
      </c>
      <c r="AB58" s="48" t="s">
        <v>1325</v>
      </c>
      <c r="AC58" s="48" t="s">
        <v>1239</v>
      </c>
      <c r="AD58" s="48" t="s">
        <v>1231</v>
      </c>
      <c r="AE58" s="48" t="s">
        <v>1669</v>
      </c>
      <c r="AF58" s="48" t="s">
        <v>1436</v>
      </c>
      <c r="AG58" s="48" t="s">
        <v>1436</v>
      </c>
      <c r="AH58" s="48" t="s">
        <v>208</v>
      </c>
      <c r="AI58" s="50">
        <v>44562</v>
      </c>
      <c r="AJ58" s="50">
        <v>46387</v>
      </c>
      <c r="AK58" s="49" t="s">
        <v>1280</v>
      </c>
      <c r="AL58" s="48" t="s">
        <v>36</v>
      </c>
      <c r="AM58" s="48" t="s">
        <v>36</v>
      </c>
      <c r="AN58" s="51">
        <v>0</v>
      </c>
      <c r="AO58" s="51"/>
      <c r="AP58" s="51"/>
      <c r="AQ58" s="72">
        <v>1600000</v>
      </c>
      <c r="AR58" s="72">
        <v>50000</v>
      </c>
      <c r="AS58" s="50">
        <v>46387</v>
      </c>
      <c r="AT58" s="50" t="s">
        <v>1436</v>
      </c>
      <c r="AU58" s="49" t="s">
        <v>1436</v>
      </c>
      <c r="AV58" s="49" t="s">
        <v>1670</v>
      </c>
      <c r="AW58" s="48" t="s">
        <v>1244</v>
      </c>
    </row>
    <row r="59" spans="1:49" x14ac:dyDescent="0.3">
      <c r="A59" s="48" t="s">
        <v>1320</v>
      </c>
      <c r="B59" s="48" t="s">
        <v>6</v>
      </c>
      <c r="C59" s="48" t="s">
        <v>1322</v>
      </c>
      <c r="D59" s="50">
        <v>44681</v>
      </c>
      <c r="E59" s="48" t="s">
        <v>36</v>
      </c>
      <c r="F59" s="48" t="s">
        <v>1438</v>
      </c>
      <c r="G59" s="48" t="s">
        <v>1439</v>
      </c>
      <c r="H59" s="49" t="s">
        <v>1442</v>
      </c>
      <c r="I59" s="48" t="s">
        <v>1405</v>
      </c>
      <c r="J59" s="48" t="s">
        <v>1194</v>
      </c>
      <c r="K59" s="48" t="s">
        <v>1443</v>
      </c>
      <c r="L59" s="48" t="s">
        <v>38</v>
      </c>
      <c r="M59" s="48" t="s">
        <v>37</v>
      </c>
      <c r="N59" s="48" t="s">
        <v>1436</v>
      </c>
      <c r="O59" s="48" t="s">
        <v>1436</v>
      </c>
      <c r="P59" s="48" t="s">
        <v>1436</v>
      </c>
      <c r="Q59" s="48" t="s">
        <v>38</v>
      </c>
      <c r="R59" s="48" t="s">
        <v>39</v>
      </c>
      <c r="S59" s="48" t="s">
        <v>1194</v>
      </c>
      <c r="T59" s="48" t="s">
        <v>41</v>
      </c>
      <c r="U59" s="48" t="s">
        <v>1436</v>
      </c>
      <c r="V59" s="48" t="s">
        <v>1436</v>
      </c>
      <c r="W59" s="48" t="s">
        <v>1436</v>
      </c>
      <c r="X59" s="49" t="s">
        <v>193</v>
      </c>
      <c r="Y59" s="48" t="s">
        <v>1194</v>
      </c>
      <c r="Z59" s="49" t="s">
        <v>1321</v>
      </c>
      <c r="AA59" s="48" t="s">
        <v>1324</v>
      </c>
      <c r="AB59" s="48" t="s">
        <v>1325</v>
      </c>
      <c r="AC59" s="48" t="s">
        <v>1239</v>
      </c>
      <c r="AD59" s="48" t="s">
        <v>1231</v>
      </c>
      <c r="AE59" s="48" t="s">
        <v>1669</v>
      </c>
      <c r="AF59" s="48" t="s">
        <v>1436</v>
      </c>
      <c r="AG59" s="48" t="s">
        <v>1436</v>
      </c>
      <c r="AH59" s="48" t="s">
        <v>208</v>
      </c>
      <c r="AI59" s="50">
        <v>44562</v>
      </c>
      <c r="AJ59" s="50">
        <v>46387</v>
      </c>
      <c r="AK59" s="49" t="s">
        <v>1280</v>
      </c>
      <c r="AL59" s="48" t="s">
        <v>36</v>
      </c>
      <c r="AM59" s="48" t="s">
        <v>36</v>
      </c>
      <c r="AN59" s="51">
        <v>0</v>
      </c>
      <c r="AO59" s="51"/>
      <c r="AP59" s="51"/>
      <c r="AQ59" s="72">
        <v>1600000</v>
      </c>
      <c r="AR59" s="72">
        <v>50000</v>
      </c>
      <c r="AS59" s="50">
        <v>46387</v>
      </c>
      <c r="AT59" s="50" t="s">
        <v>1436</v>
      </c>
      <c r="AU59" s="49" t="s">
        <v>1436</v>
      </c>
      <c r="AV59" s="49" t="s">
        <v>1670</v>
      </c>
      <c r="AW59" s="48" t="s">
        <v>1244</v>
      </c>
    </row>
    <row r="60" spans="1:49" x14ac:dyDescent="0.3">
      <c r="A60" s="48" t="s">
        <v>1320</v>
      </c>
      <c r="B60" s="48" t="s">
        <v>6</v>
      </c>
      <c r="C60" s="48" t="s">
        <v>1322</v>
      </c>
      <c r="D60" s="50">
        <v>44681</v>
      </c>
      <c r="E60" s="48" t="s">
        <v>36</v>
      </c>
      <c r="F60" s="48" t="s">
        <v>1438</v>
      </c>
      <c r="G60" s="48" t="s">
        <v>1444</v>
      </c>
      <c r="H60" s="49" t="s">
        <v>1445</v>
      </c>
      <c r="I60" s="48" t="s">
        <v>1411</v>
      </c>
      <c r="J60" s="48" t="s">
        <v>40</v>
      </c>
      <c r="K60" s="48" t="s">
        <v>50</v>
      </c>
      <c r="L60" s="48" t="s">
        <v>38</v>
      </c>
      <c r="M60" s="48" t="s">
        <v>37</v>
      </c>
      <c r="N60" s="48" t="s">
        <v>1436</v>
      </c>
      <c r="O60" s="48" t="s">
        <v>1436</v>
      </c>
      <c r="P60" s="48" t="s">
        <v>1436</v>
      </c>
      <c r="Q60" s="48" t="s">
        <v>38</v>
      </c>
      <c r="R60" s="48" t="s">
        <v>39</v>
      </c>
      <c r="S60" s="48" t="s">
        <v>40</v>
      </c>
      <c r="T60" s="48" t="s">
        <v>41</v>
      </c>
      <c r="U60" s="48" t="s">
        <v>1436</v>
      </c>
      <c r="V60" s="48" t="s">
        <v>1436</v>
      </c>
      <c r="W60" s="48" t="s">
        <v>1436</v>
      </c>
      <c r="X60" s="49" t="s">
        <v>193</v>
      </c>
      <c r="Y60" s="48" t="s">
        <v>1194</v>
      </c>
      <c r="Z60" s="49" t="s">
        <v>1321</v>
      </c>
      <c r="AA60" s="48" t="s">
        <v>1324</v>
      </c>
      <c r="AB60" s="48" t="s">
        <v>1325</v>
      </c>
      <c r="AC60" s="48" t="s">
        <v>1239</v>
      </c>
      <c r="AD60" s="48" t="s">
        <v>1231</v>
      </c>
      <c r="AE60" s="48" t="s">
        <v>1669</v>
      </c>
      <c r="AF60" s="48" t="s">
        <v>1436</v>
      </c>
      <c r="AG60" s="48" t="s">
        <v>1436</v>
      </c>
      <c r="AH60" s="48" t="s">
        <v>208</v>
      </c>
      <c r="AI60" s="50">
        <v>44562</v>
      </c>
      <c r="AJ60" s="50">
        <v>46387</v>
      </c>
      <c r="AK60" s="49" t="s">
        <v>1280</v>
      </c>
      <c r="AL60" s="48" t="s">
        <v>36</v>
      </c>
      <c r="AM60" s="48" t="s">
        <v>36</v>
      </c>
      <c r="AN60" s="51">
        <v>42330.49</v>
      </c>
      <c r="AO60" s="51"/>
      <c r="AP60" s="51"/>
      <c r="AQ60" s="72">
        <v>1600000</v>
      </c>
      <c r="AR60" s="72">
        <v>50000</v>
      </c>
      <c r="AS60" s="50">
        <v>46387</v>
      </c>
      <c r="AT60" s="50" t="s">
        <v>1436</v>
      </c>
      <c r="AU60" s="49" t="s">
        <v>1436</v>
      </c>
      <c r="AV60" s="49" t="s">
        <v>1670</v>
      </c>
      <c r="AW60" s="48" t="s">
        <v>1244</v>
      </c>
    </row>
    <row r="61" spans="1:49" x14ac:dyDescent="0.3">
      <c r="A61" s="48" t="s">
        <v>1320</v>
      </c>
      <c r="B61" s="48" t="s">
        <v>6</v>
      </c>
      <c r="C61" s="48" t="s">
        <v>1322</v>
      </c>
      <c r="D61" s="50">
        <v>44681</v>
      </c>
      <c r="E61" s="48" t="s">
        <v>36</v>
      </c>
      <c r="F61" s="48" t="s">
        <v>1438</v>
      </c>
      <c r="G61" s="48" t="s">
        <v>1444</v>
      </c>
      <c r="H61" s="49" t="s">
        <v>1446</v>
      </c>
      <c r="I61" s="48" t="s">
        <v>1407</v>
      </c>
      <c r="J61" s="48" t="s">
        <v>40</v>
      </c>
      <c r="K61" s="48" t="s">
        <v>47</v>
      </c>
      <c r="L61" s="48" t="s">
        <v>38</v>
      </c>
      <c r="M61" s="48" t="s">
        <v>37</v>
      </c>
      <c r="N61" s="48" t="s">
        <v>1436</v>
      </c>
      <c r="O61" s="48" t="s">
        <v>1436</v>
      </c>
      <c r="P61" s="48" t="s">
        <v>1436</v>
      </c>
      <c r="Q61" s="48" t="s">
        <v>38</v>
      </c>
      <c r="R61" s="48" t="s">
        <v>39</v>
      </c>
      <c r="S61" s="48" t="s">
        <v>40</v>
      </c>
      <c r="T61" s="48" t="s">
        <v>41</v>
      </c>
      <c r="U61" s="48" t="s">
        <v>1436</v>
      </c>
      <c r="V61" s="48" t="s">
        <v>1436</v>
      </c>
      <c r="W61" s="48" t="s">
        <v>1436</v>
      </c>
      <c r="X61" s="49" t="s">
        <v>193</v>
      </c>
      <c r="Y61" s="48" t="s">
        <v>1194</v>
      </c>
      <c r="Z61" s="49" t="s">
        <v>1321</v>
      </c>
      <c r="AA61" s="48" t="s">
        <v>1324</v>
      </c>
      <c r="AB61" s="48" t="s">
        <v>1325</v>
      </c>
      <c r="AC61" s="48" t="s">
        <v>1239</v>
      </c>
      <c r="AD61" s="48" t="s">
        <v>1231</v>
      </c>
      <c r="AE61" s="48" t="s">
        <v>1669</v>
      </c>
      <c r="AF61" s="48" t="s">
        <v>1436</v>
      </c>
      <c r="AG61" s="48" t="s">
        <v>1436</v>
      </c>
      <c r="AH61" s="48" t="s">
        <v>208</v>
      </c>
      <c r="AI61" s="50">
        <v>44562</v>
      </c>
      <c r="AJ61" s="50">
        <v>46387</v>
      </c>
      <c r="AK61" s="49" t="s">
        <v>1280</v>
      </c>
      <c r="AL61" s="48" t="s">
        <v>36</v>
      </c>
      <c r="AM61" s="48" t="s">
        <v>36</v>
      </c>
      <c r="AN61" s="51">
        <v>13899.546506000001</v>
      </c>
      <c r="AO61" s="51"/>
      <c r="AP61" s="51"/>
      <c r="AQ61" s="72">
        <v>1600000</v>
      </c>
      <c r="AR61" s="72">
        <v>50000</v>
      </c>
      <c r="AS61" s="50">
        <v>46387</v>
      </c>
      <c r="AT61" s="50" t="s">
        <v>1436</v>
      </c>
      <c r="AU61" s="49" t="s">
        <v>1436</v>
      </c>
      <c r="AV61" s="49" t="s">
        <v>1670</v>
      </c>
      <c r="AW61" s="48" t="s">
        <v>1244</v>
      </c>
    </row>
    <row r="62" spans="1:49" x14ac:dyDescent="0.3">
      <c r="A62" s="48" t="s">
        <v>1320</v>
      </c>
      <c r="B62" s="48" t="s">
        <v>6</v>
      </c>
      <c r="C62" s="48" t="s">
        <v>1322</v>
      </c>
      <c r="D62" s="50">
        <v>44681</v>
      </c>
      <c r="E62" s="48" t="s">
        <v>36</v>
      </c>
      <c r="F62" s="48" t="s">
        <v>1433</v>
      </c>
      <c r="G62" s="48" t="s">
        <v>1447</v>
      </c>
      <c r="H62" s="49" t="s">
        <v>1448</v>
      </c>
      <c r="I62" s="48" t="s">
        <v>1413</v>
      </c>
      <c r="J62" s="48" t="s">
        <v>40</v>
      </c>
      <c r="K62" s="48" t="s">
        <v>58</v>
      </c>
      <c r="L62" s="48" t="s">
        <v>38</v>
      </c>
      <c r="M62" s="48" t="s">
        <v>37</v>
      </c>
      <c r="N62" s="48" t="s">
        <v>1436</v>
      </c>
      <c r="O62" s="48" t="s">
        <v>1436</v>
      </c>
      <c r="P62" s="48" t="s">
        <v>1436</v>
      </c>
      <c r="Q62" s="48" t="s">
        <v>38</v>
      </c>
      <c r="R62" s="48" t="s">
        <v>39</v>
      </c>
      <c r="S62" s="48" t="s">
        <v>40</v>
      </c>
      <c r="T62" s="48" t="s">
        <v>41</v>
      </c>
      <c r="U62" s="48" t="s">
        <v>1436</v>
      </c>
      <c r="V62" s="48" t="s">
        <v>1436</v>
      </c>
      <c r="W62" s="48" t="s">
        <v>1436</v>
      </c>
      <c r="X62" s="49" t="s">
        <v>193</v>
      </c>
      <c r="Y62" s="48" t="s">
        <v>1194</v>
      </c>
      <c r="Z62" s="49" t="s">
        <v>1321</v>
      </c>
      <c r="AA62" s="48" t="s">
        <v>1324</v>
      </c>
      <c r="AB62" s="48" t="s">
        <v>1325</v>
      </c>
      <c r="AC62" s="48" t="s">
        <v>1239</v>
      </c>
      <c r="AD62" s="48" t="s">
        <v>1231</v>
      </c>
      <c r="AE62" s="48" t="s">
        <v>1669</v>
      </c>
      <c r="AF62" s="48" t="s">
        <v>1436</v>
      </c>
      <c r="AG62" s="48" t="s">
        <v>1436</v>
      </c>
      <c r="AH62" s="48" t="s">
        <v>208</v>
      </c>
      <c r="AI62" s="50">
        <v>44562</v>
      </c>
      <c r="AJ62" s="50">
        <v>46387</v>
      </c>
      <c r="AK62" s="49" t="s">
        <v>1280</v>
      </c>
      <c r="AL62" s="48" t="s">
        <v>36</v>
      </c>
      <c r="AM62" s="48" t="s">
        <v>36</v>
      </c>
      <c r="AN62" s="51">
        <v>-50000</v>
      </c>
      <c r="AO62" s="51"/>
      <c r="AP62" s="51"/>
      <c r="AQ62" s="72">
        <v>1600000</v>
      </c>
      <c r="AR62" s="72">
        <v>50000</v>
      </c>
      <c r="AS62" s="50">
        <v>46387</v>
      </c>
      <c r="AT62" s="50" t="s">
        <v>1436</v>
      </c>
      <c r="AU62" s="49" t="s">
        <v>1436</v>
      </c>
      <c r="AV62" s="49" t="s">
        <v>1670</v>
      </c>
      <c r="AW62" s="48" t="s">
        <v>1244</v>
      </c>
    </row>
    <row r="63" spans="1:49" x14ac:dyDescent="0.3">
      <c r="A63" s="48" t="s">
        <v>1320</v>
      </c>
      <c r="B63" s="48" t="s">
        <v>6</v>
      </c>
      <c r="C63" s="48" t="s">
        <v>1322</v>
      </c>
      <c r="D63" s="50">
        <v>44681</v>
      </c>
      <c r="E63" s="48" t="s">
        <v>36</v>
      </c>
      <c r="F63" s="48" t="s">
        <v>1433</v>
      </c>
      <c r="G63" s="48" t="s">
        <v>1447</v>
      </c>
      <c r="H63" s="49" t="s">
        <v>1449</v>
      </c>
      <c r="I63" s="48" t="s">
        <v>1409</v>
      </c>
      <c r="J63" s="48" t="s">
        <v>40</v>
      </c>
      <c r="K63" s="48" t="s">
        <v>45</v>
      </c>
      <c r="L63" s="48" t="s">
        <v>38</v>
      </c>
      <c r="M63" s="48" t="s">
        <v>37</v>
      </c>
      <c r="N63" s="48" t="s">
        <v>1436</v>
      </c>
      <c r="O63" s="48" t="s">
        <v>1436</v>
      </c>
      <c r="P63" s="48" t="s">
        <v>1436</v>
      </c>
      <c r="Q63" s="48" t="s">
        <v>38</v>
      </c>
      <c r="R63" s="48" t="s">
        <v>39</v>
      </c>
      <c r="S63" s="48" t="s">
        <v>40</v>
      </c>
      <c r="T63" s="48" t="s">
        <v>41</v>
      </c>
      <c r="U63" s="48" t="s">
        <v>1436</v>
      </c>
      <c r="V63" s="48" t="s">
        <v>1436</v>
      </c>
      <c r="W63" s="48" t="s">
        <v>1436</v>
      </c>
      <c r="X63" s="49" t="s">
        <v>193</v>
      </c>
      <c r="Y63" s="48" t="s">
        <v>1194</v>
      </c>
      <c r="Z63" s="49" t="s">
        <v>1321</v>
      </c>
      <c r="AA63" s="48" t="s">
        <v>1324</v>
      </c>
      <c r="AB63" s="48" t="s">
        <v>1325</v>
      </c>
      <c r="AC63" s="48" t="s">
        <v>1239</v>
      </c>
      <c r="AD63" s="48" t="s">
        <v>1231</v>
      </c>
      <c r="AE63" s="48" t="s">
        <v>1669</v>
      </c>
      <c r="AF63" s="48" t="s">
        <v>1436</v>
      </c>
      <c r="AG63" s="48" t="s">
        <v>1436</v>
      </c>
      <c r="AH63" s="48" t="s">
        <v>208</v>
      </c>
      <c r="AI63" s="50">
        <v>44562</v>
      </c>
      <c r="AJ63" s="50">
        <v>46387</v>
      </c>
      <c r="AK63" s="49" t="s">
        <v>1280</v>
      </c>
      <c r="AL63" s="48" t="s">
        <v>36</v>
      </c>
      <c r="AM63" s="48" t="s">
        <v>36</v>
      </c>
      <c r="AN63" s="51">
        <v>38485.658810000001</v>
      </c>
      <c r="AO63" s="51"/>
      <c r="AP63" s="51"/>
      <c r="AQ63" s="72">
        <v>1600000</v>
      </c>
      <c r="AR63" s="72">
        <v>50000</v>
      </c>
      <c r="AS63" s="50">
        <v>46387</v>
      </c>
      <c r="AT63" s="50" t="s">
        <v>1436</v>
      </c>
      <c r="AU63" s="49" t="s">
        <v>1436</v>
      </c>
      <c r="AV63" s="49" t="s">
        <v>1670</v>
      </c>
      <c r="AW63" s="48" t="s">
        <v>1244</v>
      </c>
    </row>
    <row r="64" spans="1:49" x14ac:dyDescent="0.3">
      <c r="A64" s="48" t="s">
        <v>1320</v>
      </c>
      <c r="B64" s="48" t="s">
        <v>6</v>
      </c>
      <c r="C64" s="48" t="s">
        <v>1322</v>
      </c>
      <c r="D64" s="50">
        <v>44681</v>
      </c>
      <c r="E64" s="48" t="s">
        <v>36</v>
      </c>
      <c r="F64" s="48" t="s">
        <v>1433</v>
      </c>
      <c r="G64" s="48" t="s">
        <v>1447</v>
      </c>
      <c r="H64" s="49" t="s">
        <v>1450</v>
      </c>
      <c r="I64" s="48" t="s">
        <v>1408</v>
      </c>
      <c r="J64" s="48" t="s">
        <v>40</v>
      </c>
      <c r="K64" s="48" t="s">
        <v>54</v>
      </c>
      <c r="L64" s="48" t="s">
        <v>38</v>
      </c>
      <c r="M64" s="48" t="s">
        <v>37</v>
      </c>
      <c r="N64" s="48" t="s">
        <v>1436</v>
      </c>
      <c r="O64" s="48" t="s">
        <v>1436</v>
      </c>
      <c r="P64" s="48" t="s">
        <v>1436</v>
      </c>
      <c r="Q64" s="48" t="s">
        <v>38</v>
      </c>
      <c r="R64" s="48" t="s">
        <v>39</v>
      </c>
      <c r="S64" s="48" t="s">
        <v>40</v>
      </c>
      <c r="T64" s="48" t="s">
        <v>41</v>
      </c>
      <c r="U64" s="48" t="s">
        <v>1436</v>
      </c>
      <c r="V64" s="48" t="s">
        <v>1436</v>
      </c>
      <c r="W64" s="48" t="s">
        <v>1436</v>
      </c>
      <c r="X64" s="49" t="s">
        <v>193</v>
      </c>
      <c r="Y64" s="48" t="s">
        <v>1194</v>
      </c>
      <c r="Z64" s="49" t="s">
        <v>1321</v>
      </c>
      <c r="AA64" s="48" t="s">
        <v>1324</v>
      </c>
      <c r="AB64" s="48" t="s">
        <v>1325</v>
      </c>
      <c r="AC64" s="48" t="s">
        <v>1239</v>
      </c>
      <c r="AD64" s="48" t="s">
        <v>1231</v>
      </c>
      <c r="AE64" s="48" t="s">
        <v>1669</v>
      </c>
      <c r="AF64" s="48" t="s">
        <v>1436</v>
      </c>
      <c r="AG64" s="48" t="s">
        <v>1436</v>
      </c>
      <c r="AH64" s="48" t="s">
        <v>208</v>
      </c>
      <c r="AI64" s="50">
        <v>44562</v>
      </c>
      <c r="AJ64" s="50">
        <v>46387</v>
      </c>
      <c r="AK64" s="49" t="s">
        <v>1280</v>
      </c>
      <c r="AL64" s="48" t="s">
        <v>36</v>
      </c>
      <c r="AM64" s="48" t="s">
        <v>36</v>
      </c>
      <c r="AN64" s="51">
        <v>-2594.5700000000002</v>
      </c>
      <c r="AO64" s="51"/>
      <c r="AP64" s="51"/>
      <c r="AQ64" s="72">
        <v>1600000</v>
      </c>
      <c r="AR64" s="72">
        <v>50000</v>
      </c>
      <c r="AS64" s="50">
        <v>46387</v>
      </c>
      <c r="AT64" s="50" t="s">
        <v>1436</v>
      </c>
      <c r="AU64" s="49" t="s">
        <v>1436</v>
      </c>
      <c r="AV64" s="49" t="s">
        <v>1670</v>
      </c>
      <c r="AW64" s="48" t="s">
        <v>1244</v>
      </c>
    </row>
    <row r="65" spans="1:49" x14ac:dyDescent="0.3">
      <c r="A65" s="48" t="s">
        <v>1320</v>
      </c>
      <c r="B65" s="48" t="s">
        <v>6</v>
      </c>
      <c r="C65" s="48" t="s">
        <v>1322</v>
      </c>
      <c r="D65" s="50">
        <v>44681</v>
      </c>
      <c r="E65" s="48" t="s">
        <v>36</v>
      </c>
      <c r="F65" s="48" t="s">
        <v>1433</v>
      </c>
      <c r="G65" s="48" t="s">
        <v>1447</v>
      </c>
      <c r="H65" s="49" t="s">
        <v>1451</v>
      </c>
      <c r="I65" s="48" t="s">
        <v>1404</v>
      </c>
      <c r="J65" s="48" t="s">
        <v>38</v>
      </c>
      <c r="K65" s="48" t="s">
        <v>49</v>
      </c>
      <c r="L65" s="48" t="s">
        <v>38</v>
      </c>
      <c r="M65" s="48" t="s">
        <v>37</v>
      </c>
      <c r="N65" s="48" t="s">
        <v>1436</v>
      </c>
      <c r="O65" s="48" t="s">
        <v>1436</v>
      </c>
      <c r="P65" s="48" t="s">
        <v>1436</v>
      </c>
      <c r="Q65" s="48" t="s">
        <v>38</v>
      </c>
      <c r="R65" s="48" t="s">
        <v>39</v>
      </c>
      <c r="S65" s="48" t="s">
        <v>38</v>
      </c>
      <c r="T65" s="48" t="s">
        <v>41</v>
      </c>
      <c r="U65" s="48" t="s">
        <v>1436</v>
      </c>
      <c r="V65" s="48" t="s">
        <v>1436</v>
      </c>
      <c r="W65" s="48" t="s">
        <v>1436</v>
      </c>
      <c r="X65" s="49" t="s">
        <v>193</v>
      </c>
      <c r="Y65" s="48" t="s">
        <v>1194</v>
      </c>
      <c r="Z65" s="49" t="s">
        <v>1321</v>
      </c>
      <c r="AA65" s="48" t="s">
        <v>1324</v>
      </c>
      <c r="AB65" s="48" t="s">
        <v>1325</v>
      </c>
      <c r="AC65" s="48" t="s">
        <v>1239</v>
      </c>
      <c r="AD65" s="48" t="s">
        <v>1231</v>
      </c>
      <c r="AE65" s="48" t="s">
        <v>1669</v>
      </c>
      <c r="AF65" s="48" t="s">
        <v>1436</v>
      </c>
      <c r="AG65" s="48" t="s">
        <v>1436</v>
      </c>
      <c r="AH65" s="48" t="s">
        <v>208</v>
      </c>
      <c r="AI65" s="50">
        <v>44562</v>
      </c>
      <c r="AJ65" s="50">
        <v>46387</v>
      </c>
      <c r="AK65" s="49" t="s">
        <v>1280</v>
      </c>
      <c r="AL65" s="48" t="s">
        <v>36</v>
      </c>
      <c r="AM65" s="48" t="s">
        <v>36</v>
      </c>
      <c r="AN65" s="51">
        <v>209.36468400000001</v>
      </c>
      <c r="AO65" s="51"/>
      <c r="AP65" s="51"/>
      <c r="AQ65" s="72">
        <v>1600000</v>
      </c>
      <c r="AR65" s="72">
        <v>50000</v>
      </c>
      <c r="AS65" s="50">
        <v>46387</v>
      </c>
      <c r="AT65" s="50" t="s">
        <v>1436</v>
      </c>
      <c r="AU65" s="49" t="s">
        <v>1436</v>
      </c>
      <c r="AV65" s="49" t="s">
        <v>1670</v>
      </c>
      <c r="AW65" s="48" t="s">
        <v>1244</v>
      </c>
    </row>
    <row r="66" spans="1:49" x14ac:dyDescent="0.3">
      <c r="A66" s="48" t="s">
        <v>1320</v>
      </c>
      <c r="B66" s="48" t="s">
        <v>6</v>
      </c>
      <c r="C66" s="48" t="s">
        <v>1322</v>
      </c>
      <c r="D66" s="50">
        <v>44712</v>
      </c>
      <c r="E66" s="48" t="s">
        <v>36</v>
      </c>
      <c r="F66" s="48" t="s">
        <v>1433</v>
      </c>
      <c r="G66" s="48" t="s">
        <v>1434</v>
      </c>
      <c r="H66" s="49" t="s">
        <v>1435</v>
      </c>
      <c r="I66" s="48" t="s">
        <v>1412</v>
      </c>
      <c r="J66" s="48" t="s">
        <v>40</v>
      </c>
      <c r="K66" s="48" t="s">
        <v>52</v>
      </c>
      <c r="L66" s="48" t="s">
        <v>38</v>
      </c>
      <c r="M66" s="48" t="s">
        <v>37</v>
      </c>
      <c r="N66" s="48" t="s">
        <v>1436</v>
      </c>
      <c r="O66" s="48" t="s">
        <v>1436</v>
      </c>
      <c r="P66" s="48" t="s">
        <v>1436</v>
      </c>
      <c r="Q66" s="48" t="s">
        <v>38</v>
      </c>
      <c r="R66" s="48" t="s">
        <v>39</v>
      </c>
      <c r="S66" s="48" t="s">
        <v>40</v>
      </c>
      <c r="T66" s="48" t="s">
        <v>41</v>
      </c>
      <c r="U66" s="48" t="s">
        <v>1436</v>
      </c>
      <c r="V66" s="48" t="s">
        <v>1436</v>
      </c>
      <c r="W66" s="48" t="s">
        <v>1436</v>
      </c>
      <c r="X66" s="49" t="s">
        <v>193</v>
      </c>
      <c r="Y66" s="48" t="s">
        <v>1194</v>
      </c>
      <c r="Z66" s="49" t="s">
        <v>1321</v>
      </c>
      <c r="AA66" s="48" t="s">
        <v>1324</v>
      </c>
      <c r="AB66" s="48" t="s">
        <v>1325</v>
      </c>
      <c r="AC66" s="48" t="s">
        <v>1239</v>
      </c>
      <c r="AD66" s="48" t="s">
        <v>1231</v>
      </c>
      <c r="AE66" s="48" t="s">
        <v>1669</v>
      </c>
      <c r="AF66" s="48" t="s">
        <v>1436</v>
      </c>
      <c r="AG66" s="48" t="s">
        <v>1436</v>
      </c>
      <c r="AH66" s="48" t="s">
        <v>208</v>
      </c>
      <c r="AI66" s="50">
        <v>44562</v>
      </c>
      <c r="AJ66" s="50">
        <v>46387</v>
      </c>
      <c r="AK66" s="49" t="s">
        <v>1280</v>
      </c>
      <c r="AL66" s="48" t="s">
        <v>36</v>
      </c>
      <c r="AM66" s="48" t="s">
        <v>36</v>
      </c>
      <c r="AN66" s="51">
        <v>-42330.49</v>
      </c>
      <c r="AO66" s="51"/>
      <c r="AP66" s="51"/>
      <c r="AQ66" s="72">
        <v>1600000</v>
      </c>
      <c r="AR66" s="72">
        <v>50000</v>
      </c>
      <c r="AS66" s="50">
        <v>46387</v>
      </c>
      <c r="AT66" s="50" t="s">
        <v>1436</v>
      </c>
      <c r="AU66" s="49" t="s">
        <v>1436</v>
      </c>
      <c r="AV66" s="49" t="s">
        <v>1670</v>
      </c>
      <c r="AW66" s="48" t="s">
        <v>1244</v>
      </c>
    </row>
    <row r="67" spans="1:49" x14ac:dyDescent="0.3">
      <c r="A67" s="48" t="s">
        <v>1320</v>
      </c>
      <c r="B67" s="48" t="s">
        <v>6</v>
      </c>
      <c r="C67" s="48" t="s">
        <v>1322</v>
      </c>
      <c r="D67" s="50">
        <v>44712</v>
      </c>
      <c r="E67" s="48" t="s">
        <v>36</v>
      </c>
      <c r="F67" s="48" t="s">
        <v>1433</v>
      </c>
      <c r="G67" s="48" t="s">
        <v>1434</v>
      </c>
      <c r="H67" s="49" t="s">
        <v>1437</v>
      </c>
      <c r="I67" s="48" t="s">
        <v>1410</v>
      </c>
      <c r="J67" s="48" t="s">
        <v>40</v>
      </c>
      <c r="K67" s="48" t="s">
        <v>42</v>
      </c>
      <c r="L67" s="48" t="s">
        <v>38</v>
      </c>
      <c r="M67" s="48" t="s">
        <v>37</v>
      </c>
      <c r="N67" s="48" t="s">
        <v>1436</v>
      </c>
      <c r="O67" s="48" t="s">
        <v>1436</v>
      </c>
      <c r="P67" s="48" t="s">
        <v>1436</v>
      </c>
      <c r="Q67" s="48" t="s">
        <v>38</v>
      </c>
      <c r="R67" s="48" t="s">
        <v>39</v>
      </c>
      <c r="S67" s="48" t="s">
        <v>40</v>
      </c>
      <c r="T67" s="48" t="s">
        <v>41</v>
      </c>
      <c r="U67" s="48" t="s">
        <v>1436</v>
      </c>
      <c r="V67" s="48" t="s">
        <v>1436</v>
      </c>
      <c r="W67" s="48" t="s">
        <v>1436</v>
      </c>
      <c r="X67" s="49" t="s">
        <v>193</v>
      </c>
      <c r="Y67" s="48" t="s">
        <v>1194</v>
      </c>
      <c r="Z67" s="49" t="s">
        <v>1321</v>
      </c>
      <c r="AA67" s="48" t="s">
        <v>1324</v>
      </c>
      <c r="AB67" s="48" t="s">
        <v>1325</v>
      </c>
      <c r="AC67" s="48" t="s">
        <v>1239</v>
      </c>
      <c r="AD67" s="48" t="s">
        <v>1231</v>
      </c>
      <c r="AE67" s="48" t="s">
        <v>1669</v>
      </c>
      <c r="AF67" s="48" t="s">
        <v>1436</v>
      </c>
      <c r="AG67" s="48" t="s">
        <v>1436</v>
      </c>
      <c r="AH67" s="48" t="s">
        <v>208</v>
      </c>
      <c r="AI67" s="50">
        <v>44562</v>
      </c>
      <c r="AJ67" s="50">
        <v>46387</v>
      </c>
      <c r="AK67" s="49" t="s">
        <v>1280</v>
      </c>
      <c r="AL67" s="48" t="s">
        <v>36</v>
      </c>
      <c r="AM67" s="48" t="s">
        <v>36</v>
      </c>
      <c r="AN67" s="51">
        <v>0</v>
      </c>
      <c r="AO67" s="51"/>
      <c r="AP67" s="51"/>
      <c r="AQ67" s="72">
        <v>1600000</v>
      </c>
      <c r="AR67" s="72">
        <v>50000</v>
      </c>
      <c r="AS67" s="50">
        <v>46387</v>
      </c>
      <c r="AT67" s="50" t="s">
        <v>1436</v>
      </c>
      <c r="AU67" s="49" t="s">
        <v>1436</v>
      </c>
      <c r="AV67" s="49" t="s">
        <v>1670</v>
      </c>
      <c r="AW67" s="48" t="s">
        <v>1244</v>
      </c>
    </row>
    <row r="68" spans="1:49" x14ac:dyDescent="0.3">
      <c r="A68" s="48" t="s">
        <v>1320</v>
      </c>
      <c r="B68" s="48" t="s">
        <v>6</v>
      </c>
      <c r="C68" s="48" t="s">
        <v>1322</v>
      </c>
      <c r="D68" s="50">
        <v>44712</v>
      </c>
      <c r="E68" s="48" t="s">
        <v>36</v>
      </c>
      <c r="F68" s="48" t="s">
        <v>1438</v>
      </c>
      <c r="G68" s="48" t="s">
        <v>1439</v>
      </c>
      <c r="H68" s="49" t="s">
        <v>1440</v>
      </c>
      <c r="I68" s="48" t="s">
        <v>1406</v>
      </c>
      <c r="J68" s="48" t="s">
        <v>1194</v>
      </c>
      <c r="K68" s="48" t="s">
        <v>1441</v>
      </c>
      <c r="L68" s="48" t="s">
        <v>38</v>
      </c>
      <c r="M68" s="48" t="s">
        <v>37</v>
      </c>
      <c r="N68" s="48" t="s">
        <v>1436</v>
      </c>
      <c r="O68" s="48" t="s">
        <v>1436</v>
      </c>
      <c r="P68" s="48" t="s">
        <v>1436</v>
      </c>
      <c r="Q68" s="48" t="s">
        <v>38</v>
      </c>
      <c r="R68" s="48" t="s">
        <v>39</v>
      </c>
      <c r="S68" s="48" t="s">
        <v>1194</v>
      </c>
      <c r="T68" s="48" t="s">
        <v>41</v>
      </c>
      <c r="U68" s="48" t="s">
        <v>1436</v>
      </c>
      <c r="V68" s="48" t="s">
        <v>1436</v>
      </c>
      <c r="W68" s="48" t="s">
        <v>1436</v>
      </c>
      <c r="X68" s="49" t="s">
        <v>193</v>
      </c>
      <c r="Y68" s="48" t="s">
        <v>1194</v>
      </c>
      <c r="Z68" s="49" t="s">
        <v>1321</v>
      </c>
      <c r="AA68" s="48" t="s">
        <v>1324</v>
      </c>
      <c r="AB68" s="48" t="s">
        <v>1325</v>
      </c>
      <c r="AC68" s="48" t="s">
        <v>1239</v>
      </c>
      <c r="AD68" s="48" t="s">
        <v>1231</v>
      </c>
      <c r="AE68" s="48" t="s">
        <v>1669</v>
      </c>
      <c r="AF68" s="48" t="s">
        <v>1436</v>
      </c>
      <c r="AG68" s="48" t="s">
        <v>1436</v>
      </c>
      <c r="AH68" s="48" t="s">
        <v>208</v>
      </c>
      <c r="AI68" s="50">
        <v>44562</v>
      </c>
      <c r="AJ68" s="50">
        <v>46387</v>
      </c>
      <c r="AK68" s="49" t="s">
        <v>1280</v>
      </c>
      <c r="AL68" s="48" t="s">
        <v>36</v>
      </c>
      <c r="AM68" s="48" t="s">
        <v>36</v>
      </c>
      <c r="AN68" s="51">
        <v>0</v>
      </c>
      <c r="AO68" s="51"/>
      <c r="AP68" s="51"/>
      <c r="AQ68" s="72">
        <v>1600000</v>
      </c>
      <c r="AR68" s="72">
        <v>50000</v>
      </c>
      <c r="AS68" s="50">
        <v>46387</v>
      </c>
      <c r="AT68" s="50" t="s">
        <v>1436</v>
      </c>
      <c r="AU68" s="49" t="s">
        <v>1436</v>
      </c>
      <c r="AV68" s="49" t="s">
        <v>1670</v>
      </c>
      <c r="AW68" s="48" t="s">
        <v>1244</v>
      </c>
    </row>
    <row r="69" spans="1:49" x14ac:dyDescent="0.3">
      <c r="A69" s="48" t="s">
        <v>1320</v>
      </c>
      <c r="B69" s="48" t="s">
        <v>6</v>
      </c>
      <c r="C69" s="48" t="s">
        <v>1322</v>
      </c>
      <c r="D69" s="50">
        <v>44712</v>
      </c>
      <c r="E69" s="48" t="s">
        <v>36</v>
      </c>
      <c r="F69" s="48" t="s">
        <v>1438</v>
      </c>
      <c r="G69" s="48" t="s">
        <v>1439</v>
      </c>
      <c r="H69" s="49" t="s">
        <v>1442</v>
      </c>
      <c r="I69" s="48" t="s">
        <v>1405</v>
      </c>
      <c r="J69" s="48" t="s">
        <v>1194</v>
      </c>
      <c r="K69" s="48" t="s">
        <v>1443</v>
      </c>
      <c r="L69" s="48" t="s">
        <v>38</v>
      </c>
      <c r="M69" s="48" t="s">
        <v>37</v>
      </c>
      <c r="N69" s="48" t="s">
        <v>1436</v>
      </c>
      <c r="O69" s="48" t="s">
        <v>1436</v>
      </c>
      <c r="P69" s="48" t="s">
        <v>1436</v>
      </c>
      <c r="Q69" s="48" t="s">
        <v>38</v>
      </c>
      <c r="R69" s="48" t="s">
        <v>39</v>
      </c>
      <c r="S69" s="48" t="s">
        <v>1194</v>
      </c>
      <c r="T69" s="48" t="s">
        <v>41</v>
      </c>
      <c r="U69" s="48" t="s">
        <v>1436</v>
      </c>
      <c r="V69" s="48" t="s">
        <v>1436</v>
      </c>
      <c r="W69" s="48" t="s">
        <v>1436</v>
      </c>
      <c r="X69" s="49" t="s">
        <v>193</v>
      </c>
      <c r="Y69" s="48" t="s">
        <v>1194</v>
      </c>
      <c r="Z69" s="49" t="s">
        <v>1321</v>
      </c>
      <c r="AA69" s="48" t="s">
        <v>1324</v>
      </c>
      <c r="AB69" s="48" t="s">
        <v>1325</v>
      </c>
      <c r="AC69" s="48" t="s">
        <v>1239</v>
      </c>
      <c r="AD69" s="48" t="s">
        <v>1231</v>
      </c>
      <c r="AE69" s="48" t="s">
        <v>1669</v>
      </c>
      <c r="AF69" s="48" t="s">
        <v>1436</v>
      </c>
      <c r="AG69" s="48" t="s">
        <v>1436</v>
      </c>
      <c r="AH69" s="48" t="s">
        <v>208</v>
      </c>
      <c r="AI69" s="50">
        <v>44562</v>
      </c>
      <c r="AJ69" s="50">
        <v>46387</v>
      </c>
      <c r="AK69" s="49" t="s">
        <v>1280</v>
      </c>
      <c r="AL69" s="48" t="s">
        <v>36</v>
      </c>
      <c r="AM69" s="48" t="s">
        <v>36</v>
      </c>
      <c r="AN69" s="51">
        <v>0</v>
      </c>
      <c r="AO69" s="51"/>
      <c r="AP69" s="51"/>
      <c r="AQ69" s="72">
        <v>1600000</v>
      </c>
      <c r="AR69" s="72">
        <v>50000</v>
      </c>
      <c r="AS69" s="50">
        <v>46387</v>
      </c>
      <c r="AT69" s="50" t="s">
        <v>1436</v>
      </c>
      <c r="AU69" s="49" t="s">
        <v>1436</v>
      </c>
      <c r="AV69" s="49" t="s">
        <v>1670</v>
      </c>
      <c r="AW69" s="48" t="s">
        <v>1244</v>
      </c>
    </row>
    <row r="70" spans="1:49" x14ac:dyDescent="0.3">
      <c r="A70" s="48" t="s">
        <v>1320</v>
      </c>
      <c r="B70" s="48" t="s">
        <v>6</v>
      </c>
      <c r="C70" s="48" t="s">
        <v>1322</v>
      </c>
      <c r="D70" s="50">
        <v>44712</v>
      </c>
      <c r="E70" s="48" t="s">
        <v>36</v>
      </c>
      <c r="F70" s="48" t="s">
        <v>1438</v>
      </c>
      <c r="G70" s="48" t="s">
        <v>1444</v>
      </c>
      <c r="H70" s="49" t="s">
        <v>1445</v>
      </c>
      <c r="I70" s="48" t="s">
        <v>1411</v>
      </c>
      <c r="J70" s="48" t="s">
        <v>40</v>
      </c>
      <c r="K70" s="48" t="s">
        <v>50</v>
      </c>
      <c r="L70" s="48" t="s">
        <v>38</v>
      </c>
      <c r="M70" s="48" t="s">
        <v>37</v>
      </c>
      <c r="N70" s="48" t="s">
        <v>1436</v>
      </c>
      <c r="O70" s="48" t="s">
        <v>1436</v>
      </c>
      <c r="P70" s="48" t="s">
        <v>1436</v>
      </c>
      <c r="Q70" s="48" t="s">
        <v>38</v>
      </c>
      <c r="R70" s="48" t="s">
        <v>39</v>
      </c>
      <c r="S70" s="48" t="s">
        <v>40</v>
      </c>
      <c r="T70" s="48" t="s">
        <v>41</v>
      </c>
      <c r="U70" s="48" t="s">
        <v>1436</v>
      </c>
      <c r="V70" s="48" t="s">
        <v>1436</v>
      </c>
      <c r="W70" s="48" t="s">
        <v>1436</v>
      </c>
      <c r="X70" s="49" t="s">
        <v>193</v>
      </c>
      <c r="Y70" s="48" t="s">
        <v>1194</v>
      </c>
      <c r="Z70" s="49" t="s">
        <v>1321</v>
      </c>
      <c r="AA70" s="48" t="s">
        <v>1324</v>
      </c>
      <c r="AB70" s="48" t="s">
        <v>1325</v>
      </c>
      <c r="AC70" s="48" t="s">
        <v>1239</v>
      </c>
      <c r="AD70" s="48" t="s">
        <v>1231</v>
      </c>
      <c r="AE70" s="48" t="s">
        <v>1669</v>
      </c>
      <c r="AF70" s="48" t="s">
        <v>1436</v>
      </c>
      <c r="AG70" s="48" t="s">
        <v>1436</v>
      </c>
      <c r="AH70" s="48" t="s">
        <v>208</v>
      </c>
      <c r="AI70" s="50">
        <v>44562</v>
      </c>
      <c r="AJ70" s="50">
        <v>46387</v>
      </c>
      <c r="AK70" s="49" t="s">
        <v>1280</v>
      </c>
      <c r="AL70" s="48" t="s">
        <v>36</v>
      </c>
      <c r="AM70" s="48" t="s">
        <v>36</v>
      </c>
      <c r="AN70" s="51">
        <v>42330.49</v>
      </c>
      <c r="AO70" s="51"/>
      <c r="AP70" s="51"/>
      <c r="AQ70" s="72">
        <v>1600000</v>
      </c>
      <c r="AR70" s="72">
        <v>50000</v>
      </c>
      <c r="AS70" s="50">
        <v>46387</v>
      </c>
      <c r="AT70" s="50" t="s">
        <v>1436</v>
      </c>
      <c r="AU70" s="49" t="s">
        <v>1436</v>
      </c>
      <c r="AV70" s="49" t="s">
        <v>1670</v>
      </c>
      <c r="AW70" s="48" t="s">
        <v>1244</v>
      </c>
    </row>
    <row r="71" spans="1:49" x14ac:dyDescent="0.3">
      <c r="A71" s="48" t="s">
        <v>1320</v>
      </c>
      <c r="B71" s="48" t="s">
        <v>6</v>
      </c>
      <c r="C71" s="48" t="s">
        <v>1322</v>
      </c>
      <c r="D71" s="50">
        <v>44712</v>
      </c>
      <c r="E71" s="48" t="s">
        <v>36</v>
      </c>
      <c r="F71" s="48" t="s">
        <v>1438</v>
      </c>
      <c r="G71" s="48" t="s">
        <v>1444</v>
      </c>
      <c r="H71" s="49" t="s">
        <v>1446</v>
      </c>
      <c r="I71" s="48" t="s">
        <v>1407</v>
      </c>
      <c r="J71" s="48" t="s">
        <v>40</v>
      </c>
      <c r="K71" s="48" t="s">
        <v>47</v>
      </c>
      <c r="L71" s="48" t="s">
        <v>38</v>
      </c>
      <c r="M71" s="48" t="s">
        <v>37</v>
      </c>
      <c r="N71" s="48" t="s">
        <v>1436</v>
      </c>
      <c r="O71" s="48" t="s">
        <v>1436</v>
      </c>
      <c r="P71" s="48" t="s">
        <v>1436</v>
      </c>
      <c r="Q71" s="48" t="s">
        <v>38</v>
      </c>
      <c r="R71" s="48" t="s">
        <v>39</v>
      </c>
      <c r="S71" s="48" t="s">
        <v>40</v>
      </c>
      <c r="T71" s="48" t="s">
        <v>41</v>
      </c>
      <c r="U71" s="48" t="s">
        <v>1436</v>
      </c>
      <c r="V71" s="48" t="s">
        <v>1436</v>
      </c>
      <c r="W71" s="48" t="s">
        <v>1436</v>
      </c>
      <c r="X71" s="49" t="s">
        <v>193</v>
      </c>
      <c r="Y71" s="48" t="s">
        <v>1194</v>
      </c>
      <c r="Z71" s="49" t="s">
        <v>1321</v>
      </c>
      <c r="AA71" s="48" t="s">
        <v>1324</v>
      </c>
      <c r="AB71" s="48" t="s">
        <v>1325</v>
      </c>
      <c r="AC71" s="48" t="s">
        <v>1239</v>
      </c>
      <c r="AD71" s="48" t="s">
        <v>1231</v>
      </c>
      <c r="AE71" s="48" t="s">
        <v>1669</v>
      </c>
      <c r="AF71" s="48" t="s">
        <v>1436</v>
      </c>
      <c r="AG71" s="48" t="s">
        <v>1436</v>
      </c>
      <c r="AH71" s="48" t="s">
        <v>208</v>
      </c>
      <c r="AI71" s="50">
        <v>44562</v>
      </c>
      <c r="AJ71" s="50">
        <v>46387</v>
      </c>
      <c r="AK71" s="49" t="s">
        <v>1280</v>
      </c>
      <c r="AL71" s="48" t="s">
        <v>36</v>
      </c>
      <c r="AM71" s="48" t="s">
        <v>36</v>
      </c>
      <c r="AN71" s="51">
        <v>13688.960526999999</v>
      </c>
      <c r="AO71" s="51"/>
      <c r="AP71" s="51"/>
      <c r="AQ71" s="72">
        <v>1600000</v>
      </c>
      <c r="AR71" s="72">
        <v>50000</v>
      </c>
      <c r="AS71" s="50">
        <v>46387</v>
      </c>
      <c r="AT71" s="50" t="s">
        <v>1436</v>
      </c>
      <c r="AU71" s="49" t="s">
        <v>1436</v>
      </c>
      <c r="AV71" s="49" t="s">
        <v>1670</v>
      </c>
      <c r="AW71" s="48" t="s">
        <v>1244</v>
      </c>
    </row>
    <row r="72" spans="1:49" x14ac:dyDescent="0.3">
      <c r="A72" s="48" t="s">
        <v>1320</v>
      </c>
      <c r="B72" s="48" t="s">
        <v>6</v>
      </c>
      <c r="C72" s="48" t="s">
        <v>1322</v>
      </c>
      <c r="D72" s="50">
        <v>44712</v>
      </c>
      <c r="E72" s="48" t="s">
        <v>36</v>
      </c>
      <c r="F72" s="48" t="s">
        <v>1433</v>
      </c>
      <c r="G72" s="48" t="s">
        <v>1447</v>
      </c>
      <c r="H72" s="49" t="s">
        <v>1448</v>
      </c>
      <c r="I72" s="48" t="s">
        <v>1413</v>
      </c>
      <c r="J72" s="48" t="s">
        <v>40</v>
      </c>
      <c r="K72" s="48" t="s">
        <v>58</v>
      </c>
      <c r="L72" s="48" t="s">
        <v>38</v>
      </c>
      <c r="M72" s="48" t="s">
        <v>37</v>
      </c>
      <c r="N72" s="48" t="s">
        <v>1436</v>
      </c>
      <c r="O72" s="48" t="s">
        <v>1436</v>
      </c>
      <c r="P72" s="48" t="s">
        <v>1436</v>
      </c>
      <c r="Q72" s="48" t="s">
        <v>38</v>
      </c>
      <c r="R72" s="48" t="s">
        <v>39</v>
      </c>
      <c r="S72" s="48" t="s">
        <v>40</v>
      </c>
      <c r="T72" s="48" t="s">
        <v>41</v>
      </c>
      <c r="U72" s="48" t="s">
        <v>1436</v>
      </c>
      <c r="V72" s="48" t="s">
        <v>1436</v>
      </c>
      <c r="W72" s="48" t="s">
        <v>1436</v>
      </c>
      <c r="X72" s="49" t="s">
        <v>193</v>
      </c>
      <c r="Y72" s="48" t="s">
        <v>1194</v>
      </c>
      <c r="Z72" s="49" t="s">
        <v>1321</v>
      </c>
      <c r="AA72" s="48" t="s">
        <v>1324</v>
      </c>
      <c r="AB72" s="48" t="s">
        <v>1325</v>
      </c>
      <c r="AC72" s="48" t="s">
        <v>1239</v>
      </c>
      <c r="AD72" s="48" t="s">
        <v>1231</v>
      </c>
      <c r="AE72" s="48" t="s">
        <v>1669</v>
      </c>
      <c r="AF72" s="48" t="s">
        <v>1436</v>
      </c>
      <c r="AG72" s="48" t="s">
        <v>1436</v>
      </c>
      <c r="AH72" s="48" t="s">
        <v>208</v>
      </c>
      <c r="AI72" s="50">
        <v>44562</v>
      </c>
      <c r="AJ72" s="50">
        <v>46387</v>
      </c>
      <c r="AK72" s="49" t="s">
        <v>1280</v>
      </c>
      <c r="AL72" s="48" t="s">
        <v>36</v>
      </c>
      <c r="AM72" s="48" t="s">
        <v>36</v>
      </c>
      <c r="AN72" s="51">
        <v>-50000</v>
      </c>
      <c r="AO72" s="51"/>
      <c r="AP72" s="51"/>
      <c r="AQ72" s="72">
        <v>1600000</v>
      </c>
      <c r="AR72" s="72">
        <v>50000</v>
      </c>
      <c r="AS72" s="50">
        <v>46387</v>
      </c>
      <c r="AT72" s="50" t="s">
        <v>1436</v>
      </c>
      <c r="AU72" s="49" t="s">
        <v>1436</v>
      </c>
      <c r="AV72" s="49" t="s">
        <v>1670</v>
      </c>
      <c r="AW72" s="48" t="s">
        <v>1244</v>
      </c>
    </row>
    <row r="73" spans="1:49" x14ac:dyDescent="0.3">
      <c r="A73" s="48" t="s">
        <v>1320</v>
      </c>
      <c r="B73" s="48" t="s">
        <v>6</v>
      </c>
      <c r="C73" s="48" t="s">
        <v>1322</v>
      </c>
      <c r="D73" s="50">
        <v>44712</v>
      </c>
      <c r="E73" s="48" t="s">
        <v>36</v>
      </c>
      <c r="F73" s="48" t="s">
        <v>1433</v>
      </c>
      <c r="G73" s="48" t="s">
        <v>1447</v>
      </c>
      <c r="H73" s="49" t="s">
        <v>1449</v>
      </c>
      <c r="I73" s="48" t="s">
        <v>1409</v>
      </c>
      <c r="J73" s="48" t="s">
        <v>40</v>
      </c>
      <c r="K73" s="48" t="s">
        <v>45</v>
      </c>
      <c r="L73" s="48" t="s">
        <v>38</v>
      </c>
      <c r="M73" s="48" t="s">
        <v>37</v>
      </c>
      <c r="N73" s="48" t="s">
        <v>1436</v>
      </c>
      <c r="O73" s="48" t="s">
        <v>1436</v>
      </c>
      <c r="P73" s="48" t="s">
        <v>1436</v>
      </c>
      <c r="Q73" s="48" t="s">
        <v>38</v>
      </c>
      <c r="R73" s="48" t="s">
        <v>39</v>
      </c>
      <c r="S73" s="48" t="s">
        <v>40</v>
      </c>
      <c r="T73" s="48" t="s">
        <v>41</v>
      </c>
      <c r="U73" s="48" t="s">
        <v>1436</v>
      </c>
      <c r="V73" s="48" t="s">
        <v>1436</v>
      </c>
      <c r="W73" s="48" t="s">
        <v>1436</v>
      </c>
      <c r="X73" s="49" t="s">
        <v>193</v>
      </c>
      <c r="Y73" s="48" t="s">
        <v>1194</v>
      </c>
      <c r="Z73" s="49" t="s">
        <v>1321</v>
      </c>
      <c r="AA73" s="48" t="s">
        <v>1324</v>
      </c>
      <c r="AB73" s="48" t="s">
        <v>1325</v>
      </c>
      <c r="AC73" s="48" t="s">
        <v>1239</v>
      </c>
      <c r="AD73" s="48" t="s">
        <v>1231</v>
      </c>
      <c r="AE73" s="48" t="s">
        <v>1669</v>
      </c>
      <c r="AF73" s="48" t="s">
        <v>1436</v>
      </c>
      <c r="AG73" s="48" t="s">
        <v>1436</v>
      </c>
      <c r="AH73" s="48" t="s">
        <v>208</v>
      </c>
      <c r="AI73" s="50">
        <v>44562</v>
      </c>
      <c r="AJ73" s="50">
        <v>46387</v>
      </c>
      <c r="AK73" s="49" t="s">
        <v>1280</v>
      </c>
      <c r="AL73" s="48" t="s">
        <v>36</v>
      </c>
      <c r="AM73" s="48" t="s">
        <v>36</v>
      </c>
      <c r="AN73" s="51">
        <v>38710.153493999998</v>
      </c>
      <c r="AO73" s="51"/>
      <c r="AP73" s="51"/>
      <c r="AQ73" s="72">
        <v>1600000</v>
      </c>
      <c r="AR73" s="72">
        <v>50000</v>
      </c>
      <c r="AS73" s="50">
        <v>46387</v>
      </c>
      <c r="AT73" s="50" t="s">
        <v>1436</v>
      </c>
      <c r="AU73" s="49" t="s">
        <v>1436</v>
      </c>
      <c r="AV73" s="49" t="s">
        <v>1670</v>
      </c>
      <c r="AW73" s="48" t="s">
        <v>1244</v>
      </c>
    </row>
    <row r="74" spans="1:49" x14ac:dyDescent="0.3">
      <c r="A74" s="48" t="s">
        <v>1320</v>
      </c>
      <c r="B74" s="48" t="s">
        <v>6</v>
      </c>
      <c r="C74" s="48" t="s">
        <v>1322</v>
      </c>
      <c r="D74" s="50">
        <v>44712</v>
      </c>
      <c r="E74" s="48" t="s">
        <v>36</v>
      </c>
      <c r="F74" s="48" t="s">
        <v>1433</v>
      </c>
      <c r="G74" s="48" t="s">
        <v>1447</v>
      </c>
      <c r="H74" s="49" t="s">
        <v>1450</v>
      </c>
      <c r="I74" s="48" t="s">
        <v>1408</v>
      </c>
      <c r="J74" s="48" t="s">
        <v>40</v>
      </c>
      <c r="K74" s="48" t="s">
        <v>54</v>
      </c>
      <c r="L74" s="48" t="s">
        <v>38</v>
      </c>
      <c r="M74" s="48" t="s">
        <v>37</v>
      </c>
      <c r="N74" s="48" t="s">
        <v>1436</v>
      </c>
      <c r="O74" s="48" t="s">
        <v>1436</v>
      </c>
      <c r="P74" s="48" t="s">
        <v>1436</v>
      </c>
      <c r="Q74" s="48" t="s">
        <v>38</v>
      </c>
      <c r="R74" s="48" t="s">
        <v>39</v>
      </c>
      <c r="S74" s="48" t="s">
        <v>40</v>
      </c>
      <c r="T74" s="48" t="s">
        <v>41</v>
      </c>
      <c r="U74" s="48" t="s">
        <v>1436</v>
      </c>
      <c r="V74" s="48" t="s">
        <v>1436</v>
      </c>
      <c r="W74" s="48" t="s">
        <v>1436</v>
      </c>
      <c r="X74" s="49" t="s">
        <v>193</v>
      </c>
      <c r="Y74" s="48" t="s">
        <v>1194</v>
      </c>
      <c r="Z74" s="49" t="s">
        <v>1321</v>
      </c>
      <c r="AA74" s="48" t="s">
        <v>1324</v>
      </c>
      <c r="AB74" s="48" t="s">
        <v>1325</v>
      </c>
      <c r="AC74" s="48" t="s">
        <v>1239</v>
      </c>
      <c r="AD74" s="48" t="s">
        <v>1231</v>
      </c>
      <c r="AE74" s="48" t="s">
        <v>1669</v>
      </c>
      <c r="AF74" s="48" t="s">
        <v>1436</v>
      </c>
      <c r="AG74" s="48" t="s">
        <v>1436</v>
      </c>
      <c r="AH74" s="48" t="s">
        <v>208</v>
      </c>
      <c r="AI74" s="50">
        <v>44562</v>
      </c>
      <c r="AJ74" s="50">
        <v>46387</v>
      </c>
      <c r="AK74" s="49" t="s">
        <v>1280</v>
      </c>
      <c r="AL74" s="48" t="s">
        <v>36</v>
      </c>
      <c r="AM74" s="48" t="s">
        <v>36</v>
      </c>
      <c r="AN74" s="51">
        <v>-2609.6999999999998</v>
      </c>
      <c r="AO74" s="51"/>
      <c r="AP74" s="51"/>
      <c r="AQ74" s="72">
        <v>1600000</v>
      </c>
      <c r="AR74" s="72">
        <v>50000</v>
      </c>
      <c r="AS74" s="50">
        <v>46387</v>
      </c>
      <c r="AT74" s="50" t="s">
        <v>1436</v>
      </c>
      <c r="AU74" s="49" t="s">
        <v>1436</v>
      </c>
      <c r="AV74" s="49" t="s">
        <v>1670</v>
      </c>
      <c r="AW74" s="48" t="s">
        <v>1244</v>
      </c>
    </row>
    <row r="75" spans="1:49" x14ac:dyDescent="0.3">
      <c r="A75" s="48" t="s">
        <v>1320</v>
      </c>
      <c r="B75" s="48" t="s">
        <v>6</v>
      </c>
      <c r="C75" s="48" t="s">
        <v>1322</v>
      </c>
      <c r="D75" s="50">
        <v>44712</v>
      </c>
      <c r="E75" s="48" t="s">
        <v>36</v>
      </c>
      <c r="F75" s="48" t="s">
        <v>1433</v>
      </c>
      <c r="G75" s="48" t="s">
        <v>1447</v>
      </c>
      <c r="H75" s="49" t="s">
        <v>1451</v>
      </c>
      <c r="I75" s="48" t="s">
        <v>1404</v>
      </c>
      <c r="J75" s="48" t="s">
        <v>38</v>
      </c>
      <c r="K75" s="48" t="s">
        <v>49</v>
      </c>
      <c r="L75" s="48" t="s">
        <v>38</v>
      </c>
      <c r="M75" s="48" t="s">
        <v>37</v>
      </c>
      <c r="N75" s="48" t="s">
        <v>1436</v>
      </c>
      <c r="O75" s="48" t="s">
        <v>1436</v>
      </c>
      <c r="P75" s="48" t="s">
        <v>1436</v>
      </c>
      <c r="Q75" s="48" t="s">
        <v>38</v>
      </c>
      <c r="R75" s="48" t="s">
        <v>39</v>
      </c>
      <c r="S75" s="48" t="s">
        <v>38</v>
      </c>
      <c r="T75" s="48" t="s">
        <v>41</v>
      </c>
      <c r="U75" s="48" t="s">
        <v>1436</v>
      </c>
      <c r="V75" s="48" t="s">
        <v>1436</v>
      </c>
      <c r="W75" s="48" t="s">
        <v>1436</v>
      </c>
      <c r="X75" s="49" t="s">
        <v>193</v>
      </c>
      <c r="Y75" s="48" t="s">
        <v>1194</v>
      </c>
      <c r="Z75" s="49" t="s">
        <v>1321</v>
      </c>
      <c r="AA75" s="48" t="s">
        <v>1324</v>
      </c>
      <c r="AB75" s="48" t="s">
        <v>1325</v>
      </c>
      <c r="AC75" s="48" t="s">
        <v>1239</v>
      </c>
      <c r="AD75" s="48" t="s">
        <v>1231</v>
      </c>
      <c r="AE75" s="48" t="s">
        <v>1669</v>
      </c>
      <c r="AF75" s="48" t="s">
        <v>1436</v>
      </c>
      <c r="AG75" s="48" t="s">
        <v>1436</v>
      </c>
      <c r="AH75" s="48" t="s">
        <v>208</v>
      </c>
      <c r="AI75" s="50">
        <v>44562</v>
      </c>
      <c r="AJ75" s="50">
        <v>46387</v>
      </c>
      <c r="AK75" s="49" t="s">
        <v>1280</v>
      </c>
      <c r="AL75" s="48" t="s">
        <v>36</v>
      </c>
      <c r="AM75" s="48" t="s">
        <v>36</v>
      </c>
      <c r="AN75" s="51">
        <v>210.58597900000001</v>
      </c>
      <c r="AO75" s="51"/>
      <c r="AP75" s="51"/>
      <c r="AQ75" s="72">
        <v>1600000</v>
      </c>
      <c r="AR75" s="72">
        <v>50000</v>
      </c>
      <c r="AS75" s="50">
        <v>46387</v>
      </c>
      <c r="AT75" s="50" t="s">
        <v>1436</v>
      </c>
      <c r="AU75" s="49" t="s">
        <v>1436</v>
      </c>
      <c r="AV75" s="49" t="s">
        <v>1670</v>
      </c>
      <c r="AW75" s="48" t="s">
        <v>1244</v>
      </c>
    </row>
    <row r="76" spans="1:49" x14ac:dyDescent="0.3">
      <c r="A76" s="48" t="s">
        <v>1320</v>
      </c>
      <c r="B76" s="48" t="s">
        <v>6</v>
      </c>
      <c r="C76" s="48" t="s">
        <v>1322</v>
      </c>
      <c r="D76" s="50">
        <v>44742</v>
      </c>
      <c r="E76" s="48" t="s">
        <v>36</v>
      </c>
      <c r="F76" s="48" t="s">
        <v>1433</v>
      </c>
      <c r="G76" s="48" t="s">
        <v>1434</v>
      </c>
      <c r="H76" s="49" t="s">
        <v>1435</v>
      </c>
      <c r="I76" s="48" t="s">
        <v>1412</v>
      </c>
      <c r="J76" s="48" t="s">
        <v>40</v>
      </c>
      <c r="K76" s="48" t="s">
        <v>52</v>
      </c>
      <c r="L76" s="48" t="s">
        <v>38</v>
      </c>
      <c r="M76" s="48" t="s">
        <v>37</v>
      </c>
      <c r="N76" s="48" t="s">
        <v>1436</v>
      </c>
      <c r="O76" s="48" t="s">
        <v>1436</v>
      </c>
      <c r="P76" s="48" t="s">
        <v>1436</v>
      </c>
      <c r="Q76" s="48" t="s">
        <v>38</v>
      </c>
      <c r="R76" s="48" t="s">
        <v>39</v>
      </c>
      <c r="S76" s="48" t="s">
        <v>40</v>
      </c>
      <c r="T76" s="48" t="s">
        <v>41</v>
      </c>
      <c r="U76" s="48" t="s">
        <v>1436</v>
      </c>
      <c r="V76" s="48" t="s">
        <v>1436</v>
      </c>
      <c r="W76" s="48" t="s">
        <v>1436</v>
      </c>
      <c r="X76" s="49" t="s">
        <v>193</v>
      </c>
      <c r="Y76" s="48" t="s">
        <v>1194</v>
      </c>
      <c r="Z76" s="49" t="s">
        <v>1321</v>
      </c>
      <c r="AA76" s="48" t="s">
        <v>1324</v>
      </c>
      <c r="AB76" s="48" t="s">
        <v>1325</v>
      </c>
      <c r="AC76" s="48" t="s">
        <v>1239</v>
      </c>
      <c r="AD76" s="48" t="s">
        <v>1231</v>
      </c>
      <c r="AE76" s="48" t="s">
        <v>1669</v>
      </c>
      <c r="AF76" s="48" t="s">
        <v>1436</v>
      </c>
      <c r="AG76" s="48" t="s">
        <v>1436</v>
      </c>
      <c r="AH76" s="48" t="s">
        <v>208</v>
      </c>
      <c r="AI76" s="50">
        <v>44562</v>
      </c>
      <c r="AJ76" s="50">
        <v>46387</v>
      </c>
      <c r="AK76" s="49" t="s">
        <v>1280</v>
      </c>
      <c r="AL76" s="48" t="s">
        <v>36</v>
      </c>
      <c r="AM76" s="48" t="s">
        <v>36</v>
      </c>
      <c r="AN76" s="51">
        <v>-42330.49</v>
      </c>
      <c r="AO76" s="51"/>
      <c r="AP76" s="51"/>
      <c r="AQ76" s="72">
        <v>1600000</v>
      </c>
      <c r="AR76" s="72">
        <v>50000</v>
      </c>
      <c r="AS76" s="50">
        <v>46387</v>
      </c>
      <c r="AT76" s="50" t="s">
        <v>1436</v>
      </c>
      <c r="AU76" s="49" t="s">
        <v>1436</v>
      </c>
      <c r="AV76" s="49" t="s">
        <v>1670</v>
      </c>
      <c r="AW76" s="48" t="s">
        <v>1244</v>
      </c>
    </row>
    <row r="77" spans="1:49" x14ac:dyDescent="0.3">
      <c r="A77" s="48" t="s">
        <v>1320</v>
      </c>
      <c r="B77" s="48" t="s">
        <v>6</v>
      </c>
      <c r="C77" s="48" t="s">
        <v>1322</v>
      </c>
      <c r="D77" s="50">
        <v>44742</v>
      </c>
      <c r="E77" s="48" t="s">
        <v>36</v>
      </c>
      <c r="F77" s="48" t="s">
        <v>1433</v>
      </c>
      <c r="G77" s="48" t="s">
        <v>1434</v>
      </c>
      <c r="H77" s="49" t="s">
        <v>1437</v>
      </c>
      <c r="I77" s="48" t="s">
        <v>1410</v>
      </c>
      <c r="J77" s="48" t="s">
        <v>40</v>
      </c>
      <c r="K77" s="48" t="s">
        <v>42</v>
      </c>
      <c r="L77" s="48" t="s">
        <v>38</v>
      </c>
      <c r="M77" s="48" t="s">
        <v>37</v>
      </c>
      <c r="N77" s="48" t="s">
        <v>1436</v>
      </c>
      <c r="O77" s="48" t="s">
        <v>1436</v>
      </c>
      <c r="P77" s="48" t="s">
        <v>1436</v>
      </c>
      <c r="Q77" s="48" t="s">
        <v>38</v>
      </c>
      <c r="R77" s="48" t="s">
        <v>39</v>
      </c>
      <c r="S77" s="48" t="s">
        <v>40</v>
      </c>
      <c r="T77" s="48" t="s">
        <v>41</v>
      </c>
      <c r="U77" s="48" t="s">
        <v>1436</v>
      </c>
      <c r="V77" s="48" t="s">
        <v>1436</v>
      </c>
      <c r="W77" s="48" t="s">
        <v>1436</v>
      </c>
      <c r="X77" s="49" t="s">
        <v>193</v>
      </c>
      <c r="Y77" s="48" t="s">
        <v>1194</v>
      </c>
      <c r="Z77" s="49" t="s">
        <v>1321</v>
      </c>
      <c r="AA77" s="48" t="s">
        <v>1324</v>
      </c>
      <c r="AB77" s="48" t="s">
        <v>1325</v>
      </c>
      <c r="AC77" s="48" t="s">
        <v>1239</v>
      </c>
      <c r="AD77" s="48" t="s">
        <v>1231</v>
      </c>
      <c r="AE77" s="48" t="s">
        <v>1669</v>
      </c>
      <c r="AF77" s="48" t="s">
        <v>1436</v>
      </c>
      <c r="AG77" s="48" t="s">
        <v>1436</v>
      </c>
      <c r="AH77" s="48" t="s">
        <v>208</v>
      </c>
      <c r="AI77" s="50">
        <v>44562</v>
      </c>
      <c r="AJ77" s="50">
        <v>46387</v>
      </c>
      <c r="AK77" s="49" t="s">
        <v>1280</v>
      </c>
      <c r="AL77" s="48" t="s">
        <v>36</v>
      </c>
      <c r="AM77" s="48" t="s">
        <v>36</v>
      </c>
      <c r="AN77" s="51">
        <v>0</v>
      </c>
      <c r="AO77" s="51"/>
      <c r="AP77" s="51"/>
      <c r="AQ77" s="72">
        <v>1600000</v>
      </c>
      <c r="AR77" s="72">
        <v>50000</v>
      </c>
      <c r="AS77" s="50">
        <v>46387</v>
      </c>
      <c r="AT77" s="50" t="s">
        <v>1436</v>
      </c>
      <c r="AU77" s="49" t="s">
        <v>1436</v>
      </c>
      <c r="AV77" s="49" t="s">
        <v>1670</v>
      </c>
      <c r="AW77" s="48" t="s">
        <v>1244</v>
      </c>
    </row>
    <row r="78" spans="1:49" x14ac:dyDescent="0.3">
      <c r="A78" s="48" t="s">
        <v>1320</v>
      </c>
      <c r="B78" s="48" t="s">
        <v>6</v>
      </c>
      <c r="C78" s="48" t="s">
        <v>1322</v>
      </c>
      <c r="D78" s="50">
        <v>44742</v>
      </c>
      <c r="E78" s="48" t="s">
        <v>36</v>
      </c>
      <c r="F78" s="48" t="s">
        <v>1438</v>
      </c>
      <c r="G78" s="48" t="s">
        <v>1439</v>
      </c>
      <c r="H78" s="49" t="s">
        <v>1440</v>
      </c>
      <c r="I78" s="48" t="s">
        <v>1406</v>
      </c>
      <c r="J78" s="48" t="s">
        <v>1194</v>
      </c>
      <c r="K78" s="48" t="s">
        <v>1441</v>
      </c>
      <c r="L78" s="48" t="s">
        <v>38</v>
      </c>
      <c r="M78" s="48" t="s">
        <v>37</v>
      </c>
      <c r="N78" s="48" t="s">
        <v>1436</v>
      </c>
      <c r="O78" s="48" t="s">
        <v>1436</v>
      </c>
      <c r="P78" s="48" t="s">
        <v>1436</v>
      </c>
      <c r="Q78" s="48" t="s">
        <v>38</v>
      </c>
      <c r="R78" s="48" t="s">
        <v>39</v>
      </c>
      <c r="S78" s="48" t="s">
        <v>1194</v>
      </c>
      <c r="T78" s="48" t="s">
        <v>41</v>
      </c>
      <c r="U78" s="48" t="s">
        <v>1436</v>
      </c>
      <c r="V78" s="48" t="s">
        <v>1436</v>
      </c>
      <c r="W78" s="48" t="s">
        <v>1436</v>
      </c>
      <c r="X78" s="49" t="s">
        <v>193</v>
      </c>
      <c r="Y78" s="48" t="s">
        <v>1194</v>
      </c>
      <c r="Z78" s="49" t="s">
        <v>1321</v>
      </c>
      <c r="AA78" s="48" t="s">
        <v>1324</v>
      </c>
      <c r="AB78" s="48" t="s">
        <v>1325</v>
      </c>
      <c r="AC78" s="48" t="s">
        <v>1239</v>
      </c>
      <c r="AD78" s="48" t="s">
        <v>1231</v>
      </c>
      <c r="AE78" s="48" t="s">
        <v>1669</v>
      </c>
      <c r="AF78" s="48" t="s">
        <v>1436</v>
      </c>
      <c r="AG78" s="48" t="s">
        <v>1436</v>
      </c>
      <c r="AH78" s="48" t="s">
        <v>208</v>
      </c>
      <c r="AI78" s="50">
        <v>44562</v>
      </c>
      <c r="AJ78" s="50">
        <v>46387</v>
      </c>
      <c r="AK78" s="49" t="s">
        <v>1280</v>
      </c>
      <c r="AL78" s="48" t="s">
        <v>36</v>
      </c>
      <c r="AM78" s="48" t="s">
        <v>36</v>
      </c>
      <c r="AN78" s="51">
        <v>0</v>
      </c>
      <c r="AO78" s="51"/>
      <c r="AP78" s="51"/>
      <c r="AQ78" s="72">
        <v>1600000</v>
      </c>
      <c r="AR78" s="72">
        <v>50000</v>
      </c>
      <c r="AS78" s="50">
        <v>46387</v>
      </c>
      <c r="AT78" s="50" t="s">
        <v>1436</v>
      </c>
      <c r="AU78" s="49" t="s">
        <v>1436</v>
      </c>
      <c r="AV78" s="49" t="s">
        <v>1670</v>
      </c>
      <c r="AW78" s="48" t="s">
        <v>1244</v>
      </c>
    </row>
    <row r="79" spans="1:49" x14ac:dyDescent="0.3">
      <c r="A79" s="48" t="s">
        <v>1320</v>
      </c>
      <c r="B79" s="48" t="s">
        <v>6</v>
      </c>
      <c r="C79" s="48" t="s">
        <v>1322</v>
      </c>
      <c r="D79" s="50">
        <v>44742</v>
      </c>
      <c r="E79" s="48" t="s">
        <v>36</v>
      </c>
      <c r="F79" s="48" t="s">
        <v>1438</v>
      </c>
      <c r="G79" s="48" t="s">
        <v>1439</v>
      </c>
      <c r="H79" s="49" t="s">
        <v>1442</v>
      </c>
      <c r="I79" s="48" t="s">
        <v>1405</v>
      </c>
      <c r="J79" s="48" t="s">
        <v>1194</v>
      </c>
      <c r="K79" s="48" t="s">
        <v>1443</v>
      </c>
      <c r="L79" s="48" t="s">
        <v>38</v>
      </c>
      <c r="M79" s="48" t="s">
        <v>37</v>
      </c>
      <c r="N79" s="48" t="s">
        <v>1436</v>
      </c>
      <c r="O79" s="48" t="s">
        <v>1436</v>
      </c>
      <c r="P79" s="48" t="s">
        <v>1436</v>
      </c>
      <c r="Q79" s="48" t="s">
        <v>38</v>
      </c>
      <c r="R79" s="48" t="s">
        <v>39</v>
      </c>
      <c r="S79" s="48" t="s">
        <v>1194</v>
      </c>
      <c r="T79" s="48" t="s">
        <v>41</v>
      </c>
      <c r="U79" s="48" t="s">
        <v>1436</v>
      </c>
      <c r="V79" s="48" t="s">
        <v>1436</v>
      </c>
      <c r="W79" s="48" t="s">
        <v>1436</v>
      </c>
      <c r="X79" s="49" t="s">
        <v>193</v>
      </c>
      <c r="Y79" s="48" t="s">
        <v>1194</v>
      </c>
      <c r="Z79" s="49" t="s">
        <v>1321</v>
      </c>
      <c r="AA79" s="48" t="s">
        <v>1324</v>
      </c>
      <c r="AB79" s="48" t="s">
        <v>1325</v>
      </c>
      <c r="AC79" s="48" t="s">
        <v>1239</v>
      </c>
      <c r="AD79" s="48" t="s">
        <v>1231</v>
      </c>
      <c r="AE79" s="48" t="s">
        <v>1669</v>
      </c>
      <c r="AF79" s="48" t="s">
        <v>1436</v>
      </c>
      <c r="AG79" s="48" t="s">
        <v>1436</v>
      </c>
      <c r="AH79" s="48" t="s">
        <v>208</v>
      </c>
      <c r="AI79" s="50">
        <v>44562</v>
      </c>
      <c r="AJ79" s="50">
        <v>46387</v>
      </c>
      <c r="AK79" s="49" t="s">
        <v>1280</v>
      </c>
      <c r="AL79" s="48" t="s">
        <v>36</v>
      </c>
      <c r="AM79" s="48" t="s">
        <v>36</v>
      </c>
      <c r="AN79" s="51">
        <v>0</v>
      </c>
      <c r="AO79" s="51"/>
      <c r="AP79" s="51"/>
      <c r="AQ79" s="72">
        <v>1600000</v>
      </c>
      <c r="AR79" s="72">
        <v>50000</v>
      </c>
      <c r="AS79" s="50">
        <v>46387</v>
      </c>
      <c r="AT79" s="50" t="s">
        <v>1436</v>
      </c>
      <c r="AU79" s="49" t="s">
        <v>1436</v>
      </c>
      <c r="AV79" s="49" t="s">
        <v>1670</v>
      </c>
      <c r="AW79" s="48" t="s">
        <v>1244</v>
      </c>
    </row>
    <row r="80" spans="1:49" x14ac:dyDescent="0.3">
      <c r="A80" s="48" t="s">
        <v>1320</v>
      </c>
      <c r="B80" s="48" t="s">
        <v>6</v>
      </c>
      <c r="C80" s="48" t="s">
        <v>1322</v>
      </c>
      <c r="D80" s="50">
        <v>44742</v>
      </c>
      <c r="E80" s="48" t="s">
        <v>36</v>
      </c>
      <c r="F80" s="48" t="s">
        <v>1438</v>
      </c>
      <c r="G80" s="48" t="s">
        <v>1444</v>
      </c>
      <c r="H80" s="49" t="s">
        <v>1445</v>
      </c>
      <c r="I80" s="48" t="s">
        <v>1411</v>
      </c>
      <c r="J80" s="48" t="s">
        <v>40</v>
      </c>
      <c r="K80" s="48" t="s">
        <v>50</v>
      </c>
      <c r="L80" s="48" t="s">
        <v>38</v>
      </c>
      <c r="M80" s="48" t="s">
        <v>37</v>
      </c>
      <c r="N80" s="48" t="s">
        <v>1436</v>
      </c>
      <c r="O80" s="48" t="s">
        <v>1436</v>
      </c>
      <c r="P80" s="48" t="s">
        <v>1436</v>
      </c>
      <c r="Q80" s="48" t="s">
        <v>38</v>
      </c>
      <c r="R80" s="48" t="s">
        <v>39</v>
      </c>
      <c r="S80" s="48" t="s">
        <v>40</v>
      </c>
      <c r="T80" s="48" t="s">
        <v>41</v>
      </c>
      <c r="U80" s="48" t="s">
        <v>1436</v>
      </c>
      <c r="V80" s="48" t="s">
        <v>1436</v>
      </c>
      <c r="W80" s="48" t="s">
        <v>1436</v>
      </c>
      <c r="X80" s="49" t="s">
        <v>193</v>
      </c>
      <c r="Y80" s="48" t="s">
        <v>1194</v>
      </c>
      <c r="Z80" s="49" t="s">
        <v>1321</v>
      </c>
      <c r="AA80" s="48" t="s">
        <v>1324</v>
      </c>
      <c r="AB80" s="48" t="s">
        <v>1325</v>
      </c>
      <c r="AC80" s="48" t="s">
        <v>1239</v>
      </c>
      <c r="AD80" s="48" t="s">
        <v>1231</v>
      </c>
      <c r="AE80" s="48" t="s">
        <v>1669</v>
      </c>
      <c r="AF80" s="48" t="s">
        <v>1436</v>
      </c>
      <c r="AG80" s="48" t="s">
        <v>1436</v>
      </c>
      <c r="AH80" s="48" t="s">
        <v>208</v>
      </c>
      <c r="AI80" s="50">
        <v>44562</v>
      </c>
      <c r="AJ80" s="50">
        <v>46387</v>
      </c>
      <c r="AK80" s="49" t="s">
        <v>1280</v>
      </c>
      <c r="AL80" s="48" t="s">
        <v>36</v>
      </c>
      <c r="AM80" s="48" t="s">
        <v>36</v>
      </c>
      <c r="AN80" s="51">
        <v>42330.49</v>
      </c>
      <c r="AO80" s="51"/>
      <c r="AP80" s="51"/>
      <c r="AQ80" s="72">
        <v>1600000</v>
      </c>
      <c r="AR80" s="72">
        <v>50000</v>
      </c>
      <c r="AS80" s="50">
        <v>46387</v>
      </c>
      <c r="AT80" s="50" t="s">
        <v>1436</v>
      </c>
      <c r="AU80" s="49" t="s">
        <v>1436</v>
      </c>
      <c r="AV80" s="49" t="s">
        <v>1670</v>
      </c>
      <c r="AW80" s="48" t="s">
        <v>1244</v>
      </c>
    </row>
    <row r="81" spans="1:49" x14ac:dyDescent="0.3">
      <c r="A81" s="48" t="s">
        <v>1320</v>
      </c>
      <c r="B81" s="48" t="s">
        <v>6</v>
      </c>
      <c r="C81" s="48" t="s">
        <v>1322</v>
      </c>
      <c r="D81" s="50">
        <v>44742</v>
      </c>
      <c r="E81" s="48" t="s">
        <v>36</v>
      </c>
      <c r="F81" s="48" t="s">
        <v>1438</v>
      </c>
      <c r="G81" s="48" t="s">
        <v>1444</v>
      </c>
      <c r="H81" s="49" t="s">
        <v>1446</v>
      </c>
      <c r="I81" s="48" t="s">
        <v>1407</v>
      </c>
      <c r="J81" s="48" t="s">
        <v>40</v>
      </c>
      <c r="K81" s="48" t="s">
        <v>47</v>
      </c>
      <c r="L81" s="48" t="s">
        <v>38</v>
      </c>
      <c r="M81" s="48" t="s">
        <v>37</v>
      </c>
      <c r="N81" s="48" t="s">
        <v>1436</v>
      </c>
      <c r="O81" s="48" t="s">
        <v>1436</v>
      </c>
      <c r="P81" s="48" t="s">
        <v>1436</v>
      </c>
      <c r="Q81" s="48" t="s">
        <v>38</v>
      </c>
      <c r="R81" s="48" t="s">
        <v>39</v>
      </c>
      <c r="S81" s="48" t="s">
        <v>40</v>
      </c>
      <c r="T81" s="48" t="s">
        <v>41</v>
      </c>
      <c r="U81" s="48" t="s">
        <v>1436</v>
      </c>
      <c r="V81" s="48" t="s">
        <v>1436</v>
      </c>
      <c r="W81" s="48" t="s">
        <v>1436</v>
      </c>
      <c r="X81" s="49" t="s">
        <v>193</v>
      </c>
      <c r="Y81" s="48" t="s">
        <v>1194</v>
      </c>
      <c r="Z81" s="49" t="s">
        <v>1321</v>
      </c>
      <c r="AA81" s="48" t="s">
        <v>1324</v>
      </c>
      <c r="AB81" s="48" t="s">
        <v>1325</v>
      </c>
      <c r="AC81" s="48" t="s">
        <v>1239</v>
      </c>
      <c r="AD81" s="48" t="s">
        <v>1231</v>
      </c>
      <c r="AE81" s="48" t="s">
        <v>1669</v>
      </c>
      <c r="AF81" s="48" t="s">
        <v>1436</v>
      </c>
      <c r="AG81" s="48" t="s">
        <v>1436</v>
      </c>
      <c r="AH81" s="48" t="s">
        <v>208</v>
      </c>
      <c r="AI81" s="50">
        <v>44562</v>
      </c>
      <c r="AJ81" s="50">
        <v>46387</v>
      </c>
      <c r="AK81" s="49" t="s">
        <v>1280</v>
      </c>
      <c r="AL81" s="48" t="s">
        <v>36</v>
      </c>
      <c r="AM81" s="48" t="s">
        <v>36</v>
      </c>
      <c r="AN81" s="51">
        <v>13477.146129999999</v>
      </c>
      <c r="AO81" s="51"/>
      <c r="AP81" s="51"/>
      <c r="AQ81" s="72">
        <v>1600000</v>
      </c>
      <c r="AR81" s="72">
        <v>50000</v>
      </c>
      <c r="AS81" s="50">
        <v>46387</v>
      </c>
      <c r="AT81" s="50" t="s">
        <v>1436</v>
      </c>
      <c r="AU81" s="49" t="s">
        <v>1436</v>
      </c>
      <c r="AV81" s="49" t="s">
        <v>1670</v>
      </c>
      <c r="AW81" s="48" t="s">
        <v>1244</v>
      </c>
    </row>
    <row r="82" spans="1:49" x14ac:dyDescent="0.3">
      <c r="A82" s="48" t="s">
        <v>1320</v>
      </c>
      <c r="B82" s="48" t="s">
        <v>6</v>
      </c>
      <c r="C82" s="48" t="s">
        <v>1322</v>
      </c>
      <c r="D82" s="50">
        <v>44742</v>
      </c>
      <c r="E82" s="48" t="s">
        <v>36</v>
      </c>
      <c r="F82" s="48" t="s">
        <v>1433</v>
      </c>
      <c r="G82" s="48" t="s">
        <v>1447</v>
      </c>
      <c r="H82" s="49" t="s">
        <v>1448</v>
      </c>
      <c r="I82" s="48" t="s">
        <v>1413</v>
      </c>
      <c r="J82" s="48" t="s">
        <v>40</v>
      </c>
      <c r="K82" s="48" t="s">
        <v>58</v>
      </c>
      <c r="L82" s="48" t="s">
        <v>38</v>
      </c>
      <c r="M82" s="48" t="s">
        <v>37</v>
      </c>
      <c r="N82" s="48" t="s">
        <v>1436</v>
      </c>
      <c r="O82" s="48" t="s">
        <v>1436</v>
      </c>
      <c r="P82" s="48" t="s">
        <v>1436</v>
      </c>
      <c r="Q82" s="48" t="s">
        <v>38</v>
      </c>
      <c r="R82" s="48" t="s">
        <v>39</v>
      </c>
      <c r="S82" s="48" t="s">
        <v>40</v>
      </c>
      <c r="T82" s="48" t="s">
        <v>41</v>
      </c>
      <c r="U82" s="48" t="s">
        <v>1436</v>
      </c>
      <c r="V82" s="48" t="s">
        <v>1436</v>
      </c>
      <c r="W82" s="48" t="s">
        <v>1436</v>
      </c>
      <c r="X82" s="49" t="s">
        <v>193</v>
      </c>
      <c r="Y82" s="48" t="s">
        <v>1194</v>
      </c>
      <c r="Z82" s="49" t="s">
        <v>1321</v>
      </c>
      <c r="AA82" s="48" t="s">
        <v>1324</v>
      </c>
      <c r="AB82" s="48" t="s">
        <v>1325</v>
      </c>
      <c r="AC82" s="48" t="s">
        <v>1239</v>
      </c>
      <c r="AD82" s="48" t="s">
        <v>1231</v>
      </c>
      <c r="AE82" s="48" t="s">
        <v>1669</v>
      </c>
      <c r="AF82" s="48" t="s">
        <v>1436</v>
      </c>
      <c r="AG82" s="48" t="s">
        <v>1436</v>
      </c>
      <c r="AH82" s="48" t="s">
        <v>208</v>
      </c>
      <c r="AI82" s="50">
        <v>44562</v>
      </c>
      <c r="AJ82" s="50">
        <v>46387</v>
      </c>
      <c r="AK82" s="49" t="s">
        <v>1280</v>
      </c>
      <c r="AL82" s="48" t="s">
        <v>36</v>
      </c>
      <c r="AM82" s="48" t="s">
        <v>36</v>
      </c>
      <c r="AN82" s="51">
        <v>-50000</v>
      </c>
      <c r="AO82" s="51"/>
      <c r="AP82" s="51"/>
      <c r="AQ82" s="72">
        <v>1600000</v>
      </c>
      <c r="AR82" s="72">
        <v>50000</v>
      </c>
      <c r="AS82" s="50">
        <v>46387</v>
      </c>
      <c r="AT82" s="50" t="s">
        <v>1436</v>
      </c>
      <c r="AU82" s="49" t="s">
        <v>1436</v>
      </c>
      <c r="AV82" s="49" t="s">
        <v>1670</v>
      </c>
      <c r="AW82" s="48" t="s">
        <v>1244</v>
      </c>
    </row>
    <row r="83" spans="1:49" x14ac:dyDescent="0.3">
      <c r="A83" s="48" t="s">
        <v>1320</v>
      </c>
      <c r="B83" s="48" t="s">
        <v>6</v>
      </c>
      <c r="C83" s="48" t="s">
        <v>1322</v>
      </c>
      <c r="D83" s="50">
        <v>44742</v>
      </c>
      <c r="E83" s="48" t="s">
        <v>36</v>
      </c>
      <c r="F83" s="48" t="s">
        <v>1433</v>
      </c>
      <c r="G83" s="48" t="s">
        <v>1447</v>
      </c>
      <c r="H83" s="49" t="s">
        <v>1449</v>
      </c>
      <c r="I83" s="48" t="s">
        <v>1409</v>
      </c>
      <c r="J83" s="48" t="s">
        <v>40</v>
      </c>
      <c r="K83" s="48" t="s">
        <v>45</v>
      </c>
      <c r="L83" s="48" t="s">
        <v>38</v>
      </c>
      <c r="M83" s="48" t="s">
        <v>37</v>
      </c>
      <c r="N83" s="48" t="s">
        <v>1436</v>
      </c>
      <c r="O83" s="48" t="s">
        <v>1436</v>
      </c>
      <c r="P83" s="48" t="s">
        <v>1436</v>
      </c>
      <c r="Q83" s="48" t="s">
        <v>38</v>
      </c>
      <c r="R83" s="48" t="s">
        <v>39</v>
      </c>
      <c r="S83" s="48" t="s">
        <v>40</v>
      </c>
      <c r="T83" s="48" t="s">
        <v>41</v>
      </c>
      <c r="U83" s="48" t="s">
        <v>1436</v>
      </c>
      <c r="V83" s="48" t="s">
        <v>1436</v>
      </c>
      <c r="W83" s="48" t="s">
        <v>1436</v>
      </c>
      <c r="X83" s="49" t="s">
        <v>193</v>
      </c>
      <c r="Y83" s="48" t="s">
        <v>1194</v>
      </c>
      <c r="Z83" s="49" t="s">
        <v>1321</v>
      </c>
      <c r="AA83" s="48" t="s">
        <v>1324</v>
      </c>
      <c r="AB83" s="48" t="s">
        <v>1325</v>
      </c>
      <c r="AC83" s="48" t="s">
        <v>1239</v>
      </c>
      <c r="AD83" s="48" t="s">
        <v>1231</v>
      </c>
      <c r="AE83" s="48" t="s">
        <v>1669</v>
      </c>
      <c r="AF83" s="48" t="s">
        <v>1436</v>
      </c>
      <c r="AG83" s="48" t="s">
        <v>1436</v>
      </c>
      <c r="AH83" s="48" t="s">
        <v>208</v>
      </c>
      <c r="AI83" s="50">
        <v>44562</v>
      </c>
      <c r="AJ83" s="50">
        <v>46387</v>
      </c>
      <c r="AK83" s="49" t="s">
        <v>1280</v>
      </c>
      <c r="AL83" s="48" t="s">
        <v>36</v>
      </c>
      <c r="AM83" s="48" t="s">
        <v>36</v>
      </c>
      <c r="AN83" s="51">
        <v>38935.969472999997</v>
      </c>
      <c r="AO83" s="51"/>
      <c r="AP83" s="51"/>
      <c r="AQ83" s="72">
        <v>1600000</v>
      </c>
      <c r="AR83" s="72">
        <v>50000</v>
      </c>
      <c r="AS83" s="50">
        <v>46387</v>
      </c>
      <c r="AT83" s="50" t="s">
        <v>1436</v>
      </c>
      <c r="AU83" s="49" t="s">
        <v>1436</v>
      </c>
      <c r="AV83" s="49" t="s">
        <v>1670</v>
      </c>
      <c r="AW83" s="48" t="s">
        <v>1244</v>
      </c>
    </row>
    <row r="84" spans="1:49" x14ac:dyDescent="0.3">
      <c r="A84" s="48" t="s">
        <v>1320</v>
      </c>
      <c r="B84" s="48" t="s">
        <v>6</v>
      </c>
      <c r="C84" s="48" t="s">
        <v>1322</v>
      </c>
      <c r="D84" s="50">
        <v>44742</v>
      </c>
      <c r="E84" s="48" t="s">
        <v>36</v>
      </c>
      <c r="F84" s="48" t="s">
        <v>1433</v>
      </c>
      <c r="G84" s="48" t="s">
        <v>1447</v>
      </c>
      <c r="H84" s="49" t="s">
        <v>1450</v>
      </c>
      <c r="I84" s="48" t="s">
        <v>1408</v>
      </c>
      <c r="J84" s="48" t="s">
        <v>40</v>
      </c>
      <c r="K84" s="48" t="s">
        <v>54</v>
      </c>
      <c r="L84" s="48" t="s">
        <v>38</v>
      </c>
      <c r="M84" s="48" t="s">
        <v>37</v>
      </c>
      <c r="N84" s="48" t="s">
        <v>1436</v>
      </c>
      <c r="O84" s="48" t="s">
        <v>1436</v>
      </c>
      <c r="P84" s="48" t="s">
        <v>1436</v>
      </c>
      <c r="Q84" s="48" t="s">
        <v>38</v>
      </c>
      <c r="R84" s="48" t="s">
        <v>39</v>
      </c>
      <c r="S84" s="48" t="s">
        <v>40</v>
      </c>
      <c r="T84" s="48" t="s">
        <v>41</v>
      </c>
      <c r="U84" s="48" t="s">
        <v>1436</v>
      </c>
      <c r="V84" s="48" t="s">
        <v>1436</v>
      </c>
      <c r="W84" s="48" t="s">
        <v>1436</v>
      </c>
      <c r="X84" s="49" t="s">
        <v>193</v>
      </c>
      <c r="Y84" s="48" t="s">
        <v>1194</v>
      </c>
      <c r="Z84" s="49" t="s">
        <v>1321</v>
      </c>
      <c r="AA84" s="48" t="s">
        <v>1324</v>
      </c>
      <c r="AB84" s="48" t="s">
        <v>1325</v>
      </c>
      <c r="AC84" s="48" t="s">
        <v>1239</v>
      </c>
      <c r="AD84" s="48" t="s">
        <v>1231</v>
      </c>
      <c r="AE84" s="48" t="s">
        <v>1669</v>
      </c>
      <c r="AF84" s="48" t="s">
        <v>1436</v>
      </c>
      <c r="AG84" s="48" t="s">
        <v>1436</v>
      </c>
      <c r="AH84" s="48" t="s">
        <v>208</v>
      </c>
      <c r="AI84" s="50">
        <v>44562</v>
      </c>
      <c r="AJ84" s="50">
        <v>46387</v>
      </c>
      <c r="AK84" s="49" t="s">
        <v>1280</v>
      </c>
      <c r="AL84" s="48" t="s">
        <v>36</v>
      </c>
      <c r="AM84" s="48" t="s">
        <v>36</v>
      </c>
      <c r="AN84" s="51">
        <v>-2624.93</v>
      </c>
      <c r="AO84" s="51"/>
      <c r="AP84" s="51"/>
      <c r="AQ84" s="72">
        <v>1600000</v>
      </c>
      <c r="AR84" s="72">
        <v>50000</v>
      </c>
      <c r="AS84" s="50">
        <v>46387</v>
      </c>
      <c r="AT84" s="50" t="s">
        <v>1436</v>
      </c>
      <c r="AU84" s="49" t="s">
        <v>1436</v>
      </c>
      <c r="AV84" s="49" t="s">
        <v>1670</v>
      </c>
      <c r="AW84" s="48" t="s">
        <v>1244</v>
      </c>
    </row>
    <row r="85" spans="1:49" x14ac:dyDescent="0.3">
      <c r="A85" s="48" t="s">
        <v>1320</v>
      </c>
      <c r="B85" s="48" t="s">
        <v>6</v>
      </c>
      <c r="C85" s="48" t="s">
        <v>1322</v>
      </c>
      <c r="D85" s="50">
        <v>44742</v>
      </c>
      <c r="E85" s="48" t="s">
        <v>36</v>
      </c>
      <c r="F85" s="48" t="s">
        <v>1433</v>
      </c>
      <c r="G85" s="48" t="s">
        <v>1447</v>
      </c>
      <c r="H85" s="49" t="s">
        <v>1451</v>
      </c>
      <c r="I85" s="48" t="s">
        <v>1404</v>
      </c>
      <c r="J85" s="48" t="s">
        <v>38</v>
      </c>
      <c r="K85" s="48" t="s">
        <v>49</v>
      </c>
      <c r="L85" s="48" t="s">
        <v>38</v>
      </c>
      <c r="M85" s="48" t="s">
        <v>37</v>
      </c>
      <c r="N85" s="48" t="s">
        <v>1436</v>
      </c>
      <c r="O85" s="48" t="s">
        <v>1436</v>
      </c>
      <c r="P85" s="48" t="s">
        <v>1436</v>
      </c>
      <c r="Q85" s="48" t="s">
        <v>38</v>
      </c>
      <c r="R85" s="48" t="s">
        <v>39</v>
      </c>
      <c r="S85" s="48" t="s">
        <v>38</v>
      </c>
      <c r="T85" s="48" t="s">
        <v>41</v>
      </c>
      <c r="U85" s="48" t="s">
        <v>1436</v>
      </c>
      <c r="V85" s="48" t="s">
        <v>1436</v>
      </c>
      <c r="W85" s="48" t="s">
        <v>1436</v>
      </c>
      <c r="X85" s="49" t="s">
        <v>193</v>
      </c>
      <c r="Y85" s="48" t="s">
        <v>1194</v>
      </c>
      <c r="Z85" s="49" t="s">
        <v>1321</v>
      </c>
      <c r="AA85" s="48" t="s">
        <v>1324</v>
      </c>
      <c r="AB85" s="48" t="s">
        <v>1325</v>
      </c>
      <c r="AC85" s="48" t="s">
        <v>1239</v>
      </c>
      <c r="AD85" s="48" t="s">
        <v>1231</v>
      </c>
      <c r="AE85" s="48" t="s">
        <v>1669</v>
      </c>
      <c r="AF85" s="48" t="s">
        <v>1436</v>
      </c>
      <c r="AG85" s="48" t="s">
        <v>1436</v>
      </c>
      <c r="AH85" s="48" t="s">
        <v>208</v>
      </c>
      <c r="AI85" s="50">
        <v>44562</v>
      </c>
      <c r="AJ85" s="50">
        <v>46387</v>
      </c>
      <c r="AK85" s="49" t="s">
        <v>1280</v>
      </c>
      <c r="AL85" s="48" t="s">
        <v>36</v>
      </c>
      <c r="AM85" s="48" t="s">
        <v>36</v>
      </c>
      <c r="AN85" s="51">
        <v>211.81439700000001</v>
      </c>
      <c r="AO85" s="51"/>
      <c r="AP85" s="51"/>
      <c r="AQ85" s="72">
        <v>1600000</v>
      </c>
      <c r="AR85" s="72">
        <v>50000</v>
      </c>
      <c r="AS85" s="50">
        <v>46387</v>
      </c>
      <c r="AT85" s="50" t="s">
        <v>1436</v>
      </c>
      <c r="AU85" s="49" t="s">
        <v>1436</v>
      </c>
      <c r="AV85" s="49" t="s">
        <v>1670</v>
      </c>
      <c r="AW85" s="48" t="s">
        <v>1244</v>
      </c>
    </row>
    <row r="86" spans="1:49" x14ac:dyDescent="0.3">
      <c r="A86" s="48" t="s">
        <v>1320</v>
      </c>
      <c r="B86" s="48" t="s">
        <v>6</v>
      </c>
      <c r="C86" s="48" t="s">
        <v>1322</v>
      </c>
      <c r="D86" s="50">
        <v>44773</v>
      </c>
      <c r="E86" s="48" t="s">
        <v>36</v>
      </c>
      <c r="F86" s="48" t="s">
        <v>1433</v>
      </c>
      <c r="G86" s="48" t="s">
        <v>1434</v>
      </c>
      <c r="H86" s="49" t="s">
        <v>1435</v>
      </c>
      <c r="I86" s="48" t="s">
        <v>1412</v>
      </c>
      <c r="J86" s="48" t="s">
        <v>40</v>
      </c>
      <c r="K86" s="48" t="s">
        <v>52</v>
      </c>
      <c r="L86" s="48" t="s">
        <v>38</v>
      </c>
      <c r="M86" s="48" t="s">
        <v>37</v>
      </c>
      <c r="N86" s="48" t="s">
        <v>1436</v>
      </c>
      <c r="O86" s="48" t="s">
        <v>1436</v>
      </c>
      <c r="P86" s="48" t="s">
        <v>1436</v>
      </c>
      <c r="Q86" s="48" t="s">
        <v>38</v>
      </c>
      <c r="R86" s="48" t="s">
        <v>39</v>
      </c>
      <c r="S86" s="48" t="s">
        <v>40</v>
      </c>
      <c r="T86" s="48" t="s">
        <v>41</v>
      </c>
      <c r="U86" s="48" t="s">
        <v>1436</v>
      </c>
      <c r="V86" s="48" t="s">
        <v>1436</v>
      </c>
      <c r="W86" s="48" t="s">
        <v>1436</v>
      </c>
      <c r="X86" s="49" t="s">
        <v>193</v>
      </c>
      <c r="Y86" s="48" t="s">
        <v>1194</v>
      </c>
      <c r="Z86" s="49" t="s">
        <v>1321</v>
      </c>
      <c r="AA86" s="48" t="s">
        <v>1324</v>
      </c>
      <c r="AB86" s="48" t="s">
        <v>1325</v>
      </c>
      <c r="AC86" s="48" t="s">
        <v>1239</v>
      </c>
      <c r="AD86" s="48" t="s">
        <v>1231</v>
      </c>
      <c r="AE86" s="48" t="s">
        <v>1669</v>
      </c>
      <c r="AF86" s="48" t="s">
        <v>1436</v>
      </c>
      <c r="AG86" s="48" t="s">
        <v>1436</v>
      </c>
      <c r="AH86" s="48" t="s">
        <v>208</v>
      </c>
      <c r="AI86" s="50">
        <v>44562</v>
      </c>
      <c r="AJ86" s="50">
        <v>46387</v>
      </c>
      <c r="AK86" s="49" t="s">
        <v>1280</v>
      </c>
      <c r="AL86" s="48" t="s">
        <v>36</v>
      </c>
      <c r="AM86" s="48" t="s">
        <v>36</v>
      </c>
      <c r="AN86" s="51">
        <v>-42330.49</v>
      </c>
      <c r="AO86" s="51"/>
      <c r="AP86" s="51"/>
      <c r="AQ86" s="72">
        <v>1600000</v>
      </c>
      <c r="AR86" s="72">
        <v>50000</v>
      </c>
      <c r="AS86" s="50">
        <v>46387</v>
      </c>
      <c r="AT86" s="50" t="s">
        <v>1436</v>
      </c>
      <c r="AU86" s="49" t="s">
        <v>1436</v>
      </c>
      <c r="AV86" s="49" t="s">
        <v>1670</v>
      </c>
      <c r="AW86" s="48" t="s">
        <v>1244</v>
      </c>
    </row>
    <row r="87" spans="1:49" x14ac:dyDescent="0.3">
      <c r="A87" s="48" t="s">
        <v>1320</v>
      </c>
      <c r="B87" s="48" t="s">
        <v>6</v>
      </c>
      <c r="C87" s="48" t="s">
        <v>1322</v>
      </c>
      <c r="D87" s="50">
        <v>44773</v>
      </c>
      <c r="E87" s="48" t="s">
        <v>36</v>
      </c>
      <c r="F87" s="48" t="s">
        <v>1433</v>
      </c>
      <c r="G87" s="48" t="s">
        <v>1434</v>
      </c>
      <c r="H87" s="49" t="s">
        <v>1437</v>
      </c>
      <c r="I87" s="48" t="s">
        <v>1410</v>
      </c>
      <c r="J87" s="48" t="s">
        <v>40</v>
      </c>
      <c r="K87" s="48" t="s">
        <v>42</v>
      </c>
      <c r="L87" s="48" t="s">
        <v>38</v>
      </c>
      <c r="M87" s="48" t="s">
        <v>37</v>
      </c>
      <c r="N87" s="48" t="s">
        <v>1436</v>
      </c>
      <c r="O87" s="48" t="s">
        <v>1436</v>
      </c>
      <c r="P87" s="48" t="s">
        <v>1436</v>
      </c>
      <c r="Q87" s="48" t="s">
        <v>38</v>
      </c>
      <c r="R87" s="48" t="s">
        <v>39</v>
      </c>
      <c r="S87" s="48" t="s">
        <v>40</v>
      </c>
      <c r="T87" s="48" t="s">
        <v>41</v>
      </c>
      <c r="U87" s="48" t="s">
        <v>1436</v>
      </c>
      <c r="V87" s="48" t="s">
        <v>1436</v>
      </c>
      <c r="W87" s="48" t="s">
        <v>1436</v>
      </c>
      <c r="X87" s="49" t="s">
        <v>193</v>
      </c>
      <c r="Y87" s="48" t="s">
        <v>1194</v>
      </c>
      <c r="Z87" s="49" t="s">
        <v>1321</v>
      </c>
      <c r="AA87" s="48" t="s">
        <v>1324</v>
      </c>
      <c r="AB87" s="48" t="s">
        <v>1325</v>
      </c>
      <c r="AC87" s="48" t="s">
        <v>1239</v>
      </c>
      <c r="AD87" s="48" t="s">
        <v>1231</v>
      </c>
      <c r="AE87" s="48" t="s">
        <v>1669</v>
      </c>
      <c r="AF87" s="48" t="s">
        <v>1436</v>
      </c>
      <c r="AG87" s="48" t="s">
        <v>1436</v>
      </c>
      <c r="AH87" s="48" t="s">
        <v>208</v>
      </c>
      <c r="AI87" s="50">
        <v>44562</v>
      </c>
      <c r="AJ87" s="50">
        <v>46387</v>
      </c>
      <c r="AK87" s="49" t="s">
        <v>1280</v>
      </c>
      <c r="AL87" s="48" t="s">
        <v>36</v>
      </c>
      <c r="AM87" s="48" t="s">
        <v>36</v>
      </c>
      <c r="AN87" s="51">
        <v>0</v>
      </c>
      <c r="AO87" s="51"/>
      <c r="AP87" s="51"/>
      <c r="AQ87" s="72">
        <v>1600000</v>
      </c>
      <c r="AR87" s="72">
        <v>50000</v>
      </c>
      <c r="AS87" s="50">
        <v>46387</v>
      </c>
      <c r="AT87" s="50" t="s">
        <v>1436</v>
      </c>
      <c r="AU87" s="49" t="s">
        <v>1436</v>
      </c>
      <c r="AV87" s="49" t="s">
        <v>1670</v>
      </c>
      <c r="AW87" s="48" t="s">
        <v>1244</v>
      </c>
    </row>
    <row r="88" spans="1:49" x14ac:dyDescent="0.3">
      <c r="A88" s="48" t="s">
        <v>1320</v>
      </c>
      <c r="B88" s="48" t="s">
        <v>6</v>
      </c>
      <c r="C88" s="48" t="s">
        <v>1322</v>
      </c>
      <c r="D88" s="50">
        <v>44773</v>
      </c>
      <c r="E88" s="48" t="s">
        <v>36</v>
      </c>
      <c r="F88" s="48" t="s">
        <v>1438</v>
      </c>
      <c r="G88" s="48" t="s">
        <v>1439</v>
      </c>
      <c r="H88" s="49" t="s">
        <v>1440</v>
      </c>
      <c r="I88" s="48" t="s">
        <v>1406</v>
      </c>
      <c r="J88" s="48" t="s">
        <v>1194</v>
      </c>
      <c r="K88" s="48" t="s">
        <v>1441</v>
      </c>
      <c r="L88" s="48" t="s">
        <v>38</v>
      </c>
      <c r="M88" s="48" t="s">
        <v>37</v>
      </c>
      <c r="N88" s="48" t="s">
        <v>1436</v>
      </c>
      <c r="O88" s="48" t="s">
        <v>1436</v>
      </c>
      <c r="P88" s="48" t="s">
        <v>1436</v>
      </c>
      <c r="Q88" s="48" t="s">
        <v>38</v>
      </c>
      <c r="R88" s="48" t="s">
        <v>39</v>
      </c>
      <c r="S88" s="48" t="s">
        <v>1194</v>
      </c>
      <c r="T88" s="48" t="s">
        <v>41</v>
      </c>
      <c r="U88" s="48" t="s">
        <v>1436</v>
      </c>
      <c r="V88" s="48" t="s">
        <v>1436</v>
      </c>
      <c r="W88" s="48" t="s">
        <v>1436</v>
      </c>
      <c r="X88" s="49" t="s">
        <v>193</v>
      </c>
      <c r="Y88" s="48" t="s">
        <v>1194</v>
      </c>
      <c r="Z88" s="49" t="s">
        <v>1321</v>
      </c>
      <c r="AA88" s="48" t="s">
        <v>1324</v>
      </c>
      <c r="AB88" s="48" t="s">
        <v>1325</v>
      </c>
      <c r="AC88" s="48" t="s">
        <v>1239</v>
      </c>
      <c r="AD88" s="48" t="s">
        <v>1231</v>
      </c>
      <c r="AE88" s="48" t="s">
        <v>1669</v>
      </c>
      <c r="AF88" s="48" t="s">
        <v>1436</v>
      </c>
      <c r="AG88" s="48" t="s">
        <v>1436</v>
      </c>
      <c r="AH88" s="48" t="s">
        <v>208</v>
      </c>
      <c r="AI88" s="50">
        <v>44562</v>
      </c>
      <c r="AJ88" s="50">
        <v>46387</v>
      </c>
      <c r="AK88" s="49" t="s">
        <v>1280</v>
      </c>
      <c r="AL88" s="48" t="s">
        <v>36</v>
      </c>
      <c r="AM88" s="48" t="s">
        <v>36</v>
      </c>
      <c r="AN88" s="51">
        <v>0</v>
      </c>
      <c r="AO88" s="51"/>
      <c r="AP88" s="51"/>
      <c r="AQ88" s="72">
        <v>1600000</v>
      </c>
      <c r="AR88" s="72">
        <v>50000</v>
      </c>
      <c r="AS88" s="50">
        <v>46387</v>
      </c>
      <c r="AT88" s="50" t="s">
        <v>1436</v>
      </c>
      <c r="AU88" s="49" t="s">
        <v>1436</v>
      </c>
      <c r="AV88" s="49" t="s">
        <v>1670</v>
      </c>
      <c r="AW88" s="48" t="s">
        <v>1244</v>
      </c>
    </row>
    <row r="89" spans="1:49" x14ac:dyDescent="0.3">
      <c r="A89" s="48" t="s">
        <v>1320</v>
      </c>
      <c r="B89" s="48" t="s">
        <v>6</v>
      </c>
      <c r="C89" s="48" t="s">
        <v>1322</v>
      </c>
      <c r="D89" s="50">
        <v>44773</v>
      </c>
      <c r="E89" s="48" t="s">
        <v>36</v>
      </c>
      <c r="F89" s="48" t="s">
        <v>1438</v>
      </c>
      <c r="G89" s="48" t="s">
        <v>1439</v>
      </c>
      <c r="H89" s="49" t="s">
        <v>1442</v>
      </c>
      <c r="I89" s="48" t="s">
        <v>1405</v>
      </c>
      <c r="J89" s="48" t="s">
        <v>1194</v>
      </c>
      <c r="K89" s="48" t="s">
        <v>1443</v>
      </c>
      <c r="L89" s="48" t="s">
        <v>38</v>
      </c>
      <c r="M89" s="48" t="s">
        <v>37</v>
      </c>
      <c r="N89" s="48" t="s">
        <v>1436</v>
      </c>
      <c r="O89" s="48" t="s">
        <v>1436</v>
      </c>
      <c r="P89" s="48" t="s">
        <v>1436</v>
      </c>
      <c r="Q89" s="48" t="s">
        <v>38</v>
      </c>
      <c r="R89" s="48" t="s">
        <v>39</v>
      </c>
      <c r="S89" s="48" t="s">
        <v>1194</v>
      </c>
      <c r="T89" s="48" t="s">
        <v>41</v>
      </c>
      <c r="U89" s="48" t="s">
        <v>1436</v>
      </c>
      <c r="V89" s="48" t="s">
        <v>1436</v>
      </c>
      <c r="W89" s="48" t="s">
        <v>1436</v>
      </c>
      <c r="X89" s="49" t="s">
        <v>193</v>
      </c>
      <c r="Y89" s="48" t="s">
        <v>1194</v>
      </c>
      <c r="Z89" s="49" t="s">
        <v>1321</v>
      </c>
      <c r="AA89" s="48" t="s">
        <v>1324</v>
      </c>
      <c r="AB89" s="48" t="s">
        <v>1325</v>
      </c>
      <c r="AC89" s="48" t="s">
        <v>1239</v>
      </c>
      <c r="AD89" s="48" t="s">
        <v>1231</v>
      </c>
      <c r="AE89" s="48" t="s">
        <v>1669</v>
      </c>
      <c r="AF89" s="48" t="s">
        <v>1436</v>
      </c>
      <c r="AG89" s="48" t="s">
        <v>1436</v>
      </c>
      <c r="AH89" s="48" t="s">
        <v>208</v>
      </c>
      <c r="AI89" s="50">
        <v>44562</v>
      </c>
      <c r="AJ89" s="50">
        <v>46387</v>
      </c>
      <c r="AK89" s="49" t="s">
        <v>1280</v>
      </c>
      <c r="AL89" s="48" t="s">
        <v>36</v>
      </c>
      <c r="AM89" s="48" t="s">
        <v>36</v>
      </c>
      <c r="AN89" s="51">
        <v>0</v>
      </c>
      <c r="AO89" s="51"/>
      <c r="AP89" s="51"/>
      <c r="AQ89" s="72">
        <v>1600000</v>
      </c>
      <c r="AR89" s="72">
        <v>50000</v>
      </c>
      <c r="AS89" s="50">
        <v>46387</v>
      </c>
      <c r="AT89" s="50" t="s">
        <v>1436</v>
      </c>
      <c r="AU89" s="49" t="s">
        <v>1436</v>
      </c>
      <c r="AV89" s="49" t="s">
        <v>1670</v>
      </c>
      <c r="AW89" s="48" t="s">
        <v>1244</v>
      </c>
    </row>
    <row r="90" spans="1:49" x14ac:dyDescent="0.3">
      <c r="A90" s="48" t="s">
        <v>1320</v>
      </c>
      <c r="B90" s="48" t="s">
        <v>6</v>
      </c>
      <c r="C90" s="48" t="s">
        <v>1322</v>
      </c>
      <c r="D90" s="50">
        <v>44773</v>
      </c>
      <c r="E90" s="48" t="s">
        <v>36</v>
      </c>
      <c r="F90" s="48" t="s">
        <v>1438</v>
      </c>
      <c r="G90" s="48" t="s">
        <v>1444</v>
      </c>
      <c r="H90" s="49" t="s">
        <v>1445</v>
      </c>
      <c r="I90" s="48" t="s">
        <v>1411</v>
      </c>
      <c r="J90" s="48" t="s">
        <v>40</v>
      </c>
      <c r="K90" s="48" t="s">
        <v>50</v>
      </c>
      <c r="L90" s="48" t="s">
        <v>38</v>
      </c>
      <c r="M90" s="48" t="s">
        <v>37</v>
      </c>
      <c r="N90" s="48" t="s">
        <v>1436</v>
      </c>
      <c r="O90" s="48" t="s">
        <v>1436</v>
      </c>
      <c r="P90" s="48" t="s">
        <v>1436</v>
      </c>
      <c r="Q90" s="48" t="s">
        <v>38</v>
      </c>
      <c r="R90" s="48" t="s">
        <v>39</v>
      </c>
      <c r="S90" s="48" t="s">
        <v>40</v>
      </c>
      <c r="T90" s="48" t="s">
        <v>41</v>
      </c>
      <c r="U90" s="48" t="s">
        <v>1436</v>
      </c>
      <c r="V90" s="48" t="s">
        <v>1436</v>
      </c>
      <c r="W90" s="48" t="s">
        <v>1436</v>
      </c>
      <c r="X90" s="49" t="s">
        <v>193</v>
      </c>
      <c r="Y90" s="48" t="s">
        <v>1194</v>
      </c>
      <c r="Z90" s="49" t="s">
        <v>1321</v>
      </c>
      <c r="AA90" s="48" t="s">
        <v>1324</v>
      </c>
      <c r="AB90" s="48" t="s">
        <v>1325</v>
      </c>
      <c r="AC90" s="48" t="s">
        <v>1239</v>
      </c>
      <c r="AD90" s="48" t="s">
        <v>1231</v>
      </c>
      <c r="AE90" s="48" t="s">
        <v>1669</v>
      </c>
      <c r="AF90" s="48" t="s">
        <v>1436</v>
      </c>
      <c r="AG90" s="48" t="s">
        <v>1436</v>
      </c>
      <c r="AH90" s="48" t="s">
        <v>208</v>
      </c>
      <c r="AI90" s="50">
        <v>44562</v>
      </c>
      <c r="AJ90" s="50">
        <v>46387</v>
      </c>
      <c r="AK90" s="49" t="s">
        <v>1280</v>
      </c>
      <c r="AL90" s="48" t="s">
        <v>36</v>
      </c>
      <c r="AM90" s="48" t="s">
        <v>36</v>
      </c>
      <c r="AN90" s="51">
        <v>42330.49</v>
      </c>
      <c r="AO90" s="51"/>
      <c r="AP90" s="51"/>
      <c r="AQ90" s="72">
        <v>1600000</v>
      </c>
      <c r="AR90" s="72">
        <v>50000</v>
      </c>
      <c r="AS90" s="50">
        <v>46387</v>
      </c>
      <c r="AT90" s="50" t="s">
        <v>1436</v>
      </c>
      <c r="AU90" s="49" t="s">
        <v>1436</v>
      </c>
      <c r="AV90" s="49" t="s">
        <v>1670</v>
      </c>
      <c r="AW90" s="48" t="s">
        <v>1244</v>
      </c>
    </row>
    <row r="91" spans="1:49" x14ac:dyDescent="0.3">
      <c r="A91" s="48" t="s">
        <v>1320</v>
      </c>
      <c r="B91" s="48" t="s">
        <v>6</v>
      </c>
      <c r="C91" s="48" t="s">
        <v>1322</v>
      </c>
      <c r="D91" s="50">
        <v>44773</v>
      </c>
      <c r="E91" s="48" t="s">
        <v>36</v>
      </c>
      <c r="F91" s="48" t="s">
        <v>1438</v>
      </c>
      <c r="G91" s="48" t="s">
        <v>1444</v>
      </c>
      <c r="H91" s="49" t="s">
        <v>1446</v>
      </c>
      <c r="I91" s="48" t="s">
        <v>1407</v>
      </c>
      <c r="J91" s="48" t="s">
        <v>40</v>
      </c>
      <c r="K91" s="48" t="s">
        <v>47</v>
      </c>
      <c r="L91" s="48" t="s">
        <v>38</v>
      </c>
      <c r="M91" s="48" t="s">
        <v>37</v>
      </c>
      <c r="N91" s="48" t="s">
        <v>1436</v>
      </c>
      <c r="O91" s="48" t="s">
        <v>1436</v>
      </c>
      <c r="P91" s="48" t="s">
        <v>1436</v>
      </c>
      <c r="Q91" s="48" t="s">
        <v>38</v>
      </c>
      <c r="R91" s="48" t="s">
        <v>39</v>
      </c>
      <c r="S91" s="48" t="s">
        <v>40</v>
      </c>
      <c r="T91" s="48" t="s">
        <v>41</v>
      </c>
      <c r="U91" s="48" t="s">
        <v>1436</v>
      </c>
      <c r="V91" s="48" t="s">
        <v>1436</v>
      </c>
      <c r="W91" s="48" t="s">
        <v>1436</v>
      </c>
      <c r="X91" s="49" t="s">
        <v>193</v>
      </c>
      <c r="Y91" s="48" t="s">
        <v>1194</v>
      </c>
      <c r="Z91" s="49" t="s">
        <v>1321</v>
      </c>
      <c r="AA91" s="48" t="s">
        <v>1324</v>
      </c>
      <c r="AB91" s="48" t="s">
        <v>1325</v>
      </c>
      <c r="AC91" s="48" t="s">
        <v>1239</v>
      </c>
      <c r="AD91" s="48" t="s">
        <v>1231</v>
      </c>
      <c r="AE91" s="48" t="s">
        <v>1669</v>
      </c>
      <c r="AF91" s="48" t="s">
        <v>1436</v>
      </c>
      <c r="AG91" s="48" t="s">
        <v>1436</v>
      </c>
      <c r="AH91" s="48" t="s">
        <v>208</v>
      </c>
      <c r="AI91" s="50">
        <v>44562</v>
      </c>
      <c r="AJ91" s="50">
        <v>46387</v>
      </c>
      <c r="AK91" s="49" t="s">
        <v>1280</v>
      </c>
      <c r="AL91" s="48" t="s">
        <v>36</v>
      </c>
      <c r="AM91" s="48" t="s">
        <v>36</v>
      </c>
      <c r="AN91" s="51">
        <v>13264.096149000001</v>
      </c>
      <c r="AO91" s="51"/>
      <c r="AP91" s="51"/>
      <c r="AQ91" s="72">
        <v>1600000</v>
      </c>
      <c r="AR91" s="72">
        <v>50000</v>
      </c>
      <c r="AS91" s="50">
        <v>46387</v>
      </c>
      <c r="AT91" s="50" t="s">
        <v>1436</v>
      </c>
      <c r="AU91" s="49" t="s">
        <v>1436</v>
      </c>
      <c r="AV91" s="49" t="s">
        <v>1670</v>
      </c>
      <c r="AW91" s="48" t="s">
        <v>1244</v>
      </c>
    </row>
    <row r="92" spans="1:49" x14ac:dyDescent="0.3">
      <c r="A92" s="48" t="s">
        <v>1320</v>
      </c>
      <c r="B92" s="48" t="s">
        <v>6</v>
      </c>
      <c r="C92" s="48" t="s">
        <v>1322</v>
      </c>
      <c r="D92" s="50">
        <v>44773</v>
      </c>
      <c r="E92" s="48" t="s">
        <v>36</v>
      </c>
      <c r="F92" s="48" t="s">
        <v>1433</v>
      </c>
      <c r="G92" s="48" t="s">
        <v>1447</v>
      </c>
      <c r="H92" s="49" t="s">
        <v>1448</v>
      </c>
      <c r="I92" s="48" t="s">
        <v>1413</v>
      </c>
      <c r="J92" s="48" t="s">
        <v>40</v>
      </c>
      <c r="K92" s="48" t="s">
        <v>58</v>
      </c>
      <c r="L92" s="48" t="s">
        <v>38</v>
      </c>
      <c r="M92" s="48" t="s">
        <v>37</v>
      </c>
      <c r="N92" s="48" t="s">
        <v>1436</v>
      </c>
      <c r="O92" s="48" t="s">
        <v>1436</v>
      </c>
      <c r="P92" s="48" t="s">
        <v>1436</v>
      </c>
      <c r="Q92" s="48" t="s">
        <v>38</v>
      </c>
      <c r="R92" s="48" t="s">
        <v>39</v>
      </c>
      <c r="S92" s="48" t="s">
        <v>40</v>
      </c>
      <c r="T92" s="48" t="s">
        <v>41</v>
      </c>
      <c r="U92" s="48" t="s">
        <v>1436</v>
      </c>
      <c r="V92" s="48" t="s">
        <v>1436</v>
      </c>
      <c r="W92" s="48" t="s">
        <v>1436</v>
      </c>
      <c r="X92" s="49" t="s">
        <v>193</v>
      </c>
      <c r="Y92" s="48" t="s">
        <v>1194</v>
      </c>
      <c r="Z92" s="49" t="s">
        <v>1321</v>
      </c>
      <c r="AA92" s="48" t="s">
        <v>1324</v>
      </c>
      <c r="AB92" s="48" t="s">
        <v>1325</v>
      </c>
      <c r="AC92" s="48" t="s">
        <v>1239</v>
      </c>
      <c r="AD92" s="48" t="s">
        <v>1231</v>
      </c>
      <c r="AE92" s="48" t="s">
        <v>1669</v>
      </c>
      <c r="AF92" s="48" t="s">
        <v>1436</v>
      </c>
      <c r="AG92" s="48" t="s">
        <v>1436</v>
      </c>
      <c r="AH92" s="48" t="s">
        <v>208</v>
      </c>
      <c r="AI92" s="50">
        <v>44562</v>
      </c>
      <c r="AJ92" s="50">
        <v>46387</v>
      </c>
      <c r="AK92" s="49" t="s">
        <v>1280</v>
      </c>
      <c r="AL92" s="48" t="s">
        <v>36</v>
      </c>
      <c r="AM92" s="48" t="s">
        <v>36</v>
      </c>
      <c r="AN92" s="51">
        <v>-50000</v>
      </c>
      <c r="AO92" s="51"/>
      <c r="AP92" s="51"/>
      <c r="AQ92" s="72">
        <v>1600000</v>
      </c>
      <c r="AR92" s="72">
        <v>50000</v>
      </c>
      <c r="AS92" s="50">
        <v>46387</v>
      </c>
      <c r="AT92" s="50" t="s">
        <v>1436</v>
      </c>
      <c r="AU92" s="49" t="s">
        <v>1436</v>
      </c>
      <c r="AV92" s="49" t="s">
        <v>1670</v>
      </c>
      <c r="AW92" s="48" t="s">
        <v>1244</v>
      </c>
    </row>
    <row r="93" spans="1:49" x14ac:dyDescent="0.3">
      <c r="A93" s="48" t="s">
        <v>1320</v>
      </c>
      <c r="B93" s="48" t="s">
        <v>6</v>
      </c>
      <c r="C93" s="48" t="s">
        <v>1322</v>
      </c>
      <c r="D93" s="50">
        <v>44773</v>
      </c>
      <c r="E93" s="48" t="s">
        <v>36</v>
      </c>
      <c r="F93" s="48" t="s">
        <v>1433</v>
      </c>
      <c r="G93" s="48" t="s">
        <v>1447</v>
      </c>
      <c r="H93" s="49" t="s">
        <v>1449</v>
      </c>
      <c r="I93" s="48" t="s">
        <v>1409</v>
      </c>
      <c r="J93" s="48" t="s">
        <v>40</v>
      </c>
      <c r="K93" s="48" t="s">
        <v>45</v>
      </c>
      <c r="L93" s="48" t="s">
        <v>38</v>
      </c>
      <c r="M93" s="48" t="s">
        <v>37</v>
      </c>
      <c r="N93" s="48" t="s">
        <v>1436</v>
      </c>
      <c r="O93" s="48" t="s">
        <v>1436</v>
      </c>
      <c r="P93" s="48" t="s">
        <v>1436</v>
      </c>
      <c r="Q93" s="48" t="s">
        <v>38</v>
      </c>
      <c r="R93" s="48" t="s">
        <v>39</v>
      </c>
      <c r="S93" s="48" t="s">
        <v>40</v>
      </c>
      <c r="T93" s="48" t="s">
        <v>41</v>
      </c>
      <c r="U93" s="48" t="s">
        <v>1436</v>
      </c>
      <c r="V93" s="48" t="s">
        <v>1436</v>
      </c>
      <c r="W93" s="48" t="s">
        <v>1436</v>
      </c>
      <c r="X93" s="49" t="s">
        <v>193</v>
      </c>
      <c r="Y93" s="48" t="s">
        <v>1194</v>
      </c>
      <c r="Z93" s="49" t="s">
        <v>1321</v>
      </c>
      <c r="AA93" s="48" t="s">
        <v>1324</v>
      </c>
      <c r="AB93" s="48" t="s">
        <v>1325</v>
      </c>
      <c r="AC93" s="48" t="s">
        <v>1239</v>
      </c>
      <c r="AD93" s="48" t="s">
        <v>1231</v>
      </c>
      <c r="AE93" s="48" t="s">
        <v>1669</v>
      </c>
      <c r="AF93" s="48" t="s">
        <v>1436</v>
      </c>
      <c r="AG93" s="48" t="s">
        <v>1436</v>
      </c>
      <c r="AH93" s="48" t="s">
        <v>208</v>
      </c>
      <c r="AI93" s="50">
        <v>44562</v>
      </c>
      <c r="AJ93" s="50">
        <v>46387</v>
      </c>
      <c r="AK93" s="49" t="s">
        <v>1280</v>
      </c>
      <c r="AL93" s="48" t="s">
        <v>36</v>
      </c>
      <c r="AM93" s="48" t="s">
        <v>36</v>
      </c>
      <c r="AN93" s="51">
        <v>39163.103869999999</v>
      </c>
      <c r="AO93" s="51"/>
      <c r="AP93" s="51"/>
      <c r="AQ93" s="72">
        <v>1600000</v>
      </c>
      <c r="AR93" s="72">
        <v>50000</v>
      </c>
      <c r="AS93" s="50">
        <v>46387</v>
      </c>
      <c r="AT93" s="50" t="s">
        <v>1436</v>
      </c>
      <c r="AU93" s="49" t="s">
        <v>1436</v>
      </c>
      <c r="AV93" s="49" t="s">
        <v>1670</v>
      </c>
      <c r="AW93" s="48" t="s">
        <v>1244</v>
      </c>
    </row>
    <row r="94" spans="1:49" x14ac:dyDescent="0.3">
      <c r="A94" s="48" t="s">
        <v>1320</v>
      </c>
      <c r="B94" s="48" t="s">
        <v>6</v>
      </c>
      <c r="C94" s="48" t="s">
        <v>1322</v>
      </c>
      <c r="D94" s="50">
        <v>44773</v>
      </c>
      <c r="E94" s="48" t="s">
        <v>36</v>
      </c>
      <c r="F94" s="48" t="s">
        <v>1433</v>
      </c>
      <c r="G94" s="48" t="s">
        <v>1447</v>
      </c>
      <c r="H94" s="49" t="s">
        <v>1450</v>
      </c>
      <c r="I94" s="48" t="s">
        <v>1408</v>
      </c>
      <c r="J94" s="48" t="s">
        <v>40</v>
      </c>
      <c r="K94" s="48" t="s">
        <v>54</v>
      </c>
      <c r="L94" s="48" t="s">
        <v>38</v>
      </c>
      <c r="M94" s="48" t="s">
        <v>37</v>
      </c>
      <c r="N94" s="48" t="s">
        <v>1436</v>
      </c>
      <c r="O94" s="48" t="s">
        <v>1436</v>
      </c>
      <c r="P94" s="48" t="s">
        <v>1436</v>
      </c>
      <c r="Q94" s="48" t="s">
        <v>38</v>
      </c>
      <c r="R94" s="48" t="s">
        <v>39</v>
      </c>
      <c r="S94" s="48" t="s">
        <v>40</v>
      </c>
      <c r="T94" s="48" t="s">
        <v>41</v>
      </c>
      <c r="U94" s="48" t="s">
        <v>1436</v>
      </c>
      <c r="V94" s="48" t="s">
        <v>1436</v>
      </c>
      <c r="W94" s="48" t="s">
        <v>1436</v>
      </c>
      <c r="X94" s="49" t="s">
        <v>193</v>
      </c>
      <c r="Y94" s="48" t="s">
        <v>1194</v>
      </c>
      <c r="Z94" s="49" t="s">
        <v>1321</v>
      </c>
      <c r="AA94" s="48" t="s">
        <v>1324</v>
      </c>
      <c r="AB94" s="48" t="s">
        <v>1325</v>
      </c>
      <c r="AC94" s="48" t="s">
        <v>1239</v>
      </c>
      <c r="AD94" s="48" t="s">
        <v>1231</v>
      </c>
      <c r="AE94" s="48" t="s">
        <v>1669</v>
      </c>
      <c r="AF94" s="48" t="s">
        <v>1436</v>
      </c>
      <c r="AG94" s="48" t="s">
        <v>1436</v>
      </c>
      <c r="AH94" s="48" t="s">
        <v>208</v>
      </c>
      <c r="AI94" s="50">
        <v>44562</v>
      </c>
      <c r="AJ94" s="50">
        <v>46387</v>
      </c>
      <c r="AK94" s="49" t="s">
        <v>1280</v>
      </c>
      <c r="AL94" s="48" t="s">
        <v>36</v>
      </c>
      <c r="AM94" s="48" t="s">
        <v>36</v>
      </c>
      <c r="AN94" s="51">
        <v>-2640.25</v>
      </c>
      <c r="AO94" s="51"/>
      <c r="AP94" s="51"/>
      <c r="AQ94" s="72">
        <v>1600000</v>
      </c>
      <c r="AR94" s="72">
        <v>50000</v>
      </c>
      <c r="AS94" s="50">
        <v>46387</v>
      </c>
      <c r="AT94" s="50" t="s">
        <v>1436</v>
      </c>
      <c r="AU94" s="49" t="s">
        <v>1436</v>
      </c>
      <c r="AV94" s="49" t="s">
        <v>1670</v>
      </c>
      <c r="AW94" s="48" t="s">
        <v>1244</v>
      </c>
    </row>
    <row r="95" spans="1:49" x14ac:dyDescent="0.3">
      <c r="A95" s="48" t="s">
        <v>1320</v>
      </c>
      <c r="B95" s="48" t="s">
        <v>6</v>
      </c>
      <c r="C95" s="48" t="s">
        <v>1322</v>
      </c>
      <c r="D95" s="50">
        <v>44773</v>
      </c>
      <c r="E95" s="48" t="s">
        <v>36</v>
      </c>
      <c r="F95" s="48" t="s">
        <v>1433</v>
      </c>
      <c r="G95" s="48" t="s">
        <v>1447</v>
      </c>
      <c r="H95" s="49" t="s">
        <v>1451</v>
      </c>
      <c r="I95" s="48" t="s">
        <v>1404</v>
      </c>
      <c r="J95" s="48" t="s">
        <v>38</v>
      </c>
      <c r="K95" s="48" t="s">
        <v>49</v>
      </c>
      <c r="L95" s="48" t="s">
        <v>38</v>
      </c>
      <c r="M95" s="48" t="s">
        <v>37</v>
      </c>
      <c r="N95" s="48" t="s">
        <v>1436</v>
      </c>
      <c r="O95" s="48" t="s">
        <v>1436</v>
      </c>
      <c r="P95" s="48" t="s">
        <v>1436</v>
      </c>
      <c r="Q95" s="48" t="s">
        <v>38</v>
      </c>
      <c r="R95" s="48" t="s">
        <v>39</v>
      </c>
      <c r="S95" s="48" t="s">
        <v>38</v>
      </c>
      <c r="T95" s="48" t="s">
        <v>41</v>
      </c>
      <c r="U95" s="48" t="s">
        <v>1436</v>
      </c>
      <c r="V95" s="48" t="s">
        <v>1436</v>
      </c>
      <c r="W95" s="48" t="s">
        <v>1436</v>
      </c>
      <c r="X95" s="49" t="s">
        <v>193</v>
      </c>
      <c r="Y95" s="48" t="s">
        <v>1194</v>
      </c>
      <c r="Z95" s="49" t="s">
        <v>1321</v>
      </c>
      <c r="AA95" s="48" t="s">
        <v>1324</v>
      </c>
      <c r="AB95" s="48" t="s">
        <v>1325</v>
      </c>
      <c r="AC95" s="48" t="s">
        <v>1239</v>
      </c>
      <c r="AD95" s="48" t="s">
        <v>1231</v>
      </c>
      <c r="AE95" s="48" t="s">
        <v>1669</v>
      </c>
      <c r="AF95" s="48" t="s">
        <v>1436</v>
      </c>
      <c r="AG95" s="48" t="s">
        <v>1436</v>
      </c>
      <c r="AH95" s="48" t="s">
        <v>208</v>
      </c>
      <c r="AI95" s="50">
        <v>44562</v>
      </c>
      <c r="AJ95" s="50">
        <v>46387</v>
      </c>
      <c r="AK95" s="49" t="s">
        <v>1280</v>
      </c>
      <c r="AL95" s="48" t="s">
        <v>36</v>
      </c>
      <c r="AM95" s="48" t="s">
        <v>36</v>
      </c>
      <c r="AN95" s="51">
        <v>213.049981</v>
      </c>
      <c r="AO95" s="51"/>
      <c r="AP95" s="51"/>
      <c r="AQ95" s="72">
        <v>1600000</v>
      </c>
      <c r="AR95" s="72">
        <v>50000</v>
      </c>
      <c r="AS95" s="50">
        <v>46387</v>
      </c>
      <c r="AT95" s="50" t="s">
        <v>1436</v>
      </c>
      <c r="AU95" s="49" t="s">
        <v>1436</v>
      </c>
      <c r="AV95" s="49" t="s">
        <v>1670</v>
      </c>
      <c r="AW95" s="48" t="s">
        <v>1244</v>
      </c>
    </row>
    <row r="96" spans="1:49" x14ac:dyDescent="0.3">
      <c r="A96" s="48" t="s">
        <v>1320</v>
      </c>
      <c r="B96" s="48" t="s">
        <v>6</v>
      </c>
      <c r="C96" s="48" t="s">
        <v>1322</v>
      </c>
      <c r="D96" s="50">
        <v>44804</v>
      </c>
      <c r="E96" s="48" t="s">
        <v>36</v>
      </c>
      <c r="F96" s="48" t="s">
        <v>1433</v>
      </c>
      <c r="G96" s="48" t="s">
        <v>1434</v>
      </c>
      <c r="H96" s="49" t="s">
        <v>1435</v>
      </c>
      <c r="I96" s="48" t="s">
        <v>1412</v>
      </c>
      <c r="J96" s="48" t="s">
        <v>40</v>
      </c>
      <c r="K96" s="48" t="s">
        <v>52</v>
      </c>
      <c r="L96" s="48" t="s">
        <v>38</v>
      </c>
      <c r="M96" s="48" t="s">
        <v>37</v>
      </c>
      <c r="N96" s="48" t="s">
        <v>1436</v>
      </c>
      <c r="O96" s="48" t="s">
        <v>1436</v>
      </c>
      <c r="P96" s="48" t="s">
        <v>1436</v>
      </c>
      <c r="Q96" s="48" t="s">
        <v>38</v>
      </c>
      <c r="R96" s="48" t="s">
        <v>39</v>
      </c>
      <c r="S96" s="48" t="s">
        <v>40</v>
      </c>
      <c r="T96" s="48" t="s">
        <v>41</v>
      </c>
      <c r="U96" s="48" t="s">
        <v>1436</v>
      </c>
      <c r="V96" s="48" t="s">
        <v>1436</v>
      </c>
      <c r="W96" s="48" t="s">
        <v>1436</v>
      </c>
      <c r="X96" s="49" t="s">
        <v>193</v>
      </c>
      <c r="Y96" s="48" t="s">
        <v>1194</v>
      </c>
      <c r="Z96" s="49" t="s">
        <v>1321</v>
      </c>
      <c r="AA96" s="48" t="s">
        <v>1324</v>
      </c>
      <c r="AB96" s="48" t="s">
        <v>1325</v>
      </c>
      <c r="AC96" s="48" t="s">
        <v>1239</v>
      </c>
      <c r="AD96" s="48" t="s">
        <v>1231</v>
      </c>
      <c r="AE96" s="48" t="s">
        <v>1669</v>
      </c>
      <c r="AF96" s="48" t="s">
        <v>1436</v>
      </c>
      <c r="AG96" s="48" t="s">
        <v>1436</v>
      </c>
      <c r="AH96" s="48" t="s">
        <v>208</v>
      </c>
      <c r="AI96" s="50">
        <v>44562</v>
      </c>
      <c r="AJ96" s="50">
        <v>46387</v>
      </c>
      <c r="AK96" s="49" t="s">
        <v>1280</v>
      </c>
      <c r="AL96" s="48" t="s">
        <v>36</v>
      </c>
      <c r="AM96" s="48" t="s">
        <v>36</v>
      </c>
      <c r="AN96" s="51">
        <v>-42330.49</v>
      </c>
      <c r="AO96" s="51"/>
      <c r="AP96" s="51"/>
      <c r="AQ96" s="72">
        <v>1600000</v>
      </c>
      <c r="AR96" s="72">
        <v>50000</v>
      </c>
      <c r="AS96" s="50">
        <v>46387</v>
      </c>
      <c r="AT96" s="50" t="s">
        <v>1436</v>
      </c>
      <c r="AU96" s="49" t="s">
        <v>1436</v>
      </c>
      <c r="AV96" s="49" t="s">
        <v>1670</v>
      </c>
      <c r="AW96" s="48" t="s">
        <v>1244</v>
      </c>
    </row>
    <row r="97" spans="1:49" x14ac:dyDescent="0.3">
      <c r="A97" s="48" t="s">
        <v>1320</v>
      </c>
      <c r="B97" s="48" t="s">
        <v>6</v>
      </c>
      <c r="C97" s="48" t="s">
        <v>1322</v>
      </c>
      <c r="D97" s="50">
        <v>44804</v>
      </c>
      <c r="E97" s="48" t="s">
        <v>36</v>
      </c>
      <c r="F97" s="48" t="s">
        <v>1433</v>
      </c>
      <c r="G97" s="48" t="s">
        <v>1434</v>
      </c>
      <c r="H97" s="49" t="s">
        <v>1437</v>
      </c>
      <c r="I97" s="48" t="s">
        <v>1410</v>
      </c>
      <c r="J97" s="48" t="s">
        <v>40</v>
      </c>
      <c r="K97" s="48" t="s">
        <v>42</v>
      </c>
      <c r="L97" s="48" t="s">
        <v>38</v>
      </c>
      <c r="M97" s="48" t="s">
        <v>37</v>
      </c>
      <c r="N97" s="48" t="s">
        <v>1436</v>
      </c>
      <c r="O97" s="48" t="s">
        <v>1436</v>
      </c>
      <c r="P97" s="48" t="s">
        <v>1436</v>
      </c>
      <c r="Q97" s="48" t="s">
        <v>38</v>
      </c>
      <c r="R97" s="48" t="s">
        <v>39</v>
      </c>
      <c r="S97" s="48" t="s">
        <v>40</v>
      </c>
      <c r="T97" s="48" t="s">
        <v>41</v>
      </c>
      <c r="U97" s="48" t="s">
        <v>1436</v>
      </c>
      <c r="V97" s="48" t="s">
        <v>1436</v>
      </c>
      <c r="W97" s="48" t="s">
        <v>1436</v>
      </c>
      <c r="X97" s="49" t="s">
        <v>193</v>
      </c>
      <c r="Y97" s="48" t="s">
        <v>1194</v>
      </c>
      <c r="Z97" s="49" t="s">
        <v>1321</v>
      </c>
      <c r="AA97" s="48" t="s">
        <v>1324</v>
      </c>
      <c r="AB97" s="48" t="s">
        <v>1325</v>
      </c>
      <c r="AC97" s="48" t="s">
        <v>1239</v>
      </c>
      <c r="AD97" s="48" t="s">
        <v>1231</v>
      </c>
      <c r="AE97" s="48" t="s">
        <v>1669</v>
      </c>
      <c r="AF97" s="48" t="s">
        <v>1436</v>
      </c>
      <c r="AG97" s="48" t="s">
        <v>1436</v>
      </c>
      <c r="AH97" s="48" t="s">
        <v>208</v>
      </c>
      <c r="AI97" s="50">
        <v>44562</v>
      </c>
      <c r="AJ97" s="50">
        <v>46387</v>
      </c>
      <c r="AK97" s="49" t="s">
        <v>1280</v>
      </c>
      <c r="AL97" s="48" t="s">
        <v>36</v>
      </c>
      <c r="AM97" s="48" t="s">
        <v>36</v>
      </c>
      <c r="AN97" s="51">
        <v>0</v>
      </c>
      <c r="AO97" s="51"/>
      <c r="AP97" s="51"/>
      <c r="AQ97" s="72">
        <v>1600000</v>
      </c>
      <c r="AR97" s="72">
        <v>50000</v>
      </c>
      <c r="AS97" s="50">
        <v>46387</v>
      </c>
      <c r="AT97" s="50" t="s">
        <v>1436</v>
      </c>
      <c r="AU97" s="49" t="s">
        <v>1436</v>
      </c>
      <c r="AV97" s="49" t="s">
        <v>1670</v>
      </c>
      <c r="AW97" s="48" t="s">
        <v>1244</v>
      </c>
    </row>
    <row r="98" spans="1:49" x14ac:dyDescent="0.3">
      <c r="A98" s="48" t="s">
        <v>1320</v>
      </c>
      <c r="B98" s="48" t="s">
        <v>6</v>
      </c>
      <c r="C98" s="48" t="s">
        <v>1322</v>
      </c>
      <c r="D98" s="50">
        <v>44804</v>
      </c>
      <c r="E98" s="48" t="s">
        <v>36</v>
      </c>
      <c r="F98" s="48" t="s">
        <v>1438</v>
      </c>
      <c r="G98" s="48" t="s">
        <v>1439</v>
      </c>
      <c r="H98" s="49" t="s">
        <v>1440</v>
      </c>
      <c r="I98" s="48" t="s">
        <v>1406</v>
      </c>
      <c r="J98" s="48" t="s">
        <v>1194</v>
      </c>
      <c r="K98" s="48" t="s">
        <v>1441</v>
      </c>
      <c r="L98" s="48" t="s">
        <v>38</v>
      </c>
      <c r="M98" s="48" t="s">
        <v>37</v>
      </c>
      <c r="N98" s="48" t="s">
        <v>1436</v>
      </c>
      <c r="O98" s="48" t="s">
        <v>1436</v>
      </c>
      <c r="P98" s="48" t="s">
        <v>1436</v>
      </c>
      <c r="Q98" s="48" t="s">
        <v>38</v>
      </c>
      <c r="R98" s="48" t="s">
        <v>39</v>
      </c>
      <c r="S98" s="48" t="s">
        <v>1194</v>
      </c>
      <c r="T98" s="48" t="s">
        <v>41</v>
      </c>
      <c r="U98" s="48" t="s">
        <v>1436</v>
      </c>
      <c r="V98" s="48" t="s">
        <v>1436</v>
      </c>
      <c r="W98" s="48" t="s">
        <v>1436</v>
      </c>
      <c r="X98" s="49" t="s">
        <v>193</v>
      </c>
      <c r="Y98" s="48" t="s">
        <v>1194</v>
      </c>
      <c r="Z98" s="49" t="s">
        <v>1321</v>
      </c>
      <c r="AA98" s="48" t="s">
        <v>1324</v>
      </c>
      <c r="AB98" s="48" t="s">
        <v>1325</v>
      </c>
      <c r="AC98" s="48" t="s">
        <v>1239</v>
      </c>
      <c r="AD98" s="48" t="s">
        <v>1231</v>
      </c>
      <c r="AE98" s="48" t="s">
        <v>1669</v>
      </c>
      <c r="AF98" s="48" t="s">
        <v>1436</v>
      </c>
      <c r="AG98" s="48" t="s">
        <v>1436</v>
      </c>
      <c r="AH98" s="48" t="s">
        <v>208</v>
      </c>
      <c r="AI98" s="50">
        <v>44562</v>
      </c>
      <c r="AJ98" s="50">
        <v>46387</v>
      </c>
      <c r="AK98" s="49" t="s">
        <v>1280</v>
      </c>
      <c r="AL98" s="48" t="s">
        <v>36</v>
      </c>
      <c r="AM98" s="48" t="s">
        <v>36</v>
      </c>
      <c r="AN98" s="51">
        <v>0</v>
      </c>
      <c r="AO98" s="51"/>
      <c r="AP98" s="51"/>
      <c r="AQ98" s="72">
        <v>1600000</v>
      </c>
      <c r="AR98" s="72">
        <v>50000</v>
      </c>
      <c r="AS98" s="50">
        <v>46387</v>
      </c>
      <c r="AT98" s="50" t="s">
        <v>1436</v>
      </c>
      <c r="AU98" s="49" t="s">
        <v>1436</v>
      </c>
      <c r="AV98" s="49" t="s">
        <v>1670</v>
      </c>
      <c r="AW98" s="48" t="s">
        <v>1244</v>
      </c>
    </row>
    <row r="99" spans="1:49" x14ac:dyDescent="0.3">
      <c r="A99" s="48" t="s">
        <v>1320</v>
      </c>
      <c r="B99" s="48" t="s">
        <v>6</v>
      </c>
      <c r="C99" s="48" t="s">
        <v>1322</v>
      </c>
      <c r="D99" s="50">
        <v>44804</v>
      </c>
      <c r="E99" s="48" t="s">
        <v>36</v>
      </c>
      <c r="F99" s="48" t="s">
        <v>1438</v>
      </c>
      <c r="G99" s="48" t="s">
        <v>1439</v>
      </c>
      <c r="H99" s="49" t="s">
        <v>1442</v>
      </c>
      <c r="I99" s="48" t="s">
        <v>1405</v>
      </c>
      <c r="J99" s="48" t="s">
        <v>1194</v>
      </c>
      <c r="K99" s="48" t="s">
        <v>1443</v>
      </c>
      <c r="L99" s="48" t="s">
        <v>38</v>
      </c>
      <c r="M99" s="48" t="s">
        <v>37</v>
      </c>
      <c r="N99" s="48" t="s">
        <v>1436</v>
      </c>
      <c r="O99" s="48" t="s">
        <v>1436</v>
      </c>
      <c r="P99" s="48" t="s">
        <v>1436</v>
      </c>
      <c r="Q99" s="48" t="s">
        <v>38</v>
      </c>
      <c r="R99" s="48" t="s">
        <v>39</v>
      </c>
      <c r="S99" s="48" t="s">
        <v>1194</v>
      </c>
      <c r="T99" s="48" t="s">
        <v>41</v>
      </c>
      <c r="U99" s="48" t="s">
        <v>1436</v>
      </c>
      <c r="V99" s="48" t="s">
        <v>1436</v>
      </c>
      <c r="W99" s="48" t="s">
        <v>1436</v>
      </c>
      <c r="X99" s="49" t="s">
        <v>193</v>
      </c>
      <c r="Y99" s="48" t="s">
        <v>1194</v>
      </c>
      <c r="Z99" s="49" t="s">
        <v>1321</v>
      </c>
      <c r="AA99" s="48" t="s">
        <v>1324</v>
      </c>
      <c r="AB99" s="48" t="s">
        <v>1325</v>
      </c>
      <c r="AC99" s="48" t="s">
        <v>1239</v>
      </c>
      <c r="AD99" s="48" t="s">
        <v>1231</v>
      </c>
      <c r="AE99" s="48" t="s">
        <v>1669</v>
      </c>
      <c r="AF99" s="48" t="s">
        <v>1436</v>
      </c>
      <c r="AG99" s="48" t="s">
        <v>1436</v>
      </c>
      <c r="AH99" s="48" t="s">
        <v>208</v>
      </c>
      <c r="AI99" s="50">
        <v>44562</v>
      </c>
      <c r="AJ99" s="50">
        <v>46387</v>
      </c>
      <c r="AK99" s="49" t="s">
        <v>1280</v>
      </c>
      <c r="AL99" s="48" t="s">
        <v>36</v>
      </c>
      <c r="AM99" s="48" t="s">
        <v>36</v>
      </c>
      <c r="AN99" s="51">
        <v>0</v>
      </c>
      <c r="AO99" s="51"/>
      <c r="AP99" s="51"/>
      <c r="AQ99" s="72">
        <v>1600000</v>
      </c>
      <c r="AR99" s="72">
        <v>50000</v>
      </c>
      <c r="AS99" s="50">
        <v>46387</v>
      </c>
      <c r="AT99" s="50" t="s">
        <v>1436</v>
      </c>
      <c r="AU99" s="49" t="s">
        <v>1436</v>
      </c>
      <c r="AV99" s="49" t="s">
        <v>1670</v>
      </c>
      <c r="AW99" s="48" t="s">
        <v>1244</v>
      </c>
    </row>
    <row r="100" spans="1:49" x14ac:dyDescent="0.3">
      <c r="A100" s="48" t="s">
        <v>1320</v>
      </c>
      <c r="B100" s="48" t="s">
        <v>6</v>
      </c>
      <c r="C100" s="48" t="s">
        <v>1322</v>
      </c>
      <c r="D100" s="50">
        <v>44804</v>
      </c>
      <c r="E100" s="48" t="s">
        <v>36</v>
      </c>
      <c r="F100" s="48" t="s">
        <v>1438</v>
      </c>
      <c r="G100" s="48" t="s">
        <v>1444</v>
      </c>
      <c r="H100" s="49" t="s">
        <v>1445</v>
      </c>
      <c r="I100" s="48" t="s">
        <v>1411</v>
      </c>
      <c r="J100" s="48" t="s">
        <v>40</v>
      </c>
      <c r="K100" s="48" t="s">
        <v>50</v>
      </c>
      <c r="L100" s="48" t="s">
        <v>38</v>
      </c>
      <c r="M100" s="48" t="s">
        <v>37</v>
      </c>
      <c r="N100" s="48" t="s">
        <v>1436</v>
      </c>
      <c r="O100" s="48" t="s">
        <v>1436</v>
      </c>
      <c r="P100" s="48" t="s">
        <v>1436</v>
      </c>
      <c r="Q100" s="48" t="s">
        <v>38</v>
      </c>
      <c r="R100" s="48" t="s">
        <v>39</v>
      </c>
      <c r="S100" s="48" t="s">
        <v>40</v>
      </c>
      <c r="T100" s="48" t="s">
        <v>41</v>
      </c>
      <c r="U100" s="48" t="s">
        <v>1436</v>
      </c>
      <c r="V100" s="48" t="s">
        <v>1436</v>
      </c>
      <c r="W100" s="48" t="s">
        <v>1436</v>
      </c>
      <c r="X100" s="49" t="s">
        <v>193</v>
      </c>
      <c r="Y100" s="48" t="s">
        <v>1194</v>
      </c>
      <c r="Z100" s="49" t="s">
        <v>1321</v>
      </c>
      <c r="AA100" s="48" t="s">
        <v>1324</v>
      </c>
      <c r="AB100" s="48" t="s">
        <v>1325</v>
      </c>
      <c r="AC100" s="48" t="s">
        <v>1239</v>
      </c>
      <c r="AD100" s="48" t="s">
        <v>1231</v>
      </c>
      <c r="AE100" s="48" t="s">
        <v>1669</v>
      </c>
      <c r="AF100" s="48" t="s">
        <v>1436</v>
      </c>
      <c r="AG100" s="48" t="s">
        <v>1436</v>
      </c>
      <c r="AH100" s="48" t="s">
        <v>208</v>
      </c>
      <c r="AI100" s="50">
        <v>44562</v>
      </c>
      <c r="AJ100" s="50">
        <v>46387</v>
      </c>
      <c r="AK100" s="49" t="s">
        <v>1280</v>
      </c>
      <c r="AL100" s="48" t="s">
        <v>36</v>
      </c>
      <c r="AM100" s="48" t="s">
        <v>36</v>
      </c>
      <c r="AN100" s="51">
        <v>42330.49</v>
      </c>
      <c r="AO100" s="51"/>
      <c r="AP100" s="51"/>
      <c r="AQ100" s="72">
        <v>1600000</v>
      </c>
      <c r="AR100" s="72">
        <v>50000</v>
      </c>
      <c r="AS100" s="50">
        <v>46387</v>
      </c>
      <c r="AT100" s="50" t="s">
        <v>1436</v>
      </c>
      <c r="AU100" s="49" t="s">
        <v>1436</v>
      </c>
      <c r="AV100" s="49" t="s">
        <v>1670</v>
      </c>
      <c r="AW100" s="48" t="s">
        <v>1244</v>
      </c>
    </row>
    <row r="101" spans="1:49" x14ac:dyDescent="0.3">
      <c r="A101" s="48" t="s">
        <v>1320</v>
      </c>
      <c r="B101" s="48" t="s">
        <v>6</v>
      </c>
      <c r="C101" s="48" t="s">
        <v>1322</v>
      </c>
      <c r="D101" s="50">
        <v>44804</v>
      </c>
      <c r="E101" s="48" t="s">
        <v>36</v>
      </c>
      <c r="F101" s="48" t="s">
        <v>1438</v>
      </c>
      <c r="G101" s="48" t="s">
        <v>1444</v>
      </c>
      <c r="H101" s="49" t="s">
        <v>1446</v>
      </c>
      <c r="I101" s="48" t="s">
        <v>1407</v>
      </c>
      <c r="J101" s="48" t="s">
        <v>40</v>
      </c>
      <c r="K101" s="48" t="s">
        <v>47</v>
      </c>
      <c r="L101" s="48" t="s">
        <v>38</v>
      </c>
      <c r="M101" s="48" t="s">
        <v>37</v>
      </c>
      <c r="N101" s="48" t="s">
        <v>1436</v>
      </c>
      <c r="O101" s="48" t="s">
        <v>1436</v>
      </c>
      <c r="P101" s="48" t="s">
        <v>1436</v>
      </c>
      <c r="Q101" s="48" t="s">
        <v>38</v>
      </c>
      <c r="R101" s="48" t="s">
        <v>39</v>
      </c>
      <c r="S101" s="48" t="s">
        <v>40</v>
      </c>
      <c r="T101" s="48" t="s">
        <v>41</v>
      </c>
      <c r="U101" s="48" t="s">
        <v>1436</v>
      </c>
      <c r="V101" s="48" t="s">
        <v>1436</v>
      </c>
      <c r="W101" s="48" t="s">
        <v>1436</v>
      </c>
      <c r="X101" s="49" t="s">
        <v>193</v>
      </c>
      <c r="Y101" s="48" t="s">
        <v>1194</v>
      </c>
      <c r="Z101" s="49" t="s">
        <v>1321</v>
      </c>
      <c r="AA101" s="48" t="s">
        <v>1324</v>
      </c>
      <c r="AB101" s="48" t="s">
        <v>1325</v>
      </c>
      <c r="AC101" s="48" t="s">
        <v>1239</v>
      </c>
      <c r="AD101" s="48" t="s">
        <v>1231</v>
      </c>
      <c r="AE101" s="48" t="s">
        <v>1669</v>
      </c>
      <c r="AF101" s="48" t="s">
        <v>1436</v>
      </c>
      <c r="AG101" s="48" t="s">
        <v>1436</v>
      </c>
      <c r="AH101" s="48" t="s">
        <v>208</v>
      </c>
      <c r="AI101" s="50">
        <v>44562</v>
      </c>
      <c r="AJ101" s="50">
        <v>46387</v>
      </c>
      <c r="AK101" s="49" t="s">
        <v>1280</v>
      </c>
      <c r="AL101" s="48" t="s">
        <v>36</v>
      </c>
      <c r="AM101" s="48" t="s">
        <v>36</v>
      </c>
      <c r="AN101" s="51">
        <v>13049.803377</v>
      </c>
      <c r="AO101" s="51"/>
      <c r="AP101" s="51"/>
      <c r="AQ101" s="72">
        <v>1600000</v>
      </c>
      <c r="AR101" s="72">
        <v>50000</v>
      </c>
      <c r="AS101" s="50">
        <v>46387</v>
      </c>
      <c r="AT101" s="50" t="s">
        <v>1436</v>
      </c>
      <c r="AU101" s="49" t="s">
        <v>1436</v>
      </c>
      <c r="AV101" s="49" t="s">
        <v>1670</v>
      </c>
      <c r="AW101" s="48" t="s">
        <v>1244</v>
      </c>
    </row>
    <row r="102" spans="1:49" x14ac:dyDescent="0.3">
      <c r="A102" s="48" t="s">
        <v>1320</v>
      </c>
      <c r="B102" s="48" t="s">
        <v>6</v>
      </c>
      <c r="C102" s="48" t="s">
        <v>1322</v>
      </c>
      <c r="D102" s="50">
        <v>44804</v>
      </c>
      <c r="E102" s="48" t="s">
        <v>36</v>
      </c>
      <c r="F102" s="48" t="s">
        <v>1433</v>
      </c>
      <c r="G102" s="48" t="s">
        <v>1447</v>
      </c>
      <c r="H102" s="49" t="s">
        <v>1448</v>
      </c>
      <c r="I102" s="48" t="s">
        <v>1413</v>
      </c>
      <c r="J102" s="48" t="s">
        <v>40</v>
      </c>
      <c r="K102" s="48" t="s">
        <v>58</v>
      </c>
      <c r="L102" s="48" t="s">
        <v>38</v>
      </c>
      <c r="M102" s="48" t="s">
        <v>37</v>
      </c>
      <c r="N102" s="48" t="s">
        <v>1436</v>
      </c>
      <c r="O102" s="48" t="s">
        <v>1436</v>
      </c>
      <c r="P102" s="48" t="s">
        <v>1436</v>
      </c>
      <c r="Q102" s="48" t="s">
        <v>38</v>
      </c>
      <c r="R102" s="48" t="s">
        <v>39</v>
      </c>
      <c r="S102" s="48" t="s">
        <v>40</v>
      </c>
      <c r="T102" s="48" t="s">
        <v>41</v>
      </c>
      <c r="U102" s="48" t="s">
        <v>1436</v>
      </c>
      <c r="V102" s="48" t="s">
        <v>1436</v>
      </c>
      <c r="W102" s="48" t="s">
        <v>1436</v>
      </c>
      <c r="X102" s="49" t="s">
        <v>193</v>
      </c>
      <c r="Y102" s="48" t="s">
        <v>1194</v>
      </c>
      <c r="Z102" s="49" t="s">
        <v>1321</v>
      </c>
      <c r="AA102" s="48" t="s">
        <v>1324</v>
      </c>
      <c r="AB102" s="48" t="s">
        <v>1325</v>
      </c>
      <c r="AC102" s="48" t="s">
        <v>1239</v>
      </c>
      <c r="AD102" s="48" t="s">
        <v>1231</v>
      </c>
      <c r="AE102" s="48" t="s">
        <v>1669</v>
      </c>
      <c r="AF102" s="48" t="s">
        <v>1436</v>
      </c>
      <c r="AG102" s="48" t="s">
        <v>1436</v>
      </c>
      <c r="AH102" s="48" t="s">
        <v>208</v>
      </c>
      <c r="AI102" s="50">
        <v>44562</v>
      </c>
      <c r="AJ102" s="50">
        <v>46387</v>
      </c>
      <c r="AK102" s="49" t="s">
        <v>1280</v>
      </c>
      <c r="AL102" s="48" t="s">
        <v>36</v>
      </c>
      <c r="AM102" s="48" t="s">
        <v>36</v>
      </c>
      <c r="AN102" s="51">
        <v>-50000</v>
      </c>
      <c r="AO102" s="51"/>
      <c r="AP102" s="51"/>
      <c r="AQ102" s="72">
        <v>1600000</v>
      </c>
      <c r="AR102" s="72">
        <v>50000</v>
      </c>
      <c r="AS102" s="50">
        <v>46387</v>
      </c>
      <c r="AT102" s="50" t="s">
        <v>1436</v>
      </c>
      <c r="AU102" s="49" t="s">
        <v>1436</v>
      </c>
      <c r="AV102" s="49" t="s">
        <v>1670</v>
      </c>
      <c r="AW102" s="48" t="s">
        <v>1244</v>
      </c>
    </row>
    <row r="103" spans="1:49" x14ac:dyDescent="0.3">
      <c r="A103" s="48" t="s">
        <v>1320</v>
      </c>
      <c r="B103" s="48" t="s">
        <v>6</v>
      </c>
      <c r="C103" s="48" t="s">
        <v>1322</v>
      </c>
      <c r="D103" s="50">
        <v>44804</v>
      </c>
      <c r="E103" s="48" t="s">
        <v>36</v>
      </c>
      <c r="F103" s="48" t="s">
        <v>1433</v>
      </c>
      <c r="G103" s="48" t="s">
        <v>1447</v>
      </c>
      <c r="H103" s="49" t="s">
        <v>1449</v>
      </c>
      <c r="I103" s="48" t="s">
        <v>1409</v>
      </c>
      <c r="J103" s="48" t="s">
        <v>40</v>
      </c>
      <c r="K103" s="48" t="s">
        <v>45</v>
      </c>
      <c r="L103" s="48" t="s">
        <v>38</v>
      </c>
      <c r="M103" s="48" t="s">
        <v>37</v>
      </c>
      <c r="N103" s="48" t="s">
        <v>1436</v>
      </c>
      <c r="O103" s="48" t="s">
        <v>1436</v>
      </c>
      <c r="P103" s="48" t="s">
        <v>1436</v>
      </c>
      <c r="Q103" s="48" t="s">
        <v>38</v>
      </c>
      <c r="R103" s="48" t="s">
        <v>39</v>
      </c>
      <c r="S103" s="48" t="s">
        <v>40</v>
      </c>
      <c r="T103" s="48" t="s">
        <v>41</v>
      </c>
      <c r="U103" s="48" t="s">
        <v>1436</v>
      </c>
      <c r="V103" s="48" t="s">
        <v>1436</v>
      </c>
      <c r="W103" s="48" t="s">
        <v>1436</v>
      </c>
      <c r="X103" s="49" t="s">
        <v>193</v>
      </c>
      <c r="Y103" s="48" t="s">
        <v>1194</v>
      </c>
      <c r="Z103" s="49" t="s">
        <v>1321</v>
      </c>
      <c r="AA103" s="48" t="s">
        <v>1324</v>
      </c>
      <c r="AB103" s="48" t="s">
        <v>1325</v>
      </c>
      <c r="AC103" s="48" t="s">
        <v>1239</v>
      </c>
      <c r="AD103" s="48" t="s">
        <v>1231</v>
      </c>
      <c r="AE103" s="48" t="s">
        <v>1669</v>
      </c>
      <c r="AF103" s="48" t="s">
        <v>1436</v>
      </c>
      <c r="AG103" s="48" t="s">
        <v>1436</v>
      </c>
      <c r="AH103" s="48" t="s">
        <v>208</v>
      </c>
      <c r="AI103" s="50">
        <v>44562</v>
      </c>
      <c r="AJ103" s="50">
        <v>46387</v>
      </c>
      <c r="AK103" s="49" t="s">
        <v>1280</v>
      </c>
      <c r="AL103" s="48" t="s">
        <v>36</v>
      </c>
      <c r="AM103" s="48" t="s">
        <v>36</v>
      </c>
      <c r="AN103" s="51">
        <v>39391.533851</v>
      </c>
      <c r="AO103" s="51"/>
      <c r="AP103" s="51"/>
      <c r="AQ103" s="72">
        <v>1600000</v>
      </c>
      <c r="AR103" s="72">
        <v>50000</v>
      </c>
      <c r="AS103" s="50">
        <v>46387</v>
      </c>
      <c r="AT103" s="50" t="s">
        <v>1436</v>
      </c>
      <c r="AU103" s="49" t="s">
        <v>1436</v>
      </c>
      <c r="AV103" s="49" t="s">
        <v>1670</v>
      </c>
      <c r="AW103" s="48" t="s">
        <v>1244</v>
      </c>
    </row>
    <row r="104" spans="1:49" x14ac:dyDescent="0.3">
      <c r="A104" s="48" t="s">
        <v>1320</v>
      </c>
      <c r="B104" s="48" t="s">
        <v>6</v>
      </c>
      <c r="C104" s="48" t="s">
        <v>1322</v>
      </c>
      <c r="D104" s="50">
        <v>44804</v>
      </c>
      <c r="E104" s="48" t="s">
        <v>36</v>
      </c>
      <c r="F104" s="48" t="s">
        <v>1433</v>
      </c>
      <c r="G104" s="48" t="s">
        <v>1447</v>
      </c>
      <c r="H104" s="49" t="s">
        <v>1450</v>
      </c>
      <c r="I104" s="48" t="s">
        <v>1408</v>
      </c>
      <c r="J104" s="48" t="s">
        <v>40</v>
      </c>
      <c r="K104" s="48" t="s">
        <v>54</v>
      </c>
      <c r="L104" s="48" t="s">
        <v>38</v>
      </c>
      <c r="M104" s="48" t="s">
        <v>37</v>
      </c>
      <c r="N104" s="48" t="s">
        <v>1436</v>
      </c>
      <c r="O104" s="48" t="s">
        <v>1436</v>
      </c>
      <c r="P104" s="48" t="s">
        <v>1436</v>
      </c>
      <c r="Q104" s="48" t="s">
        <v>38</v>
      </c>
      <c r="R104" s="48" t="s">
        <v>39</v>
      </c>
      <c r="S104" s="48" t="s">
        <v>40</v>
      </c>
      <c r="T104" s="48" t="s">
        <v>41</v>
      </c>
      <c r="U104" s="48" t="s">
        <v>1436</v>
      </c>
      <c r="V104" s="48" t="s">
        <v>1436</v>
      </c>
      <c r="W104" s="48" t="s">
        <v>1436</v>
      </c>
      <c r="X104" s="49" t="s">
        <v>193</v>
      </c>
      <c r="Y104" s="48" t="s">
        <v>1194</v>
      </c>
      <c r="Z104" s="49" t="s">
        <v>1321</v>
      </c>
      <c r="AA104" s="48" t="s">
        <v>1324</v>
      </c>
      <c r="AB104" s="48" t="s">
        <v>1325</v>
      </c>
      <c r="AC104" s="48" t="s">
        <v>1239</v>
      </c>
      <c r="AD104" s="48" t="s">
        <v>1231</v>
      </c>
      <c r="AE104" s="48" t="s">
        <v>1669</v>
      </c>
      <c r="AF104" s="48" t="s">
        <v>1436</v>
      </c>
      <c r="AG104" s="48" t="s">
        <v>1436</v>
      </c>
      <c r="AH104" s="48" t="s">
        <v>208</v>
      </c>
      <c r="AI104" s="50">
        <v>44562</v>
      </c>
      <c r="AJ104" s="50">
        <v>46387</v>
      </c>
      <c r="AK104" s="49" t="s">
        <v>1280</v>
      </c>
      <c r="AL104" s="48" t="s">
        <v>36</v>
      </c>
      <c r="AM104" s="48" t="s">
        <v>36</v>
      </c>
      <c r="AN104" s="51">
        <v>-2655.63</v>
      </c>
      <c r="AO104" s="51"/>
      <c r="AP104" s="51"/>
      <c r="AQ104" s="72">
        <v>1600000</v>
      </c>
      <c r="AR104" s="72">
        <v>50000</v>
      </c>
      <c r="AS104" s="50">
        <v>46387</v>
      </c>
      <c r="AT104" s="50" t="s">
        <v>1436</v>
      </c>
      <c r="AU104" s="49" t="s">
        <v>1436</v>
      </c>
      <c r="AV104" s="49" t="s">
        <v>1670</v>
      </c>
      <c r="AW104" s="48" t="s">
        <v>1244</v>
      </c>
    </row>
    <row r="105" spans="1:49" x14ac:dyDescent="0.3">
      <c r="A105" s="48" t="s">
        <v>1320</v>
      </c>
      <c r="B105" s="48" t="s">
        <v>6</v>
      </c>
      <c r="C105" s="48" t="s">
        <v>1322</v>
      </c>
      <c r="D105" s="50">
        <v>44804</v>
      </c>
      <c r="E105" s="48" t="s">
        <v>36</v>
      </c>
      <c r="F105" s="48" t="s">
        <v>1433</v>
      </c>
      <c r="G105" s="48" t="s">
        <v>1447</v>
      </c>
      <c r="H105" s="49" t="s">
        <v>1451</v>
      </c>
      <c r="I105" s="48" t="s">
        <v>1404</v>
      </c>
      <c r="J105" s="48" t="s">
        <v>38</v>
      </c>
      <c r="K105" s="48" t="s">
        <v>49</v>
      </c>
      <c r="L105" s="48" t="s">
        <v>38</v>
      </c>
      <c r="M105" s="48" t="s">
        <v>37</v>
      </c>
      <c r="N105" s="48" t="s">
        <v>1436</v>
      </c>
      <c r="O105" s="48" t="s">
        <v>1436</v>
      </c>
      <c r="P105" s="48" t="s">
        <v>1436</v>
      </c>
      <c r="Q105" s="48" t="s">
        <v>38</v>
      </c>
      <c r="R105" s="48" t="s">
        <v>39</v>
      </c>
      <c r="S105" s="48" t="s">
        <v>38</v>
      </c>
      <c r="T105" s="48" t="s">
        <v>41</v>
      </c>
      <c r="U105" s="48" t="s">
        <v>1436</v>
      </c>
      <c r="V105" s="48" t="s">
        <v>1436</v>
      </c>
      <c r="W105" s="48" t="s">
        <v>1436</v>
      </c>
      <c r="X105" s="49" t="s">
        <v>193</v>
      </c>
      <c r="Y105" s="48" t="s">
        <v>1194</v>
      </c>
      <c r="Z105" s="49" t="s">
        <v>1321</v>
      </c>
      <c r="AA105" s="48" t="s">
        <v>1324</v>
      </c>
      <c r="AB105" s="48" t="s">
        <v>1325</v>
      </c>
      <c r="AC105" s="48" t="s">
        <v>1239</v>
      </c>
      <c r="AD105" s="48" t="s">
        <v>1231</v>
      </c>
      <c r="AE105" s="48" t="s">
        <v>1669</v>
      </c>
      <c r="AF105" s="48" t="s">
        <v>1436</v>
      </c>
      <c r="AG105" s="48" t="s">
        <v>1436</v>
      </c>
      <c r="AH105" s="48" t="s">
        <v>208</v>
      </c>
      <c r="AI105" s="50">
        <v>44562</v>
      </c>
      <c r="AJ105" s="50">
        <v>46387</v>
      </c>
      <c r="AK105" s="49" t="s">
        <v>1280</v>
      </c>
      <c r="AL105" s="48" t="s">
        <v>36</v>
      </c>
      <c r="AM105" s="48" t="s">
        <v>36</v>
      </c>
      <c r="AN105" s="51">
        <v>214.29277200000001</v>
      </c>
      <c r="AO105" s="51"/>
      <c r="AP105" s="51"/>
      <c r="AQ105" s="72">
        <v>1600000</v>
      </c>
      <c r="AR105" s="72">
        <v>50000</v>
      </c>
      <c r="AS105" s="50">
        <v>46387</v>
      </c>
      <c r="AT105" s="50" t="s">
        <v>1436</v>
      </c>
      <c r="AU105" s="49" t="s">
        <v>1436</v>
      </c>
      <c r="AV105" s="49" t="s">
        <v>1670</v>
      </c>
      <c r="AW105" s="48" t="s">
        <v>1244</v>
      </c>
    </row>
    <row r="106" spans="1:49" x14ac:dyDescent="0.3">
      <c r="A106" s="48" t="s">
        <v>1320</v>
      </c>
      <c r="B106" s="48" t="s">
        <v>6</v>
      </c>
      <c r="C106" s="48" t="s">
        <v>1322</v>
      </c>
      <c r="D106" s="50">
        <v>44834</v>
      </c>
      <c r="E106" s="48" t="s">
        <v>36</v>
      </c>
      <c r="F106" s="48" t="s">
        <v>1433</v>
      </c>
      <c r="G106" s="48" t="s">
        <v>1434</v>
      </c>
      <c r="H106" s="49" t="s">
        <v>1435</v>
      </c>
      <c r="I106" s="48" t="s">
        <v>1412</v>
      </c>
      <c r="J106" s="48" t="s">
        <v>40</v>
      </c>
      <c r="K106" s="48" t="s">
        <v>52</v>
      </c>
      <c r="L106" s="48" t="s">
        <v>38</v>
      </c>
      <c r="M106" s="48" t="s">
        <v>37</v>
      </c>
      <c r="N106" s="48" t="s">
        <v>1436</v>
      </c>
      <c r="O106" s="48" t="s">
        <v>1436</v>
      </c>
      <c r="P106" s="48" t="s">
        <v>1436</v>
      </c>
      <c r="Q106" s="48" t="s">
        <v>38</v>
      </c>
      <c r="R106" s="48" t="s">
        <v>39</v>
      </c>
      <c r="S106" s="48" t="s">
        <v>40</v>
      </c>
      <c r="T106" s="48" t="s">
        <v>41</v>
      </c>
      <c r="U106" s="48" t="s">
        <v>1436</v>
      </c>
      <c r="V106" s="48" t="s">
        <v>1436</v>
      </c>
      <c r="W106" s="48" t="s">
        <v>1436</v>
      </c>
      <c r="X106" s="49" t="s">
        <v>193</v>
      </c>
      <c r="Y106" s="48" t="s">
        <v>1194</v>
      </c>
      <c r="Z106" s="49" t="s">
        <v>1321</v>
      </c>
      <c r="AA106" s="48" t="s">
        <v>1324</v>
      </c>
      <c r="AB106" s="48" t="s">
        <v>1325</v>
      </c>
      <c r="AC106" s="48" t="s">
        <v>1239</v>
      </c>
      <c r="AD106" s="48" t="s">
        <v>1231</v>
      </c>
      <c r="AE106" s="48" t="s">
        <v>1669</v>
      </c>
      <c r="AF106" s="48" t="s">
        <v>1436</v>
      </c>
      <c r="AG106" s="48" t="s">
        <v>1436</v>
      </c>
      <c r="AH106" s="48" t="s">
        <v>208</v>
      </c>
      <c r="AI106" s="50">
        <v>44562</v>
      </c>
      <c r="AJ106" s="50">
        <v>46387</v>
      </c>
      <c r="AK106" s="49" t="s">
        <v>1280</v>
      </c>
      <c r="AL106" s="48" t="s">
        <v>36</v>
      </c>
      <c r="AM106" s="48" t="s">
        <v>36</v>
      </c>
      <c r="AN106" s="51">
        <v>-42330.49</v>
      </c>
      <c r="AO106" s="51"/>
      <c r="AP106" s="51"/>
      <c r="AQ106" s="72">
        <v>1600000</v>
      </c>
      <c r="AR106" s="72">
        <v>50000</v>
      </c>
      <c r="AS106" s="50">
        <v>46387</v>
      </c>
      <c r="AT106" s="50" t="s">
        <v>1436</v>
      </c>
      <c r="AU106" s="49" t="s">
        <v>1436</v>
      </c>
      <c r="AV106" s="49" t="s">
        <v>1670</v>
      </c>
      <c r="AW106" s="48" t="s">
        <v>1244</v>
      </c>
    </row>
    <row r="107" spans="1:49" x14ac:dyDescent="0.3">
      <c r="A107" s="48" t="s">
        <v>1320</v>
      </c>
      <c r="B107" s="48" t="s">
        <v>6</v>
      </c>
      <c r="C107" s="48" t="s">
        <v>1322</v>
      </c>
      <c r="D107" s="50">
        <v>44834</v>
      </c>
      <c r="E107" s="48" t="s">
        <v>36</v>
      </c>
      <c r="F107" s="48" t="s">
        <v>1433</v>
      </c>
      <c r="G107" s="48" t="s">
        <v>1434</v>
      </c>
      <c r="H107" s="49" t="s">
        <v>1437</v>
      </c>
      <c r="I107" s="48" t="s">
        <v>1410</v>
      </c>
      <c r="J107" s="48" t="s">
        <v>40</v>
      </c>
      <c r="K107" s="48" t="s">
        <v>42</v>
      </c>
      <c r="L107" s="48" t="s">
        <v>38</v>
      </c>
      <c r="M107" s="48" t="s">
        <v>37</v>
      </c>
      <c r="N107" s="48" t="s">
        <v>1436</v>
      </c>
      <c r="O107" s="48" t="s">
        <v>1436</v>
      </c>
      <c r="P107" s="48" t="s">
        <v>1436</v>
      </c>
      <c r="Q107" s="48" t="s">
        <v>38</v>
      </c>
      <c r="R107" s="48" t="s">
        <v>39</v>
      </c>
      <c r="S107" s="48" t="s">
        <v>40</v>
      </c>
      <c r="T107" s="48" t="s">
        <v>41</v>
      </c>
      <c r="U107" s="48" t="s">
        <v>1436</v>
      </c>
      <c r="V107" s="48" t="s">
        <v>1436</v>
      </c>
      <c r="W107" s="48" t="s">
        <v>1436</v>
      </c>
      <c r="X107" s="49" t="s">
        <v>193</v>
      </c>
      <c r="Y107" s="48" t="s">
        <v>1194</v>
      </c>
      <c r="Z107" s="49" t="s">
        <v>1321</v>
      </c>
      <c r="AA107" s="48" t="s">
        <v>1324</v>
      </c>
      <c r="AB107" s="48" t="s">
        <v>1325</v>
      </c>
      <c r="AC107" s="48" t="s">
        <v>1239</v>
      </c>
      <c r="AD107" s="48" t="s">
        <v>1231</v>
      </c>
      <c r="AE107" s="48" t="s">
        <v>1669</v>
      </c>
      <c r="AF107" s="48" t="s">
        <v>1436</v>
      </c>
      <c r="AG107" s="48" t="s">
        <v>1436</v>
      </c>
      <c r="AH107" s="48" t="s">
        <v>208</v>
      </c>
      <c r="AI107" s="50">
        <v>44562</v>
      </c>
      <c r="AJ107" s="50">
        <v>46387</v>
      </c>
      <c r="AK107" s="49" t="s">
        <v>1280</v>
      </c>
      <c r="AL107" s="48" t="s">
        <v>36</v>
      </c>
      <c r="AM107" s="48" t="s">
        <v>36</v>
      </c>
      <c r="AN107" s="51">
        <v>0</v>
      </c>
      <c r="AO107" s="51"/>
      <c r="AP107" s="51"/>
      <c r="AQ107" s="72">
        <v>1600000</v>
      </c>
      <c r="AR107" s="72">
        <v>50000</v>
      </c>
      <c r="AS107" s="50">
        <v>46387</v>
      </c>
      <c r="AT107" s="50" t="s">
        <v>1436</v>
      </c>
      <c r="AU107" s="49" t="s">
        <v>1436</v>
      </c>
      <c r="AV107" s="49" t="s">
        <v>1670</v>
      </c>
      <c r="AW107" s="48" t="s">
        <v>1244</v>
      </c>
    </row>
    <row r="108" spans="1:49" x14ac:dyDescent="0.3">
      <c r="A108" s="48" t="s">
        <v>1320</v>
      </c>
      <c r="B108" s="48" t="s">
        <v>6</v>
      </c>
      <c r="C108" s="48" t="s">
        <v>1322</v>
      </c>
      <c r="D108" s="50">
        <v>44834</v>
      </c>
      <c r="E108" s="48" t="s">
        <v>36</v>
      </c>
      <c r="F108" s="48" t="s">
        <v>1438</v>
      </c>
      <c r="G108" s="48" t="s">
        <v>1439</v>
      </c>
      <c r="H108" s="49" t="s">
        <v>1440</v>
      </c>
      <c r="I108" s="48" t="s">
        <v>1406</v>
      </c>
      <c r="J108" s="48" t="s">
        <v>1194</v>
      </c>
      <c r="K108" s="48" t="s">
        <v>1441</v>
      </c>
      <c r="L108" s="48" t="s">
        <v>38</v>
      </c>
      <c r="M108" s="48" t="s">
        <v>37</v>
      </c>
      <c r="N108" s="48" t="s">
        <v>1436</v>
      </c>
      <c r="O108" s="48" t="s">
        <v>1436</v>
      </c>
      <c r="P108" s="48" t="s">
        <v>1436</v>
      </c>
      <c r="Q108" s="48" t="s">
        <v>38</v>
      </c>
      <c r="R108" s="48" t="s">
        <v>39</v>
      </c>
      <c r="S108" s="48" t="s">
        <v>1194</v>
      </c>
      <c r="T108" s="48" t="s">
        <v>41</v>
      </c>
      <c r="U108" s="48" t="s">
        <v>1436</v>
      </c>
      <c r="V108" s="48" t="s">
        <v>1436</v>
      </c>
      <c r="W108" s="48" t="s">
        <v>1436</v>
      </c>
      <c r="X108" s="49" t="s">
        <v>193</v>
      </c>
      <c r="Y108" s="48" t="s">
        <v>1194</v>
      </c>
      <c r="Z108" s="49" t="s">
        <v>1321</v>
      </c>
      <c r="AA108" s="48" t="s">
        <v>1324</v>
      </c>
      <c r="AB108" s="48" t="s">
        <v>1325</v>
      </c>
      <c r="AC108" s="48" t="s">
        <v>1239</v>
      </c>
      <c r="AD108" s="48" t="s">
        <v>1231</v>
      </c>
      <c r="AE108" s="48" t="s">
        <v>1669</v>
      </c>
      <c r="AF108" s="48" t="s">
        <v>1436</v>
      </c>
      <c r="AG108" s="48" t="s">
        <v>1436</v>
      </c>
      <c r="AH108" s="48" t="s">
        <v>208</v>
      </c>
      <c r="AI108" s="50">
        <v>44562</v>
      </c>
      <c r="AJ108" s="50">
        <v>46387</v>
      </c>
      <c r="AK108" s="49" t="s">
        <v>1280</v>
      </c>
      <c r="AL108" s="48" t="s">
        <v>36</v>
      </c>
      <c r="AM108" s="48" t="s">
        <v>36</v>
      </c>
      <c r="AN108" s="51">
        <v>0</v>
      </c>
      <c r="AO108" s="51"/>
      <c r="AP108" s="51"/>
      <c r="AQ108" s="72">
        <v>1600000</v>
      </c>
      <c r="AR108" s="72">
        <v>50000</v>
      </c>
      <c r="AS108" s="50">
        <v>46387</v>
      </c>
      <c r="AT108" s="50" t="s">
        <v>1436</v>
      </c>
      <c r="AU108" s="49" t="s">
        <v>1436</v>
      </c>
      <c r="AV108" s="49" t="s">
        <v>1670</v>
      </c>
      <c r="AW108" s="48" t="s">
        <v>1244</v>
      </c>
    </row>
    <row r="109" spans="1:49" x14ac:dyDescent="0.3">
      <c r="A109" s="48" t="s">
        <v>1320</v>
      </c>
      <c r="B109" s="48" t="s">
        <v>6</v>
      </c>
      <c r="C109" s="48" t="s">
        <v>1322</v>
      </c>
      <c r="D109" s="50">
        <v>44834</v>
      </c>
      <c r="E109" s="48" t="s">
        <v>36</v>
      </c>
      <c r="F109" s="48" t="s">
        <v>1438</v>
      </c>
      <c r="G109" s="48" t="s">
        <v>1439</v>
      </c>
      <c r="H109" s="49" t="s">
        <v>1442</v>
      </c>
      <c r="I109" s="48" t="s">
        <v>1405</v>
      </c>
      <c r="J109" s="48" t="s">
        <v>1194</v>
      </c>
      <c r="K109" s="48" t="s">
        <v>1443</v>
      </c>
      <c r="L109" s="48" t="s">
        <v>38</v>
      </c>
      <c r="M109" s="48" t="s">
        <v>37</v>
      </c>
      <c r="N109" s="48" t="s">
        <v>1436</v>
      </c>
      <c r="O109" s="48" t="s">
        <v>1436</v>
      </c>
      <c r="P109" s="48" t="s">
        <v>1436</v>
      </c>
      <c r="Q109" s="48" t="s">
        <v>38</v>
      </c>
      <c r="R109" s="48" t="s">
        <v>39</v>
      </c>
      <c r="S109" s="48" t="s">
        <v>1194</v>
      </c>
      <c r="T109" s="48" t="s">
        <v>41</v>
      </c>
      <c r="U109" s="48" t="s">
        <v>1436</v>
      </c>
      <c r="V109" s="48" t="s">
        <v>1436</v>
      </c>
      <c r="W109" s="48" t="s">
        <v>1436</v>
      </c>
      <c r="X109" s="49" t="s">
        <v>193</v>
      </c>
      <c r="Y109" s="48" t="s">
        <v>1194</v>
      </c>
      <c r="Z109" s="49" t="s">
        <v>1321</v>
      </c>
      <c r="AA109" s="48" t="s">
        <v>1324</v>
      </c>
      <c r="AB109" s="48" t="s">
        <v>1325</v>
      </c>
      <c r="AC109" s="48" t="s">
        <v>1239</v>
      </c>
      <c r="AD109" s="48" t="s">
        <v>1231</v>
      </c>
      <c r="AE109" s="48" t="s">
        <v>1669</v>
      </c>
      <c r="AF109" s="48" t="s">
        <v>1436</v>
      </c>
      <c r="AG109" s="48" t="s">
        <v>1436</v>
      </c>
      <c r="AH109" s="48" t="s">
        <v>208</v>
      </c>
      <c r="AI109" s="50">
        <v>44562</v>
      </c>
      <c r="AJ109" s="50">
        <v>46387</v>
      </c>
      <c r="AK109" s="49" t="s">
        <v>1280</v>
      </c>
      <c r="AL109" s="48" t="s">
        <v>36</v>
      </c>
      <c r="AM109" s="48" t="s">
        <v>36</v>
      </c>
      <c r="AN109" s="51">
        <v>0</v>
      </c>
      <c r="AO109" s="51"/>
      <c r="AP109" s="51"/>
      <c r="AQ109" s="72">
        <v>1600000</v>
      </c>
      <c r="AR109" s="72">
        <v>50000</v>
      </c>
      <c r="AS109" s="50">
        <v>46387</v>
      </c>
      <c r="AT109" s="50" t="s">
        <v>1436</v>
      </c>
      <c r="AU109" s="49" t="s">
        <v>1436</v>
      </c>
      <c r="AV109" s="49" t="s">
        <v>1670</v>
      </c>
      <c r="AW109" s="48" t="s">
        <v>1244</v>
      </c>
    </row>
    <row r="110" spans="1:49" x14ac:dyDescent="0.3">
      <c r="A110" s="48" t="s">
        <v>1320</v>
      </c>
      <c r="B110" s="48" t="s">
        <v>6</v>
      </c>
      <c r="C110" s="48" t="s">
        <v>1322</v>
      </c>
      <c r="D110" s="50">
        <v>44834</v>
      </c>
      <c r="E110" s="48" t="s">
        <v>36</v>
      </c>
      <c r="F110" s="48" t="s">
        <v>1438</v>
      </c>
      <c r="G110" s="48" t="s">
        <v>1444</v>
      </c>
      <c r="H110" s="49" t="s">
        <v>1445</v>
      </c>
      <c r="I110" s="48" t="s">
        <v>1411</v>
      </c>
      <c r="J110" s="48" t="s">
        <v>40</v>
      </c>
      <c r="K110" s="48" t="s">
        <v>50</v>
      </c>
      <c r="L110" s="48" t="s">
        <v>38</v>
      </c>
      <c r="M110" s="48" t="s">
        <v>37</v>
      </c>
      <c r="N110" s="48" t="s">
        <v>1436</v>
      </c>
      <c r="O110" s="48" t="s">
        <v>1436</v>
      </c>
      <c r="P110" s="48" t="s">
        <v>1436</v>
      </c>
      <c r="Q110" s="48" t="s">
        <v>38</v>
      </c>
      <c r="R110" s="48" t="s">
        <v>39</v>
      </c>
      <c r="S110" s="48" t="s">
        <v>40</v>
      </c>
      <c r="T110" s="48" t="s">
        <v>41</v>
      </c>
      <c r="U110" s="48" t="s">
        <v>1436</v>
      </c>
      <c r="V110" s="48" t="s">
        <v>1436</v>
      </c>
      <c r="W110" s="48" t="s">
        <v>1436</v>
      </c>
      <c r="X110" s="49" t="s">
        <v>193</v>
      </c>
      <c r="Y110" s="48" t="s">
        <v>1194</v>
      </c>
      <c r="Z110" s="49" t="s">
        <v>1321</v>
      </c>
      <c r="AA110" s="48" t="s">
        <v>1324</v>
      </c>
      <c r="AB110" s="48" t="s">
        <v>1325</v>
      </c>
      <c r="AC110" s="48" t="s">
        <v>1239</v>
      </c>
      <c r="AD110" s="48" t="s">
        <v>1231</v>
      </c>
      <c r="AE110" s="48" t="s">
        <v>1669</v>
      </c>
      <c r="AF110" s="48" t="s">
        <v>1436</v>
      </c>
      <c r="AG110" s="48" t="s">
        <v>1436</v>
      </c>
      <c r="AH110" s="48" t="s">
        <v>208</v>
      </c>
      <c r="AI110" s="50">
        <v>44562</v>
      </c>
      <c r="AJ110" s="50">
        <v>46387</v>
      </c>
      <c r="AK110" s="49" t="s">
        <v>1280</v>
      </c>
      <c r="AL110" s="48" t="s">
        <v>36</v>
      </c>
      <c r="AM110" s="48" t="s">
        <v>36</v>
      </c>
      <c r="AN110" s="51">
        <v>42330.49</v>
      </c>
      <c r="AO110" s="51"/>
      <c r="AP110" s="51"/>
      <c r="AQ110" s="72">
        <v>1600000</v>
      </c>
      <c r="AR110" s="72">
        <v>50000</v>
      </c>
      <c r="AS110" s="50">
        <v>46387</v>
      </c>
      <c r="AT110" s="50" t="s">
        <v>1436</v>
      </c>
      <c r="AU110" s="49" t="s">
        <v>1436</v>
      </c>
      <c r="AV110" s="49" t="s">
        <v>1670</v>
      </c>
      <c r="AW110" s="48" t="s">
        <v>1244</v>
      </c>
    </row>
    <row r="111" spans="1:49" x14ac:dyDescent="0.3">
      <c r="A111" s="48" t="s">
        <v>1320</v>
      </c>
      <c r="B111" s="48" t="s">
        <v>6</v>
      </c>
      <c r="C111" s="48" t="s">
        <v>1322</v>
      </c>
      <c r="D111" s="50">
        <v>44834</v>
      </c>
      <c r="E111" s="48" t="s">
        <v>36</v>
      </c>
      <c r="F111" s="48" t="s">
        <v>1438</v>
      </c>
      <c r="G111" s="48" t="s">
        <v>1444</v>
      </c>
      <c r="H111" s="49" t="s">
        <v>1446</v>
      </c>
      <c r="I111" s="48" t="s">
        <v>1407</v>
      </c>
      <c r="J111" s="48" t="s">
        <v>40</v>
      </c>
      <c r="K111" s="48" t="s">
        <v>47</v>
      </c>
      <c r="L111" s="48" t="s">
        <v>38</v>
      </c>
      <c r="M111" s="48" t="s">
        <v>37</v>
      </c>
      <c r="N111" s="48" t="s">
        <v>1436</v>
      </c>
      <c r="O111" s="48" t="s">
        <v>1436</v>
      </c>
      <c r="P111" s="48" t="s">
        <v>1436</v>
      </c>
      <c r="Q111" s="48" t="s">
        <v>38</v>
      </c>
      <c r="R111" s="48" t="s">
        <v>39</v>
      </c>
      <c r="S111" s="48" t="s">
        <v>40</v>
      </c>
      <c r="T111" s="48" t="s">
        <v>41</v>
      </c>
      <c r="U111" s="48" t="s">
        <v>1436</v>
      </c>
      <c r="V111" s="48" t="s">
        <v>1436</v>
      </c>
      <c r="W111" s="48" t="s">
        <v>1436</v>
      </c>
      <c r="X111" s="49" t="s">
        <v>193</v>
      </c>
      <c r="Y111" s="48" t="s">
        <v>1194</v>
      </c>
      <c r="Z111" s="49" t="s">
        <v>1321</v>
      </c>
      <c r="AA111" s="48" t="s">
        <v>1324</v>
      </c>
      <c r="AB111" s="48" t="s">
        <v>1325</v>
      </c>
      <c r="AC111" s="48" t="s">
        <v>1239</v>
      </c>
      <c r="AD111" s="48" t="s">
        <v>1231</v>
      </c>
      <c r="AE111" s="48" t="s">
        <v>1669</v>
      </c>
      <c r="AF111" s="48" t="s">
        <v>1436</v>
      </c>
      <c r="AG111" s="48" t="s">
        <v>1436</v>
      </c>
      <c r="AH111" s="48" t="s">
        <v>208</v>
      </c>
      <c r="AI111" s="50">
        <v>44562</v>
      </c>
      <c r="AJ111" s="50">
        <v>46387</v>
      </c>
      <c r="AK111" s="49" t="s">
        <v>1280</v>
      </c>
      <c r="AL111" s="48" t="s">
        <v>36</v>
      </c>
      <c r="AM111" s="48" t="s">
        <v>36</v>
      </c>
      <c r="AN111" s="51">
        <v>12834.260563</v>
      </c>
      <c r="AO111" s="51"/>
      <c r="AP111" s="51"/>
      <c r="AQ111" s="72">
        <v>1600000</v>
      </c>
      <c r="AR111" s="72">
        <v>50000</v>
      </c>
      <c r="AS111" s="50">
        <v>46387</v>
      </c>
      <c r="AT111" s="50" t="s">
        <v>1436</v>
      </c>
      <c r="AU111" s="49" t="s">
        <v>1436</v>
      </c>
      <c r="AV111" s="49" t="s">
        <v>1670</v>
      </c>
      <c r="AW111" s="48" t="s">
        <v>1244</v>
      </c>
    </row>
    <row r="112" spans="1:49" x14ac:dyDescent="0.3">
      <c r="A112" s="48" t="s">
        <v>1320</v>
      </c>
      <c r="B112" s="48" t="s">
        <v>6</v>
      </c>
      <c r="C112" s="48" t="s">
        <v>1322</v>
      </c>
      <c r="D112" s="50">
        <v>44834</v>
      </c>
      <c r="E112" s="48" t="s">
        <v>36</v>
      </c>
      <c r="F112" s="48" t="s">
        <v>1433</v>
      </c>
      <c r="G112" s="48" t="s">
        <v>1447</v>
      </c>
      <c r="H112" s="49" t="s">
        <v>1448</v>
      </c>
      <c r="I112" s="48" t="s">
        <v>1413</v>
      </c>
      <c r="J112" s="48" t="s">
        <v>40</v>
      </c>
      <c r="K112" s="48" t="s">
        <v>58</v>
      </c>
      <c r="L112" s="48" t="s">
        <v>38</v>
      </c>
      <c r="M112" s="48" t="s">
        <v>37</v>
      </c>
      <c r="N112" s="48" t="s">
        <v>1436</v>
      </c>
      <c r="O112" s="48" t="s">
        <v>1436</v>
      </c>
      <c r="P112" s="48" t="s">
        <v>1436</v>
      </c>
      <c r="Q112" s="48" t="s">
        <v>38</v>
      </c>
      <c r="R112" s="48" t="s">
        <v>39</v>
      </c>
      <c r="S112" s="48" t="s">
        <v>40</v>
      </c>
      <c r="T112" s="48" t="s">
        <v>41</v>
      </c>
      <c r="U112" s="48" t="s">
        <v>1436</v>
      </c>
      <c r="V112" s="48" t="s">
        <v>1436</v>
      </c>
      <c r="W112" s="48" t="s">
        <v>1436</v>
      </c>
      <c r="X112" s="49" t="s">
        <v>193</v>
      </c>
      <c r="Y112" s="48" t="s">
        <v>1194</v>
      </c>
      <c r="Z112" s="49" t="s">
        <v>1321</v>
      </c>
      <c r="AA112" s="48" t="s">
        <v>1324</v>
      </c>
      <c r="AB112" s="48" t="s">
        <v>1325</v>
      </c>
      <c r="AC112" s="48" t="s">
        <v>1239</v>
      </c>
      <c r="AD112" s="48" t="s">
        <v>1231</v>
      </c>
      <c r="AE112" s="48" t="s">
        <v>1669</v>
      </c>
      <c r="AF112" s="48" t="s">
        <v>1436</v>
      </c>
      <c r="AG112" s="48" t="s">
        <v>1436</v>
      </c>
      <c r="AH112" s="48" t="s">
        <v>208</v>
      </c>
      <c r="AI112" s="50">
        <v>44562</v>
      </c>
      <c r="AJ112" s="50">
        <v>46387</v>
      </c>
      <c r="AK112" s="49" t="s">
        <v>1280</v>
      </c>
      <c r="AL112" s="48" t="s">
        <v>36</v>
      </c>
      <c r="AM112" s="48" t="s">
        <v>36</v>
      </c>
      <c r="AN112" s="51">
        <v>-50000</v>
      </c>
      <c r="AO112" s="51"/>
      <c r="AP112" s="51"/>
      <c r="AQ112" s="72">
        <v>1600000</v>
      </c>
      <c r="AR112" s="72">
        <v>50000</v>
      </c>
      <c r="AS112" s="50">
        <v>46387</v>
      </c>
      <c r="AT112" s="50" t="s">
        <v>1436</v>
      </c>
      <c r="AU112" s="49" t="s">
        <v>1436</v>
      </c>
      <c r="AV112" s="49" t="s">
        <v>1670</v>
      </c>
      <c r="AW112" s="48" t="s">
        <v>1244</v>
      </c>
    </row>
    <row r="113" spans="1:49" x14ac:dyDescent="0.3">
      <c r="A113" s="48" t="s">
        <v>1320</v>
      </c>
      <c r="B113" s="48" t="s">
        <v>6</v>
      </c>
      <c r="C113" s="48" t="s">
        <v>1322</v>
      </c>
      <c r="D113" s="50">
        <v>44834</v>
      </c>
      <c r="E113" s="48" t="s">
        <v>36</v>
      </c>
      <c r="F113" s="48" t="s">
        <v>1433</v>
      </c>
      <c r="G113" s="48" t="s">
        <v>1447</v>
      </c>
      <c r="H113" s="49" t="s">
        <v>1449</v>
      </c>
      <c r="I113" s="48" t="s">
        <v>1409</v>
      </c>
      <c r="J113" s="48" t="s">
        <v>40</v>
      </c>
      <c r="K113" s="48" t="s">
        <v>45</v>
      </c>
      <c r="L113" s="48" t="s">
        <v>38</v>
      </c>
      <c r="M113" s="48" t="s">
        <v>37</v>
      </c>
      <c r="N113" s="48" t="s">
        <v>1436</v>
      </c>
      <c r="O113" s="48" t="s">
        <v>1436</v>
      </c>
      <c r="P113" s="48" t="s">
        <v>1436</v>
      </c>
      <c r="Q113" s="48" t="s">
        <v>38</v>
      </c>
      <c r="R113" s="48" t="s">
        <v>39</v>
      </c>
      <c r="S113" s="48" t="s">
        <v>40</v>
      </c>
      <c r="T113" s="48" t="s">
        <v>41</v>
      </c>
      <c r="U113" s="48" t="s">
        <v>1436</v>
      </c>
      <c r="V113" s="48" t="s">
        <v>1436</v>
      </c>
      <c r="W113" s="48" t="s">
        <v>1436</v>
      </c>
      <c r="X113" s="49" t="s">
        <v>193</v>
      </c>
      <c r="Y113" s="48" t="s">
        <v>1194</v>
      </c>
      <c r="Z113" s="49" t="s">
        <v>1321</v>
      </c>
      <c r="AA113" s="48" t="s">
        <v>1324</v>
      </c>
      <c r="AB113" s="48" t="s">
        <v>1325</v>
      </c>
      <c r="AC113" s="48" t="s">
        <v>1239</v>
      </c>
      <c r="AD113" s="48" t="s">
        <v>1231</v>
      </c>
      <c r="AE113" s="48" t="s">
        <v>1669</v>
      </c>
      <c r="AF113" s="48" t="s">
        <v>1436</v>
      </c>
      <c r="AG113" s="48" t="s">
        <v>1436</v>
      </c>
      <c r="AH113" s="48" t="s">
        <v>208</v>
      </c>
      <c r="AI113" s="50">
        <v>44562</v>
      </c>
      <c r="AJ113" s="50">
        <v>46387</v>
      </c>
      <c r="AK113" s="49" t="s">
        <v>1280</v>
      </c>
      <c r="AL113" s="48" t="s">
        <v>36</v>
      </c>
      <c r="AM113" s="48" t="s">
        <v>36</v>
      </c>
      <c r="AN113" s="51">
        <v>39621.326623000001</v>
      </c>
      <c r="AO113" s="51"/>
      <c r="AP113" s="51"/>
      <c r="AQ113" s="72">
        <v>1600000</v>
      </c>
      <c r="AR113" s="72">
        <v>50000</v>
      </c>
      <c r="AS113" s="50">
        <v>46387</v>
      </c>
      <c r="AT113" s="50" t="s">
        <v>1436</v>
      </c>
      <c r="AU113" s="49" t="s">
        <v>1436</v>
      </c>
      <c r="AV113" s="49" t="s">
        <v>1670</v>
      </c>
      <c r="AW113" s="48" t="s">
        <v>1244</v>
      </c>
    </row>
    <row r="114" spans="1:49" x14ac:dyDescent="0.3">
      <c r="A114" s="48" t="s">
        <v>1320</v>
      </c>
      <c r="B114" s="48" t="s">
        <v>6</v>
      </c>
      <c r="C114" s="48" t="s">
        <v>1322</v>
      </c>
      <c r="D114" s="50">
        <v>44834</v>
      </c>
      <c r="E114" s="48" t="s">
        <v>36</v>
      </c>
      <c r="F114" s="48" t="s">
        <v>1433</v>
      </c>
      <c r="G114" s="48" t="s">
        <v>1447</v>
      </c>
      <c r="H114" s="49" t="s">
        <v>1450</v>
      </c>
      <c r="I114" s="48" t="s">
        <v>1408</v>
      </c>
      <c r="J114" s="48" t="s">
        <v>40</v>
      </c>
      <c r="K114" s="48" t="s">
        <v>54</v>
      </c>
      <c r="L114" s="48" t="s">
        <v>38</v>
      </c>
      <c r="M114" s="48" t="s">
        <v>37</v>
      </c>
      <c r="N114" s="48" t="s">
        <v>1436</v>
      </c>
      <c r="O114" s="48" t="s">
        <v>1436</v>
      </c>
      <c r="P114" s="48" t="s">
        <v>1436</v>
      </c>
      <c r="Q114" s="48" t="s">
        <v>38</v>
      </c>
      <c r="R114" s="48" t="s">
        <v>39</v>
      </c>
      <c r="S114" s="48" t="s">
        <v>40</v>
      </c>
      <c r="T114" s="48" t="s">
        <v>41</v>
      </c>
      <c r="U114" s="48" t="s">
        <v>1436</v>
      </c>
      <c r="V114" s="48" t="s">
        <v>1436</v>
      </c>
      <c r="W114" s="48" t="s">
        <v>1436</v>
      </c>
      <c r="X114" s="49" t="s">
        <v>193</v>
      </c>
      <c r="Y114" s="48" t="s">
        <v>1194</v>
      </c>
      <c r="Z114" s="49" t="s">
        <v>1321</v>
      </c>
      <c r="AA114" s="48" t="s">
        <v>1324</v>
      </c>
      <c r="AB114" s="48" t="s">
        <v>1325</v>
      </c>
      <c r="AC114" s="48" t="s">
        <v>1239</v>
      </c>
      <c r="AD114" s="48" t="s">
        <v>1231</v>
      </c>
      <c r="AE114" s="48" t="s">
        <v>1669</v>
      </c>
      <c r="AF114" s="48" t="s">
        <v>1436</v>
      </c>
      <c r="AG114" s="48" t="s">
        <v>1436</v>
      </c>
      <c r="AH114" s="48" t="s">
        <v>208</v>
      </c>
      <c r="AI114" s="50">
        <v>44562</v>
      </c>
      <c r="AJ114" s="50">
        <v>46387</v>
      </c>
      <c r="AK114" s="49" t="s">
        <v>1280</v>
      </c>
      <c r="AL114" s="48" t="s">
        <v>36</v>
      </c>
      <c r="AM114" s="48" t="s">
        <v>36</v>
      </c>
      <c r="AN114" s="51">
        <v>-2671.13</v>
      </c>
      <c r="AO114" s="51"/>
      <c r="AP114" s="51"/>
      <c r="AQ114" s="72">
        <v>1600000</v>
      </c>
      <c r="AR114" s="72">
        <v>50000</v>
      </c>
      <c r="AS114" s="50">
        <v>46387</v>
      </c>
      <c r="AT114" s="50" t="s">
        <v>1436</v>
      </c>
      <c r="AU114" s="49" t="s">
        <v>1436</v>
      </c>
      <c r="AV114" s="49" t="s">
        <v>1670</v>
      </c>
      <c r="AW114" s="48" t="s">
        <v>1244</v>
      </c>
    </row>
    <row r="115" spans="1:49" x14ac:dyDescent="0.3">
      <c r="A115" s="48" t="s">
        <v>1320</v>
      </c>
      <c r="B115" s="48" t="s">
        <v>6</v>
      </c>
      <c r="C115" s="48" t="s">
        <v>1322</v>
      </c>
      <c r="D115" s="50">
        <v>44834</v>
      </c>
      <c r="E115" s="48" t="s">
        <v>36</v>
      </c>
      <c r="F115" s="48" t="s">
        <v>1433</v>
      </c>
      <c r="G115" s="48" t="s">
        <v>1447</v>
      </c>
      <c r="H115" s="49" t="s">
        <v>1451</v>
      </c>
      <c r="I115" s="48" t="s">
        <v>1404</v>
      </c>
      <c r="J115" s="48" t="s">
        <v>38</v>
      </c>
      <c r="K115" s="48" t="s">
        <v>49</v>
      </c>
      <c r="L115" s="48" t="s">
        <v>38</v>
      </c>
      <c r="M115" s="48" t="s">
        <v>37</v>
      </c>
      <c r="N115" s="48" t="s">
        <v>1436</v>
      </c>
      <c r="O115" s="48" t="s">
        <v>1436</v>
      </c>
      <c r="P115" s="48" t="s">
        <v>1436</v>
      </c>
      <c r="Q115" s="48" t="s">
        <v>38</v>
      </c>
      <c r="R115" s="48" t="s">
        <v>39</v>
      </c>
      <c r="S115" s="48" t="s">
        <v>38</v>
      </c>
      <c r="T115" s="48" t="s">
        <v>41</v>
      </c>
      <c r="U115" s="48" t="s">
        <v>1436</v>
      </c>
      <c r="V115" s="48" t="s">
        <v>1436</v>
      </c>
      <c r="W115" s="48" t="s">
        <v>1436</v>
      </c>
      <c r="X115" s="49" t="s">
        <v>193</v>
      </c>
      <c r="Y115" s="48" t="s">
        <v>1194</v>
      </c>
      <c r="Z115" s="49" t="s">
        <v>1321</v>
      </c>
      <c r="AA115" s="48" t="s">
        <v>1324</v>
      </c>
      <c r="AB115" s="48" t="s">
        <v>1325</v>
      </c>
      <c r="AC115" s="48" t="s">
        <v>1239</v>
      </c>
      <c r="AD115" s="48" t="s">
        <v>1231</v>
      </c>
      <c r="AE115" s="48" t="s">
        <v>1669</v>
      </c>
      <c r="AF115" s="48" t="s">
        <v>1436</v>
      </c>
      <c r="AG115" s="48" t="s">
        <v>1436</v>
      </c>
      <c r="AH115" s="48" t="s">
        <v>208</v>
      </c>
      <c r="AI115" s="50">
        <v>44562</v>
      </c>
      <c r="AJ115" s="50">
        <v>46387</v>
      </c>
      <c r="AK115" s="49" t="s">
        <v>1280</v>
      </c>
      <c r="AL115" s="48" t="s">
        <v>36</v>
      </c>
      <c r="AM115" s="48" t="s">
        <v>36</v>
      </c>
      <c r="AN115" s="51">
        <v>215.54281399999999</v>
      </c>
      <c r="AO115" s="51"/>
      <c r="AP115" s="51"/>
      <c r="AQ115" s="72">
        <v>1600000</v>
      </c>
      <c r="AR115" s="72">
        <v>50000</v>
      </c>
      <c r="AS115" s="50">
        <v>46387</v>
      </c>
      <c r="AT115" s="50" t="s">
        <v>1436</v>
      </c>
      <c r="AU115" s="49" t="s">
        <v>1436</v>
      </c>
      <c r="AV115" s="49" t="s">
        <v>1670</v>
      </c>
      <c r="AW115" s="48" t="s">
        <v>1244</v>
      </c>
    </row>
    <row r="116" spans="1:49" x14ac:dyDescent="0.3">
      <c r="A116" s="48" t="s">
        <v>1320</v>
      </c>
      <c r="B116" s="48" t="s">
        <v>6</v>
      </c>
      <c r="C116" s="48" t="s">
        <v>1322</v>
      </c>
      <c r="D116" s="50">
        <v>44865</v>
      </c>
      <c r="E116" s="48" t="s">
        <v>36</v>
      </c>
      <c r="F116" s="48" t="s">
        <v>1433</v>
      </c>
      <c r="G116" s="48" t="s">
        <v>1434</v>
      </c>
      <c r="H116" s="49" t="s">
        <v>1435</v>
      </c>
      <c r="I116" s="48" t="s">
        <v>1412</v>
      </c>
      <c r="J116" s="48" t="s">
        <v>40</v>
      </c>
      <c r="K116" s="48" t="s">
        <v>52</v>
      </c>
      <c r="L116" s="48" t="s">
        <v>38</v>
      </c>
      <c r="M116" s="48" t="s">
        <v>37</v>
      </c>
      <c r="N116" s="48" t="s">
        <v>1436</v>
      </c>
      <c r="O116" s="48" t="s">
        <v>1436</v>
      </c>
      <c r="P116" s="48" t="s">
        <v>1436</v>
      </c>
      <c r="Q116" s="48" t="s">
        <v>38</v>
      </c>
      <c r="R116" s="48" t="s">
        <v>39</v>
      </c>
      <c r="S116" s="48" t="s">
        <v>40</v>
      </c>
      <c r="T116" s="48" t="s">
        <v>41</v>
      </c>
      <c r="U116" s="48" t="s">
        <v>1436</v>
      </c>
      <c r="V116" s="48" t="s">
        <v>1436</v>
      </c>
      <c r="W116" s="48" t="s">
        <v>1436</v>
      </c>
      <c r="X116" s="49" t="s">
        <v>193</v>
      </c>
      <c r="Y116" s="48" t="s">
        <v>1194</v>
      </c>
      <c r="Z116" s="49" t="s">
        <v>1321</v>
      </c>
      <c r="AA116" s="48" t="s">
        <v>1324</v>
      </c>
      <c r="AB116" s="48" t="s">
        <v>1325</v>
      </c>
      <c r="AC116" s="48" t="s">
        <v>1239</v>
      </c>
      <c r="AD116" s="48" t="s">
        <v>1231</v>
      </c>
      <c r="AE116" s="48" t="s">
        <v>1669</v>
      </c>
      <c r="AF116" s="48" t="s">
        <v>1436</v>
      </c>
      <c r="AG116" s="48" t="s">
        <v>1436</v>
      </c>
      <c r="AH116" s="48" t="s">
        <v>208</v>
      </c>
      <c r="AI116" s="50">
        <v>44562</v>
      </c>
      <c r="AJ116" s="50">
        <v>46387</v>
      </c>
      <c r="AK116" s="49" t="s">
        <v>1280</v>
      </c>
      <c r="AL116" s="48" t="s">
        <v>36</v>
      </c>
      <c r="AM116" s="48" t="s">
        <v>36</v>
      </c>
      <c r="AN116" s="51">
        <v>-42330.49</v>
      </c>
      <c r="AO116" s="51"/>
      <c r="AP116" s="51"/>
      <c r="AQ116" s="72">
        <v>1600000</v>
      </c>
      <c r="AR116" s="72">
        <v>50000</v>
      </c>
      <c r="AS116" s="50">
        <v>46387</v>
      </c>
      <c r="AT116" s="50" t="s">
        <v>1436</v>
      </c>
      <c r="AU116" s="49" t="s">
        <v>1436</v>
      </c>
      <c r="AV116" s="49" t="s">
        <v>1670</v>
      </c>
      <c r="AW116" s="48" t="s">
        <v>1244</v>
      </c>
    </row>
    <row r="117" spans="1:49" x14ac:dyDescent="0.3">
      <c r="A117" s="48" t="s">
        <v>1320</v>
      </c>
      <c r="B117" s="48" t="s">
        <v>6</v>
      </c>
      <c r="C117" s="48" t="s">
        <v>1322</v>
      </c>
      <c r="D117" s="50">
        <v>44865</v>
      </c>
      <c r="E117" s="48" t="s">
        <v>36</v>
      </c>
      <c r="F117" s="48" t="s">
        <v>1433</v>
      </c>
      <c r="G117" s="48" t="s">
        <v>1434</v>
      </c>
      <c r="H117" s="49" t="s">
        <v>1437</v>
      </c>
      <c r="I117" s="48" t="s">
        <v>1410</v>
      </c>
      <c r="J117" s="48" t="s">
        <v>40</v>
      </c>
      <c r="K117" s="48" t="s">
        <v>42</v>
      </c>
      <c r="L117" s="48" t="s">
        <v>38</v>
      </c>
      <c r="M117" s="48" t="s">
        <v>37</v>
      </c>
      <c r="N117" s="48" t="s">
        <v>1436</v>
      </c>
      <c r="O117" s="48" t="s">
        <v>1436</v>
      </c>
      <c r="P117" s="48" t="s">
        <v>1436</v>
      </c>
      <c r="Q117" s="48" t="s">
        <v>38</v>
      </c>
      <c r="R117" s="48" t="s">
        <v>39</v>
      </c>
      <c r="S117" s="48" t="s">
        <v>40</v>
      </c>
      <c r="T117" s="48" t="s">
        <v>41</v>
      </c>
      <c r="U117" s="48" t="s">
        <v>1436</v>
      </c>
      <c r="V117" s="48" t="s">
        <v>1436</v>
      </c>
      <c r="W117" s="48" t="s">
        <v>1436</v>
      </c>
      <c r="X117" s="49" t="s">
        <v>193</v>
      </c>
      <c r="Y117" s="48" t="s">
        <v>1194</v>
      </c>
      <c r="Z117" s="49" t="s">
        <v>1321</v>
      </c>
      <c r="AA117" s="48" t="s">
        <v>1324</v>
      </c>
      <c r="AB117" s="48" t="s">
        <v>1325</v>
      </c>
      <c r="AC117" s="48" t="s">
        <v>1239</v>
      </c>
      <c r="AD117" s="48" t="s">
        <v>1231</v>
      </c>
      <c r="AE117" s="48" t="s">
        <v>1669</v>
      </c>
      <c r="AF117" s="48" t="s">
        <v>1436</v>
      </c>
      <c r="AG117" s="48" t="s">
        <v>1436</v>
      </c>
      <c r="AH117" s="48" t="s">
        <v>208</v>
      </c>
      <c r="AI117" s="50">
        <v>44562</v>
      </c>
      <c r="AJ117" s="50">
        <v>46387</v>
      </c>
      <c r="AK117" s="49" t="s">
        <v>1280</v>
      </c>
      <c r="AL117" s="48" t="s">
        <v>36</v>
      </c>
      <c r="AM117" s="48" t="s">
        <v>36</v>
      </c>
      <c r="AN117" s="51">
        <v>0</v>
      </c>
      <c r="AO117" s="51"/>
      <c r="AP117" s="51"/>
      <c r="AQ117" s="72">
        <v>1600000</v>
      </c>
      <c r="AR117" s="72">
        <v>50000</v>
      </c>
      <c r="AS117" s="50">
        <v>46387</v>
      </c>
      <c r="AT117" s="50" t="s">
        <v>1436</v>
      </c>
      <c r="AU117" s="49" t="s">
        <v>1436</v>
      </c>
      <c r="AV117" s="49" t="s">
        <v>1670</v>
      </c>
      <c r="AW117" s="48" t="s">
        <v>1244</v>
      </c>
    </row>
    <row r="118" spans="1:49" x14ac:dyDescent="0.3">
      <c r="A118" s="48" t="s">
        <v>1320</v>
      </c>
      <c r="B118" s="48" t="s">
        <v>6</v>
      </c>
      <c r="C118" s="48" t="s">
        <v>1322</v>
      </c>
      <c r="D118" s="50">
        <v>44865</v>
      </c>
      <c r="E118" s="48" t="s">
        <v>36</v>
      </c>
      <c r="F118" s="48" t="s">
        <v>1438</v>
      </c>
      <c r="G118" s="48" t="s">
        <v>1439</v>
      </c>
      <c r="H118" s="49" t="s">
        <v>1440</v>
      </c>
      <c r="I118" s="48" t="s">
        <v>1406</v>
      </c>
      <c r="J118" s="48" t="s">
        <v>1194</v>
      </c>
      <c r="K118" s="48" t="s">
        <v>1441</v>
      </c>
      <c r="L118" s="48" t="s">
        <v>38</v>
      </c>
      <c r="M118" s="48" t="s">
        <v>37</v>
      </c>
      <c r="N118" s="48" t="s">
        <v>1436</v>
      </c>
      <c r="O118" s="48" t="s">
        <v>1436</v>
      </c>
      <c r="P118" s="48" t="s">
        <v>1436</v>
      </c>
      <c r="Q118" s="48" t="s">
        <v>38</v>
      </c>
      <c r="R118" s="48" t="s">
        <v>39</v>
      </c>
      <c r="S118" s="48" t="s">
        <v>1194</v>
      </c>
      <c r="T118" s="48" t="s">
        <v>41</v>
      </c>
      <c r="U118" s="48" t="s">
        <v>1436</v>
      </c>
      <c r="V118" s="48" t="s">
        <v>1436</v>
      </c>
      <c r="W118" s="48" t="s">
        <v>1436</v>
      </c>
      <c r="X118" s="49" t="s">
        <v>193</v>
      </c>
      <c r="Y118" s="48" t="s">
        <v>1194</v>
      </c>
      <c r="Z118" s="49" t="s">
        <v>1321</v>
      </c>
      <c r="AA118" s="48" t="s">
        <v>1324</v>
      </c>
      <c r="AB118" s="48" t="s">
        <v>1325</v>
      </c>
      <c r="AC118" s="48" t="s">
        <v>1239</v>
      </c>
      <c r="AD118" s="48" t="s">
        <v>1231</v>
      </c>
      <c r="AE118" s="48" t="s">
        <v>1669</v>
      </c>
      <c r="AF118" s="48" t="s">
        <v>1436</v>
      </c>
      <c r="AG118" s="48" t="s">
        <v>1436</v>
      </c>
      <c r="AH118" s="48" t="s">
        <v>208</v>
      </c>
      <c r="AI118" s="50">
        <v>44562</v>
      </c>
      <c r="AJ118" s="50">
        <v>46387</v>
      </c>
      <c r="AK118" s="49" t="s">
        <v>1280</v>
      </c>
      <c r="AL118" s="48" t="s">
        <v>36</v>
      </c>
      <c r="AM118" s="48" t="s">
        <v>36</v>
      </c>
      <c r="AN118" s="51">
        <v>0</v>
      </c>
      <c r="AO118" s="51"/>
      <c r="AP118" s="51"/>
      <c r="AQ118" s="72">
        <v>1600000</v>
      </c>
      <c r="AR118" s="72">
        <v>50000</v>
      </c>
      <c r="AS118" s="50">
        <v>46387</v>
      </c>
      <c r="AT118" s="50" t="s">
        <v>1436</v>
      </c>
      <c r="AU118" s="49" t="s">
        <v>1436</v>
      </c>
      <c r="AV118" s="49" t="s">
        <v>1670</v>
      </c>
      <c r="AW118" s="48" t="s">
        <v>1244</v>
      </c>
    </row>
    <row r="119" spans="1:49" x14ac:dyDescent="0.3">
      <c r="A119" s="48" t="s">
        <v>1320</v>
      </c>
      <c r="B119" s="48" t="s">
        <v>6</v>
      </c>
      <c r="C119" s="48" t="s">
        <v>1322</v>
      </c>
      <c r="D119" s="50">
        <v>44865</v>
      </c>
      <c r="E119" s="48" t="s">
        <v>36</v>
      </c>
      <c r="F119" s="48" t="s">
        <v>1438</v>
      </c>
      <c r="G119" s="48" t="s">
        <v>1439</v>
      </c>
      <c r="H119" s="49" t="s">
        <v>1442</v>
      </c>
      <c r="I119" s="48" t="s">
        <v>1405</v>
      </c>
      <c r="J119" s="48" t="s">
        <v>1194</v>
      </c>
      <c r="K119" s="48" t="s">
        <v>1443</v>
      </c>
      <c r="L119" s="48" t="s">
        <v>38</v>
      </c>
      <c r="M119" s="48" t="s">
        <v>37</v>
      </c>
      <c r="N119" s="48" t="s">
        <v>1436</v>
      </c>
      <c r="O119" s="48" t="s">
        <v>1436</v>
      </c>
      <c r="P119" s="48" t="s">
        <v>1436</v>
      </c>
      <c r="Q119" s="48" t="s">
        <v>38</v>
      </c>
      <c r="R119" s="48" t="s">
        <v>39</v>
      </c>
      <c r="S119" s="48" t="s">
        <v>1194</v>
      </c>
      <c r="T119" s="48" t="s">
        <v>41</v>
      </c>
      <c r="U119" s="48" t="s">
        <v>1436</v>
      </c>
      <c r="V119" s="48" t="s">
        <v>1436</v>
      </c>
      <c r="W119" s="48" t="s">
        <v>1436</v>
      </c>
      <c r="X119" s="49" t="s">
        <v>193</v>
      </c>
      <c r="Y119" s="48" t="s">
        <v>1194</v>
      </c>
      <c r="Z119" s="49" t="s">
        <v>1321</v>
      </c>
      <c r="AA119" s="48" t="s">
        <v>1324</v>
      </c>
      <c r="AB119" s="48" t="s">
        <v>1325</v>
      </c>
      <c r="AC119" s="48" t="s">
        <v>1239</v>
      </c>
      <c r="AD119" s="48" t="s">
        <v>1231</v>
      </c>
      <c r="AE119" s="48" t="s">
        <v>1669</v>
      </c>
      <c r="AF119" s="48" t="s">
        <v>1436</v>
      </c>
      <c r="AG119" s="48" t="s">
        <v>1436</v>
      </c>
      <c r="AH119" s="48" t="s">
        <v>208</v>
      </c>
      <c r="AI119" s="50">
        <v>44562</v>
      </c>
      <c r="AJ119" s="50">
        <v>46387</v>
      </c>
      <c r="AK119" s="49" t="s">
        <v>1280</v>
      </c>
      <c r="AL119" s="48" t="s">
        <v>36</v>
      </c>
      <c r="AM119" s="48" t="s">
        <v>36</v>
      </c>
      <c r="AN119" s="51">
        <v>0</v>
      </c>
      <c r="AO119" s="51"/>
      <c r="AP119" s="51"/>
      <c r="AQ119" s="72">
        <v>1600000</v>
      </c>
      <c r="AR119" s="72">
        <v>50000</v>
      </c>
      <c r="AS119" s="50">
        <v>46387</v>
      </c>
      <c r="AT119" s="50" t="s">
        <v>1436</v>
      </c>
      <c r="AU119" s="49" t="s">
        <v>1436</v>
      </c>
      <c r="AV119" s="49" t="s">
        <v>1670</v>
      </c>
      <c r="AW119" s="48" t="s">
        <v>1244</v>
      </c>
    </row>
    <row r="120" spans="1:49" x14ac:dyDescent="0.3">
      <c r="A120" s="48" t="s">
        <v>1320</v>
      </c>
      <c r="B120" s="48" t="s">
        <v>6</v>
      </c>
      <c r="C120" s="48" t="s">
        <v>1322</v>
      </c>
      <c r="D120" s="50">
        <v>44865</v>
      </c>
      <c r="E120" s="48" t="s">
        <v>36</v>
      </c>
      <c r="F120" s="48" t="s">
        <v>1438</v>
      </c>
      <c r="G120" s="48" t="s">
        <v>1444</v>
      </c>
      <c r="H120" s="49" t="s">
        <v>1445</v>
      </c>
      <c r="I120" s="48" t="s">
        <v>1411</v>
      </c>
      <c r="J120" s="48" t="s">
        <v>40</v>
      </c>
      <c r="K120" s="48" t="s">
        <v>50</v>
      </c>
      <c r="L120" s="48" t="s">
        <v>38</v>
      </c>
      <c r="M120" s="48" t="s">
        <v>37</v>
      </c>
      <c r="N120" s="48" t="s">
        <v>1436</v>
      </c>
      <c r="O120" s="48" t="s">
        <v>1436</v>
      </c>
      <c r="P120" s="48" t="s">
        <v>1436</v>
      </c>
      <c r="Q120" s="48" t="s">
        <v>38</v>
      </c>
      <c r="R120" s="48" t="s">
        <v>39</v>
      </c>
      <c r="S120" s="48" t="s">
        <v>40</v>
      </c>
      <c r="T120" s="48" t="s">
        <v>41</v>
      </c>
      <c r="U120" s="48" t="s">
        <v>1436</v>
      </c>
      <c r="V120" s="48" t="s">
        <v>1436</v>
      </c>
      <c r="W120" s="48" t="s">
        <v>1436</v>
      </c>
      <c r="X120" s="49" t="s">
        <v>193</v>
      </c>
      <c r="Y120" s="48" t="s">
        <v>1194</v>
      </c>
      <c r="Z120" s="49" t="s">
        <v>1321</v>
      </c>
      <c r="AA120" s="48" t="s">
        <v>1324</v>
      </c>
      <c r="AB120" s="48" t="s">
        <v>1325</v>
      </c>
      <c r="AC120" s="48" t="s">
        <v>1239</v>
      </c>
      <c r="AD120" s="48" t="s">
        <v>1231</v>
      </c>
      <c r="AE120" s="48" t="s">
        <v>1669</v>
      </c>
      <c r="AF120" s="48" t="s">
        <v>1436</v>
      </c>
      <c r="AG120" s="48" t="s">
        <v>1436</v>
      </c>
      <c r="AH120" s="48" t="s">
        <v>208</v>
      </c>
      <c r="AI120" s="50">
        <v>44562</v>
      </c>
      <c r="AJ120" s="50">
        <v>46387</v>
      </c>
      <c r="AK120" s="49" t="s">
        <v>1280</v>
      </c>
      <c r="AL120" s="48" t="s">
        <v>36</v>
      </c>
      <c r="AM120" s="48" t="s">
        <v>36</v>
      </c>
      <c r="AN120" s="51">
        <v>42330.49</v>
      </c>
      <c r="AO120" s="51"/>
      <c r="AP120" s="51"/>
      <c r="AQ120" s="72">
        <v>1600000</v>
      </c>
      <c r="AR120" s="72">
        <v>50000</v>
      </c>
      <c r="AS120" s="50">
        <v>46387</v>
      </c>
      <c r="AT120" s="50" t="s">
        <v>1436</v>
      </c>
      <c r="AU120" s="49" t="s">
        <v>1436</v>
      </c>
      <c r="AV120" s="49" t="s">
        <v>1670</v>
      </c>
      <c r="AW120" s="48" t="s">
        <v>1244</v>
      </c>
    </row>
    <row r="121" spans="1:49" x14ac:dyDescent="0.3">
      <c r="A121" s="48" t="s">
        <v>1320</v>
      </c>
      <c r="B121" s="48" t="s">
        <v>6</v>
      </c>
      <c r="C121" s="48" t="s">
        <v>1322</v>
      </c>
      <c r="D121" s="50">
        <v>44865</v>
      </c>
      <c r="E121" s="48" t="s">
        <v>36</v>
      </c>
      <c r="F121" s="48" t="s">
        <v>1438</v>
      </c>
      <c r="G121" s="48" t="s">
        <v>1444</v>
      </c>
      <c r="H121" s="49" t="s">
        <v>1446</v>
      </c>
      <c r="I121" s="48" t="s">
        <v>1407</v>
      </c>
      <c r="J121" s="48" t="s">
        <v>40</v>
      </c>
      <c r="K121" s="48" t="s">
        <v>47</v>
      </c>
      <c r="L121" s="48" t="s">
        <v>38</v>
      </c>
      <c r="M121" s="48" t="s">
        <v>37</v>
      </c>
      <c r="N121" s="48" t="s">
        <v>1436</v>
      </c>
      <c r="O121" s="48" t="s">
        <v>1436</v>
      </c>
      <c r="P121" s="48" t="s">
        <v>1436</v>
      </c>
      <c r="Q121" s="48" t="s">
        <v>38</v>
      </c>
      <c r="R121" s="48" t="s">
        <v>39</v>
      </c>
      <c r="S121" s="48" t="s">
        <v>40</v>
      </c>
      <c r="T121" s="48" t="s">
        <v>41</v>
      </c>
      <c r="U121" s="48" t="s">
        <v>1436</v>
      </c>
      <c r="V121" s="48" t="s">
        <v>1436</v>
      </c>
      <c r="W121" s="48" t="s">
        <v>1436</v>
      </c>
      <c r="X121" s="49" t="s">
        <v>193</v>
      </c>
      <c r="Y121" s="48" t="s">
        <v>1194</v>
      </c>
      <c r="Z121" s="49" t="s">
        <v>1321</v>
      </c>
      <c r="AA121" s="48" t="s">
        <v>1324</v>
      </c>
      <c r="AB121" s="48" t="s">
        <v>1325</v>
      </c>
      <c r="AC121" s="48" t="s">
        <v>1239</v>
      </c>
      <c r="AD121" s="48" t="s">
        <v>1231</v>
      </c>
      <c r="AE121" s="48" t="s">
        <v>1669</v>
      </c>
      <c r="AF121" s="48" t="s">
        <v>1436</v>
      </c>
      <c r="AG121" s="48" t="s">
        <v>1436</v>
      </c>
      <c r="AH121" s="48" t="s">
        <v>208</v>
      </c>
      <c r="AI121" s="50">
        <v>44562</v>
      </c>
      <c r="AJ121" s="50">
        <v>46387</v>
      </c>
      <c r="AK121" s="49" t="s">
        <v>1280</v>
      </c>
      <c r="AL121" s="48" t="s">
        <v>36</v>
      </c>
      <c r="AM121" s="48" t="s">
        <v>36</v>
      </c>
      <c r="AN121" s="51">
        <v>12617.460416</v>
      </c>
      <c r="AO121" s="51"/>
      <c r="AP121" s="51"/>
      <c r="AQ121" s="72">
        <v>1600000</v>
      </c>
      <c r="AR121" s="72">
        <v>50000</v>
      </c>
      <c r="AS121" s="50">
        <v>46387</v>
      </c>
      <c r="AT121" s="50" t="s">
        <v>1436</v>
      </c>
      <c r="AU121" s="49" t="s">
        <v>1436</v>
      </c>
      <c r="AV121" s="49" t="s">
        <v>1670</v>
      </c>
      <c r="AW121" s="48" t="s">
        <v>1244</v>
      </c>
    </row>
    <row r="122" spans="1:49" x14ac:dyDescent="0.3">
      <c r="A122" s="48" t="s">
        <v>1320</v>
      </c>
      <c r="B122" s="48" t="s">
        <v>6</v>
      </c>
      <c r="C122" s="48" t="s">
        <v>1322</v>
      </c>
      <c r="D122" s="50">
        <v>44865</v>
      </c>
      <c r="E122" s="48" t="s">
        <v>36</v>
      </c>
      <c r="F122" s="48" t="s">
        <v>1433</v>
      </c>
      <c r="G122" s="48" t="s">
        <v>1447</v>
      </c>
      <c r="H122" s="49" t="s">
        <v>1448</v>
      </c>
      <c r="I122" s="48" t="s">
        <v>1413</v>
      </c>
      <c r="J122" s="48" t="s">
        <v>40</v>
      </c>
      <c r="K122" s="48" t="s">
        <v>58</v>
      </c>
      <c r="L122" s="48" t="s">
        <v>38</v>
      </c>
      <c r="M122" s="48" t="s">
        <v>37</v>
      </c>
      <c r="N122" s="48" t="s">
        <v>1436</v>
      </c>
      <c r="O122" s="48" t="s">
        <v>1436</v>
      </c>
      <c r="P122" s="48" t="s">
        <v>1436</v>
      </c>
      <c r="Q122" s="48" t="s">
        <v>38</v>
      </c>
      <c r="R122" s="48" t="s">
        <v>39</v>
      </c>
      <c r="S122" s="48" t="s">
        <v>40</v>
      </c>
      <c r="T122" s="48" t="s">
        <v>41</v>
      </c>
      <c r="U122" s="48" t="s">
        <v>1436</v>
      </c>
      <c r="V122" s="48" t="s">
        <v>1436</v>
      </c>
      <c r="W122" s="48" t="s">
        <v>1436</v>
      </c>
      <c r="X122" s="49" t="s">
        <v>193</v>
      </c>
      <c r="Y122" s="48" t="s">
        <v>1194</v>
      </c>
      <c r="Z122" s="49" t="s">
        <v>1321</v>
      </c>
      <c r="AA122" s="48" t="s">
        <v>1324</v>
      </c>
      <c r="AB122" s="48" t="s">
        <v>1325</v>
      </c>
      <c r="AC122" s="48" t="s">
        <v>1239</v>
      </c>
      <c r="AD122" s="48" t="s">
        <v>1231</v>
      </c>
      <c r="AE122" s="48" t="s">
        <v>1669</v>
      </c>
      <c r="AF122" s="48" t="s">
        <v>1436</v>
      </c>
      <c r="AG122" s="48" t="s">
        <v>1436</v>
      </c>
      <c r="AH122" s="48" t="s">
        <v>208</v>
      </c>
      <c r="AI122" s="50">
        <v>44562</v>
      </c>
      <c r="AJ122" s="50">
        <v>46387</v>
      </c>
      <c r="AK122" s="49" t="s">
        <v>1280</v>
      </c>
      <c r="AL122" s="48" t="s">
        <v>36</v>
      </c>
      <c r="AM122" s="48" t="s">
        <v>36</v>
      </c>
      <c r="AN122" s="51">
        <v>-50000</v>
      </c>
      <c r="AO122" s="51"/>
      <c r="AP122" s="51"/>
      <c r="AQ122" s="72">
        <v>1600000</v>
      </c>
      <c r="AR122" s="72">
        <v>50000</v>
      </c>
      <c r="AS122" s="50">
        <v>46387</v>
      </c>
      <c r="AT122" s="50" t="s">
        <v>1436</v>
      </c>
      <c r="AU122" s="49" t="s">
        <v>1436</v>
      </c>
      <c r="AV122" s="49" t="s">
        <v>1670</v>
      </c>
      <c r="AW122" s="48" t="s">
        <v>1244</v>
      </c>
    </row>
    <row r="123" spans="1:49" x14ac:dyDescent="0.3">
      <c r="A123" s="48" t="s">
        <v>1320</v>
      </c>
      <c r="B123" s="48" t="s">
        <v>6</v>
      </c>
      <c r="C123" s="48" t="s">
        <v>1322</v>
      </c>
      <c r="D123" s="50">
        <v>44865</v>
      </c>
      <c r="E123" s="48" t="s">
        <v>36</v>
      </c>
      <c r="F123" s="48" t="s">
        <v>1433</v>
      </c>
      <c r="G123" s="48" t="s">
        <v>1447</v>
      </c>
      <c r="H123" s="49" t="s">
        <v>1449</v>
      </c>
      <c r="I123" s="48" t="s">
        <v>1409</v>
      </c>
      <c r="J123" s="48" t="s">
        <v>40</v>
      </c>
      <c r="K123" s="48" t="s">
        <v>45</v>
      </c>
      <c r="L123" s="48" t="s">
        <v>38</v>
      </c>
      <c r="M123" s="48" t="s">
        <v>37</v>
      </c>
      <c r="N123" s="48" t="s">
        <v>1436</v>
      </c>
      <c r="O123" s="48" t="s">
        <v>1436</v>
      </c>
      <c r="P123" s="48" t="s">
        <v>1436</v>
      </c>
      <c r="Q123" s="48" t="s">
        <v>38</v>
      </c>
      <c r="R123" s="48" t="s">
        <v>39</v>
      </c>
      <c r="S123" s="48" t="s">
        <v>40</v>
      </c>
      <c r="T123" s="48" t="s">
        <v>41</v>
      </c>
      <c r="U123" s="48" t="s">
        <v>1436</v>
      </c>
      <c r="V123" s="48" t="s">
        <v>1436</v>
      </c>
      <c r="W123" s="48" t="s">
        <v>1436</v>
      </c>
      <c r="X123" s="49" t="s">
        <v>193</v>
      </c>
      <c r="Y123" s="48" t="s">
        <v>1194</v>
      </c>
      <c r="Z123" s="49" t="s">
        <v>1321</v>
      </c>
      <c r="AA123" s="48" t="s">
        <v>1324</v>
      </c>
      <c r="AB123" s="48" t="s">
        <v>1325</v>
      </c>
      <c r="AC123" s="48" t="s">
        <v>1239</v>
      </c>
      <c r="AD123" s="48" t="s">
        <v>1231</v>
      </c>
      <c r="AE123" s="48" t="s">
        <v>1669</v>
      </c>
      <c r="AF123" s="48" t="s">
        <v>1436</v>
      </c>
      <c r="AG123" s="48" t="s">
        <v>1436</v>
      </c>
      <c r="AH123" s="48" t="s">
        <v>208</v>
      </c>
      <c r="AI123" s="50">
        <v>44562</v>
      </c>
      <c r="AJ123" s="50">
        <v>46387</v>
      </c>
      <c r="AK123" s="49" t="s">
        <v>1280</v>
      </c>
      <c r="AL123" s="48" t="s">
        <v>36</v>
      </c>
      <c r="AM123" s="48" t="s">
        <v>36</v>
      </c>
      <c r="AN123" s="51">
        <v>39852.459436999998</v>
      </c>
      <c r="AO123" s="51"/>
      <c r="AP123" s="51"/>
      <c r="AQ123" s="72">
        <v>1600000</v>
      </c>
      <c r="AR123" s="72">
        <v>50000</v>
      </c>
      <c r="AS123" s="50">
        <v>46387</v>
      </c>
      <c r="AT123" s="50" t="s">
        <v>1436</v>
      </c>
      <c r="AU123" s="49" t="s">
        <v>1436</v>
      </c>
      <c r="AV123" s="49" t="s">
        <v>1670</v>
      </c>
      <c r="AW123" s="48" t="s">
        <v>1244</v>
      </c>
    </row>
    <row r="124" spans="1:49" x14ac:dyDescent="0.3">
      <c r="A124" s="48" t="s">
        <v>1320</v>
      </c>
      <c r="B124" s="48" t="s">
        <v>6</v>
      </c>
      <c r="C124" s="48" t="s">
        <v>1322</v>
      </c>
      <c r="D124" s="50">
        <v>44865</v>
      </c>
      <c r="E124" s="48" t="s">
        <v>36</v>
      </c>
      <c r="F124" s="48" t="s">
        <v>1433</v>
      </c>
      <c r="G124" s="48" t="s">
        <v>1447</v>
      </c>
      <c r="H124" s="49" t="s">
        <v>1450</v>
      </c>
      <c r="I124" s="48" t="s">
        <v>1408</v>
      </c>
      <c r="J124" s="48" t="s">
        <v>40</v>
      </c>
      <c r="K124" s="48" t="s">
        <v>54</v>
      </c>
      <c r="L124" s="48" t="s">
        <v>38</v>
      </c>
      <c r="M124" s="48" t="s">
        <v>37</v>
      </c>
      <c r="N124" s="48" t="s">
        <v>1436</v>
      </c>
      <c r="O124" s="48" t="s">
        <v>1436</v>
      </c>
      <c r="P124" s="48" t="s">
        <v>1436</v>
      </c>
      <c r="Q124" s="48" t="s">
        <v>38</v>
      </c>
      <c r="R124" s="48" t="s">
        <v>39</v>
      </c>
      <c r="S124" s="48" t="s">
        <v>40</v>
      </c>
      <c r="T124" s="48" t="s">
        <v>41</v>
      </c>
      <c r="U124" s="48" t="s">
        <v>1436</v>
      </c>
      <c r="V124" s="48" t="s">
        <v>1436</v>
      </c>
      <c r="W124" s="48" t="s">
        <v>1436</v>
      </c>
      <c r="X124" s="49" t="s">
        <v>193</v>
      </c>
      <c r="Y124" s="48" t="s">
        <v>1194</v>
      </c>
      <c r="Z124" s="49" t="s">
        <v>1321</v>
      </c>
      <c r="AA124" s="48" t="s">
        <v>1324</v>
      </c>
      <c r="AB124" s="48" t="s">
        <v>1325</v>
      </c>
      <c r="AC124" s="48" t="s">
        <v>1239</v>
      </c>
      <c r="AD124" s="48" t="s">
        <v>1231</v>
      </c>
      <c r="AE124" s="48" t="s">
        <v>1669</v>
      </c>
      <c r="AF124" s="48" t="s">
        <v>1436</v>
      </c>
      <c r="AG124" s="48" t="s">
        <v>1436</v>
      </c>
      <c r="AH124" s="48" t="s">
        <v>208</v>
      </c>
      <c r="AI124" s="50">
        <v>44562</v>
      </c>
      <c r="AJ124" s="50">
        <v>46387</v>
      </c>
      <c r="AK124" s="49" t="s">
        <v>1280</v>
      </c>
      <c r="AL124" s="48" t="s">
        <v>36</v>
      </c>
      <c r="AM124" s="48" t="s">
        <v>36</v>
      </c>
      <c r="AN124" s="51">
        <v>-2686.72</v>
      </c>
      <c r="AO124" s="51"/>
      <c r="AP124" s="51"/>
      <c r="AQ124" s="72">
        <v>1600000</v>
      </c>
      <c r="AR124" s="72">
        <v>50000</v>
      </c>
      <c r="AS124" s="50">
        <v>46387</v>
      </c>
      <c r="AT124" s="50" t="s">
        <v>1436</v>
      </c>
      <c r="AU124" s="49" t="s">
        <v>1436</v>
      </c>
      <c r="AV124" s="49" t="s">
        <v>1670</v>
      </c>
      <c r="AW124" s="48" t="s">
        <v>1244</v>
      </c>
    </row>
    <row r="125" spans="1:49" x14ac:dyDescent="0.3">
      <c r="A125" s="48" t="s">
        <v>1320</v>
      </c>
      <c r="B125" s="48" t="s">
        <v>6</v>
      </c>
      <c r="C125" s="48" t="s">
        <v>1322</v>
      </c>
      <c r="D125" s="50">
        <v>44865</v>
      </c>
      <c r="E125" s="48" t="s">
        <v>36</v>
      </c>
      <c r="F125" s="48" t="s">
        <v>1433</v>
      </c>
      <c r="G125" s="48" t="s">
        <v>1447</v>
      </c>
      <c r="H125" s="49" t="s">
        <v>1451</v>
      </c>
      <c r="I125" s="48" t="s">
        <v>1404</v>
      </c>
      <c r="J125" s="48" t="s">
        <v>38</v>
      </c>
      <c r="K125" s="48" t="s">
        <v>49</v>
      </c>
      <c r="L125" s="48" t="s">
        <v>38</v>
      </c>
      <c r="M125" s="48" t="s">
        <v>37</v>
      </c>
      <c r="N125" s="48" t="s">
        <v>1436</v>
      </c>
      <c r="O125" s="48" t="s">
        <v>1436</v>
      </c>
      <c r="P125" s="48" t="s">
        <v>1436</v>
      </c>
      <c r="Q125" s="48" t="s">
        <v>38</v>
      </c>
      <c r="R125" s="48" t="s">
        <v>39</v>
      </c>
      <c r="S125" s="48" t="s">
        <v>38</v>
      </c>
      <c r="T125" s="48" t="s">
        <v>41</v>
      </c>
      <c r="U125" s="48" t="s">
        <v>1436</v>
      </c>
      <c r="V125" s="48" t="s">
        <v>1436</v>
      </c>
      <c r="W125" s="48" t="s">
        <v>1436</v>
      </c>
      <c r="X125" s="49" t="s">
        <v>193</v>
      </c>
      <c r="Y125" s="48" t="s">
        <v>1194</v>
      </c>
      <c r="Z125" s="49" t="s">
        <v>1321</v>
      </c>
      <c r="AA125" s="48" t="s">
        <v>1324</v>
      </c>
      <c r="AB125" s="48" t="s">
        <v>1325</v>
      </c>
      <c r="AC125" s="48" t="s">
        <v>1239</v>
      </c>
      <c r="AD125" s="48" t="s">
        <v>1231</v>
      </c>
      <c r="AE125" s="48" t="s">
        <v>1669</v>
      </c>
      <c r="AF125" s="48" t="s">
        <v>1436</v>
      </c>
      <c r="AG125" s="48" t="s">
        <v>1436</v>
      </c>
      <c r="AH125" s="48" t="s">
        <v>208</v>
      </c>
      <c r="AI125" s="50">
        <v>44562</v>
      </c>
      <c r="AJ125" s="50">
        <v>46387</v>
      </c>
      <c r="AK125" s="49" t="s">
        <v>1280</v>
      </c>
      <c r="AL125" s="48" t="s">
        <v>36</v>
      </c>
      <c r="AM125" s="48" t="s">
        <v>36</v>
      </c>
      <c r="AN125" s="51">
        <v>216.80014700000001</v>
      </c>
      <c r="AO125" s="51"/>
      <c r="AP125" s="51"/>
      <c r="AQ125" s="72">
        <v>1600000</v>
      </c>
      <c r="AR125" s="72">
        <v>50000</v>
      </c>
      <c r="AS125" s="50">
        <v>46387</v>
      </c>
      <c r="AT125" s="50" t="s">
        <v>1436</v>
      </c>
      <c r="AU125" s="49" t="s">
        <v>1436</v>
      </c>
      <c r="AV125" s="49" t="s">
        <v>1670</v>
      </c>
      <c r="AW125" s="48" t="s">
        <v>1244</v>
      </c>
    </row>
    <row r="126" spans="1:49" x14ac:dyDescent="0.3">
      <c r="A126" s="48" t="s">
        <v>1320</v>
      </c>
      <c r="B126" s="48" t="s">
        <v>6</v>
      </c>
      <c r="C126" s="48" t="s">
        <v>1322</v>
      </c>
      <c r="D126" s="50">
        <v>44895</v>
      </c>
      <c r="E126" s="48" t="s">
        <v>36</v>
      </c>
      <c r="F126" s="48" t="s">
        <v>1433</v>
      </c>
      <c r="G126" s="48" t="s">
        <v>1434</v>
      </c>
      <c r="H126" s="49" t="s">
        <v>1435</v>
      </c>
      <c r="I126" s="48" t="s">
        <v>1412</v>
      </c>
      <c r="J126" s="48" t="s">
        <v>40</v>
      </c>
      <c r="K126" s="48" t="s">
        <v>52</v>
      </c>
      <c r="L126" s="48" t="s">
        <v>38</v>
      </c>
      <c r="M126" s="48" t="s">
        <v>37</v>
      </c>
      <c r="N126" s="48" t="s">
        <v>1436</v>
      </c>
      <c r="O126" s="48" t="s">
        <v>1436</v>
      </c>
      <c r="P126" s="48" t="s">
        <v>1436</v>
      </c>
      <c r="Q126" s="48" t="s">
        <v>38</v>
      </c>
      <c r="R126" s="48" t="s">
        <v>39</v>
      </c>
      <c r="S126" s="48" t="s">
        <v>40</v>
      </c>
      <c r="T126" s="48" t="s">
        <v>41</v>
      </c>
      <c r="U126" s="48" t="s">
        <v>1436</v>
      </c>
      <c r="V126" s="48" t="s">
        <v>1436</v>
      </c>
      <c r="W126" s="48" t="s">
        <v>1436</v>
      </c>
      <c r="X126" s="49" t="s">
        <v>193</v>
      </c>
      <c r="Y126" s="48" t="s">
        <v>1194</v>
      </c>
      <c r="Z126" s="49" t="s">
        <v>1321</v>
      </c>
      <c r="AA126" s="48" t="s">
        <v>1324</v>
      </c>
      <c r="AB126" s="48" t="s">
        <v>1325</v>
      </c>
      <c r="AC126" s="48" t="s">
        <v>1239</v>
      </c>
      <c r="AD126" s="48" t="s">
        <v>1231</v>
      </c>
      <c r="AE126" s="48" t="s">
        <v>1669</v>
      </c>
      <c r="AF126" s="48" t="s">
        <v>1436</v>
      </c>
      <c r="AG126" s="48" t="s">
        <v>1436</v>
      </c>
      <c r="AH126" s="48" t="s">
        <v>208</v>
      </c>
      <c r="AI126" s="50">
        <v>44562</v>
      </c>
      <c r="AJ126" s="50">
        <v>46387</v>
      </c>
      <c r="AK126" s="49" t="s">
        <v>1280</v>
      </c>
      <c r="AL126" s="48" t="s">
        <v>36</v>
      </c>
      <c r="AM126" s="48" t="s">
        <v>36</v>
      </c>
      <c r="AN126" s="51">
        <v>-42330.49</v>
      </c>
      <c r="AO126" s="51"/>
      <c r="AP126" s="51"/>
      <c r="AQ126" s="72">
        <v>1600000</v>
      </c>
      <c r="AR126" s="72">
        <v>50000</v>
      </c>
      <c r="AS126" s="50">
        <v>46387</v>
      </c>
      <c r="AT126" s="50" t="s">
        <v>1436</v>
      </c>
      <c r="AU126" s="49" t="s">
        <v>1436</v>
      </c>
      <c r="AV126" s="49" t="s">
        <v>1670</v>
      </c>
      <c r="AW126" s="48" t="s">
        <v>1244</v>
      </c>
    </row>
    <row r="127" spans="1:49" x14ac:dyDescent="0.3">
      <c r="A127" s="48" t="s">
        <v>1320</v>
      </c>
      <c r="B127" s="48" t="s">
        <v>6</v>
      </c>
      <c r="C127" s="48" t="s">
        <v>1322</v>
      </c>
      <c r="D127" s="50">
        <v>44895</v>
      </c>
      <c r="E127" s="48" t="s">
        <v>36</v>
      </c>
      <c r="F127" s="48" t="s">
        <v>1433</v>
      </c>
      <c r="G127" s="48" t="s">
        <v>1434</v>
      </c>
      <c r="H127" s="49" t="s">
        <v>1437</v>
      </c>
      <c r="I127" s="48" t="s">
        <v>1410</v>
      </c>
      <c r="J127" s="48" t="s">
        <v>40</v>
      </c>
      <c r="K127" s="48" t="s">
        <v>42</v>
      </c>
      <c r="L127" s="48" t="s">
        <v>38</v>
      </c>
      <c r="M127" s="48" t="s">
        <v>37</v>
      </c>
      <c r="N127" s="48" t="s">
        <v>1436</v>
      </c>
      <c r="O127" s="48" t="s">
        <v>1436</v>
      </c>
      <c r="P127" s="48" t="s">
        <v>1436</v>
      </c>
      <c r="Q127" s="48" t="s">
        <v>38</v>
      </c>
      <c r="R127" s="48" t="s">
        <v>39</v>
      </c>
      <c r="S127" s="48" t="s">
        <v>40</v>
      </c>
      <c r="T127" s="48" t="s">
        <v>41</v>
      </c>
      <c r="U127" s="48" t="s">
        <v>1436</v>
      </c>
      <c r="V127" s="48" t="s">
        <v>1436</v>
      </c>
      <c r="W127" s="48" t="s">
        <v>1436</v>
      </c>
      <c r="X127" s="49" t="s">
        <v>193</v>
      </c>
      <c r="Y127" s="48" t="s">
        <v>1194</v>
      </c>
      <c r="Z127" s="49" t="s">
        <v>1321</v>
      </c>
      <c r="AA127" s="48" t="s">
        <v>1324</v>
      </c>
      <c r="AB127" s="48" t="s">
        <v>1325</v>
      </c>
      <c r="AC127" s="48" t="s">
        <v>1239</v>
      </c>
      <c r="AD127" s="48" t="s">
        <v>1231</v>
      </c>
      <c r="AE127" s="48" t="s">
        <v>1669</v>
      </c>
      <c r="AF127" s="48" t="s">
        <v>1436</v>
      </c>
      <c r="AG127" s="48" t="s">
        <v>1436</v>
      </c>
      <c r="AH127" s="48" t="s">
        <v>208</v>
      </c>
      <c r="AI127" s="50">
        <v>44562</v>
      </c>
      <c r="AJ127" s="50">
        <v>46387</v>
      </c>
      <c r="AK127" s="49" t="s">
        <v>1280</v>
      </c>
      <c r="AL127" s="48" t="s">
        <v>36</v>
      </c>
      <c r="AM127" s="48" t="s">
        <v>36</v>
      </c>
      <c r="AN127" s="51">
        <v>0</v>
      </c>
      <c r="AO127" s="51"/>
      <c r="AP127" s="51"/>
      <c r="AQ127" s="72">
        <v>1600000</v>
      </c>
      <c r="AR127" s="72">
        <v>50000</v>
      </c>
      <c r="AS127" s="50">
        <v>46387</v>
      </c>
      <c r="AT127" s="50" t="s">
        <v>1436</v>
      </c>
      <c r="AU127" s="49" t="s">
        <v>1436</v>
      </c>
      <c r="AV127" s="49" t="s">
        <v>1670</v>
      </c>
      <c r="AW127" s="48" t="s">
        <v>1244</v>
      </c>
    </row>
    <row r="128" spans="1:49" x14ac:dyDescent="0.3">
      <c r="A128" s="48" t="s">
        <v>1320</v>
      </c>
      <c r="B128" s="48" t="s">
        <v>6</v>
      </c>
      <c r="C128" s="48" t="s">
        <v>1322</v>
      </c>
      <c r="D128" s="50">
        <v>44895</v>
      </c>
      <c r="E128" s="48" t="s">
        <v>36</v>
      </c>
      <c r="F128" s="48" t="s">
        <v>1438</v>
      </c>
      <c r="G128" s="48" t="s">
        <v>1439</v>
      </c>
      <c r="H128" s="49" t="s">
        <v>1440</v>
      </c>
      <c r="I128" s="48" t="s">
        <v>1406</v>
      </c>
      <c r="J128" s="48" t="s">
        <v>1194</v>
      </c>
      <c r="K128" s="48" t="s">
        <v>1441</v>
      </c>
      <c r="L128" s="48" t="s">
        <v>38</v>
      </c>
      <c r="M128" s="48" t="s">
        <v>37</v>
      </c>
      <c r="N128" s="48" t="s">
        <v>1436</v>
      </c>
      <c r="O128" s="48" t="s">
        <v>1436</v>
      </c>
      <c r="P128" s="48" t="s">
        <v>1436</v>
      </c>
      <c r="Q128" s="48" t="s">
        <v>38</v>
      </c>
      <c r="R128" s="48" t="s">
        <v>39</v>
      </c>
      <c r="S128" s="48" t="s">
        <v>1194</v>
      </c>
      <c r="T128" s="48" t="s">
        <v>41</v>
      </c>
      <c r="U128" s="48" t="s">
        <v>1436</v>
      </c>
      <c r="V128" s="48" t="s">
        <v>1436</v>
      </c>
      <c r="W128" s="48" t="s">
        <v>1436</v>
      </c>
      <c r="X128" s="49" t="s">
        <v>193</v>
      </c>
      <c r="Y128" s="48" t="s">
        <v>1194</v>
      </c>
      <c r="Z128" s="49" t="s">
        <v>1321</v>
      </c>
      <c r="AA128" s="48" t="s">
        <v>1324</v>
      </c>
      <c r="AB128" s="48" t="s">
        <v>1325</v>
      </c>
      <c r="AC128" s="48" t="s">
        <v>1239</v>
      </c>
      <c r="AD128" s="48" t="s">
        <v>1231</v>
      </c>
      <c r="AE128" s="48" t="s">
        <v>1669</v>
      </c>
      <c r="AF128" s="48" t="s">
        <v>1436</v>
      </c>
      <c r="AG128" s="48" t="s">
        <v>1436</v>
      </c>
      <c r="AH128" s="48" t="s">
        <v>208</v>
      </c>
      <c r="AI128" s="50">
        <v>44562</v>
      </c>
      <c r="AJ128" s="50">
        <v>46387</v>
      </c>
      <c r="AK128" s="49" t="s">
        <v>1280</v>
      </c>
      <c r="AL128" s="48" t="s">
        <v>36</v>
      </c>
      <c r="AM128" s="48" t="s">
        <v>36</v>
      </c>
      <c r="AN128" s="51">
        <v>0</v>
      </c>
      <c r="AO128" s="51"/>
      <c r="AP128" s="51"/>
      <c r="AQ128" s="72">
        <v>1600000</v>
      </c>
      <c r="AR128" s="72">
        <v>50000</v>
      </c>
      <c r="AS128" s="50">
        <v>46387</v>
      </c>
      <c r="AT128" s="50" t="s">
        <v>1436</v>
      </c>
      <c r="AU128" s="49" t="s">
        <v>1436</v>
      </c>
      <c r="AV128" s="49" t="s">
        <v>1670</v>
      </c>
      <c r="AW128" s="48" t="s">
        <v>1244</v>
      </c>
    </row>
    <row r="129" spans="1:49" x14ac:dyDescent="0.3">
      <c r="A129" s="48" t="s">
        <v>1320</v>
      </c>
      <c r="B129" s="48" t="s">
        <v>6</v>
      </c>
      <c r="C129" s="48" t="s">
        <v>1322</v>
      </c>
      <c r="D129" s="50">
        <v>44895</v>
      </c>
      <c r="E129" s="48" t="s">
        <v>36</v>
      </c>
      <c r="F129" s="48" t="s">
        <v>1438</v>
      </c>
      <c r="G129" s="48" t="s">
        <v>1439</v>
      </c>
      <c r="H129" s="49" t="s">
        <v>1442</v>
      </c>
      <c r="I129" s="48" t="s">
        <v>1405</v>
      </c>
      <c r="J129" s="48" t="s">
        <v>1194</v>
      </c>
      <c r="K129" s="48" t="s">
        <v>1443</v>
      </c>
      <c r="L129" s="48" t="s">
        <v>38</v>
      </c>
      <c r="M129" s="48" t="s">
        <v>37</v>
      </c>
      <c r="N129" s="48" t="s">
        <v>1436</v>
      </c>
      <c r="O129" s="48" t="s">
        <v>1436</v>
      </c>
      <c r="P129" s="48" t="s">
        <v>1436</v>
      </c>
      <c r="Q129" s="48" t="s">
        <v>38</v>
      </c>
      <c r="R129" s="48" t="s">
        <v>39</v>
      </c>
      <c r="S129" s="48" t="s">
        <v>1194</v>
      </c>
      <c r="T129" s="48" t="s">
        <v>41</v>
      </c>
      <c r="U129" s="48" t="s">
        <v>1436</v>
      </c>
      <c r="V129" s="48" t="s">
        <v>1436</v>
      </c>
      <c r="W129" s="48" t="s">
        <v>1436</v>
      </c>
      <c r="X129" s="49" t="s">
        <v>193</v>
      </c>
      <c r="Y129" s="48" t="s">
        <v>1194</v>
      </c>
      <c r="Z129" s="49" t="s">
        <v>1321</v>
      </c>
      <c r="AA129" s="48" t="s">
        <v>1324</v>
      </c>
      <c r="AB129" s="48" t="s">
        <v>1325</v>
      </c>
      <c r="AC129" s="48" t="s">
        <v>1239</v>
      </c>
      <c r="AD129" s="48" t="s">
        <v>1231</v>
      </c>
      <c r="AE129" s="48" t="s">
        <v>1669</v>
      </c>
      <c r="AF129" s="48" t="s">
        <v>1436</v>
      </c>
      <c r="AG129" s="48" t="s">
        <v>1436</v>
      </c>
      <c r="AH129" s="48" t="s">
        <v>208</v>
      </c>
      <c r="AI129" s="50">
        <v>44562</v>
      </c>
      <c r="AJ129" s="50">
        <v>46387</v>
      </c>
      <c r="AK129" s="49" t="s">
        <v>1280</v>
      </c>
      <c r="AL129" s="48" t="s">
        <v>36</v>
      </c>
      <c r="AM129" s="48" t="s">
        <v>36</v>
      </c>
      <c r="AN129" s="51">
        <v>0</v>
      </c>
      <c r="AO129" s="51"/>
      <c r="AP129" s="51"/>
      <c r="AQ129" s="72">
        <v>1600000</v>
      </c>
      <c r="AR129" s="72">
        <v>50000</v>
      </c>
      <c r="AS129" s="50">
        <v>46387</v>
      </c>
      <c r="AT129" s="50" t="s">
        <v>1436</v>
      </c>
      <c r="AU129" s="49" t="s">
        <v>1436</v>
      </c>
      <c r="AV129" s="49" t="s">
        <v>1670</v>
      </c>
      <c r="AW129" s="48" t="s">
        <v>1244</v>
      </c>
    </row>
    <row r="130" spans="1:49" x14ac:dyDescent="0.3">
      <c r="A130" s="48" t="s">
        <v>1320</v>
      </c>
      <c r="B130" s="48" t="s">
        <v>6</v>
      </c>
      <c r="C130" s="48" t="s">
        <v>1322</v>
      </c>
      <c r="D130" s="50">
        <v>44895</v>
      </c>
      <c r="E130" s="48" t="s">
        <v>36</v>
      </c>
      <c r="F130" s="48" t="s">
        <v>1438</v>
      </c>
      <c r="G130" s="48" t="s">
        <v>1444</v>
      </c>
      <c r="H130" s="49" t="s">
        <v>1445</v>
      </c>
      <c r="I130" s="48" t="s">
        <v>1411</v>
      </c>
      <c r="J130" s="48" t="s">
        <v>40</v>
      </c>
      <c r="K130" s="48" t="s">
        <v>50</v>
      </c>
      <c r="L130" s="48" t="s">
        <v>38</v>
      </c>
      <c r="M130" s="48" t="s">
        <v>37</v>
      </c>
      <c r="N130" s="48" t="s">
        <v>1436</v>
      </c>
      <c r="O130" s="48" t="s">
        <v>1436</v>
      </c>
      <c r="P130" s="48" t="s">
        <v>1436</v>
      </c>
      <c r="Q130" s="48" t="s">
        <v>38</v>
      </c>
      <c r="R130" s="48" t="s">
        <v>39</v>
      </c>
      <c r="S130" s="48" t="s">
        <v>40</v>
      </c>
      <c r="T130" s="48" t="s">
        <v>41</v>
      </c>
      <c r="U130" s="48" t="s">
        <v>1436</v>
      </c>
      <c r="V130" s="48" t="s">
        <v>1436</v>
      </c>
      <c r="W130" s="48" t="s">
        <v>1436</v>
      </c>
      <c r="X130" s="49" t="s">
        <v>193</v>
      </c>
      <c r="Y130" s="48" t="s">
        <v>1194</v>
      </c>
      <c r="Z130" s="49" t="s">
        <v>1321</v>
      </c>
      <c r="AA130" s="48" t="s">
        <v>1324</v>
      </c>
      <c r="AB130" s="48" t="s">
        <v>1325</v>
      </c>
      <c r="AC130" s="48" t="s">
        <v>1239</v>
      </c>
      <c r="AD130" s="48" t="s">
        <v>1231</v>
      </c>
      <c r="AE130" s="48" t="s">
        <v>1669</v>
      </c>
      <c r="AF130" s="48" t="s">
        <v>1436</v>
      </c>
      <c r="AG130" s="48" t="s">
        <v>1436</v>
      </c>
      <c r="AH130" s="48" t="s">
        <v>208</v>
      </c>
      <c r="AI130" s="50">
        <v>44562</v>
      </c>
      <c r="AJ130" s="50">
        <v>46387</v>
      </c>
      <c r="AK130" s="49" t="s">
        <v>1280</v>
      </c>
      <c r="AL130" s="48" t="s">
        <v>36</v>
      </c>
      <c r="AM130" s="48" t="s">
        <v>36</v>
      </c>
      <c r="AN130" s="51">
        <v>42330.49</v>
      </c>
      <c r="AO130" s="51"/>
      <c r="AP130" s="51"/>
      <c r="AQ130" s="72">
        <v>1600000</v>
      </c>
      <c r="AR130" s="72">
        <v>50000</v>
      </c>
      <c r="AS130" s="50">
        <v>46387</v>
      </c>
      <c r="AT130" s="50" t="s">
        <v>1436</v>
      </c>
      <c r="AU130" s="49" t="s">
        <v>1436</v>
      </c>
      <c r="AV130" s="49" t="s">
        <v>1670</v>
      </c>
      <c r="AW130" s="48" t="s">
        <v>1244</v>
      </c>
    </row>
    <row r="131" spans="1:49" x14ac:dyDescent="0.3">
      <c r="A131" s="48" t="s">
        <v>1320</v>
      </c>
      <c r="B131" s="48" t="s">
        <v>6</v>
      </c>
      <c r="C131" s="48" t="s">
        <v>1322</v>
      </c>
      <c r="D131" s="50">
        <v>44895</v>
      </c>
      <c r="E131" s="48" t="s">
        <v>36</v>
      </c>
      <c r="F131" s="48" t="s">
        <v>1438</v>
      </c>
      <c r="G131" s="48" t="s">
        <v>1444</v>
      </c>
      <c r="H131" s="49" t="s">
        <v>1446</v>
      </c>
      <c r="I131" s="48" t="s">
        <v>1407</v>
      </c>
      <c r="J131" s="48" t="s">
        <v>40</v>
      </c>
      <c r="K131" s="48" t="s">
        <v>47</v>
      </c>
      <c r="L131" s="48" t="s">
        <v>38</v>
      </c>
      <c r="M131" s="48" t="s">
        <v>37</v>
      </c>
      <c r="N131" s="48" t="s">
        <v>1436</v>
      </c>
      <c r="O131" s="48" t="s">
        <v>1436</v>
      </c>
      <c r="P131" s="48" t="s">
        <v>1436</v>
      </c>
      <c r="Q131" s="48" t="s">
        <v>38</v>
      </c>
      <c r="R131" s="48" t="s">
        <v>39</v>
      </c>
      <c r="S131" s="48" t="s">
        <v>40</v>
      </c>
      <c r="T131" s="48" t="s">
        <v>41</v>
      </c>
      <c r="U131" s="48" t="s">
        <v>1436</v>
      </c>
      <c r="V131" s="48" t="s">
        <v>1436</v>
      </c>
      <c r="W131" s="48" t="s">
        <v>1436</v>
      </c>
      <c r="X131" s="49" t="s">
        <v>193</v>
      </c>
      <c r="Y131" s="48" t="s">
        <v>1194</v>
      </c>
      <c r="Z131" s="49" t="s">
        <v>1321</v>
      </c>
      <c r="AA131" s="48" t="s">
        <v>1324</v>
      </c>
      <c r="AB131" s="48" t="s">
        <v>1325</v>
      </c>
      <c r="AC131" s="48" t="s">
        <v>1239</v>
      </c>
      <c r="AD131" s="48" t="s">
        <v>1231</v>
      </c>
      <c r="AE131" s="48" t="s">
        <v>1669</v>
      </c>
      <c r="AF131" s="48" t="s">
        <v>1436</v>
      </c>
      <c r="AG131" s="48" t="s">
        <v>1436</v>
      </c>
      <c r="AH131" s="48" t="s">
        <v>208</v>
      </c>
      <c r="AI131" s="50">
        <v>44562</v>
      </c>
      <c r="AJ131" s="50">
        <v>46387</v>
      </c>
      <c r="AK131" s="49" t="s">
        <v>1280</v>
      </c>
      <c r="AL131" s="48" t="s">
        <v>36</v>
      </c>
      <c r="AM131" s="48" t="s">
        <v>36</v>
      </c>
      <c r="AN131" s="51">
        <v>12399.395602000001</v>
      </c>
      <c r="AO131" s="51"/>
      <c r="AP131" s="51"/>
      <c r="AQ131" s="72">
        <v>1600000</v>
      </c>
      <c r="AR131" s="72">
        <v>50000</v>
      </c>
      <c r="AS131" s="50">
        <v>46387</v>
      </c>
      <c r="AT131" s="50" t="s">
        <v>1436</v>
      </c>
      <c r="AU131" s="49" t="s">
        <v>1436</v>
      </c>
      <c r="AV131" s="49" t="s">
        <v>1670</v>
      </c>
      <c r="AW131" s="48" t="s">
        <v>1244</v>
      </c>
    </row>
    <row r="132" spans="1:49" x14ac:dyDescent="0.3">
      <c r="A132" s="48" t="s">
        <v>1320</v>
      </c>
      <c r="B132" s="48" t="s">
        <v>6</v>
      </c>
      <c r="C132" s="48" t="s">
        <v>1322</v>
      </c>
      <c r="D132" s="50">
        <v>44895</v>
      </c>
      <c r="E132" s="48" t="s">
        <v>36</v>
      </c>
      <c r="F132" s="48" t="s">
        <v>1433</v>
      </c>
      <c r="G132" s="48" t="s">
        <v>1447</v>
      </c>
      <c r="H132" s="49" t="s">
        <v>1448</v>
      </c>
      <c r="I132" s="48" t="s">
        <v>1413</v>
      </c>
      <c r="J132" s="48" t="s">
        <v>40</v>
      </c>
      <c r="K132" s="48" t="s">
        <v>58</v>
      </c>
      <c r="L132" s="48" t="s">
        <v>38</v>
      </c>
      <c r="M132" s="48" t="s">
        <v>37</v>
      </c>
      <c r="N132" s="48" t="s">
        <v>1436</v>
      </c>
      <c r="O132" s="48" t="s">
        <v>1436</v>
      </c>
      <c r="P132" s="48" t="s">
        <v>1436</v>
      </c>
      <c r="Q132" s="48" t="s">
        <v>38</v>
      </c>
      <c r="R132" s="48" t="s">
        <v>39</v>
      </c>
      <c r="S132" s="48" t="s">
        <v>40</v>
      </c>
      <c r="T132" s="48" t="s">
        <v>41</v>
      </c>
      <c r="U132" s="48" t="s">
        <v>1436</v>
      </c>
      <c r="V132" s="48" t="s">
        <v>1436</v>
      </c>
      <c r="W132" s="48" t="s">
        <v>1436</v>
      </c>
      <c r="X132" s="49" t="s">
        <v>193</v>
      </c>
      <c r="Y132" s="48" t="s">
        <v>1194</v>
      </c>
      <c r="Z132" s="49" t="s">
        <v>1321</v>
      </c>
      <c r="AA132" s="48" t="s">
        <v>1324</v>
      </c>
      <c r="AB132" s="48" t="s">
        <v>1325</v>
      </c>
      <c r="AC132" s="48" t="s">
        <v>1239</v>
      </c>
      <c r="AD132" s="48" t="s">
        <v>1231</v>
      </c>
      <c r="AE132" s="48" t="s">
        <v>1669</v>
      </c>
      <c r="AF132" s="48" t="s">
        <v>1436</v>
      </c>
      <c r="AG132" s="48" t="s">
        <v>1436</v>
      </c>
      <c r="AH132" s="48" t="s">
        <v>208</v>
      </c>
      <c r="AI132" s="50">
        <v>44562</v>
      </c>
      <c r="AJ132" s="50">
        <v>46387</v>
      </c>
      <c r="AK132" s="49" t="s">
        <v>1280</v>
      </c>
      <c r="AL132" s="48" t="s">
        <v>36</v>
      </c>
      <c r="AM132" s="48" t="s">
        <v>36</v>
      </c>
      <c r="AN132" s="51">
        <v>-50000</v>
      </c>
      <c r="AO132" s="51"/>
      <c r="AP132" s="51"/>
      <c r="AQ132" s="72">
        <v>1600000</v>
      </c>
      <c r="AR132" s="72">
        <v>50000</v>
      </c>
      <c r="AS132" s="50">
        <v>46387</v>
      </c>
      <c r="AT132" s="50" t="s">
        <v>1436</v>
      </c>
      <c r="AU132" s="49" t="s">
        <v>1436</v>
      </c>
      <c r="AV132" s="49" t="s">
        <v>1670</v>
      </c>
      <c r="AW132" s="48" t="s">
        <v>1244</v>
      </c>
    </row>
    <row r="133" spans="1:49" x14ac:dyDescent="0.3">
      <c r="A133" s="48" t="s">
        <v>1320</v>
      </c>
      <c r="B133" s="48" t="s">
        <v>6</v>
      </c>
      <c r="C133" s="48" t="s">
        <v>1322</v>
      </c>
      <c r="D133" s="50">
        <v>44895</v>
      </c>
      <c r="E133" s="48" t="s">
        <v>36</v>
      </c>
      <c r="F133" s="48" t="s">
        <v>1433</v>
      </c>
      <c r="G133" s="48" t="s">
        <v>1447</v>
      </c>
      <c r="H133" s="49" t="s">
        <v>1449</v>
      </c>
      <c r="I133" s="48" t="s">
        <v>1409</v>
      </c>
      <c r="J133" s="48" t="s">
        <v>40</v>
      </c>
      <c r="K133" s="48" t="s">
        <v>45</v>
      </c>
      <c r="L133" s="48" t="s">
        <v>38</v>
      </c>
      <c r="M133" s="48" t="s">
        <v>37</v>
      </c>
      <c r="N133" s="48" t="s">
        <v>1436</v>
      </c>
      <c r="O133" s="48" t="s">
        <v>1436</v>
      </c>
      <c r="P133" s="48" t="s">
        <v>1436</v>
      </c>
      <c r="Q133" s="48" t="s">
        <v>38</v>
      </c>
      <c r="R133" s="48" t="s">
        <v>39</v>
      </c>
      <c r="S133" s="48" t="s">
        <v>40</v>
      </c>
      <c r="T133" s="48" t="s">
        <v>41</v>
      </c>
      <c r="U133" s="48" t="s">
        <v>1436</v>
      </c>
      <c r="V133" s="48" t="s">
        <v>1436</v>
      </c>
      <c r="W133" s="48" t="s">
        <v>1436</v>
      </c>
      <c r="X133" s="49" t="s">
        <v>193</v>
      </c>
      <c r="Y133" s="48" t="s">
        <v>1194</v>
      </c>
      <c r="Z133" s="49" t="s">
        <v>1321</v>
      </c>
      <c r="AA133" s="48" t="s">
        <v>1324</v>
      </c>
      <c r="AB133" s="48" t="s">
        <v>1325</v>
      </c>
      <c r="AC133" s="48" t="s">
        <v>1239</v>
      </c>
      <c r="AD133" s="48" t="s">
        <v>1231</v>
      </c>
      <c r="AE133" s="48" t="s">
        <v>1669</v>
      </c>
      <c r="AF133" s="48" t="s">
        <v>1436</v>
      </c>
      <c r="AG133" s="48" t="s">
        <v>1436</v>
      </c>
      <c r="AH133" s="48" t="s">
        <v>208</v>
      </c>
      <c r="AI133" s="50">
        <v>44562</v>
      </c>
      <c r="AJ133" s="50">
        <v>46387</v>
      </c>
      <c r="AK133" s="49" t="s">
        <v>1280</v>
      </c>
      <c r="AL133" s="48" t="s">
        <v>36</v>
      </c>
      <c r="AM133" s="48" t="s">
        <v>36</v>
      </c>
      <c r="AN133" s="51">
        <v>40084.929583999998</v>
      </c>
      <c r="AO133" s="51"/>
      <c r="AP133" s="51"/>
      <c r="AQ133" s="72">
        <v>1600000</v>
      </c>
      <c r="AR133" s="72">
        <v>50000</v>
      </c>
      <c r="AS133" s="50">
        <v>46387</v>
      </c>
      <c r="AT133" s="50" t="s">
        <v>1436</v>
      </c>
      <c r="AU133" s="49" t="s">
        <v>1436</v>
      </c>
      <c r="AV133" s="49" t="s">
        <v>1670</v>
      </c>
      <c r="AW133" s="48" t="s">
        <v>1244</v>
      </c>
    </row>
    <row r="134" spans="1:49" x14ac:dyDescent="0.3">
      <c r="A134" s="48" t="s">
        <v>1320</v>
      </c>
      <c r="B134" s="48" t="s">
        <v>6</v>
      </c>
      <c r="C134" s="48" t="s">
        <v>1322</v>
      </c>
      <c r="D134" s="50">
        <v>44895</v>
      </c>
      <c r="E134" s="48" t="s">
        <v>36</v>
      </c>
      <c r="F134" s="48" t="s">
        <v>1433</v>
      </c>
      <c r="G134" s="48" t="s">
        <v>1447</v>
      </c>
      <c r="H134" s="49" t="s">
        <v>1450</v>
      </c>
      <c r="I134" s="48" t="s">
        <v>1408</v>
      </c>
      <c r="J134" s="48" t="s">
        <v>40</v>
      </c>
      <c r="K134" s="48" t="s">
        <v>54</v>
      </c>
      <c r="L134" s="48" t="s">
        <v>38</v>
      </c>
      <c r="M134" s="48" t="s">
        <v>37</v>
      </c>
      <c r="N134" s="48" t="s">
        <v>1436</v>
      </c>
      <c r="O134" s="48" t="s">
        <v>1436</v>
      </c>
      <c r="P134" s="48" t="s">
        <v>1436</v>
      </c>
      <c r="Q134" s="48" t="s">
        <v>38</v>
      </c>
      <c r="R134" s="48" t="s">
        <v>39</v>
      </c>
      <c r="S134" s="48" t="s">
        <v>40</v>
      </c>
      <c r="T134" s="48" t="s">
        <v>41</v>
      </c>
      <c r="U134" s="48" t="s">
        <v>1436</v>
      </c>
      <c r="V134" s="48" t="s">
        <v>1436</v>
      </c>
      <c r="W134" s="48" t="s">
        <v>1436</v>
      </c>
      <c r="X134" s="49" t="s">
        <v>193</v>
      </c>
      <c r="Y134" s="48" t="s">
        <v>1194</v>
      </c>
      <c r="Z134" s="49" t="s">
        <v>1321</v>
      </c>
      <c r="AA134" s="48" t="s">
        <v>1324</v>
      </c>
      <c r="AB134" s="48" t="s">
        <v>1325</v>
      </c>
      <c r="AC134" s="48" t="s">
        <v>1239</v>
      </c>
      <c r="AD134" s="48" t="s">
        <v>1231</v>
      </c>
      <c r="AE134" s="48" t="s">
        <v>1669</v>
      </c>
      <c r="AF134" s="48" t="s">
        <v>1436</v>
      </c>
      <c r="AG134" s="48" t="s">
        <v>1436</v>
      </c>
      <c r="AH134" s="48" t="s">
        <v>208</v>
      </c>
      <c r="AI134" s="50">
        <v>44562</v>
      </c>
      <c r="AJ134" s="50">
        <v>46387</v>
      </c>
      <c r="AK134" s="49" t="s">
        <v>1280</v>
      </c>
      <c r="AL134" s="48" t="s">
        <v>36</v>
      </c>
      <c r="AM134" s="48" t="s">
        <v>36</v>
      </c>
      <c r="AN134" s="51">
        <v>-2702.39</v>
      </c>
      <c r="AO134" s="51"/>
      <c r="AP134" s="51"/>
      <c r="AQ134" s="72">
        <v>1600000</v>
      </c>
      <c r="AR134" s="72">
        <v>50000</v>
      </c>
      <c r="AS134" s="50">
        <v>46387</v>
      </c>
      <c r="AT134" s="50" t="s">
        <v>1436</v>
      </c>
      <c r="AU134" s="49" t="s">
        <v>1436</v>
      </c>
      <c r="AV134" s="49" t="s">
        <v>1670</v>
      </c>
      <c r="AW134" s="48" t="s">
        <v>1244</v>
      </c>
    </row>
    <row r="135" spans="1:49" x14ac:dyDescent="0.3">
      <c r="A135" s="48" t="s">
        <v>1320</v>
      </c>
      <c r="B135" s="48" t="s">
        <v>6</v>
      </c>
      <c r="C135" s="48" t="s">
        <v>1322</v>
      </c>
      <c r="D135" s="50">
        <v>44895</v>
      </c>
      <c r="E135" s="48" t="s">
        <v>36</v>
      </c>
      <c r="F135" s="48" t="s">
        <v>1433</v>
      </c>
      <c r="G135" s="48" t="s">
        <v>1447</v>
      </c>
      <c r="H135" s="49" t="s">
        <v>1451</v>
      </c>
      <c r="I135" s="48" t="s">
        <v>1404</v>
      </c>
      <c r="J135" s="48" t="s">
        <v>38</v>
      </c>
      <c r="K135" s="48" t="s">
        <v>49</v>
      </c>
      <c r="L135" s="48" t="s">
        <v>38</v>
      </c>
      <c r="M135" s="48" t="s">
        <v>37</v>
      </c>
      <c r="N135" s="48" t="s">
        <v>1436</v>
      </c>
      <c r="O135" s="48" t="s">
        <v>1436</v>
      </c>
      <c r="P135" s="48" t="s">
        <v>1436</v>
      </c>
      <c r="Q135" s="48" t="s">
        <v>38</v>
      </c>
      <c r="R135" s="48" t="s">
        <v>39</v>
      </c>
      <c r="S135" s="48" t="s">
        <v>38</v>
      </c>
      <c r="T135" s="48" t="s">
        <v>41</v>
      </c>
      <c r="U135" s="48" t="s">
        <v>1436</v>
      </c>
      <c r="V135" s="48" t="s">
        <v>1436</v>
      </c>
      <c r="W135" s="48" t="s">
        <v>1436</v>
      </c>
      <c r="X135" s="49" t="s">
        <v>193</v>
      </c>
      <c r="Y135" s="48" t="s">
        <v>1194</v>
      </c>
      <c r="Z135" s="49" t="s">
        <v>1321</v>
      </c>
      <c r="AA135" s="48" t="s">
        <v>1324</v>
      </c>
      <c r="AB135" s="48" t="s">
        <v>1325</v>
      </c>
      <c r="AC135" s="48" t="s">
        <v>1239</v>
      </c>
      <c r="AD135" s="48" t="s">
        <v>1231</v>
      </c>
      <c r="AE135" s="48" t="s">
        <v>1669</v>
      </c>
      <c r="AF135" s="48" t="s">
        <v>1436</v>
      </c>
      <c r="AG135" s="48" t="s">
        <v>1436</v>
      </c>
      <c r="AH135" s="48" t="s">
        <v>208</v>
      </c>
      <c r="AI135" s="50">
        <v>44562</v>
      </c>
      <c r="AJ135" s="50">
        <v>46387</v>
      </c>
      <c r="AK135" s="49" t="s">
        <v>1280</v>
      </c>
      <c r="AL135" s="48" t="s">
        <v>36</v>
      </c>
      <c r="AM135" s="48" t="s">
        <v>36</v>
      </c>
      <c r="AN135" s="51">
        <v>218.06481400000001</v>
      </c>
      <c r="AO135" s="51"/>
      <c r="AP135" s="51"/>
      <c r="AQ135" s="72">
        <v>1600000</v>
      </c>
      <c r="AR135" s="72">
        <v>50000</v>
      </c>
      <c r="AS135" s="50">
        <v>46387</v>
      </c>
      <c r="AT135" s="50" t="s">
        <v>1436</v>
      </c>
      <c r="AU135" s="49" t="s">
        <v>1436</v>
      </c>
      <c r="AV135" s="49" t="s">
        <v>1670</v>
      </c>
      <c r="AW135" s="48" t="s">
        <v>1244</v>
      </c>
    </row>
    <row r="136" spans="1:49" x14ac:dyDescent="0.3">
      <c r="A136" s="48" t="s">
        <v>1320</v>
      </c>
      <c r="B136" s="48" t="s">
        <v>6</v>
      </c>
      <c r="C136" s="48" t="s">
        <v>1322</v>
      </c>
      <c r="D136" s="50">
        <v>44926</v>
      </c>
      <c r="E136" s="48" t="s">
        <v>36</v>
      </c>
      <c r="F136" s="48" t="s">
        <v>1433</v>
      </c>
      <c r="G136" s="48" t="s">
        <v>1434</v>
      </c>
      <c r="H136" s="49" t="s">
        <v>1435</v>
      </c>
      <c r="I136" s="48" t="s">
        <v>1412</v>
      </c>
      <c r="J136" s="48" t="s">
        <v>40</v>
      </c>
      <c r="K136" s="48" t="s">
        <v>52</v>
      </c>
      <c r="L136" s="48" t="s">
        <v>38</v>
      </c>
      <c r="M136" s="48" t="s">
        <v>37</v>
      </c>
      <c r="N136" s="48" t="s">
        <v>1436</v>
      </c>
      <c r="O136" s="48" t="s">
        <v>1436</v>
      </c>
      <c r="P136" s="48" t="s">
        <v>1436</v>
      </c>
      <c r="Q136" s="48" t="s">
        <v>38</v>
      </c>
      <c r="R136" s="48" t="s">
        <v>39</v>
      </c>
      <c r="S136" s="48" t="s">
        <v>40</v>
      </c>
      <c r="T136" s="48" t="s">
        <v>41</v>
      </c>
      <c r="U136" s="48" t="s">
        <v>1436</v>
      </c>
      <c r="V136" s="48" t="s">
        <v>1436</v>
      </c>
      <c r="W136" s="48" t="s">
        <v>1436</v>
      </c>
      <c r="X136" s="49" t="s">
        <v>193</v>
      </c>
      <c r="Y136" s="48" t="s">
        <v>1194</v>
      </c>
      <c r="Z136" s="49" t="s">
        <v>1321</v>
      </c>
      <c r="AA136" s="48" t="s">
        <v>1324</v>
      </c>
      <c r="AB136" s="48" t="s">
        <v>1325</v>
      </c>
      <c r="AC136" s="48" t="s">
        <v>1239</v>
      </c>
      <c r="AD136" s="48" t="s">
        <v>1231</v>
      </c>
      <c r="AE136" s="48" t="s">
        <v>1669</v>
      </c>
      <c r="AF136" s="48" t="s">
        <v>1436</v>
      </c>
      <c r="AG136" s="48" t="s">
        <v>1436</v>
      </c>
      <c r="AH136" s="48" t="s">
        <v>208</v>
      </c>
      <c r="AI136" s="50">
        <v>44562</v>
      </c>
      <c r="AJ136" s="50">
        <v>46387</v>
      </c>
      <c r="AK136" s="49" t="s">
        <v>1280</v>
      </c>
      <c r="AL136" s="48" t="s">
        <v>36</v>
      </c>
      <c r="AM136" s="48" t="s">
        <v>36</v>
      </c>
      <c r="AN136" s="51">
        <v>-42330.49</v>
      </c>
      <c r="AO136" s="51"/>
      <c r="AP136" s="51"/>
      <c r="AQ136" s="72">
        <v>1600000</v>
      </c>
      <c r="AR136" s="72">
        <v>50000</v>
      </c>
      <c r="AS136" s="50">
        <v>46387</v>
      </c>
      <c r="AT136" s="50" t="s">
        <v>1436</v>
      </c>
      <c r="AU136" s="49" t="s">
        <v>1436</v>
      </c>
      <c r="AV136" s="49" t="s">
        <v>1670</v>
      </c>
      <c r="AW136" s="48" t="s">
        <v>1244</v>
      </c>
    </row>
    <row r="137" spans="1:49" x14ac:dyDescent="0.3">
      <c r="A137" s="48" t="s">
        <v>1320</v>
      </c>
      <c r="B137" s="48" t="s">
        <v>6</v>
      </c>
      <c r="C137" s="48" t="s">
        <v>1322</v>
      </c>
      <c r="D137" s="50">
        <v>44926</v>
      </c>
      <c r="E137" s="48" t="s">
        <v>36</v>
      </c>
      <c r="F137" s="48" t="s">
        <v>1433</v>
      </c>
      <c r="G137" s="48" t="s">
        <v>1434</v>
      </c>
      <c r="H137" s="49" t="s">
        <v>1437</v>
      </c>
      <c r="I137" s="48" t="s">
        <v>1410</v>
      </c>
      <c r="J137" s="48" t="s">
        <v>40</v>
      </c>
      <c r="K137" s="48" t="s">
        <v>42</v>
      </c>
      <c r="L137" s="48" t="s">
        <v>38</v>
      </c>
      <c r="M137" s="48" t="s">
        <v>37</v>
      </c>
      <c r="N137" s="48" t="s">
        <v>1436</v>
      </c>
      <c r="O137" s="48" t="s">
        <v>1436</v>
      </c>
      <c r="P137" s="48" t="s">
        <v>1436</v>
      </c>
      <c r="Q137" s="48" t="s">
        <v>38</v>
      </c>
      <c r="R137" s="48" t="s">
        <v>39</v>
      </c>
      <c r="S137" s="48" t="s">
        <v>40</v>
      </c>
      <c r="T137" s="48" t="s">
        <v>41</v>
      </c>
      <c r="U137" s="48" t="s">
        <v>1436</v>
      </c>
      <c r="V137" s="48" t="s">
        <v>1436</v>
      </c>
      <c r="W137" s="48" t="s">
        <v>1436</v>
      </c>
      <c r="X137" s="49" t="s">
        <v>193</v>
      </c>
      <c r="Y137" s="48" t="s">
        <v>1194</v>
      </c>
      <c r="Z137" s="49" t="s">
        <v>1321</v>
      </c>
      <c r="AA137" s="48" t="s">
        <v>1324</v>
      </c>
      <c r="AB137" s="48" t="s">
        <v>1325</v>
      </c>
      <c r="AC137" s="48" t="s">
        <v>1239</v>
      </c>
      <c r="AD137" s="48" t="s">
        <v>1231</v>
      </c>
      <c r="AE137" s="48" t="s">
        <v>1669</v>
      </c>
      <c r="AF137" s="48" t="s">
        <v>1436</v>
      </c>
      <c r="AG137" s="48" t="s">
        <v>1436</v>
      </c>
      <c r="AH137" s="48" t="s">
        <v>208</v>
      </c>
      <c r="AI137" s="50">
        <v>44562</v>
      </c>
      <c r="AJ137" s="50">
        <v>46387</v>
      </c>
      <c r="AK137" s="49" t="s">
        <v>1280</v>
      </c>
      <c r="AL137" s="48" t="s">
        <v>36</v>
      </c>
      <c r="AM137" s="48" t="s">
        <v>36</v>
      </c>
      <c r="AN137" s="51">
        <v>0</v>
      </c>
      <c r="AO137" s="51"/>
      <c r="AP137" s="51"/>
      <c r="AQ137" s="72">
        <v>1600000</v>
      </c>
      <c r="AR137" s="72">
        <v>50000</v>
      </c>
      <c r="AS137" s="50">
        <v>46387</v>
      </c>
      <c r="AT137" s="50" t="s">
        <v>1436</v>
      </c>
      <c r="AU137" s="49" t="s">
        <v>1436</v>
      </c>
      <c r="AV137" s="49" t="s">
        <v>1670</v>
      </c>
      <c r="AW137" s="48" t="s">
        <v>1244</v>
      </c>
    </row>
    <row r="138" spans="1:49" x14ac:dyDescent="0.3">
      <c r="A138" s="48" t="s">
        <v>1320</v>
      </c>
      <c r="B138" s="48" t="s">
        <v>6</v>
      </c>
      <c r="C138" s="48" t="s">
        <v>1322</v>
      </c>
      <c r="D138" s="50">
        <v>44926</v>
      </c>
      <c r="E138" s="48" t="s">
        <v>36</v>
      </c>
      <c r="F138" s="48" t="s">
        <v>1438</v>
      </c>
      <c r="G138" s="48" t="s">
        <v>1439</v>
      </c>
      <c r="H138" s="49" t="s">
        <v>1440</v>
      </c>
      <c r="I138" s="48" t="s">
        <v>1406</v>
      </c>
      <c r="J138" s="48" t="s">
        <v>1194</v>
      </c>
      <c r="K138" s="48" t="s">
        <v>1441</v>
      </c>
      <c r="L138" s="48" t="s">
        <v>38</v>
      </c>
      <c r="M138" s="48" t="s">
        <v>37</v>
      </c>
      <c r="N138" s="48" t="s">
        <v>1436</v>
      </c>
      <c r="O138" s="48" t="s">
        <v>1436</v>
      </c>
      <c r="P138" s="48" t="s">
        <v>1436</v>
      </c>
      <c r="Q138" s="48" t="s">
        <v>38</v>
      </c>
      <c r="R138" s="48" t="s">
        <v>39</v>
      </c>
      <c r="S138" s="48" t="s">
        <v>1194</v>
      </c>
      <c r="T138" s="48" t="s">
        <v>41</v>
      </c>
      <c r="U138" s="48" t="s">
        <v>1436</v>
      </c>
      <c r="V138" s="48" t="s">
        <v>1436</v>
      </c>
      <c r="W138" s="48" t="s">
        <v>1436</v>
      </c>
      <c r="X138" s="49" t="s">
        <v>193</v>
      </c>
      <c r="Y138" s="48" t="s">
        <v>1194</v>
      </c>
      <c r="Z138" s="49" t="s">
        <v>1321</v>
      </c>
      <c r="AA138" s="48" t="s">
        <v>1324</v>
      </c>
      <c r="AB138" s="48" t="s">
        <v>1325</v>
      </c>
      <c r="AC138" s="48" t="s">
        <v>1239</v>
      </c>
      <c r="AD138" s="48" t="s">
        <v>1231</v>
      </c>
      <c r="AE138" s="48" t="s">
        <v>1669</v>
      </c>
      <c r="AF138" s="48" t="s">
        <v>1436</v>
      </c>
      <c r="AG138" s="48" t="s">
        <v>1436</v>
      </c>
      <c r="AH138" s="48" t="s">
        <v>208</v>
      </c>
      <c r="AI138" s="50">
        <v>44562</v>
      </c>
      <c r="AJ138" s="50">
        <v>46387</v>
      </c>
      <c r="AK138" s="49" t="s">
        <v>1280</v>
      </c>
      <c r="AL138" s="48" t="s">
        <v>36</v>
      </c>
      <c r="AM138" s="48" t="s">
        <v>36</v>
      </c>
      <c r="AN138" s="51">
        <v>0</v>
      </c>
      <c r="AO138" s="51"/>
      <c r="AP138" s="51"/>
      <c r="AQ138" s="72">
        <v>1600000</v>
      </c>
      <c r="AR138" s="72">
        <v>50000</v>
      </c>
      <c r="AS138" s="50">
        <v>46387</v>
      </c>
      <c r="AT138" s="50" t="s">
        <v>1436</v>
      </c>
      <c r="AU138" s="49" t="s">
        <v>1436</v>
      </c>
      <c r="AV138" s="49" t="s">
        <v>1670</v>
      </c>
      <c r="AW138" s="48" t="s">
        <v>1244</v>
      </c>
    </row>
    <row r="139" spans="1:49" x14ac:dyDescent="0.3">
      <c r="A139" s="48" t="s">
        <v>1320</v>
      </c>
      <c r="B139" s="48" t="s">
        <v>6</v>
      </c>
      <c r="C139" s="48" t="s">
        <v>1322</v>
      </c>
      <c r="D139" s="50">
        <v>44926</v>
      </c>
      <c r="E139" s="48" t="s">
        <v>36</v>
      </c>
      <c r="F139" s="48" t="s">
        <v>1438</v>
      </c>
      <c r="G139" s="48" t="s">
        <v>1439</v>
      </c>
      <c r="H139" s="49" t="s">
        <v>1442</v>
      </c>
      <c r="I139" s="48" t="s">
        <v>1405</v>
      </c>
      <c r="J139" s="48" t="s">
        <v>1194</v>
      </c>
      <c r="K139" s="48" t="s">
        <v>1443</v>
      </c>
      <c r="L139" s="48" t="s">
        <v>38</v>
      </c>
      <c r="M139" s="48" t="s">
        <v>37</v>
      </c>
      <c r="N139" s="48" t="s">
        <v>1436</v>
      </c>
      <c r="O139" s="48" t="s">
        <v>1436</v>
      </c>
      <c r="P139" s="48" t="s">
        <v>1436</v>
      </c>
      <c r="Q139" s="48" t="s">
        <v>38</v>
      </c>
      <c r="R139" s="48" t="s">
        <v>39</v>
      </c>
      <c r="S139" s="48" t="s">
        <v>1194</v>
      </c>
      <c r="T139" s="48" t="s">
        <v>41</v>
      </c>
      <c r="U139" s="48" t="s">
        <v>1436</v>
      </c>
      <c r="V139" s="48" t="s">
        <v>1436</v>
      </c>
      <c r="W139" s="48" t="s">
        <v>1436</v>
      </c>
      <c r="X139" s="49" t="s">
        <v>193</v>
      </c>
      <c r="Y139" s="48" t="s">
        <v>1194</v>
      </c>
      <c r="Z139" s="49" t="s">
        <v>1321</v>
      </c>
      <c r="AA139" s="48" t="s">
        <v>1324</v>
      </c>
      <c r="AB139" s="48" t="s">
        <v>1325</v>
      </c>
      <c r="AC139" s="48" t="s">
        <v>1239</v>
      </c>
      <c r="AD139" s="48" t="s">
        <v>1231</v>
      </c>
      <c r="AE139" s="48" t="s">
        <v>1669</v>
      </c>
      <c r="AF139" s="48" t="s">
        <v>1436</v>
      </c>
      <c r="AG139" s="48" t="s">
        <v>1436</v>
      </c>
      <c r="AH139" s="48" t="s">
        <v>208</v>
      </c>
      <c r="AI139" s="50">
        <v>44562</v>
      </c>
      <c r="AJ139" s="50">
        <v>46387</v>
      </c>
      <c r="AK139" s="49" t="s">
        <v>1280</v>
      </c>
      <c r="AL139" s="48" t="s">
        <v>36</v>
      </c>
      <c r="AM139" s="48" t="s">
        <v>36</v>
      </c>
      <c r="AN139" s="51">
        <v>0</v>
      </c>
      <c r="AO139" s="51"/>
      <c r="AP139" s="51"/>
      <c r="AQ139" s="72">
        <v>1600000</v>
      </c>
      <c r="AR139" s="72">
        <v>50000</v>
      </c>
      <c r="AS139" s="50">
        <v>46387</v>
      </c>
      <c r="AT139" s="50" t="s">
        <v>1436</v>
      </c>
      <c r="AU139" s="49" t="s">
        <v>1436</v>
      </c>
      <c r="AV139" s="49" t="s">
        <v>1670</v>
      </c>
      <c r="AW139" s="48" t="s">
        <v>1244</v>
      </c>
    </row>
    <row r="140" spans="1:49" x14ac:dyDescent="0.3">
      <c r="A140" s="48" t="s">
        <v>1320</v>
      </c>
      <c r="B140" s="48" t="s">
        <v>6</v>
      </c>
      <c r="C140" s="48" t="s">
        <v>1322</v>
      </c>
      <c r="D140" s="50">
        <v>44926</v>
      </c>
      <c r="E140" s="48" t="s">
        <v>36</v>
      </c>
      <c r="F140" s="48" t="s">
        <v>1438</v>
      </c>
      <c r="G140" s="48" t="s">
        <v>1444</v>
      </c>
      <c r="H140" s="49" t="s">
        <v>1445</v>
      </c>
      <c r="I140" s="48" t="s">
        <v>1411</v>
      </c>
      <c r="J140" s="48" t="s">
        <v>40</v>
      </c>
      <c r="K140" s="48" t="s">
        <v>50</v>
      </c>
      <c r="L140" s="48" t="s">
        <v>38</v>
      </c>
      <c r="M140" s="48" t="s">
        <v>37</v>
      </c>
      <c r="N140" s="48" t="s">
        <v>1436</v>
      </c>
      <c r="O140" s="48" t="s">
        <v>1436</v>
      </c>
      <c r="P140" s="48" t="s">
        <v>1436</v>
      </c>
      <c r="Q140" s="48" t="s">
        <v>38</v>
      </c>
      <c r="R140" s="48" t="s">
        <v>39</v>
      </c>
      <c r="S140" s="48" t="s">
        <v>40</v>
      </c>
      <c r="T140" s="48" t="s">
        <v>41</v>
      </c>
      <c r="U140" s="48" t="s">
        <v>1436</v>
      </c>
      <c r="V140" s="48" t="s">
        <v>1436</v>
      </c>
      <c r="W140" s="48" t="s">
        <v>1436</v>
      </c>
      <c r="X140" s="49" t="s">
        <v>193</v>
      </c>
      <c r="Y140" s="48" t="s">
        <v>1194</v>
      </c>
      <c r="Z140" s="49" t="s">
        <v>1321</v>
      </c>
      <c r="AA140" s="48" t="s">
        <v>1324</v>
      </c>
      <c r="AB140" s="48" t="s">
        <v>1325</v>
      </c>
      <c r="AC140" s="48" t="s">
        <v>1239</v>
      </c>
      <c r="AD140" s="48" t="s">
        <v>1231</v>
      </c>
      <c r="AE140" s="48" t="s">
        <v>1669</v>
      </c>
      <c r="AF140" s="48" t="s">
        <v>1436</v>
      </c>
      <c r="AG140" s="48" t="s">
        <v>1436</v>
      </c>
      <c r="AH140" s="48" t="s">
        <v>208</v>
      </c>
      <c r="AI140" s="50">
        <v>44562</v>
      </c>
      <c r="AJ140" s="50">
        <v>46387</v>
      </c>
      <c r="AK140" s="49" t="s">
        <v>1280</v>
      </c>
      <c r="AL140" s="48" t="s">
        <v>36</v>
      </c>
      <c r="AM140" s="48" t="s">
        <v>36</v>
      </c>
      <c r="AN140" s="51">
        <v>42330.49</v>
      </c>
      <c r="AO140" s="51"/>
      <c r="AP140" s="51"/>
      <c r="AQ140" s="72">
        <v>1600000</v>
      </c>
      <c r="AR140" s="72">
        <v>50000</v>
      </c>
      <c r="AS140" s="50">
        <v>46387</v>
      </c>
      <c r="AT140" s="50" t="s">
        <v>1436</v>
      </c>
      <c r="AU140" s="49" t="s">
        <v>1436</v>
      </c>
      <c r="AV140" s="49" t="s">
        <v>1670</v>
      </c>
      <c r="AW140" s="48" t="s">
        <v>1244</v>
      </c>
    </row>
    <row r="141" spans="1:49" x14ac:dyDescent="0.3">
      <c r="A141" s="48" t="s">
        <v>1320</v>
      </c>
      <c r="B141" s="48" t="s">
        <v>6</v>
      </c>
      <c r="C141" s="48" t="s">
        <v>1322</v>
      </c>
      <c r="D141" s="50">
        <v>44926</v>
      </c>
      <c r="E141" s="48" t="s">
        <v>36</v>
      </c>
      <c r="F141" s="48" t="s">
        <v>1438</v>
      </c>
      <c r="G141" s="48" t="s">
        <v>1444</v>
      </c>
      <c r="H141" s="49" t="s">
        <v>1446</v>
      </c>
      <c r="I141" s="48" t="s">
        <v>1407</v>
      </c>
      <c r="J141" s="48" t="s">
        <v>40</v>
      </c>
      <c r="K141" s="48" t="s">
        <v>47</v>
      </c>
      <c r="L141" s="48" t="s">
        <v>38</v>
      </c>
      <c r="M141" s="48" t="s">
        <v>37</v>
      </c>
      <c r="N141" s="48" t="s">
        <v>1436</v>
      </c>
      <c r="O141" s="48" t="s">
        <v>1436</v>
      </c>
      <c r="P141" s="48" t="s">
        <v>1436</v>
      </c>
      <c r="Q141" s="48" t="s">
        <v>38</v>
      </c>
      <c r="R141" s="48" t="s">
        <v>39</v>
      </c>
      <c r="S141" s="48" t="s">
        <v>40</v>
      </c>
      <c r="T141" s="48" t="s">
        <v>41</v>
      </c>
      <c r="U141" s="48" t="s">
        <v>1436</v>
      </c>
      <c r="V141" s="48" t="s">
        <v>1436</v>
      </c>
      <c r="W141" s="48" t="s">
        <v>1436</v>
      </c>
      <c r="X141" s="49" t="s">
        <v>193</v>
      </c>
      <c r="Y141" s="48" t="s">
        <v>1194</v>
      </c>
      <c r="Z141" s="49" t="s">
        <v>1321</v>
      </c>
      <c r="AA141" s="48" t="s">
        <v>1324</v>
      </c>
      <c r="AB141" s="48" t="s">
        <v>1325</v>
      </c>
      <c r="AC141" s="48" t="s">
        <v>1239</v>
      </c>
      <c r="AD141" s="48" t="s">
        <v>1231</v>
      </c>
      <c r="AE141" s="48" t="s">
        <v>1669</v>
      </c>
      <c r="AF141" s="48" t="s">
        <v>1436</v>
      </c>
      <c r="AG141" s="48" t="s">
        <v>1436</v>
      </c>
      <c r="AH141" s="48" t="s">
        <v>208</v>
      </c>
      <c r="AI141" s="50">
        <v>44562</v>
      </c>
      <c r="AJ141" s="50">
        <v>46387</v>
      </c>
      <c r="AK141" s="49" t="s">
        <v>1280</v>
      </c>
      <c r="AL141" s="48" t="s">
        <v>36</v>
      </c>
      <c r="AM141" s="48" t="s">
        <v>36</v>
      </c>
      <c r="AN141" s="51">
        <v>12180.058743</v>
      </c>
      <c r="AO141" s="51"/>
      <c r="AP141" s="51"/>
      <c r="AQ141" s="72">
        <v>1600000</v>
      </c>
      <c r="AR141" s="72">
        <v>50000</v>
      </c>
      <c r="AS141" s="50">
        <v>46387</v>
      </c>
      <c r="AT141" s="50" t="s">
        <v>1436</v>
      </c>
      <c r="AU141" s="49" t="s">
        <v>1436</v>
      </c>
      <c r="AV141" s="49" t="s">
        <v>1670</v>
      </c>
      <c r="AW141" s="48" t="s">
        <v>1244</v>
      </c>
    </row>
    <row r="142" spans="1:49" x14ac:dyDescent="0.3">
      <c r="A142" s="48" t="s">
        <v>1320</v>
      </c>
      <c r="B142" s="48" t="s">
        <v>6</v>
      </c>
      <c r="C142" s="48" t="s">
        <v>1322</v>
      </c>
      <c r="D142" s="50">
        <v>44926</v>
      </c>
      <c r="E142" s="48" t="s">
        <v>36</v>
      </c>
      <c r="F142" s="48" t="s">
        <v>1433</v>
      </c>
      <c r="G142" s="48" t="s">
        <v>1447</v>
      </c>
      <c r="H142" s="49" t="s">
        <v>1448</v>
      </c>
      <c r="I142" s="48" t="s">
        <v>1413</v>
      </c>
      <c r="J142" s="48" t="s">
        <v>40</v>
      </c>
      <c r="K142" s="48" t="s">
        <v>58</v>
      </c>
      <c r="L142" s="48" t="s">
        <v>38</v>
      </c>
      <c r="M142" s="48" t="s">
        <v>37</v>
      </c>
      <c r="N142" s="48" t="s">
        <v>1436</v>
      </c>
      <c r="O142" s="48" t="s">
        <v>1436</v>
      </c>
      <c r="P142" s="48" t="s">
        <v>1436</v>
      </c>
      <c r="Q142" s="48" t="s">
        <v>38</v>
      </c>
      <c r="R142" s="48" t="s">
        <v>39</v>
      </c>
      <c r="S142" s="48" t="s">
        <v>40</v>
      </c>
      <c r="T142" s="48" t="s">
        <v>41</v>
      </c>
      <c r="U142" s="48" t="s">
        <v>1436</v>
      </c>
      <c r="V142" s="48" t="s">
        <v>1436</v>
      </c>
      <c r="W142" s="48" t="s">
        <v>1436</v>
      </c>
      <c r="X142" s="49" t="s">
        <v>193</v>
      </c>
      <c r="Y142" s="48" t="s">
        <v>1194</v>
      </c>
      <c r="Z142" s="49" t="s">
        <v>1321</v>
      </c>
      <c r="AA142" s="48" t="s">
        <v>1324</v>
      </c>
      <c r="AB142" s="48" t="s">
        <v>1325</v>
      </c>
      <c r="AC142" s="48" t="s">
        <v>1239</v>
      </c>
      <c r="AD142" s="48" t="s">
        <v>1231</v>
      </c>
      <c r="AE142" s="48" t="s">
        <v>1669</v>
      </c>
      <c r="AF142" s="48" t="s">
        <v>1436</v>
      </c>
      <c r="AG142" s="48" t="s">
        <v>1436</v>
      </c>
      <c r="AH142" s="48" t="s">
        <v>208</v>
      </c>
      <c r="AI142" s="50">
        <v>44562</v>
      </c>
      <c r="AJ142" s="50">
        <v>46387</v>
      </c>
      <c r="AK142" s="49" t="s">
        <v>1280</v>
      </c>
      <c r="AL142" s="48" t="s">
        <v>36</v>
      </c>
      <c r="AM142" s="48" t="s">
        <v>36</v>
      </c>
      <c r="AN142" s="51">
        <v>-50000</v>
      </c>
      <c r="AO142" s="51"/>
      <c r="AP142" s="51"/>
      <c r="AQ142" s="72">
        <v>1600000</v>
      </c>
      <c r="AR142" s="72">
        <v>50000</v>
      </c>
      <c r="AS142" s="50">
        <v>46387</v>
      </c>
      <c r="AT142" s="50" t="s">
        <v>1436</v>
      </c>
      <c r="AU142" s="49" t="s">
        <v>1436</v>
      </c>
      <c r="AV142" s="49" t="s">
        <v>1670</v>
      </c>
      <c r="AW142" s="48" t="s">
        <v>1244</v>
      </c>
    </row>
    <row r="143" spans="1:49" x14ac:dyDescent="0.3">
      <c r="A143" s="48" t="s">
        <v>1320</v>
      </c>
      <c r="B143" s="48" t="s">
        <v>6</v>
      </c>
      <c r="C143" s="48" t="s">
        <v>1322</v>
      </c>
      <c r="D143" s="50">
        <v>44926</v>
      </c>
      <c r="E143" s="48" t="s">
        <v>36</v>
      </c>
      <c r="F143" s="48" t="s">
        <v>1433</v>
      </c>
      <c r="G143" s="48" t="s">
        <v>1447</v>
      </c>
      <c r="H143" s="49" t="s">
        <v>1449</v>
      </c>
      <c r="I143" s="48" t="s">
        <v>1409</v>
      </c>
      <c r="J143" s="48" t="s">
        <v>40</v>
      </c>
      <c r="K143" s="48" t="s">
        <v>45</v>
      </c>
      <c r="L143" s="48" t="s">
        <v>38</v>
      </c>
      <c r="M143" s="48" t="s">
        <v>37</v>
      </c>
      <c r="N143" s="48" t="s">
        <v>1436</v>
      </c>
      <c r="O143" s="48" t="s">
        <v>1436</v>
      </c>
      <c r="P143" s="48" t="s">
        <v>1436</v>
      </c>
      <c r="Q143" s="48" t="s">
        <v>38</v>
      </c>
      <c r="R143" s="48" t="s">
        <v>39</v>
      </c>
      <c r="S143" s="48" t="s">
        <v>40</v>
      </c>
      <c r="T143" s="48" t="s">
        <v>41</v>
      </c>
      <c r="U143" s="48" t="s">
        <v>1436</v>
      </c>
      <c r="V143" s="48" t="s">
        <v>1436</v>
      </c>
      <c r="W143" s="48" t="s">
        <v>1436</v>
      </c>
      <c r="X143" s="49" t="s">
        <v>193</v>
      </c>
      <c r="Y143" s="48" t="s">
        <v>1194</v>
      </c>
      <c r="Z143" s="49" t="s">
        <v>1321</v>
      </c>
      <c r="AA143" s="48" t="s">
        <v>1324</v>
      </c>
      <c r="AB143" s="48" t="s">
        <v>1325</v>
      </c>
      <c r="AC143" s="48" t="s">
        <v>1239</v>
      </c>
      <c r="AD143" s="48" t="s">
        <v>1231</v>
      </c>
      <c r="AE143" s="48" t="s">
        <v>1669</v>
      </c>
      <c r="AF143" s="48" t="s">
        <v>1436</v>
      </c>
      <c r="AG143" s="48" t="s">
        <v>1436</v>
      </c>
      <c r="AH143" s="48" t="s">
        <v>208</v>
      </c>
      <c r="AI143" s="50">
        <v>44562</v>
      </c>
      <c r="AJ143" s="50">
        <v>46387</v>
      </c>
      <c r="AK143" s="49" t="s">
        <v>1280</v>
      </c>
      <c r="AL143" s="48" t="s">
        <v>36</v>
      </c>
      <c r="AM143" s="48" t="s">
        <v>36</v>
      </c>
      <c r="AN143" s="51">
        <v>40318.754397999997</v>
      </c>
      <c r="AO143" s="51"/>
      <c r="AP143" s="51"/>
      <c r="AQ143" s="72">
        <v>1600000</v>
      </c>
      <c r="AR143" s="72">
        <v>50000</v>
      </c>
      <c r="AS143" s="50">
        <v>46387</v>
      </c>
      <c r="AT143" s="50" t="s">
        <v>1436</v>
      </c>
      <c r="AU143" s="49" t="s">
        <v>1436</v>
      </c>
      <c r="AV143" s="49" t="s">
        <v>1670</v>
      </c>
      <c r="AW143" s="48" t="s">
        <v>1244</v>
      </c>
    </row>
    <row r="144" spans="1:49" x14ac:dyDescent="0.3">
      <c r="A144" s="48" t="s">
        <v>1320</v>
      </c>
      <c r="B144" s="48" t="s">
        <v>6</v>
      </c>
      <c r="C144" s="48" t="s">
        <v>1322</v>
      </c>
      <c r="D144" s="50">
        <v>44926</v>
      </c>
      <c r="E144" s="48" t="s">
        <v>36</v>
      </c>
      <c r="F144" s="48" t="s">
        <v>1433</v>
      </c>
      <c r="G144" s="48" t="s">
        <v>1447</v>
      </c>
      <c r="H144" s="49" t="s">
        <v>1450</v>
      </c>
      <c r="I144" s="48" t="s">
        <v>1408</v>
      </c>
      <c r="J144" s="48" t="s">
        <v>40</v>
      </c>
      <c r="K144" s="48" t="s">
        <v>54</v>
      </c>
      <c r="L144" s="48" t="s">
        <v>38</v>
      </c>
      <c r="M144" s="48" t="s">
        <v>37</v>
      </c>
      <c r="N144" s="48" t="s">
        <v>1436</v>
      </c>
      <c r="O144" s="48" t="s">
        <v>1436</v>
      </c>
      <c r="P144" s="48" t="s">
        <v>1436</v>
      </c>
      <c r="Q144" s="48" t="s">
        <v>38</v>
      </c>
      <c r="R144" s="48" t="s">
        <v>39</v>
      </c>
      <c r="S144" s="48" t="s">
        <v>40</v>
      </c>
      <c r="T144" s="48" t="s">
        <v>41</v>
      </c>
      <c r="U144" s="48" t="s">
        <v>1436</v>
      </c>
      <c r="V144" s="48" t="s">
        <v>1436</v>
      </c>
      <c r="W144" s="48" t="s">
        <v>1436</v>
      </c>
      <c r="X144" s="49" t="s">
        <v>193</v>
      </c>
      <c r="Y144" s="48" t="s">
        <v>1194</v>
      </c>
      <c r="Z144" s="49" t="s">
        <v>1321</v>
      </c>
      <c r="AA144" s="48" t="s">
        <v>1324</v>
      </c>
      <c r="AB144" s="48" t="s">
        <v>1325</v>
      </c>
      <c r="AC144" s="48" t="s">
        <v>1239</v>
      </c>
      <c r="AD144" s="48" t="s">
        <v>1231</v>
      </c>
      <c r="AE144" s="48" t="s">
        <v>1669</v>
      </c>
      <c r="AF144" s="48" t="s">
        <v>1436</v>
      </c>
      <c r="AG144" s="48" t="s">
        <v>1436</v>
      </c>
      <c r="AH144" s="48" t="s">
        <v>208</v>
      </c>
      <c r="AI144" s="50">
        <v>44562</v>
      </c>
      <c r="AJ144" s="50">
        <v>46387</v>
      </c>
      <c r="AK144" s="49" t="s">
        <v>1280</v>
      </c>
      <c r="AL144" s="48" t="s">
        <v>36</v>
      </c>
      <c r="AM144" s="48" t="s">
        <v>36</v>
      </c>
      <c r="AN144" s="51">
        <v>-2718.15</v>
      </c>
      <c r="AO144" s="51"/>
      <c r="AP144" s="51"/>
      <c r="AQ144" s="72">
        <v>1600000</v>
      </c>
      <c r="AR144" s="72">
        <v>50000</v>
      </c>
      <c r="AS144" s="50">
        <v>46387</v>
      </c>
      <c r="AT144" s="50" t="s">
        <v>1436</v>
      </c>
      <c r="AU144" s="49" t="s">
        <v>1436</v>
      </c>
      <c r="AV144" s="49" t="s">
        <v>1670</v>
      </c>
      <c r="AW144" s="48" t="s">
        <v>1244</v>
      </c>
    </row>
    <row r="145" spans="1:49" x14ac:dyDescent="0.3">
      <c r="A145" s="48" t="s">
        <v>1320</v>
      </c>
      <c r="B145" s="48" t="s">
        <v>6</v>
      </c>
      <c r="C145" s="48" t="s">
        <v>1322</v>
      </c>
      <c r="D145" s="50">
        <v>44926</v>
      </c>
      <c r="E145" s="48" t="s">
        <v>36</v>
      </c>
      <c r="F145" s="48" t="s">
        <v>1433</v>
      </c>
      <c r="G145" s="48" t="s">
        <v>1447</v>
      </c>
      <c r="H145" s="49" t="s">
        <v>1451</v>
      </c>
      <c r="I145" s="48" t="s">
        <v>1404</v>
      </c>
      <c r="J145" s="48" t="s">
        <v>38</v>
      </c>
      <c r="K145" s="48" t="s">
        <v>49</v>
      </c>
      <c r="L145" s="48" t="s">
        <v>38</v>
      </c>
      <c r="M145" s="48" t="s">
        <v>37</v>
      </c>
      <c r="N145" s="48" t="s">
        <v>1436</v>
      </c>
      <c r="O145" s="48" t="s">
        <v>1436</v>
      </c>
      <c r="P145" s="48" t="s">
        <v>1436</v>
      </c>
      <c r="Q145" s="48" t="s">
        <v>38</v>
      </c>
      <c r="R145" s="48" t="s">
        <v>39</v>
      </c>
      <c r="S145" s="48" t="s">
        <v>38</v>
      </c>
      <c r="T145" s="48" t="s">
        <v>41</v>
      </c>
      <c r="U145" s="48" t="s">
        <v>1436</v>
      </c>
      <c r="V145" s="48" t="s">
        <v>1436</v>
      </c>
      <c r="W145" s="48" t="s">
        <v>1436</v>
      </c>
      <c r="X145" s="49" t="s">
        <v>193</v>
      </c>
      <c r="Y145" s="48" t="s">
        <v>1194</v>
      </c>
      <c r="Z145" s="49" t="s">
        <v>1321</v>
      </c>
      <c r="AA145" s="48" t="s">
        <v>1324</v>
      </c>
      <c r="AB145" s="48" t="s">
        <v>1325</v>
      </c>
      <c r="AC145" s="48" t="s">
        <v>1239</v>
      </c>
      <c r="AD145" s="48" t="s">
        <v>1231</v>
      </c>
      <c r="AE145" s="48" t="s">
        <v>1669</v>
      </c>
      <c r="AF145" s="48" t="s">
        <v>1436</v>
      </c>
      <c r="AG145" s="48" t="s">
        <v>1436</v>
      </c>
      <c r="AH145" s="48" t="s">
        <v>208</v>
      </c>
      <c r="AI145" s="50">
        <v>44562</v>
      </c>
      <c r="AJ145" s="50">
        <v>46387</v>
      </c>
      <c r="AK145" s="49" t="s">
        <v>1280</v>
      </c>
      <c r="AL145" s="48" t="s">
        <v>36</v>
      </c>
      <c r="AM145" s="48" t="s">
        <v>36</v>
      </c>
      <c r="AN145" s="51">
        <v>219.336859</v>
      </c>
      <c r="AO145" s="51"/>
      <c r="AP145" s="51"/>
      <c r="AQ145" s="72">
        <v>1600000</v>
      </c>
      <c r="AR145" s="72">
        <v>50000</v>
      </c>
      <c r="AS145" s="50">
        <v>46387</v>
      </c>
      <c r="AT145" s="50" t="s">
        <v>1436</v>
      </c>
      <c r="AU145" s="49" t="s">
        <v>1436</v>
      </c>
      <c r="AV145" s="49" t="s">
        <v>1670</v>
      </c>
      <c r="AW145" s="48" t="s">
        <v>1244</v>
      </c>
    </row>
    <row r="146" spans="1:49" x14ac:dyDescent="0.3">
      <c r="A146" s="48" t="s">
        <v>1320</v>
      </c>
      <c r="B146" s="48" t="s">
        <v>6</v>
      </c>
      <c r="C146" s="48" t="s">
        <v>1322</v>
      </c>
      <c r="D146" s="50">
        <v>44957</v>
      </c>
      <c r="E146" s="48" t="s">
        <v>36</v>
      </c>
      <c r="F146" s="48" t="s">
        <v>1433</v>
      </c>
      <c r="G146" s="48" t="s">
        <v>1434</v>
      </c>
      <c r="H146" s="49" t="s">
        <v>1435</v>
      </c>
      <c r="I146" s="48" t="s">
        <v>1412</v>
      </c>
      <c r="J146" s="48" t="s">
        <v>40</v>
      </c>
      <c r="K146" s="48" t="s">
        <v>52</v>
      </c>
      <c r="L146" s="48" t="s">
        <v>38</v>
      </c>
      <c r="M146" s="48" t="s">
        <v>37</v>
      </c>
      <c r="N146" s="48" t="s">
        <v>1436</v>
      </c>
      <c r="O146" s="48" t="s">
        <v>1436</v>
      </c>
      <c r="P146" s="48" t="s">
        <v>1436</v>
      </c>
      <c r="Q146" s="48" t="s">
        <v>38</v>
      </c>
      <c r="R146" s="48" t="s">
        <v>39</v>
      </c>
      <c r="S146" s="48" t="s">
        <v>40</v>
      </c>
      <c r="T146" s="48" t="s">
        <v>41</v>
      </c>
      <c r="U146" s="48" t="s">
        <v>1436</v>
      </c>
      <c r="V146" s="48" t="s">
        <v>1436</v>
      </c>
      <c r="W146" s="48" t="s">
        <v>1436</v>
      </c>
      <c r="X146" s="49" t="s">
        <v>193</v>
      </c>
      <c r="Y146" s="48" t="s">
        <v>1194</v>
      </c>
      <c r="Z146" s="49" t="s">
        <v>1321</v>
      </c>
      <c r="AA146" s="48" t="s">
        <v>1324</v>
      </c>
      <c r="AB146" s="48" t="s">
        <v>1325</v>
      </c>
      <c r="AC146" s="48" t="s">
        <v>1239</v>
      </c>
      <c r="AD146" s="48" t="s">
        <v>1231</v>
      </c>
      <c r="AE146" s="48" t="s">
        <v>1669</v>
      </c>
      <c r="AF146" s="48" t="s">
        <v>1436</v>
      </c>
      <c r="AG146" s="48" t="s">
        <v>1436</v>
      </c>
      <c r="AH146" s="48" t="s">
        <v>208</v>
      </c>
      <c r="AI146" s="50">
        <v>44562</v>
      </c>
      <c r="AJ146" s="50">
        <v>46387</v>
      </c>
      <c r="AK146" s="49" t="s">
        <v>1280</v>
      </c>
      <c r="AL146" s="48" t="s">
        <v>36</v>
      </c>
      <c r="AM146" s="48" t="s">
        <v>36</v>
      </c>
      <c r="AN146" s="51">
        <v>-42330.5</v>
      </c>
      <c r="AO146" s="51"/>
      <c r="AP146" s="51"/>
      <c r="AQ146" s="72">
        <v>1600000</v>
      </c>
      <c r="AR146" s="72">
        <v>50000</v>
      </c>
      <c r="AS146" s="50">
        <v>46387</v>
      </c>
      <c r="AT146" s="50" t="s">
        <v>1436</v>
      </c>
      <c r="AU146" s="49" t="s">
        <v>1436</v>
      </c>
      <c r="AV146" s="49" t="s">
        <v>1670</v>
      </c>
      <c r="AW146" s="48" t="s">
        <v>1244</v>
      </c>
    </row>
    <row r="147" spans="1:49" x14ac:dyDescent="0.3">
      <c r="A147" s="48" t="s">
        <v>1320</v>
      </c>
      <c r="B147" s="48" t="s">
        <v>6</v>
      </c>
      <c r="C147" s="48" t="s">
        <v>1322</v>
      </c>
      <c r="D147" s="50">
        <v>44957</v>
      </c>
      <c r="E147" s="48" t="s">
        <v>36</v>
      </c>
      <c r="F147" s="48" t="s">
        <v>1433</v>
      </c>
      <c r="G147" s="48" t="s">
        <v>1434</v>
      </c>
      <c r="H147" s="49" t="s">
        <v>1437</v>
      </c>
      <c r="I147" s="48" t="s">
        <v>1410</v>
      </c>
      <c r="J147" s="48" t="s">
        <v>40</v>
      </c>
      <c r="K147" s="48" t="s">
        <v>42</v>
      </c>
      <c r="L147" s="48" t="s">
        <v>38</v>
      </c>
      <c r="M147" s="48" t="s">
        <v>37</v>
      </c>
      <c r="N147" s="48" t="s">
        <v>1436</v>
      </c>
      <c r="O147" s="48" t="s">
        <v>1436</v>
      </c>
      <c r="P147" s="48" t="s">
        <v>1436</v>
      </c>
      <c r="Q147" s="48" t="s">
        <v>38</v>
      </c>
      <c r="R147" s="48" t="s">
        <v>39</v>
      </c>
      <c r="S147" s="48" t="s">
        <v>40</v>
      </c>
      <c r="T147" s="48" t="s">
        <v>41</v>
      </c>
      <c r="U147" s="48" t="s">
        <v>1436</v>
      </c>
      <c r="V147" s="48" t="s">
        <v>1436</v>
      </c>
      <c r="W147" s="48" t="s">
        <v>1436</v>
      </c>
      <c r="X147" s="49" t="s">
        <v>193</v>
      </c>
      <c r="Y147" s="48" t="s">
        <v>1194</v>
      </c>
      <c r="Z147" s="49" t="s">
        <v>1321</v>
      </c>
      <c r="AA147" s="48" t="s">
        <v>1324</v>
      </c>
      <c r="AB147" s="48" t="s">
        <v>1325</v>
      </c>
      <c r="AC147" s="48" t="s">
        <v>1239</v>
      </c>
      <c r="AD147" s="48" t="s">
        <v>1231</v>
      </c>
      <c r="AE147" s="48" t="s">
        <v>1669</v>
      </c>
      <c r="AF147" s="48" t="s">
        <v>1436</v>
      </c>
      <c r="AG147" s="48" t="s">
        <v>1436</v>
      </c>
      <c r="AH147" s="48" t="s">
        <v>208</v>
      </c>
      <c r="AI147" s="50">
        <v>44562</v>
      </c>
      <c r="AJ147" s="50">
        <v>46387</v>
      </c>
      <c r="AK147" s="49" t="s">
        <v>1280</v>
      </c>
      <c r="AL147" s="48" t="s">
        <v>36</v>
      </c>
      <c r="AM147" s="48" t="s">
        <v>36</v>
      </c>
      <c r="AN147" s="51">
        <v>0</v>
      </c>
      <c r="AO147" s="51"/>
      <c r="AP147" s="51"/>
      <c r="AQ147" s="72">
        <v>1600000</v>
      </c>
      <c r="AR147" s="72">
        <v>50000</v>
      </c>
      <c r="AS147" s="50">
        <v>46387</v>
      </c>
      <c r="AT147" s="50" t="s">
        <v>1436</v>
      </c>
      <c r="AU147" s="49" t="s">
        <v>1436</v>
      </c>
      <c r="AV147" s="49" t="s">
        <v>1670</v>
      </c>
      <c r="AW147" s="48" t="s">
        <v>1244</v>
      </c>
    </row>
    <row r="148" spans="1:49" x14ac:dyDescent="0.3">
      <c r="A148" s="48" t="s">
        <v>1320</v>
      </c>
      <c r="B148" s="48" t="s">
        <v>6</v>
      </c>
      <c r="C148" s="48" t="s">
        <v>1322</v>
      </c>
      <c r="D148" s="50">
        <v>44957</v>
      </c>
      <c r="E148" s="48" t="s">
        <v>36</v>
      </c>
      <c r="F148" s="48" t="s">
        <v>1438</v>
      </c>
      <c r="G148" s="48" t="s">
        <v>1439</v>
      </c>
      <c r="H148" s="49" t="s">
        <v>1440</v>
      </c>
      <c r="I148" s="48" t="s">
        <v>1406</v>
      </c>
      <c r="J148" s="48" t="s">
        <v>1194</v>
      </c>
      <c r="K148" s="48" t="s">
        <v>1441</v>
      </c>
      <c r="L148" s="48" t="s">
        <v>38</v>
      </c>
      <c r="M148" s="48" t="s">
        <v>37</v>
      </c>
      <c r="N148" s="48" t="s">
        <v>1436</v>
      </c>
      <c r="O148" s="48" t="s">
        <v>1436</v>
      </c>
      <c r="P148" s="48" t="s">
        <v>1436</v>
      </c>
      <c r="Q148" s="48" t="s">
        <v>38</v>
      </c>
      <c r="R148" s="48" t="s">
        <v>39</v>
      </c>
      <c r="S148" s="48" t="s">
        <v>1194</v>
      </c>
      <c r="T148" s="48" t="s">
        <v>41</v>
      </c>
      <c r="U148" s="48" t="s">
        <v>1436</v>
      </c>
      <c r="V148" s="48" t="s">
        <v>1436</v>
      </c>
      <c r="W148" s="48" t="s">
        <v>1436</v>
      </c>
      <c r="X148" s="49" t="s">
        <v>193</v>
      </c>
      <c r="Y148" s="48" t="s">
        <v>1194</v>
      </c>
      <c r="Z148" s="49" t="s">
        <v>1321</v>
      </c>
      <c r="AA148" s="48" t="s">
        <v>1324</v>
      </c>
      <c r="AB148" s="48" t="s">
        <v>1325</v>
      </c>
      <c r="AC148" s="48" t="s">
        <v>1239</v>
      </c>
      <c r="AD148" s="48" t="s">
        <v>1231</v>
      </c>
      <c r="AE148" s="48" t="s">
        <v>1669</v>
      </c>
      <c r="AF148" s="48" t="s">
        <v>1436</v>
      </c>
      <c r="AG148" s="48" t="s">
        <v>1436</v>
      </c>
      <c r="AH148" s="48" t="s">
        <v>208</v>
      </c>
      <c r="AI148" s="50">
        <v>44562</v>
      </c>
      <c r="AJ148" s="50">
        <v>46387</v>
      </c>
      <c r="AK148" s="49" t="s">
        <v>1280</v>
      </c>
      <c r="AL148" s="48" t="s">
        <v>36</v>
      </c>
      <c r="AM148" s="48" t="s">
        <v>36</v>
      </c>
      <c r="AN148" s="51">
        <v>0</v>
      </c>
      <c r="AO148" s="51"/>
      <c r="AP148" s="51"/>
      <c r="AQ148" s="72">
        <v>1600000</v>
      </c>
      <c r="AR148" s="72">
        <v>50000</v>
      </c>
      <c r="AS148" s="50">
        <v>46387</v>
      </c>
      <c r="AT148" s="50" t="s">
        <v>1436</v>
      </c>
      <c r="AU148" s="49" t="s">
        <v>1436</v>
      </c>
      <c r="AV148" s="49" t="s">
        <v>1670</v>
      </c>
      <c r="AW148" s="48" t="s">
        <v>1244</v>
      </c>
    </row>
    <row r="149" spans="1:49" x14ac:dyDescent="0.3">
      <c r="A149" s="48" t="s">
        <v>1320</v>
      </c>
      <c r="B149" s="48" t="s">
        <v>6</v>
      </c>
      <c r="C149" s="48" t="s">
        <v>1322</v>
      </c>
      <c r="D149" s="50">
        <v>44957</v>
      </c>
      <c r="E149" s="48" t="s">
        <v>36</v>
      </c>
      <c r="F149" s="48" t="s">
        <v>1438</v>
      </c>
      <c r="G149" s="48" t="s">
        <v>1439</v>
      </c>
      <c r="H149" s="49" t="s">
        <v>1442</v>
      </c>
      <c r="I149" s="48" t="s">
        <v>1405</v>
      </c>
      <c r="J149" s="48" t="s">
        <v>1194</v>
      </c>
      <c r="K149" s="48" t="s">
        <v>1443</v>
      </c>
      <c r="L149" s="48" t="s">
        <v>38</v>
      </c>
      <c r="M149" s="48" t="s">
        <v>37</v>
      </c>
      <c r="N149" s="48" t="s">
        <v>1436</v>
      </c>
      <c r="O149" s="48" t="s">
        <v>1436</v>
      </c>
      <c r="P149" s="48" t="s">
        <v>1436</v>
      </c>
      <c r="Q149" s="48" t="s">
        <v>38</v>
      </c>
      <c r="R149" s="48" t="s">
        <v>39</v>
      </c>
      <c r="S149" s="48" t="s">
        <v>1194</v>
      </c>
      <c r="T149" s="48" t="s">
        <v>41</v>
      </c>
      <c r="U149" s="48" t="s">
        <v>1436</v>
      </c>
      <c r="V149" s="48" t="s">
        <v>1436</v>
      </c>
      <c r="W149" s="48" t="s">
        <v>1436</v>
      </c>
      <c r="X149" s="49" t="s">
        <v>193</v>
      </c>
      <c r="Y149" s="48" t="s">
        <v>1194</v>
      </c>
      <c r="Z149" s="49" t="s">
        <v>1321</v>
      </c>
      <c r="AA149" s="48" t="s">
        <v>1324</v>
      </c>
      <c r="AB149" s="48" t="s">
        <v>1325</v>
      </c>
      <c r="AC149" s="48" t="s">
        <v>1239</v>
      </c>
      <c r="AD149" s="48" t="s">
        <v>1231</v>
      </c>
      <c r="AE149" s="48" t="s">
        <v>1669</v>
      </c>
      <c r="AF149" s="48" t="s">
        <v>1436</v>
      </c>
      <c r="AG149" s="48" t="s">
        <v>1436</v>
      </c>
      <c r="AH149" s="48" t="s">
        <v>208</v>
      </c>
      <c r="AI149" s="50">
        <v>44562</v>
      </c>
      <c r="AJ149" s="50">
        <v>46387</v>
      </c>
      <c r="AK149" s="49" t="s">
        <v>1280</v>
      </c>
      <c r="AL149" s="48" t="s">
        <v>36</v>
      </c>
      <c r="AM149" s="48" t="s">
        <v>36</v>
      </c>
      <c r="AN149" s="51">
        <v>0</v>
      </c>
      <c r="AO149" s="51"/>
      <c r="AP149" s="51"/>
      <c r="AQ149" s="72">
        <v>1600000</v>
      </c>
      <c r="AR149" s="72">
        <v>50000</v>
      </c>
      <c r="AS149" s="50">
        <v>46387</v>
      </c>
      <c r="AT149" s="50" t="s">
        <v>1436</v>
      </c>
      <c r="AU149" s="49" t="s">
        <v>1436</v>
      </c>
      <c r="AV149" s="49" t="s">
        <v>1670</v>
      </c>
      <c r="AW149" s="48" t="s">
        <v>1244</v>
      </c>
    </row>
    <row r="150" spans="1:49" x14ac:dyDescent="0.3">
      <c r="A150" s="48" t="s">
        <v>1320</v>
      </c>
      <c r="B150" s="48" t="s">
        <v>6</v>
      </c>
      <c r="C150" s="48" t="s">
        <v>1322</v>
      </c>
      <c r="D150" s="50">
        <v>44957</v>
      </c>
      <c r="E150" s="48" t="s">
        <v>36</v>
      </c>
      <c r="F150" s="48" t="s">
        <v>1438</v>
      </c>
      <c r="G150" s="48" t="s">
        <v>1444</v>
      </c>
      <c r="H150" s="49" t="s">
        <v>1445</v>
      </c>
      <c r="I150" s="48" t="s">
        <v>1411</v>
      </c>
      <c r="J150" s="48" t="s">
        <v>40</v>
      </c>
      <c r="K150" s="48" t="s">
        <v>50</v>
      </c>
      <c r="L150" s="48" t="s">
        <v>38</v>
      </c>
      <c r="M150" s="48" t="s">
        <v>37</v>
      </c>
      <c r="N150" s="48" t="s">
        <v>1436</v>
      </c>
      <c r="O150" s="48" t="s">
        <v>1436</v>
      </c>
      <c r="P150" s="48" t="s">
        <v>1436</v>
      </c>
      <c r="Q150" s="48" t="s">
        <v>38</v>
      </c>
      <c r="R150" s="48" t="s">
        <v>39</v>
      </c>
      <c r="S150" s="48" t="s">
        <v>40</v>
      </c>
      <c r="T150" s="48" t="s">
        <v>41</v>
      </c>
      <c r="U150" s="48" t="s">
        <v>1436</v>
      </c>
      <c r="V150" s="48" t="s">
        <v>1436</v>
      </c>
      <c r="W150" s="48" t="s">
        <v>1436</v>
      </c>
      <c r="X150" s="49" t="s">
        <v>193</v>
      </c>
      <c r="Y150" s="48" t="s">
        <v>1194</v>
      </c>
      <c r="Z150" s="49" t="s">
        <v>1321</v>
      </c>
      <c r="AA150" s="48" t="s">
        <v>1324</v>
      </c>
      <c r="AB150" s="48" t="s">
        <v>1325</v>
      </c>
      <c r="AC150" s="48" t="s">
        <v>1239</v>
      </c>
      <c r="AD150" s="48" t="s">
        <v>1231</v>
      </c>
      <c r="AE150" s="48" t="s">
        <v>1669</v>
      </c>
      <c r="AF150" s="48" t="s">
        <v>1436</v>
      </c>
      <c r="AG150" s="48" t="s">
        <v>1436</v>
      </c>
      <c r="AH150" s="48" t="s">
        <v>208</v>
      </c>
      <c r="AI150" s="50">
        <v>44562</v>
      </c>
      <c r="AJ150" s="50">
        <v>46387</v>
      </c>
      <c r="AK150" s="49" t="s">
        <v>1280</v>
      </c>
      <c r="AL150" s="48" t="s">
        <v>36</v>
      </c>
      <c r="AM150" s="48" t="s">
        <v>36</v>
      </c>
      <c r="AN150" s="51">
        <v>42330.5</v>
      </c>
      <c r="AO150" s="51"/>
      <c r="AP150" s="51"/>
      <c r="AQ150" s="72">
        <v>1600000</v>
      </c>
      <c r="AR150" s="72">
        <v>50000</v>
      </c>
      <c r="AS150" s="50">
        <v>46387</v>
      </c>
      <c r="AT150" s="50" t="s">
        <v>1436</v>
      </c>
      <c r="AU150" s="49" t="s">
        <v>1436</v>
      </c>
      <c r="AV150" s="49" t="s">
        <v>1670</v>
      </c>
      <c r="AW150" s="48" t="s">
        <v>1244</v>
      </c>
    </row>
    <row r="151" spans="1:49" x14ac:dyDescent="0.3">
      <c r="A151" s="48" t="s">
        <v>1320</v>
      </c>
      <c r="B151" s="48" t="s">
        <v>6</v>
      </c>
      <c r="C151" s="48" t="s">
        <v>1322</v>
      </c>
      <c r="D151" s="50">
        <v>44957</v>
      </c>
      <c r="E151" s="48" t="s">
        <v>36</v>
      </c>
      <c r="F151" s="48" t="s">
        <v>1438</v>
      </c>
      <c r="G151" s="48" t="s">
        <v>1444</v>
      </c>
      <c r="H151" s="49" t="s">
        <v>1446</v>
      </c>
      <c r="I151" s="48" t="s">
        <v>1407</v>
      </c>
      <c r="J151" s="48" t="s">
        <v>40</v>
      </c>
      <c r="K151" s="48" t="s">
        <v>47</v>
      </c>
      <c r="L151" s="48" t="s">
        <v>38</v>
      </c>
      <c r="M151" s="48" t="s">
        <v>37</v>
      </c>
      <c r="N151" s="48" t="s">
        <v>1436</v>
      </c>
      <c r="O151" s="48" t="s">
        <v>1436</v>
      </c>
      <c r="P151" s="48" t="s">
        <v>1436</v>
      </c>
      <c r="Q151" s="48" t="s">
        <v>38</v>
      </c>
      <c r="R151" s="48" t="s">
        <v>39</v>
      </c>
      <c r="S151" s="48" t="s">
        <v>40</v>
      </c>
      <c r="T151" s="48" t="s">
        <v>41</v>
      </c>
      <c r="U151" s="48" t="s">
        <v>1436</v>
      </c>
      <c r="V151" s="48" t="s">
        <v>1436</v>
      </c>
      <c r="W151" s="48" t="s">
        <v>1436</v>
      </c>
      <c r="X151" s="49" t="s">
        <v>193</v>
      </c>
      <c r="Y151" s="48" t="s">
        <v>1194</v>
      </c>
      <c r="Z151" s="49" t="s">
        <v>1321</v>
      </c>
      <c r="AA151" s="48" t="s">
        <v>1324</v>
      </c>
      <c r="AB151" s="48" t="s">
        <v>1325</v>
      </c>
      <c r="AC151" s="48" t="s">
        <v>1239</v>
      </c>
      <c r="AD151" s="48" t="s">
        <v>1231</v>
      </c>
      <c r="AE151" s="48" t="s">
        <v>1669</v>
      </c>
      <c r="AF151" s="48" t="s">
        <v>1436</v>
      </c>
      <c r="AG151" s="48" t="s">
        <v>1436</v>
      </c>
      <c r="AH151" s="48" t="s">
        <v>208</v>
      </c>
      <c r="AI151" s="50">
        <v>44562</v>
      </c>
      <c r="AJ151" s="50">
        <v>46387</v>
      </c>
      <c r="AK151" s="49" t="s">
        <v>1280</v>
      </c>
      <c r="AL151" s="48" t="s">
        <v>36</v>
      </c>
      <c r="AM151" s="48" t="s">
        <v>36</v>
      </c>
      <c r="AN151" s="51">
        <v>11959.442419000001</v>
      </c>
      <c r="AO151" s="51"/>
      <c r="AP151" s="51"/>
      <c r="AQ151" s="72">
        <v>1600000</v>
      </c>
      <c r="AR151" s="72">
        <v>50000</v>
      </c>
      <c r="AS151" s="50">
        <v>46387</v>
      </c>
      <c r="AT151" s="50" t="s">
        <v>1436</v>
      </c>
      <c r="AU151" s="49" t="s">
        <v>1436</v>
      </c>
      <c r="AV151" s="49" t="s">
        <v>1670</v>
      </c>
      <c r="AW151" s="48" t="s">
        <v>1244</v>
      </c>
    </row>
    <row r="152" spans="1:49" x14ac:dyDescent="0.3">
      <c r="A152" s="48" t="s">
        <v>1320</v>
      </c>
      <c r="B152" s="48" t="s">
        <v>6</v>
      </c>
      <c r="C152" s="48" t="s">
        <v>1322</v>
      </c>
      <c r="D152" s="50">
        <v>44957</v>
      </c>
      <c r="E152" s="48" t="s">
        <v>36</v>
      </c>
      <c r="F152" s="48" t="s">
        <v>1433</v>
      </c>
      <c r="G152" s="48" t="s">
        <v>1447</v>
      </c>
      <c r="H152" s="49" t="s">
        <v>1448</v>
      </c>
      <c r="I152" s="48" t="s">
        <v>1413</v>
      </c>
      <c r="J152" s="48" t="s">
        <v>40</v>
      </c>
      <c r="K152" s="48" t="s">
        <v>58</v>
      </c>
      <c r="L152" s="48" t="s">
        <v>38</v>
      </c>
      <c r="M152" s="48" t="s">
        <v>37</v>
      </c>
      <c r="N152" s="48" t="s">
        <v>1436</v>
      </c>
      <c r="O152" s="48" t="s">
        <v>1436</v>
      </c>
      <c r="P152" s="48" t="s">
        <v>1436</v>
      </c>
      <c r="Q152" s="48" t="s">
        <v>38</v>
      </c>
      <c r="R152" s="48" t="s">
        <v>39</v>
      </c>
      <c r="S152" s="48" t="s">
        <v>40</v>
      </c>
      <c r="T152" s="48" t="s">
        <v>41</v>
      </c>
      <c r="U152" s="48" t="s">
        <v>1436</v>
      </c>
      <c r="V152" s="48" t="s">
        <v>1436</v>
      </c>
      <c r="W152" s="48" t="s">
        <v>1436</v>
      </c>
      <c r="X152" s="49" t="s">
        <v>193</v>
      </c>
      <c r="Y152" s="48" t="s">
        <v>1194</v>
      </c>
      <c r="Z152" s="49" t="s">
        <v>1321</v>
      </c>
      <c r="AA152" s="48" t="s">
        <v>1324</v>
      </c>
      <c r="AB152" s="48" t="s">
        <v>1325</v>
      </c>
      <c r="AC152" s="48" t="s">
        <v>1239</v>
      </c>
      <c r="AD152" s="48" t="s">
        <v>1231</v>
      </c>
      <c r="AE152" s="48" t="s">
        <v>1669</v>
      </c>
      <c r="AF152" s="48" t="s">
        <v>1436</v>
      </c>
      <c r="AG152" s="48" t="s">
        <v>1436</v>
      </c>
      <c r="AH152" s="48" t="s">
        <v>208</v>
      </c>
      <c r="AI152" s="50">
        <v>44562</v>
      </c>
      <c r="AJ152" s="50">
        <v>46387</v>
      </c>
      <c r="AK152" s="49" t="s">
        <v>1280</v>
      </c>
      <c r="AL152" s="48" t="s">
        <v>36</v>
      </c>
      <c r="AM152" s="48" t="s">
        <v>36</v>
      </c>
      <c r="AN152" s="51">
        <v>-50000</v>
      </c>
      <c r="AO152" s="51"/>
      <c r="AP152" s="51"/>
      <c r="AQ152" s="72">
        <v>1600000</v>
      </c>
      <c r="AR152" s="72">
        <v>50000</v>
      </c>
      <c r="AS152" s="50">
        <v>46387</v>
      </c>
      <c r="AT152" s="50" t="s">
        <v>1436</v>
      </c>
      <c r="AU152" s="49" t="s">
        <v>1436</v>
      </c>
      <c r="AV152" s="49" t="s">
        <v>1670</v>
      </c>
      <c r="AW152" s="48" t="s">
        <v>1244</v>
      </c>
    </row>
    <row r="153" spans="1:49" x14ac:dyDescent="0.3">
      <c r="A153" s="48" t="s">
        <v>1320</v>
      </c>
      <c r="B153" s="48" t="s">
        <v>6</v>
      </c>
      <c r="C153" s="48" t="s">
        <v>1322</v>
      </c>
      <c r="D153" s="50">
        <v>44957</v>
      </c>
      <c r="E153" s="48" t="s">
        <v>36</v>
      </c>
      <c r="F153" s="48" t="s">
        <v>1433</v>
      </c>
      <c r="G153" s="48" t="s">
        <v>1447</v>
      </c>
      <c r="H153" s="49" t="s">
        <v>1449</v>
      </c>
      <c r="I153" s="48" t="s">
        <v>1409</v>
      </c>
      <c r="J153" s="48" t="s">
        <v>40</v>
      </c>
      <c r="K153" s="48" t="s">
        <v>45</v>
      </c>
      <c r="L153" s="48" t="s">
        <v>38</v>
      </c>
      <c r="M153" s="48" t="s">
        <v>37</v>
      </c>
      <c r="N153" s="48" t="s">
        <v>1436</v>
      </c>
      <c r="O153" s="48" t="s">
        <v>1436</v>
      </c>
      <c r="P153" s="48" t="s">
        <v>1436</v>
      </c>
      <c r="Q153" s="48" t="s">
        <v>38</v>
      </c>
      <c r="R153" s="48" t="s">
        <v>39</v>
      </c>
      <c r="S153" s="48" t="s">
        <v>40</v>
      </c>
      <c r="T153" s="48" t="s">
        <v>41</v>
      </c>
      <c r="U153" s="48" t="s">
        <v>1436</v>
      </c>
      <c r="V153" s="48" t="s">
        <v>1436</v>
      </c>
      <c r="W153" s="48" t="s">
        <v>1436</v>
      </c>
      <c r="X153" s="49" t="s">
        <v>193</v>
      </c>
      <c r="Y153" s="48" t="s">
        <v>1194</v>
      </c>
      <c r="Z153" s="49" t="s">
        <v>1321</v>
      </c>
      <c r="AA153" s="48" t="s">
        <v>1324</v>
      </c>
      <c r="AB153" s="48" t="s">
        <v>1325</v>
      </c>
      <c r="AC153" s="48" t="s">
        <v>1239</v>
      </c>
      <c r="AD153" s="48" t="s">
        <v>1231</v>
      </c>
      <c r="AE153" s="48" t="s">
        <v>1669</v>
      </c>
      <c r="AF153" s="48" t="s">
        <v>1436</v>
      </c>
      <c r="AG153" s="48" t="s">
        <v>1436</v>
      </c>
      <c r="AH153" s="48" t="s">
        <v>208</v>
      </c>
      <c r="AI153" s="50">
        <v>44562</v>
      </c>
      <c r="AJ153" s="50">
        <v>46387</v>
      </c>
      <c r="AK153" s="49" t="s">
        <v>1280</v>
      </c>
      <c r="AL153" s="48" t="s">
        <v>36</v>
      </c>
      <c r="AM153" s="48" t="s">
        <v>36</v>
      </c>
      <c r="AN153" s="51">
        <v>40553.941256999999</v>
      </c>
      <c r="AO153" s="51"/>
      <c r="AP153" s="51"/>
      <c r="AQ153" s="72">
        <v>1600000</v>
      </c>
      <c r="AR153" s="72">
        <v>50000</v>
      </c>
      <c r="AS153" s="50">
        <v>46387</v>
      </c>
      <c r="AT153" s="50" t="s">
        <v>1436</v>
      </c>
      <c r="AU153" s="49" t="s">
        <v>1436</v>
      </c>
      <c r="AV153" s="49" t="s">
        <v>1670</v>
      </c>
      <c r="AW153" s="48" t="s">
        <v>1244</v>
      </c>
    </row>
    <row r="154" spans="1:49" x14ac:dyDescent="0.3">
      <c r="A154" s="48" t="s">
        <v>1320</v>
      </c>
      <c r="B154" s="48" t="s">
        <v>6</v>
      </c>
      <c r="C154" s="48" t="s">
        <v>1322</v>
      </c>
      <c r="D154" s="50">
        <v>44957</v>
      </c>
      <c r="E154" s="48" t="s">
        <v>36</v>
      </c>
      <c r="F154" s="48" t="s">
        <v>1433</v>
      </c>
      <c r="G154" s="48" t="s">
        <v>1447</v>
      </c>
      <c r="H154" s="49" t="s">
        <v>1450</v>
      </c>
      <c r="I154" s="48" t="s">
        <v>1408</v>
      </c>
      <c r="J154" s="48" t="s">
        <v>40</v>
      </c>
      <c r="K154" s="48" t="s">
        <v>54</v>
      </c>
      <c r="L154" s="48" t="s">
        <v>38</v>
      </c>
      <c r="M154" s="48" t="s">
        <v>37</v>
      </c>
      <c r="N154" s="48" t="s">
        <v>1436</v>
      </c>
      <c r="O154" s="48" t="s">
        <v>1436</v>
      </c>
      <c r="P154" s="48" t="s">
        <v>1436</v>
      </c>
      <c r="Q154" s="48" t="s">
        <v>38</v>
      </c>
      <c r="R154" s="48" t="s">
        <v>39</v>
      </c>
      <c r="S154" s="48" t="s">
        <v>40</v>
      </c>
      <c r="T154" s="48" t="s">
        <v>41</v>
      </c>
      <c r="U154" s="48" t="s">
        <v>1436</v>
      </c>
      <c r="V154" s="48" t="s">
        <v>1436</v>
      </c>
      <c r="W154" s="48" t="s">
        <v>1436</v>
      </c>
      <c r="X154" s="49" t="s">
        <v>193</v>
      </c>
      <c r="Y154" s="48" t="s">
        <v>1194</v>
      </c>
      <c r="Z154" s="49" t="s">
        <v>1321</v>
      </c>
      <c r="AA154" s="48" t="s">
        <v>1324</v>
      </c>
      <c r="AB154" s="48" t="s">
        <v>1325</v>
      </c>
      <c r="AC154" s="48" t="s">
        <v>1239</v>
      </c>
      <c r="AD154" s="48" t="s">
        <v>1231</v>
      </c>
      <c r="AE154" s="48" t="s">
        <v>1669</v>
      </c>
      <c r="AF154" s="48" t="s">
        <v>1436</v>
      </c>
      <c r="AG154" s="48" t="s">
        <v>1436</v>
      </c>
      <c r="AH154" s="48" t="s">
        <v>208</v>
      </c>
      <c r="AI154" s="50">
        <v>44562</v>
      </c>
      <c r="AJ154" s="50">
        <v>46387</v>
      </c>
      <c r="AK154" s="49" t="s">
        <v>1280</v>
      </c>
      <c r="AL154" s="48" t="s">
        <v>36</v>
      </c>
      <c r="AM154" s="48" t="s">
        <v>36</v>
      </c>
      <c r="AN154" s="51">
        <v>-2734</v>
      </c>
      <c r="AO154" s="51"/>
      <c r="AP154" s="51"/>
      <c r="AQ154" s="72">
        <v>1600000</v>
      </c>
      <c r="AR154" s="72">
        <v>50000</v>
      </c>
      <c r="AS154" s="50">
        <v>46387</v>
      </c>
      <c r="AT154" s="50" t="s">
        <v>1436</v>
      </c>
      <c r="AU154" s="49" t="s">
        <v>1436</v>
      </c>
      <c r="AV154" s="49" t="s">
        <v>1670</v>
      </c>
      <c r="AW154" s="48" t="s">
        <v>1244</v>
      </c>
    </row>
    <row r="155" spans="1:49" x14ac:dyDescent="0.3">
      <c r="A155" s="48" t="s">
        <v>1320</v>
      </c>
      <c r="B155" s="48" t="s">
        <v>6</v>
      </c>
      <c r="C155" s="48" t="s">
        <v>1322</v>
      </c>
      <c r="D155" s="50">
        <v>44957</v>
      </c>
      <c r="E155" s="48" t="s">
        <v>36</v>
      </c>
      <c r="F155" s="48" t="s">
        <v>1433</v>
      </c>
      <c r="G155" s="48" t="s">
        <v>1447</v>
      </c>
      <c r="H155" s="49" t="s">
        <v>1451</v>
      </c>
      <c r="I155" s="48" t="s">
        <v>1404</v>
      </c>
      <c r="J155" s="48" t="s">
        <v>38</v>
      </c>
      <c r="K155" s="48" t="s">
        <v>49</v>
      </c>
      <c r="L155" s="48" t="s">
        <v>38</v>
      </c>
      <c r="M155" s="48" t="s">
        <v>37</v>
      </c>
      <c r="N155" s="48" t="s">
        <v>1436</v>
      </c>
      <c r="O155" s="48" t="s">
        <v>1436</v>
      </c>
      <c r="P155" s="48" t="s">
        <v>1436</v>
      </c>
      <c r="Q155" s="48" t="s">
        <v>38</v>
      </c>
      <c r="R155" s="48" t="s">
        <v>39</v>
      </c>
      <c r="S155" s="48" t="s">
        <v>38</v>
      </c>
      <c r="T155" s="48" t="s">
        <v>41</v>
      </c>
      <c r="U155" s="48" t="s">
        <v>1436</v>
      </c>
      <c r="V155" s="48" t="s">
        <v>1436</v>
      </c>
      <c r="W155" s="48" t="s">
        <v>1436</v>
      </c>
      <c r="X155" s="49" t="s">
        <v>193</v>
      </c>
      <c r="Y155" s="48" t="s">
        <v>1194</v>
      </c>
      <c r="Z155" s="49" t="s">
        <v>1321</v>
      </c>
      <c r="AA155" s="48" t="s">
        <v>1324</v>
      </c>
      <c r="AB155" s="48" t="s">
        <v>1325</v>
      </c>
      <c r="AC155" s="48" t="s">
        <v>1239</v>
      </c>
      <c r="AD155" s="48" t="s">
        <v>1231</v>
      </c>
      <c r="AE155" s="48" t="s">
        <v>1669</v>
      </c>
      <c r="AF155" s="48" t="s">
        <v>1436</v>
      </c>
      <c r="AG155" s="48" t="s">
        <v>1436</v>
      </c>
      <c r="AH155" s="48" t="s">
        <v>208</v>
      </c>
      <c r="AI155" s="50">
        <v>44562</v>
      </c>
      <c r="AJ155" s="50">
        <v>46387</v>
      </c>
      <c r="AK155" s="49" t="s">
        <v>1280</v>
      </c>
      <c r="AL155" s="48" t="s">
        <v>36</v>
      </c>
      <c r="AM155" s="48" t="s">
        <v>36</v>
      </c>
      <c r="AN155" s="51">
        <v>220.61632399999999</v>
      </c>
      <c r="AO155" s="51"/>
      <c r="AP155" s="51"/>
      <c r="AQ155" s="72">
        <v>1600000</v>
      </c>
      <c r="AR155" s="72">
        <v>50000</v>
      </c>
      <c r="AS155" s="50">
        <v>46387</v>
      </c>
      <c r="AT155" s="50" t="s">
        <v>1436</v>
      </c>
      <c r="AU155" s="49" t="s">
        <v>1436</v>
      </c>
      <c r="AV155" s="49" t="s">
        <v>1670</v>
      </c>
      <c r="AW155" s="48" t="s">
        <v>1244</v>
      </c>
    </row>
    <row r="156" spans="1:49" x14ac:dyDescent="0.3">
      <c r="A156" s="48" t="s">
        <v>1320</v>
      </c>
      <c r="B156" s="48" t="s">
        <v>6</v>
      </c>
      <c r="C156" s="48" t="s">
        <v>1322</v>
      </c>
      <c r="D156" s="50">
        <v>44985</v>
      </c>
      <c r="E156" s="48" t="s">
        <v>36</v>
      </c>
      <c r="F156" s="48" t="s">
        <v>1433</v>
      </c>
      <c r="G156" s="48" t="s">
        <v>1434</v>
      </c>
      <c r="H156" s="49" t="s">
        <v>1435</v>
      </c>
      <c r="I156" s="48" t="s">
        <v>1412</v>
      </c>
      <c r="J156" s="48" t="s">
        <v>40</v>
      </c>
      <c r="K156" s="48" t="s">
        <v>52</v>
      </c>
      <c r="L156" s="48" t="s">
        <v>38</v>
      </c>
      <c r="M156" s="48" t="s">
        <v>37</v>
      </c>
      <c r="N156" s="48" t="s">
        <v>1436</v>
      </c>
      <c r="O156" s="48" t="s">
        <v>1436</v>
      </c>
      <c r="P156" s="48" t="s">
        <v>1436</v>
      </c>
      <c r="Q156" s="48" t="s">
        <v>38</v>
      </c>
      <c r="R156" s="48" t="s">
        <v>39</v>
      </c>
      <c r="S156" s="48" t="s">
        <v>40</v>
      </c>
      <c r="T156" s="48" t="s">
        <v>41</v>
      </c>
      <c r="U156" s="48" t="s">
        <v>1436</v>
      </c>
      <c r="V156" s="48" t="s">
        <v>1436</v>
      </c>
      <c r="W156" s="48" t="s">
        <v>1436</v>
      </c>
      <c r="X156" s="49" t="s">
        <v>193</v>
      </c>
      <c r="Y156" s="48" t="s">
        <v>1194</v>
      </c>
      <c r="Z156" s="49" t="s">
        <v>1321</v>
      </c>
      <c r="AA156" s="48" t="s">
        <v>1324</v>
      </c>
      <c r="AB156" s="48" t="s">
        <v>1325</v>
      </c>
      <c r="AC156" s="48" t="s">
        <v>1239</v>
      </c>
      <c r="AD156" s="48" t="s">
        <v>1231</v>
      </c>
      <c r="AE156" s="48" t="s">
        <v>1669</v>
      </c>
      <c r="AF156" s="48" t="s">
        <v>1436</v>
      </c>
      <c r="AG156" s="48" t="s">
        <v>1436</v>
      </c>
      <c r="AH156" s="48" t="s">
        <v>208</v>
      </c>
      <c r="AI156" s="50">
        <v>44562</v>
      </c>
      <c r="AJ156" s="50">
        <v>46387</v>
      </c>
      <c r="AK156" s="49" t="s">
        <v>1280</v>
      </c>
      <c r="AL156" s="48" t="s">
        <v>36</v>
      </c>
      <c r="AM156" s="48" t="s">
        <v>36</v>
      </c>
      <c r="AN156" s="51">
        <v>-42330.49</v>
      </c>
      <c r="AO156" s="51"/>
      <c r="AP156" s="51"/>
      <c r="AQ156" s="72">
        <v>1600000</v>
      </c>
      <c r="AR156" s="72">
        <v>50000</v>
      </c>
      <c r="AS156" s="50">
        <v>46387</v>
      </c>
      <c r="AT156" s="50" t="s">
        <v>1436</v>
      </c>
      <c r="AU156" s="49" t="s">
        <v>1436</v>
      </c>
      <c r="AV156" s="49" t="s">
        <v>1670</v>
      </c>
      <c r="AW156" s="48" t="s">
        <v>1244</v>
      </c>
    </row>
    <row r="157" spans="1:49" x14ac:dyDescent="0.3">
      <c r="A157" s="48" t="s">
        <v>1320</v>
      </c>
      <c r="B157" s="48" t="s">
        <v>6</v>
      </c>
      <c r="C157" s="48" t="s">
        <v>1322</v>
      </c>
      <c r="D157" s="50">
        <v>44985</v>
      </c>
      <c r="E157" s="48" t="s">
        <v>36</v>
      </c>
      <c r="F157" s="48" t="s">
        <v>1433</v>
      </c>
      <c r="G157" s="48" t="s">
        <v>1434</v>
      </c>
      <c r="H157" s="49" t="s">
        <v>1437</v>
      </c>
      <c r="I157" s="48" t="s">
        <v>1410</v>
      </c>
      <c r="J157" s="48" t="s">
        <v>40</v>
      </c>
      <c r="K157" s="48" t="s">
        <v>42</v>
      </c>
      <c r="L157" s="48" t="s">
        <v>38</v>
      </c>
      <c r="M157" s="48" t="s">
        <v>37</v>
      </c>
      <c r="N157" s="48" t="s">
        <v>1436</v>
      </c>
      <c r="O157" s="48" t="s">
        <v>1436</v>
      </c>
      <c r="P157" s="48" t="s">
        <v>1436</v>
      </c>
      <c r="Q157" s="48" t="s">
        <v>38</v>
      </c>
      <c r="R157" s="48" t="s">
        <v>39</v>
      </c>
      <c r="S157" s="48" t="s">
        <v>40</v>
      </c>
      <c r="T157" s="48" t="s">
        <v>41</v>
      </c>
      <c r="U157" s="48" t="s">
        <v>1436</v>
      </c>
      <c r="V157" s="48" t="s">
        <v>1436</v>
      </c>
      <c r="W157" s="48" t="s">
        <v>1436</v>
      </c>
      <c r="X157" s="49" t="s">
        <v>193</v>
      </c>
      <c r="Y157" s="48" t="s">
        <v>1194</v>
      </c>
      <c r="Z157" s="49" t="s">
        <v>1321</v>
      </c>
      <c r="AA157" s="48" t="s">
        <v>1324</v>
      </c>
      <c r="AB157" s="48" t="s">
        <v>1325</v>
      </c>
      <c r="AC157" s="48" t="s">
        <v>1239</v>
      </c>
      <c r="AD157" s="48" t="s">
        <v>1231</v>
      </c>
      <c r="AE157" s="48" t="s">
        <v>1669</v>
      </c>
      <c r="AF157" s="48" t="s">
        <v>1436</v>
      </c>
      <c r="AG157" s="48" t="s">
        <v>1436</v>
      </c>
      <c r="AH157" s="48" t="s">
        <v>208</v>
      </c>
      <c r="AI157" s="50">
        <v>44562</v>
      </c>
      <c r="AJ157" s="50">
        <v>46387</v>
      </c>
      <c r="AK157" s="49" t="s">
        <v>1280</v>
      </c>
      <c r="AL157" s="48" t="s">
        <v>36</v>
      </c>
      <c r="AM157" s="48" t="s">
        <v>36</v>
      </c>
      <c r="AN157" s="51">
        <v>0</v>
      </c>
      <c r="AO157" s="51"/>
      <c r="AP157" s="51"/>
      <c r="AQ157" s="72">
        <v>1600000</v>
      </c>
      <c r="AR157" s="72">
        <v>50000</v>
      </c>
      <c r="AS157" s="50">
        <v>46387</v>
      </c>
      <c r="AT157" s="50" t="s">
        <v>1436</v>
      </c>
      <c r="AU157" s="49" t="s">
        <v>1436</v>
      </c>
      <c r="AV157" s="49" t="s">
        <v>1670</v>
      </c>
      <c r="AW157" s="48" t="s">
        <v>1244</v>
      </c>
    </row>
    <row r="158" spans="1:49" x14ac:dyDescent="0.3">
      <c r="A158" s="48" t="s">
        <v>1320</v>
      </c>
      <c r="B158" s="48" t="s">
        <v>6</v>
      </c>
      <c r="C158" s="48" t="s">
        <v>1322</v>
      </c>
      <c r="D158" s="50">
        <v>44985</v>
      </c>
      <c r="E158" s="48" t="s">
        <v>36</v>
      </c>
      <c r="F158" s="48" t="s">
        <v>1438</v>
      </c>
      <c r="G158" s="48" t="s">
        <v>1439</v>
      </c>
      <c r="H158" s="49" t="s">
        <v>1440</v>
      </c>
      <c r="I158" s="48" t="s">
        <v>1406</v>
      </c>
      <c r="J158" s="48" t="s">
        <v>1194</v>
      </c>
      <c r="K158" s="48" t="s">
        <v>1441</v>
      </c>
      <c r="L158" s="48" t="s">
        <v>38</v>
      </c>
      <c r="M158" s="48" t="s">
        <v>37</v>
      </c>
      <c r="N158" s="48" t="s">
        <v>1436</v>
      </c>
      <c r="O158" s="48" t="s">
        <v>1436</v>
      </c>
      <c r="P158" s="48" t="s">
        <v>1436</v>
      </c>
      <c r="Q158" s="48" t="s">
        <v>38</v>
      </c>
      <c r="R158" s="48" t="s">
        <v>39</v>
      </c>
      <c r="S158" s="48" t="s">
        <v>1194</v>
      </c>
      <c r="T158" s="48" t="s">
        <v>41</v>
      </c>
      <c r="U158" s="48" t="s">
        <v>1436</v>
      </c>
      <c r="V158" s="48" t="s">
        <v>1436</v>
      </c>
      <c r="W158" s="48" t="s">
        <v>1436</v>
      </c>
      <c r="X158" s="49" t="s">
        <v>193</v>
      </c>
      <c r="Y158" s="48" t="s">
        <v>1194</v>
      </c>
      <c r="Z158" s="49" t="s">
        <v>1321</v>
      </c>
      <c r="AA158" s="48" t="s">
        <v>1324</v>
      </c>
      <c r="AB158" s="48" t="s">
        <v>1325</v>
      </c>
      <c r="AC158" s="48" t="s">
        <v>1239</v>
      </c>
      <c r="AD158" s="48" t="s">
        <v>1231</v>
      </c>
      <c r="AE158" s="48" t="s">
        <v>1669</v>
      </c>
      <c r="AF158" s="48" t="s">
        <v>1436</v>
      </c>
      <c r="AG158" s="48" t="s">
        <v>1436</v>
      </c>
      <c r="AH158" s="48" t="s">
        <v>208</v>
      </c>
      <c r="AI158" s="50">
        <v>44562</v>
      </c>
      <c r="AJ158" s="50">
        <v>46387</v>
      </c>
      <c r="AK158" s="49" t="s">
        <v>1280</v>
      </c>
      <c r="AL158" s="48" t="s">
        <v>36</v>
      </c>
      <c r="AM158" s="48" t="s">
        <v>36</v>
      </c>
      <c r="AN158" s="51">
        <v>0</v>
      </c>
      <c r="AO158" s="51"/>
      <c r="AP158" s="51"/>
      <c r="AQ158" s="72">
        <v>1600000</v>
      </c>
      <c r="AR158" s="72">
        <v>50000</v>
      </c>
      <c r="AS158" s="50">
        <v>46387</v>
      </c>
      <c r="AT158" s="50" t="s">
        <v>1436</v>
      </c>
      <c r="AU158" s="49" t="s">
        <v>1436</v>
      </c>
      <c r="AV158" s="49" t="s">
        <v>1670</v>
      </c>
      <c r="AW158" s="48" t="s">
        <v>1244</v>
      </c>
    </row>
    <row r="159" spans="1:49" x14ac:dyDescent="0.3">
      <c r="A159" s="48" t="s">
        <v>1320</v>
      </c>
      <c r="B159" s="48" t="s">
        <v>6</v>
      </c>
      <c r="C159" s="48" t="s">
        <v>1322</v>
      </c>
      <c r="D159" s="50">
        <v>44985</v>
      </c>
      <c r="E159" s="48" t="s">
        <v>36</v>
      </c>
      <c r="F159" s="48" t="s">
        <v>1438</v>
      </c>
      <c r="G159" s="48" t="s">
        <v>1439</v>
      </c>
      <c r="H159" s="49" t="s">
        <v>1442</v>
      </c>
      <c r="I159" s="48" t="s">
        <v>1405</v>
      </c>
      <c r="J159" s="48" t="s">
        <v>1194</v>
      </c>
      <c r="K159" s="48" t="s">
        <v>1443</v>
      </c>
      <c r="L159" s="48" t="s">
        <v>38</v>
      </c>
      <c r="M159" s="48" t="s">
        <v>37</v>
      </c>
      <c r="N159" s="48" t="s">
        <v>1436</v>
      </c>
      <c r="O159" s="48" t="s">
        <v>1436</v>
      </c>
      <c r="P159" s="48" t="s">
        <v>1436</v>
      </c>
      <c r="Q159" s="48" t="s">
        <v>38</v>
      </c>
      <c r="R159" s="48" t="s">
        <v>39</v>
      </c>
      <c r="S159" s="48" t="s">
        <v>1194</v>
      </c>
      <c r="T159" s="48" t="s">
        <v>41</v>
      </c>
      <c r="U159" s="48" t="s">
        <v>1436</v>
      </c>
      <c r="V159" s="48" t="s">
        <v>1436</v>
      </c>
      <c r="W159" s="48" t="s">
        <v>1436</v>
      </c>
      <c r="X159" s="49" t="s">
        <v>193</v>
      </c>
      <c r="Y159" s="48" t="s">
        <v>1194</v>
      </c>
      <c r="Z159" s="49" t="s">
        <v>1321</v>
      </c>
      <c r="AA159" s="48" t="s">
        <v>1324</v>
      </c>
      <c r="AB159" s="48" t="s">
        <v>1325</v>
      </c>
      <c r="AC159" s="48" t="s">
        <v>1239</v>
      </c>
      <c r="AD159" s="48" t="s">
        <v>1231</v>
      </c>
      <c r="AE159" s="48" t="s">
        <v>1669</v>
      </c>
      <c r="AF159" s="48" t="s">
        <v>1436</v>
      </c>
      <c r="AG159" s="48" t="s">
        <v>1436</v>
      </c>
      <c r="AH159" s="48" t="s">
        <v>208</v>
      </c>
      <c r="AI159" s="50">
        <v>44562</v>
      </c>
      <c r="AJ159" s="50">
        <v>46387</v>
      </c>
      <c r="AK159" s="49" t="s">
        <v>1280</v>
      </c>
      <c r="AL159" s="48" t="s">
        <v>36</v>
      </c>
      <c r="AM159" s="48" t="s">
        <v>36</v>
      </c>
      <c r="AN159" s="51">
        <v>0</v>
      </c>
      <c r="AO159" s="51"/>
      <c r="AP159" s="51"/>
      <c r="AQ159" s="72">
        <v>1600000</v>
      </c>
      <c r="AR159" s="72">
        <v>50000</v>
      </c>
      <c r="AS159" s="50">
        <v>46387</v>
      </c>
      <c r="AT159" s="50" t="s">
        <v>1436</v>
      </c>
      <c r="AU159" s="49" t="s">
        <v>1436</v>
      </c>
      <c r="AV159" s="49" t="s">
        <v>1670</v>
      </c>
      <c r="AW159" s="48" t="s">
        <v>1244</v>
      </c>
    </row>
    <row r="160" spans="1:49" x14ac:dyDescent="0.3">
      <c r="A160" s="48" t="s">
        <v>1320</v>
      </c>
      <c r="B160" s="48" t="s">
        <v>6</v>
      </c>
      <c r="C160" s="48" t="s">
        <v>1322</v>
      </c>
      <c r="D160" s="50">
        <v>44985</v>
      </c>
      <c r="E160" s="48" t="s">
        <v>36</v>
      </c>
      <c r="F160" s="48" t="s">
        <v>1438</v>
      </c>
      <c r="G160" s="48" t="s">
        <v>1444</v>
      </c>
      <c r="H160" s="49" t="s">
        <v>1445</v>
      </c>
      <c r="I160" s="48" t="s">
        <v>1411</v>
      </c>
      <c r="J160" s="48" t="s">
        <v>40</v>
      </c>
      <c r="K160" s="48" t="s">
        <v>50</v>
      </c>
      <c r="L160" s="48" t="s">
        <v>38</v>
      </c>
      <c r="M160" s="48" t="s">
        <v>37</v>
      </c>
      <c r="N160" s="48" t="s">
        <v>1436</v>
      </c>
      <c r="O160" s="48" t="s">
        <v>1436</v>
      </c>
      <c r="P160" s="48" t="s">
        <v>1436</v>
      </c>
      <c r="Q160" s="48" t="s">
        <v>38</v>
      </c>
      <c r="R160" s="48" t="s">
        <v>39</v>
      </c>
      <c r="S160" s="48" t="s">
        <v>40</v>
      </c>
      <c r="T160" s="48" t="s">
        <v>41</v>
      </c>
      <c r="U160" s="48" t="s">
        <v>1436</v>
      </c>
      <c r="V160" s="48" t="s">
        <v>1436</v>
      </c>
      <c r="W160" s="48" t="s">
        <v>1436</v>
      </c>
      <c r="X160" s="49" t="s">
        <v>193</v>
      </c>
      <c r="Y160" s="48" t="s">
        <v>1194</v>
      </c>
      <c r="Z160" s="49" t="s">
        <v>1321</v>
      </c>
      <c r="AA160" s="48" t="s">
        <v>1324</v>
      </c>
      <c r="AB160" s="48" t="s">
        <v>1325</v>
      </c>
      <c r="AC160" s="48" t="s">
        <v>1239</v>
      </c>
      <c r="AD160" s="48" t="s">
        <v>1231</v>
      </c>
      <c r="AE160" s="48" t="s">
        <v>1669</v>
      </c>
      <c r="AF160" s="48" t="s">
        <v>1436</v>
      </c>
      <c r="AG160" s="48" t="s">
        <v>1436</v>
      </c>
      <c r="AH160" s="48" t="s">
        <v>208</v>
      </c>
      <c r="AI160" s="50">
        <v>44562</v>
      </c>
      <c r="AJ160" s="50">
        <v>46387</v>
      </c>
      <c r="AK160" s="49" t="s">
        <v>1280</v>
      </c>
      <c r="AL160" s="48" t="s">
        <v>36</v>
      </c>
      <c r="AM160" s="48" t="s">
        <v>36</v>
      </c>
      <c r="AN160" s="51">
        <v>42330.49</v>
      </c>
      <c r="AO160" s="51"/>
      <c r="AP160" s="51"/>
      <c r="AQ160" s="72">
        <v>1600000</v>
      </c>
      <c r="AR160" s="72">
        <v>50000</v>
      </c>
      <c r="AS160" s="50">
        <v>46387</v>
      </c>
      <c r="AT160" s="50" t="s">
        <v>1436</v>
      </c>
      <c r="AU160" s="49" t="s">
        <v>1436</v>
      </c>
      <c r="AV160" s="49" t="s">
        <v>1670</v>
      </c>
      <c r="AW160" s="48" t="s">
        <v>1244</v>
      </c>
    </row>
    <row r="161" spans="1:49" x14ac:dyDescent="0.3">
      <c r="A161" s="48" t="s">
        <v>1320</v>
      </c>
      <c r="B161" s="48" t="s">
        <v>6</v>
      </c>
      <c r="C161" s="48" t="s">
        <v>1322</v>
      </c>
      <c r="D161" s="50">
        <v>44985</v>
      </c>
      <c r="E161" s="48" t="s">
        <v>36</v>
      </c>
      <c r="F161" s="48" t="s">
        <v>1438</v>
      </c>
      <c r="G161" s="48" t="s">
        <v>1444</v>
      </c>
      <c r="H161" s="49" t="s">
        <v>1446</v>
      </c>
      <c r="I161" s="48" t="s">
        <v>1407</v>
      </c>
      <c r="J161" s="48" t="s">
        <v>40</v>
      </c>
      <c r="K161" s="48" t="s">
        <v>47</v>
      </c>
      <c r="L161" s="48" t="s">
        <v>38</v>
      </c>
      <c r="M161" s="48" t="s">
        <v>37</v>
      </c>
      <c r="N161" s="48" t="s">
        <v>1436</v>
      </c>
      <c r="O161" s="48" t="s">
        <v>1436</v>
      </c>
      <c r="P161" s="48" t="s">
        <v>1436</v>
      </c>
      <c r="Q161" s="48" t="s">
        <v>38</v>
      </c>
      <c r="R161" s="48" t="s">
        <v>39</v>
      </c>
      <c r="S161" s="48" t="s">
        <v>40</v>
      </c>
      <c r="T161" s="48" t="s">
        <v>41</v>
      </c>
      <c r="U161" s="48" t="s">
        <v>1436</v>
      </c>
      <c r="V161" s="48" t="s">
        <v>1436</v>
      </c>
      <c r="W161" s="48" t="s">
        <v>1436</v>
      </c>
      <c r="X161" s="49" t="s">
        <v>193</v>
      </c>
      <c r="Y161" s="48" t="s">
        <v>1194</v>
      </c>
      <c r="Z161" s="49" t="s">
        <v>1321</v>
      </c>
      <c r="AA161" s="48" t="s">
        <v>1324</v>
      </c>
      <c r="AB161" s="48" t="s">
        <v>1325</v>
      </c>
      <c r="AC161" s="48" t="s">
        <v>1239</v>
      </c>
      <c r="AD161" s="48" t="s">
        <v>1231</v>
      </c>
      <c r="AE161" s="48" t="s">
        <v>1669</v>
      </c>
      <c r="AF161" s="48" t="s">
        <v>1436</v>
      </c>
      <c r="AG161" s="48" t="s">
        <v>1436</v>
      </c>
      <c r="AH161" s="48" t="s">
        <v>208</v>
      </c>
      <c r="AI161" s="50">
        <v>44562</v>
      </c>
      <c r="AJ161" s="50">
        <v>46387</v>
      </c>
      <c r="AK161" s="49" t="s">
        <v>1280</v>
      </c>
      <c r="AL161" s="48" t="s">
        <v>36</v>
      </c>
      <c r="AM161" s="48" t="s">
        <v>36</v>
      </c>
      <c r="AN161" s="51">
        <v>11737.539167000001</v>
      </c>
      <c r="AO161" s="51"/>
      <c r="AP161" s="51"/>
      <c r="AQ161" s="72">
        <v>1600000</v>
      </c>
      <c r="AR161" s="72">
        <v>50000</v>
      </c>
      <c r="AS161" s="50">
        <v>46387</v>
      </c>
      <c r="AT161" s="50" t="s">
        <v>1436</v>
      </c>
      <c r="AU161" s="49" t="s">
        <v>1436</v>
      </c>
      <c r="AV161" s="49" t="s">
        <v>1670</v>
      </c>
      <c r="AW161" s="48" t="s">
        <v>1244</v>
      </c>
    </row>
    <row r="162" spans="1:49" x14ac:dyDescent="0.3">
      <c r="A162" s="48" t="s">
        <v>1320</v>
      </c>
      <c r="B162" s="48" t="s">
        <v>6</v>
      </c>
      <c r="C162" s="48" t="s">
        <v>1322</v>
      </c>
      <c r="D162" s="50">
        <v>44985</v>
      </c>
      <c r="E162" s="48" t="s">
        <v>36</v>
      </c>
      <c r="F162" s="48" t="s">
        <v>1433</v>
      </c>
      <c r="G162" s="48" t="s">
        <v>1447</v>
      </c>
      <c r="H162" s="49" t="s">
        <v>1448</v>
      </c>
      <c r="I162" s="48" t="s">
        <v>1413</v>
      </c>
      <c r="J162" s="48" t="s">
        <v>40</v>
      </c>
      <c r="K162" s="48" t="s">
        <v>58</v>
      </c>
      <c r="L162" s="48" t="s">
        <v>38</v>
      </c>
      <c r="M162" s="48" t="s">
        <v>37</v>
      </c>
      <c r="N162" s="48" t="s">
        <v>1436</v>
      </c>
      <c r="O162" s="48" t="s">
        <v>1436</v>
      </c>
      <c r="P162" s="48" t="s">
        <v>1436</v>
      </c>
      <c r="Q162" s="48" t="s">
        <v>38</v>
      </c>
      <c r="R162" s="48" t="s">
        <v>39</v>
      </c>
      <c r="S162" s="48" t="s">
        <v>40</v>
      </c>
      <c r="T162" s="48" t="s">
        <v>41</v>
      </c>
      <c r="U162" s="48" t="s">
        <v>1436</v>
      </c>
      <c r="V162" s="48" t="s">
        <v>1436</v>
      </c>
      <c r="W162" s="48" t="s">
        <v>1436</v>
      </c>
      <c r="X162" s="49" t="s">
        <v>193</v>
      </c>
      <c r="Y162" s="48" t="s">
        <v>1194</v>
      </c>
      <c r="Z162" s="49" t="s">
        <v>1321</v>
      </c>
      <c r="AA162" s="48" t="s">
        <v>1324</v>
      </c>
      <c r="AB162" s="48" t="s">
        <v>1325</v>
      </c>
      <c r="AC162" s="48" t="s">
        <v>1239</v>
      </c>
      <c r="AD162" s="48" t="s">
        <v>1231</v>
      </c>
      <c r="AE162" s="48" t="s">
        <v>1669</v>
      </c>
      <c r="AF162" s="48" t="s">
        <v>1436</v>
      </c>
      <c r="AG162" s="48" t="s">
        <v>1436</v>
      </c>
      <c r="AH162" s="48" t="s">
        <v>208</v>
      </c>
      <c r="AI162" s="50">
        <v>44562</v>
      </c>
      <c r="AJ162" s="50">
        <v>46387</v>
      </c>
      <c r="AK162" s="49" t="s">
        <v>1280</v>
      </c>
      <c r="AL162" s="48" t="s">
        <v>36</v>
      </c>
      <c r="AM162" s="48" t="s">
        <v>36</v>
      </c>
      <c r="AN162" s="51">
        <v>-50000</v>
      </c>
      <c r="AO162" s="51"/>
      <c r="AP162" s="51"/>
      <c r="AQ162" s="72">
        <v>1600000</v>
      </c>
      <c r="AR162" s="72">
        <v>50000</v>
      </c>
      <c r="AS162" s="50">
        <v>46387</v>
      </c>
      <c r="AT162" s="50" t="s">
        <v>1436</v>
      </c>
      <c r="AU162" s="49" t="s">
        <v>1436</v>
      </c>
      <c r="AV162" s="49" t="s">
        <v>1670</v>
      </c>
      <c r="AW162" s="48" t="s">
        <v>1244</v>
      </c>
    </row>
    <row r="163" spans="1:49" x14ac:dyDescent="0.3">
      <c r="A163" s="48" t="s">
        <v>1320</v>
      </c>
      <c r="B163" s="48" t="s">
        <v>6</v>
      </c>
      <c r="C163" s="48" t="s">
        <v>1322</v>
      </c>
      <c r="D163" s="50">
        <v>44985</v>
      </c>
      <c r="E163" s="48" t="s">
        <v>36</v>
      </c>
      <c r="F163" s="48" t="s">
        <v>1433</v>
      </c>
      <c r="G163" s="48" t="s">
        <v>1447</v>
      </c>
      <c r="H163" s="49" t="s">
        <v>1449</v>
      </c>
      <c r="I163" s="48" t="s">
        <v>1409</v>
      </c>
      <c r="J163" s="48" t="s">
        <v>40</v>
      </c>
      <c r="K163" s="48" t="s">
        <v>45</v>
      </c>
      <c r="L163" s="48" t="s">
        <v>38</v>
      </c>
      <c r="M163" s="48" t="s">
        <v>37</v>
      </c>
      <c r="N163" s="48" t="s">
        <v>1436</v>
      </c>
      <c r="O163" s="48" t="s">
        <v>1436</v>
      </c>
      <c r="P163" s="48" t="s">
        <v>1436</v>
      </c>
      <c r="Q163" s="48" t="s">
        <v>38</v>
      </c>
      <c r="R163" s="48" t="s">
        <v>39</v>
      </c>
      <c r="S163" s="48" t="s">
        <v>40</v>
      </c>
      <c r="T163" s="48" t="s">
        <v>41</v>
      </c>
      <c r="U163" s="48" t="s">
        <v>1436</v>
      </c>
      <c r="V163" s="48" t="s">
        <v>1436</v>
      </c>
      <c r="W163" s="48" t="s">
        <v>1436</v>
      </c>
      <c r="X163" s="49" t="s">
        <v>193</v>
      </c>
      <c r="Y163" s="48" t="s">
        <v>1194</v>
      </c>
      <c r="Z163" s="49" t="s">
        <v>1321</v>
      </c>
      <c r="AA163" s="48" t="s">
        <v>1324</v>
      </c>
      <c r="AB163" s="48" t="s">
        <v>1325</v>
      </c>
      <c r="AC163" s="48" t="s">
        <v>1239</v>
      </c>
      <c r="AD163" s="48" t="s">
        <v>1231</v>
      </c>
      <c r="AE163" s="48" t="s">
        <v>1669</v>
      </c>
      <c r="AF163" s="48" t="s">
        <v>1436</v>
      </c>
      <c r="AG163" s="48" t="s">
        <v>1436</v>
      </c>
      <c r="AH163" s="48" t="s">
        <v>208</v>
      </c>
      <c r="AI163" s="50">
        <v>44562</v>
      </c>
      <c r="AJ163" s="50">
        <v>46387</v>
      </c>
      <c r="AK163" s="49" t="s">
        <v>1280</v>
      </c>
      <c r="AL163" s="48" t="s">
        <v>36</v>
      </c>
      <c r="AM163" s="48" t="s">
        <v>36</v>
      </c>
      <c r="AN163" s="51">
        <v>40790.517581</v>
      </c>
      <c r="AO163" s="51"/>
      <c r="AP163" s="51"/>
      <c r="AQ163" s="72">
        <v>1600000</v>
      </c>
      <c r="AR163" s="72">
        <v>50000</v>
      </c>
      <c r="AS163" s="50">
        <v>46387</v>
      </c>
      <c r="AT163" s="50" t="s">
        <v>1436</v>
      </c>
      <c r="AU163" s="49" t="s">
        <v>1436</v>
      </c>
      <c r="AV163" s="49" t="s">
        <v>1670</v>
      </c>
      <c r="AW163" s="48" t="s">
        <v>1244</v>
      </c>
    </row>
    <row r="164" spans="1:49" x14ac:dyDescent="0.3">
      <c r="A164" s="48" t="s">
        <v>1320</v>
      </c>
      <c r="B164" s="48" t="s">
        <v>6</v>
      </c>
      <c r="C164" s="48" t="s">
        <v>1322</v>
      </c>
      <c r="D164" s="50">
        <v>44985</v>
      </c>
      <c r="E164" s="48" t="s">
        <v>36</v>
      </c>
      <c r="F164" s="48" t="s">
        <v>1433</v>
      </c>
      <c r="G164" s="48" t="s">
        <v>1447</v>
      </c>
      <c r="H164" s="49" t="s">
        <v>1450</v>
      </c>
      <c r="I164" s="48" t="s">
        <v>1408</v>
      </c>
      <c r="J164" s="48" t="s">
        <v>40</v>
      </c>
      <c r="K164" s="48" t="s">
        <v>54</v>
      </c>
      <c r="L164" s="48" t="s">
        <v>38</v>
      </c>
      <c r="M164" s="48" t="s">
        <v>37</v>
      </c>
      <c r="N164" s="48" t="s">
        <v>1436</v>
      </c>
      <c r="O164" s="48" t="s">
        <v>1436</v>
      </c>
      <c r="P164" s="48" t="s">
        <v>1436</v>
      </c>
      <c r="Q164" s="48" t="s">
        <v>38</v>
      </c>
      <c r="R164" s="48" t="s">
        <v>39</v>
      </c>
      <c r="S164" s="48" t="s">
        <v>40</v>
      </c>
      <c r="T164" s="48" t="s">
        <v>41</v>
      </c>
      <c r="U164" s="48" t="s">
        <v>1436</v>
      </c>
      <c r="V164" s="48" t="s">
        <v>1436</v>
      </c>
      <c r="W164" s="48" t="s">
        <v>1436</v>
      </c>
      <c r="X164" s="49" t="s">
        <v>193</v>
      </c>
      <c r="Y164" s="48" t="s">
        <v>1194</v>
      </c>
      <c r="Z164" s="49" t="s">
        <v>1321</v>
      </c>
      <c r="AA164" s="48" t="s">
        <v>1324</v>
      </c>
      <c r="AB164" s="48" t="s">
        <v>1325</v>
      </c>
      <c r="AC164" s="48" t="s">
        <v>1239</v>
      </c>
      <c r="AD164" s="48" t="s">
        <v>1231</v>
      </c>
      <c r="AE164" s="48" t="s">
        <v>1669</v>
      </c>
      <c r="AF164" s="48" t="s">
        <v>1436</v>
      </c>
      <c r="AG164" s="48" t="s">
        <v>1436</v>
      </c>
      <c r="AH164" s="48" t="s">
        <v>208</v>
      </c>
      <c r="AI164" s="50">
        <v>44562</v>
      </c>
      <c r="AJ164" s="50">
        <v>46387</v>
      </c>
      <c r="AK164" s="49" t="s">
        <v>1280</v>
      </c>
      <c r="AL164" s="48" t="s">
        <v>36</v>
      </c>
      <c r="AM164" s="48" t="s">
        <v>36</v>
      </c>
      <c r="AN164" s="51">
        <v>-2749.96</v>
      </c>
      <c r="AO164" s="51"/>
      <c r="AP164" s="51"/>
      <c r="AQ164" s="72">
        <v>1600000</v>
      </c>
      <c r="AR164" s="72">
        <v>50000</v>
      </c>
      <c r="AS164" s="50">
        <v>46387</v>
      </c>
      <c r="AT164" s="50" t="s">
        <v>1436</v>
      </c>
      <c r="AU164" s="49" t="s">
        <v>1436</v>
      </c>
      <c r="AV164" s="49" t="s">
        <v>1670</v>
      </c>
      <c r="AW164" s="48" t="s">
        <v>1244</v>
      </c>
    </row>
    <row r="165" spans="1:49" x14ac:dyDescent="0.3">
      <c r="A165" s="48" t="s">
        <v>1320</v>
      </c>
      <c r="B165" s="48" t="s">
        <v>6</v>
      </c>
      <c r="C165" s="48" t="s">
        <v>1322</v>
      </c>
      <c r="D165" s="50">
        <v>44985</v>
      </c>
      <c r="E165" s="48" t="s">
        <v>36</v>
      </c>
      <c r="F165" s="48" t="s">
        <v>1433</v>
      </c>
      <c r="G165" s="48" t="s">
        <v>1447</v>
      </c>
      <c r="H165" s="49" t="s">
        <v>1451</v>
      </c>
      <c r="I165" s="48" t="s">
        <v>1404</v>
      </c>
      <c r="J165" s="48" t="s">
        <v>38</v>
      </c>
      <c r="K165" s="48" t="s">
        <v>49</v>
      </c>
      <c r="L165" s="48" t="s">
        <v>38</v>
      </c>
      <c r="M165" s="48" t="s">
        <v>37</v>
      </c>
      <c r="N165" s="48" t="s">
        <v>1436</v>
      </c>
      <c r="O165" s="48" t="s">
        <v>1436</v>
      </c>
      <c r="P165" s="48" t="s">
        <v>1436</v>
      </c>
      <c r="Q165" s="48" t="s">
        <v>38</v>
      </c>
      <c r="R165" s="48" t="s">
        <v>39</v>
      </c>
      <c r="S165" s="48" t="s">
        <v>38</v>
      </c>
      <c r="T165" s="48" t="s">
        <v>41</v>
      </c>
      <c r="U165" s="48" t="s">
        <v>1436</v>
      </c>
      <c r="V165" s="48" t="s">
        <v>1436</v>
      </c>
      <c r="W165" s="48" t="s">
        <v>1436</v>
      </c>
      <c r="X165" s="49" t="s">
        <v>193</v>
      </c>
      <c r="Y165" s="48" t="s">
        <v>1194</v>
      </c>
      <c r="Z165" s="49" t="s">
        <v>1321</v>
      </c>
      <c r="AA165" s="48" t="s">
        <v>1324</v>
      </c>
      <c r="AB165" s="48" t="s">
        <v>1325</v>
      </c>
      <c r="AC165" s="48" t="s">
        <v>1239</v>
      </c>
      <c r="AD165" s="48" t="s">
        <v>1231</v>
      </c>
      <c r="AE165" s="48" t="s">
        <v>1669</v>
      </c>
      <c r="AF165" s="48" t="s">
        <v>1436</v>
      </c>
      <c r="AG165" s="48" t="s">
        <v>1436</v>
      </c>
      <c r="AH165" s="48" t="s">
        <v>208</v>
      </c>
      <c r="AI165" s="50">
        <v>44562</v>
      </c>
      <c r="AJ165" s="50">
        <v>46387</v>
      </c>
      <c r="AK165" s="49" t="s">
        <v>1280</v>
      </c>
      <c r="AL165" s="48" t="s">
        <v>36</v>
      </c>
      <c r="AM165" s="48" t="s">
        <v>36</v>
      </c>
      <c r="AN165" s="51">
        <v>221.90325200000001</v>
      </c>
      <c r="AO165" s="51"/>
      <c r="AP165" s="51"/>
      <c r="AQ165" s="72">
        <v>1600000</v>
      </c>
      <c r="AR165" s="72">
        <v>50000</v>
      </c>
      <c r="AS165" s="50">
        <v>46387</v>
      </c>
      <c r="AT165" s="50" t="s">
        <v>1436</v>
      </c>
      <c r="AU165" s="49" t="s">
        <v>1436</v>
      </c>
      <c r="AV165" s="49" t="s">
        <v>1670</v>
      </c>
      <c r="AW165" s="48" t="s">
        <v>1244</v>
      </c>
    </row>
    <row r="166" spans="1:49" x14ac:dyDescent="0.3">
      <c r="A166" s="48" t="s">
        <v>1320</v>
      </c>
      <c r="B166" s="48" t="s">
        <v>6</v>
      </c>
      <c r="C166" s="48" t="s">
        <v>1322</v>
      </c>
      <c r="D166" s="50">
        <v>45016</v>
      </c>
      <c r="E166" s="48" t="s">
        <v>36</v>
      </c>
      <c r="F166" s="48" t="s">
        <v>1433</v>
      </c>
      <c r="G166" s="48" t="s">
        <v>1434</v>
      </c>
      <c r="H166" s="49" t="s">
        <v>1435</v>
      </c>
      <c r="I166" s="48" t="s">
        <v>1412</v>
      </c>
      <c r="J166" s="48" t="s">
        <v>40</v>
      </c>
      <c r="K166" s="48" t="s">
        <v>52</v>
      </c>
      <c r="L166" s="48" t="s">
        <v>38</v>
      </c>
      <c r="M166" s="48" t="s">
        <v>37</v>
      </c>
      <c r="N166" s="48" t="s">
        <v>1436</v>
      </c>
      <c r="O166" s="48" t="s">
        <v>1436</v>
      </c>
      <c r="P166" s="48" t="s">
        <v>1436</v>
      </c>
      <c r="Q166" s="48" t="s">
        <v>38</v>
      </c>
      <c r="R166" s="48" t="s">
        <v>39</v>
      </c>
      <c r="S166" s="48" t="s">
        <v>40</v>
      </c>
      <c r="T166" s="48" t="s">
        <v>41</v>
      </c>
      <c r="U166" s="48" t="s">
        <v>1436</v>
      </c>
      <c r="V166" s="48" t="s">
        <v>1436</v>
      </c>
      <c r="W166" s="48" t="s">
        <v>1436</v>
      </c>
      <c r="X166" s="49" t="s">
        <v>193</v>
      </c>
      <c r="Y166" s="48" t="s">
        <v>1194</v>
      </c>
      <c r="Z166" s="49" t="s">
        <v>1321</v>
      </c>
      <c r="AA166" s="48" t="s">
        <v>1324</v>
      </c>
      <c r="AB166" s="48" t="s">
        <v>1325</v>
      </c>
      <c r="AC166" s="48" t="s">
        <v>1239</v>
      </c>
      <c r="AD166" s="48" t="s">
        <v>1231</v>
      </c>
      <c r="AE166" s="48" t="s">
        <v>1669</v>
      </c>
      <c r="AF166" s="48" t="s">
        <v>1436</v>
      </c>
      <c r="AG166" s="48" t="s">
        <v>1436</v>
      </c>
      <c r="AH166" s="48" t="s">
        <v>208</v>
      </c>
      <c r="AI166" s="50">
        <v>44562</v>
      </c>
      <c r="AJ166" s="50">
        <v>46387</v>
      </c>
      <c r="AK166" s="49" t="s">
        <v>1280</v>
      </c>
      <c r="AL166" s="48" t="s">
        <v>36</v>
      </c>
      <c r="AM166" s="48" t="s">
        <v>36</v>
      </c>
      <c r="AN166" s="51">
        <v>-42330.49</v>
      </c>
      <c r="AO166" s="51"/>
      <c r="AP166" s="51"/>
      <c r="AQ166" s="72">
        <v>1600000</v>
      </c>
      <c r="AR166" s="72">
        <v>50000</v>
      </c>
      <c r="AS166" s="50">
        <v>46387</v>
      </c>
      <c r="AT166" s="50" t="s">
        <v>1436</v>
      </c>
      <c r="AU166" s="49" t="s">
        <v>1436</v>
      </c>
      <c r="AV166" s="49" t="s">
        <v>1670</v>
      </c>
      <c r="AW166" s="48" t="s">
        <v>1244</v>
      </c>
    </row>
    <row r="167" spans="1:49" x14ac:dyDescent="0.3">
      <c r="A167" s="48" t="s">
        <v>1320</v>
      </c>
      <c r="B167" s="48" t="s">
        <v>6</v>
      </c>
      <c r="C167" s="48" t="s">
        <v>1322</v>
      </c>
      <c r="D167" s="50">
        <v>45016</v>
      </c>
      <c r="E167" s="48" t="s">
        <v>36</v>
      </c>
      <c r="F167" s="48" t="s">
        <v>1433</v>
      </c>
      <c r="G167" s="48" t="s">
        <v>1434</v>
      </c>
      <c r="H167" s="49" t="s">
        <v>1437</v>
      </c>
      <c r="I167" s="48" t="s">
        <v>1410</v>
      </c>
      <c r="J167" s="48" t="s">
        <v>40</v>
      </c>
      <c r="K167" s="48" t="s">
        <v>42</v>
      </c>
      <c r="L167" s="48" t="s">
        <v>38</v>
      </c>
      <c r="M167" s="48" t="s">
        <v>37</v>
      </c>
      <c r="N167" s="48" t="s">
        <v>1436</v>
      </c>
      <c r="O167" s="48" t="s">
        <v>1436</v>
      </c>
      <c r="P167" s="48" t="s">
        <v>1436</v>
      </c>
      <c r="Q167" s="48" t="s">
        <v>38</v>
      </c>
      <c r="R167" s="48" t="s">
        <v>39</v>
      </c>
      <c r="S167" s="48" t="s">
        <v>40</v>
      </c>
      <c r="T167" s="48" t="s">
        <v>41</v>
      </c>
      <c r="U167" s="48" t="s">
        <v>1436</v>
      </c>
      <c r="V167" s="48" t="s">
        <v>1436</v>
      </c>
      <c r="W167" s="48" t="s">
        <v>1436</v>
      </c>
      <c r="X167" s="49" t="s">
        <v>193</v>
      </c>
      <c r="Y167" s="48" t="s">
        <v>1194</v>
      </c>
      <c r="Z167" s="49" t="s">
        <v>1321</v>
      </c>
      <c r="AA167" s="48" t="s">
        <v>1324</v>
      </c>
      <c r="AB167" s="48" t="s">
        <v>1325</v>
      </c>
      <c r="AC167" s="48" t="s">
        <v>1239</v>
      </c>
      <c r="AD167" s="48" t="s">
        <v>1231</v>
      </c>
      <c r="AE167" s="48" t="s">
        <v>1669</v>
      </c>
      <c r="AF167" s="48" t="s">
        <v>1436</v>
      </c>
      <c r="AG167" s="48" t="s">
        <v>1436</v>
      </c>
      <c r="AH167" s="48" t="s">
        <v>208</v>
      </c>
      <c r="AI167" s="50">
        <v>44562</v>
      </c>
      <c r="AJ167" s="50">
        <v>46387</v>
      </c>
      <c r="AK167" s="49" t="s">
        <v>1280</v>
      </c>
      <c r="AL167" s="48" t="s">
        <v>36</v>
      </c>
      <c r="AM167" s="48" t="s">
        <v>36</v>
      </c>
      <c r="AN167" s="51">
        <v>0</v>
      </c>
      <c r="AO167" s="51"/>
      <c r="AP167" s="51"/>
      <c r="AQ167" s="72">
        <v>1600000</v>
      </c>
      <c r="AR167" s="72">
        <v>50000</v>
      </c>
      <c r="AS167" s="50">
        <v>46387</v>
      </c>
      <c r="AT167" s="50" t="s">
        <v>1436</v>
      </c>
      <c r="AU167" s="49" t="s">
        <v>1436</v>
      </c>
      <c r="AV167" s="49" t="s">
        <v>1670</v>
      </c>
      <c r="AW167" s="48" t="s">
        <v>1244</v>
      </c>
    </row>
    <row r="168" spans="1:49" x14ac:dyDescent="0.3">
      <c r="A168" s="48" t="s">
        <v>1320</v>
      </c>
      <c r="B168" s="48" t="s">
        <v>6</v>
      </c>
      <c r="C168" s="48" t="s">
        <v>1322</v>
      </c>
      <c r="D168" s="50">
        <v>45016</v>
      </c>
      <c r="E168" s="48" t="s">
        <v>36</v>
      </c>
      <c r="F168" s="48" t="s">
        <v>1438</v>
      </c>
      <c r="G168" s="48" t="s">
        <v>1439</v>
      </c>
      <c r="H168" s="49" t="s">
        <v>1440</v>
      </c>
      <c r="I168" s="48" t="s">
        <v>1406</v>
      </c>
      <c r="J168" s="48" t="s">
        <v>1194</v>
      </c>
      <c r="K168" s="48" t="s">
        <v>1441</v>
      </c>
      <c r="L168" s="48" t="s">
        <v>38</v>
      </c>
      <c r="M168" s="48" t="s">
        <v>37</v>
      </c>
      <c r="N168" s="48" t="s">
        <v>1436</v>
      </c>
      <c r="O168" s="48" t="s">
        <v>1436</v>
      </c>
      <c r="P168" s="48" t="s">
        <v>1436</v>
      </c>
      <c r="Q168" s="48" t="s">
        <v>38</v>
      </c>
      <c r="R168" s="48" t="s">
        <v>39</v>
      </c>
      <c r="S168" s="48" t="s">
        <v>1194</v>
      </c>
      <c r="T168" s="48" t="s">
        <v>41</v>
      </c>
      <c r="U168" s="48" t="s">
        <v>1436</v>
      </c>
      <c r="V168" s="48" t="s">
        <v>1436</v>
      </c>
      <c r="W168" s="48" t="s">
        <v>1436</v>
      </c>
      <c r="X168" s="49" t="s">
        <v>193</v>
      </c>
      <c r="Y168" s="48" t="s">
        <v>1194</v>
      </c>
      <c r="Z168" s="49" t="s">
        <v>1321</v>
      </c>
      <c r="AA168" s="48" t="s">
        <v>1324</v>
      </c>
      <c r="AB168" s="48" t="s">
        <v>1325</v>
      </c>
      <c r="AC168" s="48" t="s">
        <v>1239</v>
      </c>
      <c r="AD168" s="48" t="s">
        <v>1231</v>
      </c>
      <c r="AE168" s="48" t="s">
        <v>1669</v>
      </c>
      <c r="AF168" s="48" t="s">
        <v>1436</v>
      </c>
      <c r="AG168" s="48" t="s">
        <v>1436</v>
      </c>
      <c r="AH168" s="48" t="s">
        <v>208</v>
      </c>
      <c r="AI168" s="50">
        <v>44562</v>
      </c>
      <c r="AJ168" s="50">
        <v>46387</v>
      </c>
      <c r="AK168" s="49" t="s">
        <v>1280</v>
      </c>
      <c r="AL168" s="48" t="s">
        <v>36</v>
      </c>
      <c r="AM168" s="48" t="s">
        <v>36</v>
      </c>
      <c r="AN168" s="51">
        <v>0</v>
      </c>
      <c r="AO168" s="51"/>
      <c r="AP168" s="51"/>
      <c r="AQ168" s="72">
        <v>1600000</v>
      </c>
      <c r="AR168" s="72">
        <v>50000</v>
      </c>
      <c r="AS168" s="50">
        <v>46387</v>
      </c>
      <c r="AT168" s="50" t="s">
        <v>1436</v>
      </c>
      <c r="AU168" s="49" t="s">
        <v>1436</v>
      </c>
      <c r="AV168" s="49" t="s">
        <v>1670</v>
      </c>
      <c r="AW168" s="48" t="s">
        <v>1244</v>
      </c>
    </row>
    <row r="169" spans="1:49" x14ac:dyDescent="0.3">
      <c r="A169" s="48" t="s">
        <v>1320</v>
      </c>
      <c r="B169" s="48" t="s">
        <v>6</v>
      </c>
      <c r="C169" s="48" t="s">
        <v>1322</v>
      </c>
      <c r="D169" s="50">
        <v>45016</v>
      </c>
      <c r="E169" s="48" t="s">
        <v>36</v>
      </c>
      <c r="F169" s="48" t="s">
        <v>1438</v>
      </c>
      <c r="G169" s="48" t="s">
        <v>1439</v>
      </c>
      <c r="H169" s="49" t="s">
        <v>1442</v>
      </c>
      <c r="I169" s="48" t="s">
        <v>1405</v>
      </c>
      <c r="J169" s="48" t="s">
        <v>1194</v>
      </c>
      <c r="K169" s="48" t="s">
        <v>1443</v>
      </c>
      <c r="L169" s="48" t="s">
        <v>38</v>
      </c>
      <c r="M169" s="48" t="s">
        <v>37</v>
      </c>
      <c r="N169" s="48" t="s">
        <v>1436</v>
      </c>
      <c r="O169" s="48" t="s">
        <v>1436</v>
      </c>
      <c r="P169" s="48" t="s">
        <v>1436</v>
      </c>
      <c r="Q169" s="48" t="s">
        <v>38</v>
      </c>
      <c r="R169" s="48" t="s">
        <v>39</v>
      </c>
      <c r="S169" s="48" t="s">
        <v>1194</v>
      </c>
      <c r="T169" s="48" t="s">
        <v>41</v>
      </c>
      <c r="U169" s="48" t="s">
        <v>1436</v>
      </c>
      <c r="V169" s="48" t="s">
        <v>1436</v>
      </c>
      <c r="W169" s="48" t="s">
        <v>1436</v>
      </c>
      <c r="X169" s="49" t="s">
        <v>193</v>
      </c>
      <c r="Y169" s="48" t="s">
        <v>1194</v>
      </c>
      <c r="Z169" s="49" t="s">
        <v>1321</v>
      </c>
      <c r="AA169" s="48" t="s">
        <v>1324</v>
      </c>
      <c r="AB169" s="48" t="s">
        <v>1325</v>
      </c>
      <c r="AC169" s="48" t="s">
        <v>1239</v>
      </c>
      <c r="AD169" s="48" t="s">
        <v>1231</v>
      </c>
      <c r="AE169" s="48" t="s">
        <v>1669</v>
      </c>
      <c r="AF169" s="48" t="s">
        <v>1436</v>
      </c>
      <c r="AG169" s="48" t="s">
        <v>1436</v>
      </c>
      <c r="AH169" s="48" t="s">
        <v>208</v>
      </c>
      <c r="AI169" s="50">
        <v>44562</v>
      </c>
      <c r="AJ169" s="50">
        <v>46387</v>
      </c>
      <c r="AK169" s="49" t="s">
        <v>1280</v>
      </c>
      <c r="AL169" s="48" t="s">
        <v>36</v>
      </c>
      <c r="AM169" s="48" t="s">
        <v>36</v>
      </c>
      <c r="AN169" s="51">
        <v>0</v>
      </c>
      <c r="AO169" s="51"/>
      <c r="AP169" s="51"/>
      <c r="AQ169" s="72">
        <v>1600000</v>
      </c>
      <c r="AR169" s="72">
        <v>50000</v>
      </c>
      <c r="AS169" s="50">
        <v>46387</v>
      </c>
      <c r="AT169" s="50" t="s">
        <v>1436</v>
      </c>
      <c r="AU169" s="49" t="s">
        <v>1436</v>
      </c>
      <c r="AV169" s="49" t="s">
        <v>1670</v>
      </c>
      <c r="AW169" s="48" t="s">
        <v>1244</v>
      </c>
    </row>
    <row r="170" spans="1:49" x14ac:dyDescent="0.3">
      <c r="A170" s="48" t="s">
        <v>1320</v>
      </c>
      <c r="B170" s="48" t="s">
        <v>6</v>
      </c>
      <c r="C170" s="48" t="s">
        <v>1322</v>
      </c>
      <c r="D170" s="50">
        <v>45016</v>
      </c>
      <c r="E170" s="48" t="s">
        <v>36</v>
      </c>
      <c r="F170" s="48" t="s">
        <v>1438</v>
      </c>
      <c r="G170" s="48" t="s">
        <v>1444</v>
      </c>
      <c r="H170" s="49" t="s">
        <v>1445</v>
      </c>
      <c r="I170" s="48" t="s">
        <v>1411</v>
      </c>
      <c r="J170" s="48" t="s">
        <v>40</v>
      </c>
      <c r="K170" s="48" t="s">
        <v>50</v>
      </c>
      <c r="L170" s="48" t="s">
        <v>38</v>
      </c>
      <c r="M170" s="48" t="s">
        <v>37</v>
      </c>
      <c r="N170" s="48" t="s">
        <v>1436</v>
      </c>
      <c r="O170" s="48" t="s">
        <v>1436</v>
      </c>
      <c r="P170" s="48" t="s">
        <v>1436</v>
      </c>
      <c r="Q170" s="48" t="s">
        <v>38</v>
      </c>
      <c r="R170" s="48" t="s">
        <v>39</v>
      </c>
      <c r="S170" s="48" t="s">
        <v>40</v>
      </c>
      <c r="T170" s="48" t="s">
        <v>41</v>
      </c>
      <c r="U170" s="48" t="s">
        <v>1436</v>
      </c>
      <c r="V170" s="48" t="s">
        <v>1436</v>
      </c>
      <c r="W170" s="48" t="s">
        <v>1436</v>
      </c>
      <c r="X170" s="49" t="s">
        <v>193</v>
      </c>
      <c r="Y170" s="48" t="s">
        <v>1194</v>
      </c>
      <c r="Z170" s="49" t="s">
        <v>1321</v>
      </c>
      <c r="AA170" s="48" t="s">
        <v>1324</v>
      </c>
      <c r="AB170" s="48" t="s">
        <v>1325</v>
      </c>
      <c r="AC170" s="48" t="s">
        <v>1239</v>
      </c>
      <c r="AD170" s="48" t="s">
        <v>1231</v>
      </c>
      <c r="AE170" s="48" t="s">
        <v>1669</v>
      </c>
      <c r="AF170" s="48" t="s">
        <v>1436</v>
      </c>
      <c r="AG170" s="48" t="s">
        <v>1436</v>
      </c>
      <c r="AH170" s="48" t="s">
        <v>208</v>
      </c>
      <c r="AI170" s="50">
        <v>44562</v>
      </c>
      <c r="AJ170" s="50">
        <v>46387</v>
      </c>
      <c r="AK170" s="49" t="s">
        <v>1280</v>
      </c>
      <c r="AL170" s="48" t="s">
        <v>36</v>
      </c>
      <c r="AM170" s="48" t="s">
        <v>36</v>
      </c>
      <c r="AN170" s="51">
        <v>42330.49</v>
      </c>
      <c r="AO170" s="51"/>
      <c r="AP170" s="51"/>
      <c r="AQ170" s="72">
        <v>1600000</v>
      </c>
      <c r="AR170" s="72">
        <v>50000</v>
      </c>
      <c r="AS170" s="50">
        <v>46387</v>
      </c>
      <c r="AT170" s="50" t="s">
        <v>1436</v>
      </c>
      <c r="AU170" s="49" t="s">
        <v>1436</v>
      </c>
      <c r="AV170" s="49" t="s">
        <v>1670</v>
      </c>
      <c r="AW170" s="48" t="s">
        <v>1244</v>
      </c>
    </row>
    <row r="171" spans="1:49" x14ac:dyDescent="0.3">
      <c r="A171" s="48" t="s">
        <v>1320</v>
      </c>
      <c r="B171" s="48" t="s">
        <v>6</v>
      </c>
      <c r="C171" s="48" t="s">
        <v>1322</v>
      </c>
      <c r="D171" s="50">
        <v>45016</v>
      </c>
      <c r="E171" s="48" t="s">
        <v>36</v>
      </c>
      <c r="F171" s="48" t="s">
        <v>1438</v>
      </c>
      <c r="G171" s="48" t="s">
        <v>1444</v>
      </c>
      <c r="H171" s="49" t="s">
        <v>1446</v>
      </c>
      <c r="I171" s="48" t="s">
        <v>1407</v>
      </c>
      <c r="J171" s="48" t="s">
        <v>40</v>
      </c>
      <c r="K171" s="48" t="s">
        <v>47</v>
      </c>
      <c r="L171" s="48" t="s">
        <v>38</v>
      </c>
      <c r="M171" s="48" t="s">
        <v>37</v>
      </c>
      <c r="N171" s="48" t="s">
        <v>1436</v>
      </c>
      <c r="O171" s="48" t="s">
        <v>1436</v>
      </c>
      <c r="P171" s="48" t="s">
        <v>1436</v>
      </c>
      <c r="Q171" s="48" t="s">
        <v>38</v>
      </c>
      <c r="R171" s="48" t="s">
        <v>39</v>
      </c>
      <c r="S171" s="48" t="s">
        <v>40</v>
      </c>
      <c r="T171" s="48" t="s">
        <v>41</v>
      </c>
      <c r="U171" s="48" t="s">
        <v>1436</v>
      </c>
      <c r="V171" s="48" t="s">
        <v>1436</v>
      </c>
      <c r="W171" s="48" t="s">
        <v>1436</v>
      </c>
      <c r="X171" s="49" t="s">
        <v>193</v>
      </c>
      <c r="Y171" s="48" t="s">
        <v>1194</v>
      </c>
      <c r="Z171" s="49" t="s">
        <v>1321</v>
      </c>
      <c r="AA171" s="48" t="s">
        <v>1324</v>
      </c>
      <c r="AB171" s="48" t="s">
        <v>1325</v>
      </c>
      <c r="AC171" s="48" t="s">
        <v>1239</v>
      </c>
      <c r="AD171" s="48" t="s">
        <v>1231</v>
      </c>
      <c r="AE171" s="48" t="s">
        <v>1669</v>
      </c>
      <c r="AF171" s="48" t="s">
        <v>1436</v>
      </c>
      <c r="AG171" s="48" t="s">
        <v>1436</v>
      </c>
      <c r="AH171" s="48" t="s">
        <v>208</v>
      </c>
      <c r="AI171" s="50">
        <v>44562</v>
      </c>
      <c r="AJ171" s="50">
        <v>46387</v>
      </c>
      <c r="AK171" s="49" t="s">
        <v>1280</v>
      </c>
      <c r="AL171" s="48" t="s">
        <v>36</v>
      </c>
      <c r="AM171" s="48" t="s">
        <v>36</v>
      </c>
      <c r="AN171" s="51">
        <v>11514.341478</v>
      </c>
      <c r="AO171" s="51"/>
      <c r="AP171" s="51"/>
      <c r="AQ171" s="72">
        <v>1600000</v>
      </c>
      <c r="AR171" s="72">
        <v>50000</v>
      </c>
      <c r="AS171" s="50">
        <v>46387</v>
      </c>
      <c r="AT171" s="50" t="s">
        <v>1436</v>
      </c>
      <c r="AU171" s="49" t="s">
        <v>1436</v>
      </c>
      <c r="AV171" s="49" t="s">
        <v>1670</v>
      </c>
      <c r="AW171" s="48" t="s">
        <v>1244</v>
      </c>
    </row>
    <row r="172" spans="1:49" x14ac:dyDescent="0.3">
      <c r="A172" s="48" t="s">
        <v>1320</v>
      </c>
      <c r="B172" s="48" t="s">
        <v>6</v>
      </c>
      <c r="C172" s="48" t="s">
        <v>1322</v>
      </c>
      <c r="D172" s="50">
        <v>45016</v>
      </c>
      <c r="E172" s="48" t="s">
        <v>36</v>
      </c>
      <c r="F172" s="48" t="s">
        <v>1433</v>
      </c>
      <c r="G172" s="48" t="s">
        <v>1447</v>
      </c>
      <c r="H172" s="49" t="s">
        <v>1448</v>
      </c>
      <c r="I172" s="48" t="s">
        <v>1413</v>
      </c>
      <c r="J172" s="48" t="s">
        <v>40</v>
      </c>
      <c r="K172" s="48" t="s">
        <v>58</v>
      </c>
      <c r="L172" s="48" t="s">
        <v>38</v>
      </c>
      <c r="M172" s="48" t="s">
        <v>37</v>
      </c>
      <c r="N172" s="48" t="s">
        <v>1436</v>
      </c>
      <c r="O172" s="48" t="s">
        <v>1436</v>
      </c>
      <c r="P172" s="48" t="s">
        <v>1436</v>
      </c>
      <c r="Q172" s="48" t="s">
        <v>38</v>
      </c>
      <c r="R172" s="48" t="s">
        <v>39</v>
      </c>
      <c r="S172" s="48" t="s">
        <v>40</v>
      </c>
      <c r="T172" s="48" t="s">
        <v>41</v>
      </c>
      <c r="U172" s="48" t="s">
        <v>1436</v>
      </c>
      <c r="V172" s="48" t="s">
        <v>1436</v>
      </c>
      <c r="W172" s="48" t="s">
        <v>1436</v>
      </c>
      <c r="X172" s="49" t="s">
        <v>193</v>
      </c>
      <c r="Y172" s="48" t="s">
        <v>1194</v>
      </c>
      <c r="Z172" s="49" t="s">
        <v>1321</v>
      </c>
      <c r="AA172" s="48" t="s">
        <v>1324</v>
      </c>
      <c r="AB172" s="48" t="s">
        <v>1325</v>
      </c>
      <c r="AC172" s="48" t="s">
        <v>1239</v>
      </c>
      <c r="AD172" s="48" t="s">
        <v>1231</v>
      </c>
      <c r="AE172" s="48" t="s">
        <v>1669</v>
      </c>
      <c r="AF172" s="48" t="s">
        <v>1436</v>
      </c>
      <c r="AG172" s="48" t="s">
        <v>1436</v>
      </c>
      <c r="AH172" s="48" t="s">
        <v>208</v>
      </c>
      <c r="AI172" s="50">
        <v>44562</v>
      </c>
      <c r="AJ172" s="50">
        <v>46387</v>
      </c>
      <c r="AK172" s="49" t="s">
        <v>1280</v>
      </c>
      <c r="AL172" s="48" t="s">
        <v>36</v>
      </c>
      <c r="AM172" s="48" t="s">
        <v>36</v>
      </c>
      <c r="AN172" s="51">
        <v>-50000</v>
      </c>
      <c r="AO172" s="51"/>
      <c r="AP172" s="51"/>
      <c r="AQ172" s="72">
        <v>1600000</v>
      </c>
      <c r="AR172" s="72">
        <v>50000</v>
      </c>
      <c r="AS172" s="50">
        <v>46387</v>
      </c>
      <c r="AT172" s="50" t="s">
        <v>1436</v>
      </c>
      <c r="AU172" s="49" t="s">
        <v>1436</v>
      </c>
      <c r="AV172" s="49" t="s">
        <v>1670</v>
      </c>
      <c r="AW172" s="48" t="s">
        <v>1244</v>
      </c>
    </row>
    <row r="173" spans="1:49" x14ac:dyDescent="0.3">
      <c r="A173" s="48" t="s">
        <v>1320</v>
      </c>
      <c r="B173" s="48" t="s">
        <v>6</v>
      </c>
      <c r="C173" s="48" t="s">
        <v>1322</v>
      </c>
      <c r="D173" s="50">
        <v>45016</v>
      </c>
      <c r="E173" s="48" t="s">
        <v>36</v>
      </c>
      <c r="F173" s="48" t="s">
        <v>1433</v>
      </c>
      <c r="G173" s="48" t="s">
        <v>1447</v>
      </c>
      <c r="H173" s="49" t="s">
        <v>1449</v>
      </c>
      <c r="I173" s="48" t="s">
        <v>1409</v>
      </c>
      <c r="J173" s="48" t="s">
        <v>40</v>
      </c>
      <c r="K173" s="48" t="s">
        <v>45</v>
      </c>
      <c r="L173" s="48" t="s">
        <v>38</v>
      </c>
      <c r="M173" s="48" t="s">
        <v>37</v>
      </c>
      <c r="N173" s="48" t="s">
        <v>1436</v>
      </c>
      <c r="O173" s="48" t="s">
        <v>1436</v>
      </c>
      <c r="P173" s="48" t="s">
        <v>1436</v>
      </c>
      <c r="Q173" s="48" t="s">
        <v>38</v>
      </c>
      <c r="R173" s="48" t="s">
        <v>39</v>
      </c>
      <c r="S173" s="48" t="s">
        <v>40</v>
      </c>
      <c r="T173" s="48" t="s">
        <v>41</v>
      </c>
      <c r="U173" s="48" t="s">
        <v>1436</v>
      </c>
      <c r="V173" s="48" t="s">
        <v>1436</v>
      </c>
      <c r="W173" s="48" t="s">
        <v>1436</v>
      </c>
      <c r="X173" s="49" t="s">
        <v>193</v>
      </c>
      <c r="Y173" s="48" t="s">
        <v>1194</v>
      </c>
      <c r="Z173" s="49" t="s">
        <v>1321</v>
      </c>
      <c r="AA173" s="48" t="s">
        <v>1324</v>
      </c>
      <c r="AB173" s="48" t="s">
        <v>1325</v>
      </c>
      <c r="AC173" s="48" t="s">
        <v>1239</v>
      </c>
      <c r="AD173" s="48" t="s">
        <v>1231</v>
      </c>
      <c r="AE173" s="48" t="s">
        <v>1669</v>
      </c>
      <c r="AF173" s="48" t="s">
        <v>1436</v>
      </c>
      <c r="AG173" s="48" t="s">
        <v>1436</v>
      </c>
      <c r="AH173" s="48" t="s">
        <v>208</v>
      </c>
      <c r="AI173" s="50">
        <v>44562</v>
      </c>
      <c r="AJ173" s="50">
        <v>46387</v>
      </c>
      <c r="AK173" s="49" t="s">
        <v>1280</v>
      </c>
      <c r="AL173" s="48" t="s">
        <v>36</v>
      </c>
      <c r="AM173" s="48" t="s">
        <v>36</v>
      </c>
      <c r="AN173" s="51">
        <v>41028.460832999997</v>
      </c>
      <c r="AO173" s="51"/>
      <c r="AP173" s="51"/>
      <c r="AQ173" s="72">
        <v>1600000</v>
      </c>
      <c r="AR173" s="72">
        <v>50000</v>
      </c>
      <c r="AS173" s="50">
        <v>46387</v>
      </c>
      <c r="AT173" s="50" t="s">
        <v>1436</v>
      </c>
      <c r="AU173" s="49" t="s">
        <v>1436</v>
      </c>
      <c r="AV173" s="49" t="s">
        <v>1670</v>
      </c>
      <c r="AW173" s="48" t="s">
        <v>1244</v>
      </c>
    </row>
    <row r="174" spans="1:49" x14ac:dyDescent="0.3">
      <c r="A174" s="48" t="s">
        <v>1320</v>
      </c>
      <c r="B174" s="48" t="s">
        <v>6</v>
      </c>
      <c r="C174" s="48" t="s">
        <v>1322</v>
      </c>
      <c r="D174" s="50">
        <v>45016</v>
      </c>
      <c r="E174" s="48" t="s">
        <v>36</v>
      </c>
      <c r="F174" s="48" t="s">
        <v>1433</v>
      </c>
      <c r="G174" s="48" t="s">
        <v>1447</v>
      </c>
      <c r="H174" s="49" t="s">
        <v>1450</v>
      </c>
      <c r="I174" s="48" t="s">
        <v>1408</v>
      </c>
      <c r="J174" s="48" t="s">
        <v>40</v>
      </c>
      <c r="K174" s="48" t="s">
        <v>54</v>
      </c>
      <c r="L174" s="48" t="s">
        <v>38</v>
      </c>
      <c r="M174" s="48" t="s">
        <v>37</v>
      </c>
      <c r="N174" s="48" t="s">
        <v>1436</v>
      </c>
      <c r="O174" s="48" t="s">
        <v>1436</v>
      </c>
      <c r="P174" s="48" t="s">
        <v>1436</v>
      </c>
      <c r="Q174" s="48" t="s">
        <v>38</v>
      </c>
      <c r="R174" s="48" t="s">
        <v>39</v>
      </c>
      <c r="S174" s="48" t="s">
        <v>40</v>
      </c>
      <c r="T174" s="48" t="s">
        <v>41</v>
      </c>
      <c r="U174" s="48" t="s">
        <v>1436</v>
      </c>
      <c r="V174" s="48" t="s">
        <v>1436</v>
      </c>
      <c r="W174" s="48" t="s">
        <v>1436</v>
      </c>
      <c r="X174" s="49" t="s">
        <v>193</v>
      </c>
      <c r="Y174" s="48" t="s">
        <v>1194</v>
      </c>
      <c r="Z174" s="49" t="s">
        <v>1321</v>
      </c>
      <c r="AA174" s="48" t="s">
        <v>1324</v>
      </c>
      <c r="AB174" s="48" t="s">
        <v>1325</v>
      </c>
      <c r="AC174" s="48" t="s">
        <v>1239</v>
      </c>
      <c r="AD174" s="48" t="s">
        <v>1231</v>
      </c>
      <c r="AE174" s="48" t="s">
        <v>1669</v>
      </c>
      <c r="AF174" s="48" t="s">
        <v>1436</v>
      </c>
      <c r="AG174" s="48" t="s">
        <v>1436</v>
      </c>
      <c r="AH174" s="48" t="s">
        <v>208</v>
      </c>
      <c r="AI174" s="50">
        <v>44562</v>
      </c>
      <c r="AJ174" s="50">
        <v>46387</v>
      </c>
      <c r="AK174" s="49" t="s">
        <v>1280</v>
      </c>
      <c r="AL174" s="48" t="s">
        <v>36</v>
      </c>
      <c r="AM174" s="48" t="s">
        <v>36</v>
      </c>
      <c r="AN174" s="51">
        <v>-2766</v>
      </c>
      <c r="AO174" s="51"/>
      <c r="AP174" s="51"/>
      <c r="AQ174" s="72">
        <v>1600000</v>
      </c>
      <c r="AR174" s="72">
        <v>50000</v>
      </c>
      <c r="AS174" s="50">
        <v>46387</v>
      </c>
      <c r="AT174" s="50" t="s">
        <v>1436</v>
      </c>
      <c r="AU174" s="49" t="s">
        <v>1436</v>
      </c>
      <c r="AV174" s="49" t="s">
        <v>1670</v>
      </c>
      <c r="AW174" s="48" t="s">
        <v>1244</v>
      </c>
    </row>
    <row r="175" spans="1:49" x14ac:dyDescent="0.3">
      <c r="A175" s="48" t="s">
        <v>1320</v>
      </c>
      <c r="B175" s="48" t="s">
        <v>6</v>
      </c>
      <c r="C175" s="48" t="s">
        <v>1322</v>
      </c>
      <c r="D175" s="50">
        <v>45016</v>
      </c>
      <c r="E175" s="48" t="s">
        <v>36</v>
      </c>
      <c r="F175" s="48" t="s">
        <v>1433</v>
      </c>
      <c r="G175" s="48" t="s">
        <v>1447</v>
      </c>
      <c r="H175" s="49" t="s">
        <v>1451</v>
      </c>
      <c r="I175" s="48" t="s">
        <v>1404</v>
      </c>
      <c r="J175" s="48" t="s">
        <v>38</v>
      </c>
      <c r="K175" s="48" t="s">
        <v>49</v>
      </c>
      <c r="L175" s="48" t="s">
        <v>38</v>
      </c>
      <c r="M175" s="48" t="s">
        <v>37</v>
      </c>
      <c r="N175" s="48" t="s">
        <v>1436</v>
      </c>
      <c r="O175" s="48" t="s">
        <v>1436</v>
      </c>
      <c r="P175" s="48" t="s">
        <v>1436</v>
      </c>
      <c r="Q175" s="48" t="s">
        <v>38</v>
      </c>
      <c r="R175" s="48" t="s">
        <v>39</v>
      </c>
      <c r="S175" s="48" t="s">
        <v>38</v>
      </c>
      <c r="T175" s="48" t="s">
        <v>41</v>
      </c>
      <c r="U175" s="48" t="s">
        <v>1436</v>
      </c>
      <c r="V175" s="48" t="s">
        <v>1436</v>
      </c>
      <c r="W175" s="48" t="s">
        <v>1436</v>
      </c>
      <c r="X175" s="49" t="s">
        <v>193</v>
      </c>
      <c r="Y175" s="48" t="s">
        <v>1194</v>
      </c>
      <c r="Z175" s="49" t="s">
        <v>1321</v>
      </c>
      <c r="AA175" s="48" t="s">
        <v>1324</v>
      </c>
      <c r="AB175" s="48" t="s">
        <v>1325</v>
      </c>
      <c r="AC175" s="48" t="s">
        <v>1239</v>
      </c>
      <c r="AD175" s="48" t="s">
        <v>1231</v>
      </c>
      <c r="AE175" s="48" t="s">
        <v>1669</v>
      </c>
      <c r="AF175" s="48" t="s">
        <v>1436</v>
      </c>
      <c r="AG175" s="48" t="s">
        <v>1436</v>
      </c>
      <c r="AH175" s="48" t="s">
        <v>208</v>
      </c>
      <c r="AI175" s="50">
        <v>44562</v>
      </c>
      <c r="AJ175" s="50">
        <v>46387</v>
      </c>
      <c r="AK175" s="49" t="s">
        <v>1280</v>
      </c>
      <c r="AL175" s="48" t="s">
        <v>36</v>
      </c>
      <c r="AM175" s="48" t="s">
        <v>36</v>
      </c>
      <c r="AN175" s="51">
        <v>223.197689</v>
      </c>
      <c r="AO175" s="51"/>
      <c r="AP175" s="51"/>
      <c r="AQ175" s="72">
        <v>1600000</v>
      </c>
      <c r="AR175" s="72">
        <v>50000</v>
      </c>
      <c r="AS175" s="50">
        <v>46387</v>
      </c>
      <c r="AT175" s="50" t="s">
        <v>1436</v>
      </c>
      <c r="AU175" s="49" t="s">
        <v>1436</v>
      </c>
      <c r="AV175" s="49" t="s">
        <v>1670</v>
      </c>
      <c r="AW175" s="48" t="s">
        <v>1244</v>
      </c>
    </row>
    <row r="176" spans="1:49" x14ac:dyDescent="0.3">
      <c r="A176" s="48" t="s">
        <v>1320</v>
      </c>
      <c r="B176" s="48" t="s">
        <v>6</v>
      </c>
      <c r="C176" s="48" t="s">
        <v>1322</v>
      </c>
      <c r="D176" s="50">
        <v>45046</v>
      </c>
      <c r="E176" s="48" t="s">
        <v>36</v>
      </c>
      <c r="F176" s="48" t="s">
        <v>1433</v>
      </c>
      <c r="G176" s="48" t="s">
        <v>1434</v>
      </c>
      <c r="H176" s="49" t="s">
        <v>1435</v>
      </c>
      <c r="I176" s="48" t="s">
        <v>1412</v>
      </c>
      <c r="J176" s="48" t="s">
        <v>40</v>
      </c>
      <c r="K176" s="48" t="s">
        <v>52</v>
      </c>
      <c r="L176" s="48" t="s">
        <v>38</v>
      </c>
      <c r="M176" s="48" t="s">
        <v>37</v>
      </c>
      <c r="N176" s="48" t="s">
        <v>1436</v>
      </c>
      <c r="O176" s="48" t="s">
        <v>1436</v>
      </c>
      <c r="P176" s="48" t="s">
        <v>1436</v>
      </c>
      <c r="Q176" s="48" t="s">
        <v>38</v>
      </c>
      <c r="R176" s="48" t="s">
        <v>39</v>
      </c>
      <c r="S176" s="48" t="s">
        <v>40</v>
      </c>
      <c r="T176" s="48" t="s">
        <v>41</v>
      </c>
      <c r="U176" s="48" t="s">
        <v>1436</v>
      </c>
      <c r="V176" s="48" t="s">
        <v>1436</v>
      </c>
      <c r="W176" s="48" t="s">
        <v>1436</v>
      </c>
      <c r="X176" s="49" t="s">
        <v>193</v>
      </c>
      <c r="Y176" s="48" t="s">
        <v>1194</v>
      </c>
      <c r="Z176" s="49" t="s">
        <v>1321</v>
      </c>
      <c r="AA176" s="48" t="s">
        <v>1324</v>
      </c>
      <c r="AB176" s="48" t="s">
        <v>1325</v>
      </c>
      <c r="AC176" s="48" t="s">
        <v>1239</v>
      </c>
      <c r="AD176" s="48" t="s">
        <v>1231</v>
      </c>
      <c r="AE176" s="48" t="s">
        <v>1669</v>
      </c>
      <c r="AF176" s="48" t="s">
        <v>1436</v>
      </c>
      <c r="AG176" s="48" t="s">
        <v>1436</v>
      </c>
      <c r="AH176" s="48" t="s">
        <v>208</v>
      </c>
      <c r="AI176" s="50">
        <v>44562</v>
      </c>
      <c r="AJ176" s="50">
        <v>46387</v>
      </c>
      <c r="AK176" s="49" t="s">
        <v>1280</v>
      </c>
      <c r="AL176" s="48" t="s">
        <v>36</v>
      </c>
      <c r="AM176" s="48" t="s">
        <v>36</v>
      </c>
      <c r="AN176" s="51">
        <v>-42330.49</v>
      </c>
      <c r="AO176" s="51"/>
      <c r="AP176" s="51"/>
      <c r="AQ176" s="72">
        <v>1600000</v>
      </c>
      <c r="AR176" s="72">
        <v>50000</v>
      </c>
      <c r="AS176" s="50">
        <v>46387</v>
      </c>
      <c r="AT176" s="50" t="s">
        <v>1436</v>
      </c>
      <c r="AU176" s="49" t="s">
        <v>1436</v>
      </c>
      <c r="AV176" s="49" t="s">
        <v>1670</v>
      </c>
      <c r="AW176" s="48" t="s">
        <v>1244</v>
      </c>
    </row>
    <row r="177" spans="1:49" x14ac:dyDescent="0.3">
      <c r="A177" s="48" t="s">
        <v>1320</v>
      </c>
      <c r="B177" s="48" t="s">
        <v>6</v>
      </c>
      <c r="C177" s="48" t="s">
        <v>1322</v>
      </c>
      <c r="D177" s="50">
        <v>45046</v>
      </c>
      <c r="E177" s="48" t="s">
        <v>36</v>
      </c>
      <c r="F177" s="48" t="s">
        <v>1433</v>
      </c>
      <c r="G177" s="48" t="s">
        <v>1434</v>
      </c>
      <c r="H177" s="49" t="s">
        <v>1437</v>
      </c>
      <c r="I177" s="48" t="s">
        <v>1410</v>
      </c>
      <c r="J177" s="48" t="s">
        <v>40</v>
      </c>
      <c r="K177" s="48" t="s">
        <v>42</v>
      </c>
      <c r="L177" s="48" t="s">
        <v>38</v>
      </c>
      <c r="M177" s="48" t="s">
        <v>37</v>
      </c>
      <c r="N177" s="48" t="s">
        <v>1436</v>
      </c>
      <c r="O177" s="48" t="s">
        <v>1436</v>
      </c>
      <c r="P177" s="48" t="s">
        <v>1436</v>
      </c>
      <c r="Q177" s="48" t="s">
        <v>38</v>
      </c>
      <c r="R177" s="48" t="s">
        <v>39</v>
      </c>
      <c r="S177" s="48" t="s">
        <v>40</v>
      </c>
      <c r="T177" s="48" t="s">
        <v>41</v>
      </c>
      <c r="U177" s="48" t="s">
        <v>1436</v>
      </c>
      <c r="V177" s="48" t="s">
        <v>1436</v>
      </c>
      <c r="W177" s="48" t="s">
        <v>1436</v>
      </c>
      <c r="X177" s="49" t="s">
        <v>193</v>
      </c>
      <c r="Y177" s="48" t="s">
        <v>1194</v>
      </c>
      <c r="Z177" s="49" t="s">
        <v>1321</v>
      </c>
      <c r="AA177" s="48" t="s">
        <v>1324</v>
      </c>
      <c r="AB177" s="48" t="s">
        <v>1325</v>
      </c>
      <c r="AC177" s="48" t="s">
        <v>1239</v>
      </c>
      <c r="AD177" s="48" t="s">
        <v>1231</v>
      </c>
      <c r="AE177" s="48" t="s">
        <v>1669</v>
      </c>
      <c r="AF177" s="48" t="s">
        <v>1436</v>
      </c>
      <c r="AG177" s="48" t="s">
        <v>1436</v>
      </c>
      <c r="AH177" s="48" t="s">
        <v>208</v>
      </c>
      <c r="AI177" s="50">
        <v>44562</v>
      </c>
      <c r="AJ177" s="50">
        <v>46387</v>
      </c>
      <c r="AK177" s="49" t="s">
        <v>1280</v>
      </c>
      <c r="AL177" s="48" t="s">
        <v>36</v>
      </c>
      <c r="AM177" s="48" t="s">
        <v>36</v>
      </c>
      <c r="AN177" s="51">
        <v>0</v>
      </c>
      <c r="AO177" s="51"/>
      <c r="AP177" s="51"/>
      <c r="AQ177" s="72">
        <v>1600000</v>
      </c>
      <c r="AR177" s="72">
        <v>50000</v>
      </c>
      <c r="AS177" s="50">
        <v>46387</v>
      </c>
      <c r="AT177" s="50" t="s">
        <v>1436</v>
      </c>
      <c r="AU177" s="49" t="s">
        <v>1436</v>
      </c>
      <c r="AV177" s="49" t="s">
        <v>1670</v>
      </c>
      <c r="AW177" s="48" t="s">
        <v>1244</v>
      </c>
    </row>
    <row r="178" spans="1:49" x14ac:dyDescent="0.3">
      <c r="A178" s="48" t="s">
        <v>1320</v>
      </c>
      <c r="B178" s="48" t="s">
        <v>6</v>
      </c>
      <c r="C178" s="48" t="s">
        <v>1322</v>
      </c>
      <c r="D178" s="50">
        <v>45046</v>
      </c>
      <c r="E178" s="48" t="s">
        <v>36</v>
      </c>
      <c r="F178" s="48" t="s">
        <v>1438</v>
      </c>
      <c r="G178" s="48" t="s">
        <v>1439</v>
      </c>
      <c r="H178" s="49" t="s">
        <v>1440</v>
      </c>
      <c r="I178" s="48" t="s">
        <v>1406</v>
      </c>
      <c r="J178" s="48" t="s">
        <v>1194</v>
      </c>
      <c r="K178" s="48" t="s">
        <v>1441</v>
      </c>
      <c r="L178" s="48" t="s">
        <v>38</v>
      </c>
      <c r="M178" s="48" t="s">
        <v>37</v>
      </c>
      <c r="N178" s="48" t="s">
        <v>1436</v>
      </c>
      <c r="O178" s="48" t="s">
        <v>1436</v>
      </c>
      <c r="P178" s="48" t="s">
        <v>1436</v>
      </c>
      <c r="Q178" s="48" t="s">
        <v>38</v>
      </c>
      <c r="R178" s="48" t="s">
        <v>39</v>
      </c>
      <c r="S178" s="48" t="s">
        <v>1194</v>
      </c>
      <c r="T178" s="48" t="s">
        <v>41</v>
      </c>
      <c r="U178" s="48" t="s">
        <v>1436</v>
      </c>
      <c r="V178" s="48" t="s">
        <v>1436</v>
      </c>
      <c r="W178" s="48" t="s">
        <v>1436</v>
      </c>
      <c r="X178" s="49" t="s">
        <v>193</v>
      </c>
      <c r="Y178" s="48" t="s">
        <v>1194</v>
      </c>
      <c r="Z178" s="49" t="s">
        <v>1321</v>
      </c>
      <c r="AA178" s="48" t="s">
        <v>1324</v>
      </c>
      <c r="AB178" s="48" t="s">
        <v>1325</v>
      </c>
      <c r="AC178" s="48" t="s">
        <v>1239</v>
      </c>
      <c r="AD178" s="48" t="s">
        <v>1231</v>
      </c>
      <c r="AE178" s="48" t="s">
        <v>1669</v>
      </c>
      <c r="AF178" s="48" t="s">
        <v>1436</v>
      </c>
      <c r="AG178" s="48" t="s">
        <v>1436</v>
      </c>
      <c r="AH178" s="48" t="s">
        <v>208</v>
      </c>
      <c r="AI178" s="50">
        <v>44562</v>
      </c>
      <c r="AJ178" s="50">
        <v>46387</v>
      </c>
      <c r="AK178" s="49" t="s">
        <v>1280</v>
      </c>
      <c r="AL178" s="48" t="s">
        <v>36</v>
      </c>
      <c r="AM178" s="48" t="s">
        <v>36</v>
      </c>
      <c r="AN178" s="51">
        <v>0</v>
      </c>
      <c r="AO178" s="51"/>
      <c r="AP178" s="51"/>
      <c r="AQ178" s="72">
        <v>1600000</v>
      </c>
      <c r="AR178" s="72">
        <v>50000</v>
      </c>
      <c r="AS178" s="50">
        <v>46387</v>
      </c>
      <c r="AT178" s="50" t="s">
        <v>1436</v>
      </c>
      <c r="AU178" s="49" t="s">
        <v>1436</v>
      </c>
      <c r="AV178" s="49" t="s">
        <v>1670</v>
      </c>
      <c r="AW178" s="48" t="s">
        <v>1244</v>
      </c>
    </row>
    <row r="179" spans="1:49" x14ac:dyDescent="0.3">
      <c r="A179" s="48" t="s">
        <v>1320</v>
      </c>
      <c r="B179" s="48" t="s">
        <v>6</v>
      </c>
      <c r="C179" s="48" t="s">
        <v>1322</v>
      </c>
      <c r="D179" s="50">
        <v>45046</v>
      </c>
      <c r="E179" s="48" t="s">
        <v>36</v>
      </c>
      <c r="F179" s="48" t="s">
        <v>1438</v>
      </c>
      <c r="G179" s="48" t="s">
        <v>1439</v>
      </c>
      <c r="H179" s="49" t="s">
        <v>1442</v>
      </c>
      <c r="I179" s="48" t="s">
        <v>1405</v>
      </c>
      <c r="J179" s="48" t="s">
        <v>1194</v>
      </c>
      <c r="K179" s="48" t="s">
        <v>1443</v>
      </c>
      <c r="L179" s="48" t="s">
        <v>38</v>
      </c>
      <c r="M179" s="48" t="s">
        <v>37</v>
      </c>
      <c r="N179" s="48" t="s">
        <v>1436</v>
      </c>
      <c r="O179" s="48" t="s">
        <v>1436</v>
      </c>
      <c r="P179" s="48" t="s">
        <v>1436</v>
      </c>
      <c r="Q179" s="48" t="s">
        <v>38</v>
      </c>
      <c r="R179" s="48" t="s">
        <v>39</v>
      </c>
      <c r="S179" s="48" t="s">
        <v>1194</v>
      </c>
      <c r="T179" s="48" t="s">
        <v>41</v>
      </c>
      <c r="U179" s="48" t="s">
        <v>1436</v>
      </c>
      <c r="V179" s="48" t="s">
        <v>1436</v>
      </c>
      <c r="W179" s="48" t="s">
        <v>1436</v>
      </c>
      <c r="X179" s="49" t="s">
        <v>193</v>
      </c>
      <c r="Y179" s="48" t="s">
        <v>1194</v>
      </c>
      <c r="Z179" s="49" t="s">
        <v>1321</v>
      </c>
      <c r="AA179" s="48" t="s">
        <v>1324</v>
      </c>
      <c r="AB179" s="48" t="s">
        <v>1325</v>
      </c>
      <c r="AC179" s="48" t="s">
        <v>1239</v>
      </c>
      <c r="AD179" s="48" t="s">
        <v>1231</v>
      </c>
      <c r="AE179" s="48" t="s">
        <v>1669</v>
      </c>
      <c r="AF179" s="48" t="s">
        <v>1436</v>
      </c>
      <c r="AG179" s="48" t="s">
        <v>1436</v>
      </c>
      <c r="AH179" s="48" t="s">
        <v>208</v>
      </c>
      <c r="AI179" s="50">
        <v>44562</v>
      </c>
      <c r="AJ179" s="50">
        <v>46387</v>
      </c>
      <c r="AK179" s="49" t="s">
        <v>1280</v>
      </c>
      <c r="AL179" s="48" t="s">
        <v>36</v>
      </c>
      <c r="AM179" s="48" t="s">
        <v>36</v>
      </c>
      <c r="AN179" s="51">
        <v>0</v>
      </c>
      <c r="AO179" s="51"/>
      <c r="AP179" s="51"/>
      <c r="AQ179" s="72">
        <v>1600000</v>
      </c>
      <c r="AR179" s="72">
        <v>50000</v>
      </c>
      <c r="AS179" s="50">
        <v>46387</v>
      </c>
      <c r="AT179" s="50" t="s">
        <v>1436</v>
      </c>
      <c r="AU179" s="49" t="s">
        <v>1436</v>
      </c>
      <c r="AV179" s="49" t="s">
        <v>1670</v>
      </c>
      <c r="AW179" s="48" t="s">
        <v>1244</v>
      </c>
    </row>
    <row r="180" spans="1:49" x14ac:dyDescent="0.3">
      <c r="A180" s="48" t="s">
        <v>1320</v>
      </c>
      <c r="B180" s="48" t="s">
        <v>6</v>
      </c>
      <c r="C180" s="48" t="s">
        <v>1322</v>
      </c>
      <c r="D180" s="50">
        <v>45046</v>
      </c>
      <c r="E180" s="48" t="s">
        <v>36</v>
      </c>
      <c r="F180" s="48" t="s">
        <v>1438</v>
      </c>
      <c r="G180" s="48" t="s">
        <v>1444</v>
      </c>
      <c r="H180" s="49" t="s">
        <v>1445</v>
      </c>
      <c r="I180" s="48" t="s">
        <v>1411</v>
      </c>
      <c r="J180" s="48" t="s">
        <v>40</v>
      </c>
      <c r="K180" s="48" t="s">
        <v>50</v>
      </c>
      <c r="L180" s="48" t="s">
        <v>38</v>
      </c>
      <c r="M180" s="48" t="s">
        <v>37</v>
      </c>
      <c r="N180" s="48" t="s">
        <v>1436</v>
      </c>
      <c r="O180" s="48" t="s">
        <v>1436</v>
      </c>
      <c r="P180" s="48" t="s">
        <v>1436</v>
      </c>
      <c r="Q180" s="48" t="s">
        <v>38</v>
      </c>
      <c r="R180" s="48" t="s">
        <v>39</v>
      </c>
      <c r="S180" s="48" t="s">
        <v>40</v>
      </c>
      <c r="T180" s="48" t="s">
        <v>41</v>
      </c>
      <c r="U180" s="48" t="s">
        <v>1436</v>
      </c>
      <c r="V180" s="48" t="s">
        <v>1436</v>
      </c>
      <c r="W180" s="48" t="s">
        <v>1436</v>
      </c>
      <c r="X180" s="49" t="s">
        <v>193</v>
      </c>
      <c r="Y180" s="48" t="s">
        <v>1194</v>
      </c>
      <c r="Z180" s="49" t="s">
        <v>1321</v>
      </c>
      <c r="AA180" s="48" t="s">
        <v>1324</v>
      </c>
      <c r="AB180" s="48" t="s">
        <v>1325</v>
      </c>
      <c r="AC180" s="48" t="s">
        <v>1239</v>
      </c>
      <c r="AD180" s="48" t="s">
        <v>1231</v>
      </c>
      <c r="AE180" s="48" t="s">
        <v>1669</v>
      </c>
      <c r="AF180" s="48" t="s">
        <v>1436</v>
      </c>
      <c r="AG180" s="48" t="s">
        <v>1436</v>
      </c>
      <c r="AH180" s="48" t="s">
        <v>208</v>
      </c>
      <c r="AI180" s="50">
        <v>44562</v>
      </c>
      <c r="AJ180" s="50">
        <v>46387</v>
      </c>
      <c r="AK180" s="49" t="s">
        <v>1280</v>
      </c>
      <c r="AL180" s="48" t="s">
        <v>36</v>
      </c>
      <c r="AM180" s="48" t="s">
        <v>36</v>
      </c>
      <c r="AN180" s="51">
        <v>42330.49</v>
      </c>
      <c r="AO180" s="51"/>
      <c r="AP180" s="51"/>
      <c r="AQ180" s="72">
        <v>1600000</v>
      </c>
      <c r="AR180" s="72">
        <v>50000</v>
      </c>
      <c r="AS180" s="50">
        <v>46387</v>
      </c>
      <c r="AT180" s="50" t="s">
        <v>1436</v>
      </c>
      <c r="AU180" s="49" t="s">
        <v>1436</v>
      </c>
      <c r="AV180" s="49" t="s">
        <v>1670</v>
      </c>
      <c r="AW180" s="48" t="s">
        <v>1244</v>
      </c>
    </row>
    <row r="181" spans="1:49" x14ac:dyDescent="0.3">
      <c r="A181" s="48" t="s">
        <v>1320</v>
      </c>
      <c r="B181" s="48" t="s">
        <v>6</v>
      </c>
      <c r="C181" s="48" t="s">
        <v>1322</v>
      </c>
      <c r="D181" s="50">
        <v>45046</v>
      </c>
      <c r="E181" s="48" t="s">
        <v>36</v>
      </c>
      <c r="F181" s="48" t="s">
        <v>1438</v>
      </c>
      <c r="G181" s="48" t="s">
        <v>1444</v>
      </c>
      <c r="H181" s="49" t="s">
        <v>1446</v>
      </c>
      <c r="I181" s="48" t="s">
        <v>1407</v>
      </c>
      <c r="J181" s="48" t="s">
        <v>40</v>
      </c>
      <c r="K181" s="48" t="s">
        <v>47</v>
      </c>
      <c r="L181" s="48" t="s">
        <v>38</v>
      </c>
      <c r="M181" s="48" t="s">
        <v>37</v>
      </c>
      <c r="N181" s="48" t="s">
        <v>1436</v>
      </c>
      <c r="O181" s="48" t="s">
        <v>1436</v>
      </c>
      <c r="P181" s="48" t="s">
        <v>1436</v>
      </c>
      <c r="Q181" s="48" t="s">
        <v>38</v>
      </c>
      <c r="R181" s="48" t="s">
        <v>39</v>
      </c>
      <c r="S181" s="48" t="s">
        <v>40</v>
      </c>
      <c r="T181" s="48" t="s">
        <v>41</v>
      </c>
      <c r="U181" s="48" t="s">
        <v>1436</v>
      </c>
      <c r="V181" s="48" t="s">
        <v>1436</v>
      </c>
      <c r="W181" s="48" t="s">
        <v>1436</v>
      </c>
      <c r="X181" s="49" t="s">
        <v>193</v>
      </c>
      <c r="Y181" s="48" t="s">
        <v>1194</v>
      </c>
      <c r="Z181" s="49" t="s">
        <v>1321</v>
      </c>
      <c r="AA181" s="48" t="s">
        <v>1324</v>
      </c>
      <c r="AB181" s="48" t="s">
        <v>1325</v>
      </c>
      <c r="AC181" s="48" t="s">
        <v>1239</v>
      </c>
      <c r="AD181" s="48" t="s">
        <v>1231</v>
      </c>
      <c r="AE181" s="48" t="s">
        <v>1669</v>
      </c>
      <c r="AF181" s="48" t="s">
        <v>1436</v>
      </c>
      <c r="AG181" s="48" t="s">
        <v>1436</v>
      </c>
      <c r="AH181" s="48" t="s">
        <v>208</v>
      </c>
      <c r="AI181" s="50">
        <v>44562</v>
      </c>
      <c r="AJ181" s="50">
        <v>46387</v>
      </c>
      <c r="AK181" s="49" t="s">
        <v>1280</v>
      </c>
      <c r="AL181" s="48" t="s">
        <v>36</v>
      </c>
      <c r="AM181" s="48" t="s">
        <v>36</v>
      </c>
      <c r="AN181" s="51">
        <v>11289.841804</v>
      </c>
      <c r="AO181" s="51"/>
      <c r="AP181" s="51"/>
      <c r="AQ181" s="72">
        <v>1600000</v>
      </c>
      <c r="AR181" s="72">
        <v>50000</v>
      </c>
      <c r="AS181" s="50">
        <v>46387</v>
      </c>
      <c r="AT181" s="50" t="s">
        <v>1436</v>
      </c>
      <c r="AU181" s="49" t="s">
        <v>1436</v>
      </c>
      <c r="AV181" s="49" t="s">
        <v>1670</v>
      </c>
      <c r="AW181" s="48" t="s">
        <v>1244</v>
      </c>
    </row>
    <row r="182" spans="1:49" x14ac:dyDescent="0.3">
      <c r="A182" s="48" t="s">
        <v>1320</v>
      </c>
      <c r="B182" s="48" t="s">
        <v>6</v>
      </c>
      <c r="C182" s="48" t="s">
        <v>1322</v>
      </c>
      <c r="D182" s="50">
        <v>45046</v>
      </c>
      <c r="E182" s="48" t="s">
        <v>36</v>
      </c>
      <c r="F182" s="48" t="s">
        <v>1433</v>
      </c>
      <c r="G182" s="48" t="s">
        <v>1447</v>
      </c>
      <c r="H182" s="49" t="s">
        <v>1448</v>
      </c>
      <c r="I182" s="48" t="s">
        <v>1413</v>
      </c>
      <c r="J182" s="48" t="s">
        <v>40</v>
      </c>
      <c r="K182" s="48" t="s">
        <v>58</v>
      </c>
      <c r="L182" s="48" t="s">
        <v>38</v>
      </c>
      <c r="M182" s="48" t="s">
        <v>37</v>
      </c>
      <c r="N182" s="48" t="s">
        <v>1436</v>
      </c>
      <c r="O182" s="48" t="s">
        <v>1436</v>
      </c>
      <c r="P182" s="48" t="s">
        <v>1436</v>
      </c>
      <c r="Q182" s="48" t="s">
        <v>38</v>
      </c>
      <c r="R182" s="48" t="s">
        <v>39</v>
      </c>
      <c r="S182" s="48" t="s">
        <v>40</v>
      </c>
      <c r="T182" s="48" t="s">
        <v>41</v>
      </c>
      <c r="U182" s="48" t="s">
        <v>1436</v>
      </c>
      <c r="V182" s="48" t="s">
        <v>1436</v>
      </c>
      <c r="W182" s="48" t="s">
        <v>1436</v>
      </c>
      <c r="X182" s="49" t="s">
        <v>193</v>
      </c>
      <c r="Y182" s="48" t="s">
        <v>1194</v>
      </c>
      <c r="Z182" s="49" t="s">
        <v>1321</v>
      </c>
      <c r="AA182" s="48" t="s">
        <v>1324</v>
      </c>
      <c r="AB182" s="48" t="s">
        <v>1325</v>
      </c>
      <c r="AC182" s="48" t="s">
        <v>1239</v>
      </c>
      <c r="AD182" s="48" t="s">
        <v>1231</v>
      </c>
      <c r="AE182" s="48" t="s">
        <v>1669</v>
      </c>
      <c r="AF182" s="48" t="s">
        <v>1436</v>
      </c>
      <c r="AG182" s="48" t="s">
        <v>1436</v>
      </c>
      <c r="AH182" s="48" t="s">
        <v>208</v>
      </c>
      <c r="AI182" s="50">
        <v>44562</v>
      </c>
      <c r="AJ182" s="50">
        <v>46387</v>
      </c>
      <c r="AK182" s="49" t="s">
        <v>1280</v>
      </c>
      <c r="AL182" s="48" t="s">
        <v>36</v>
      </c>
      <c r="AM182" s="48" t="s">
        <v>36</v>
      </c>
      <c r="AN182" s="51">
        <v>-50000</v>
      </c>
      <c r="AO182" s="51"/>
      <c r="AP182" s="51"/>
      <c r="AQ182" s="72">
        <v>1600000</v>
      </c>
      <c r="AR182" s="72">
        <v>50000</v>
      </c>
      <c r="AS182" s="50">
        <v>46387</v>
      </c>
      <c r="AT182" s="50" t="s">
        <v>1436</v>
      </c>
      <c r="AU182" s="49" t="s">
        <v>1436</v>
      </c>
      <c r="AV182" s="49" t="s">
        <v>1670</v>
      </c>
      <c r="AW182" s="48" t="s">
        <v>1244</v>
      </c>
    </row>
    <row r="183" spans="1:49" x14ac:dyDescent="0.3">
      <c r="A183" s="48" t="s">
        <v>1320</v>
      </c>
      <c r="B183" s="48" t="s">
        <v>6</v>
      </c>
      <c r="C183" s="48" t="s">
        <v>1322</v>
      </c>
      <c r="D183" s="50">
        <v>45046</v>
      </c>
      <c r="E183" s="48" t="s">
        <v>36</v>
      </c>
      <c r="F183" s="48" t="s">
        <v>1433</v>
      </c>
      <c r="G183" s="48" t="s">
        <v>1447</v>
      </c>
      <c r="H183" s="49" t="s">
        <v>1449</v>
      </c>
      <c r="I183" s="48" t="s">
        <v>1409</v>
      </c>
      <c r="J183" s="48" t="s">
        <v>40</v>
      </c>
      <c r="K183" s="48" t="s">
        <v>45</v>
      </c>
      <c r="L183" s="48" t="s">
        <v>38</v>
      </c>
      <c r="M183" s="48" t="s">
        <v>37</v>
      </c>
      <c r="N183" s="48" t="s">
        <v>1436</v>
      </c>
      <c r="O183" s="48" t="s">
        <v>1436</v>
      </c>
      <c r="P183" s="48" t="s">
        <v>1436</v>
      </c>
      <c r="Q183" s="48" t="s">
        <v>38</v>
      </c>
      <c r="R183" s="48" t="s">
        <v>39</v>
      </c>
      <c r="S183" s="48" t="s">
        <v>40</v>
      </c>
      <c r="T183" s="48" t="s">
        <v>41</v>
      </c>
      <c r="U183" s="48" t="s">
        <v>1436</v>
      </c>
      <c r="V183" s="48" t="s">
        <v>1436</v>
      </c>
      <c r="W183" s="48" t="s">
        <v>1436</v>
      </c>
      <c r="X183" s="49" t="s">
        <v>193</v>
      </c>
      <c r="Y183" s="48" t="s">
        <v>1194</v>
      </c>
      <c r="Z183" s="49" t="s">
        <v>1321</v>
      </c>
      <c r="AA183" s="48" t="s">
        <v>1324</v>
      </c>
      <c r="AB183" s="48" t="s">
        <v>1325</v>
      </c>
      <c r="AC183" s="48" t="s">
        <v>1239</v>
      </c>
      <c r="AD183" s="48" t="s">
        <v>1231</v>
      </c>
      <c r="AE183" s="48" t="s">
        <v>1669</v>
      </c>
      <c r="AF183" s="48" t="s">
        <v>1436</v>
      </c>
      <c r="AG183" s="48" t="s">
        <v>1436</v>
      </c>
      <c r="AH183" s="48" t="s">
        <v>208</v>
      </c>
      <c r="AI183" s="50">
        <v>44562</v>
      </c>
      <c r="AJ183" s="50">
        <v>46387</v>
      </c>
      <c r="AK183" s="49" t="s">
        <v>1280</v>
      </c>
      <c r="AL183" s="48" t="s">
        <v>36</v>
      </c>
      <c r="AM183" s="48" t="s">
        <v>36</v>
      </c>
      <c r="AN183" s="51">
        <v>41267.788522000003</v>
      </c>
      <c r="AO183" s="51"/>
      <c r="AP183" s="51"/>
      <c r="AQ183" s="72">
        <v>1600000</v>
      </c>
      <c r="AR183" s="72">
        <v>50000</v>
      </c>
      <c r="AS183" s="50">
        <v>46387</v>
      </c>
      <c r="AT183" s="50" t="s">
        <v>1436</v>
      </c>
      <c r="AU183" s="49" t="s">
        <v>1436</v>
      </c>
      <c r="AV183" s="49" t="s">
        <v>1670</v>
      </c>
      <c r="AW183" s="48" t="s">
        <v>1244</v>
      </c>
    </row>
    <row r="184" spans="1:49" x14ac:dyDescent="0.3">
      <c r="A184" s="48" t="s">
        <v>1320</v>
      </c>
      <c r="B184" s="48" t="s">
        <v>6</v>
      </c>
      <c r="C184" s="48" t="s">
        <v>1322</v>
      </c>
      <c r="D184" s="50">
        <v>45046</v>
      </c>
      <c r="E184" s="48" t="s">
        <v>36</v>
      </c>
      <c r="F184" s="48" t="s">
        <v>1433</v>
      </c>
      <c r="G184" s="48" t="s">
        <v>1447</v>
      </c>
      <c r="H184" s="49" t="s">
        <v>1450</v>
      </c>
      <c r="I184" s="48" t="s">
        <v>1408</v>
      </c>
      <c r="J184" s="48" t="s">
        <v>40</v>
      </c>
      <c r="K184" s="48" t="s">
        <v>54</v>
      </c>
      <c r="L184" s="48" t="s">
        <v>38</v>
      </c>
      <c r="M184" s="48" t="s">
        <v>37</v>
      </c>
      <c r="N184" s="48" t="s">
        <v>1436</v>
      </c>
      <c r="O184" s="48" t="s">
        <v>1436</v>
      </c>
      <c r="P184" s="48" t="s">
        <v>1436</v>
      </c>
      <c r="Q184" s="48" t="s">
        <v>38</v>
      </c>
      <c r="R184" s="48" t="s">
        <v>39</v>
      </c>
      <c r="S184" s="48" t="s">
        <v>40</v>
      </c>
      <c r="T184" s="48" t="s">
        <v>41</v>
      </c>
      <c r="U184" s="48" t="s">
        <v>1436</v>
      </c>
      <c r="V184" s="48" t="s">
        <v>1436</v>
      </c>
      <c r="W184" s="48" t="s">
        <v>1436</v>
      </c>
      <c r="X184" s="49" t="s">
        <v>193</v>
      </c>
      <c r="Y184" s="48" t="s">
        <v>1194</v>
      </c>
      <c r="Z184" s="49" t="s">
        <v>1321</v>
      </c>
      <c r="AA184" s="48" t="s">
        <v>1324</v>
      </c>
      <c r="AB184" s="48" t="s">
        <v>1325</v>
      </c>
      <c r="AC184" s="48" t="s">
        <v>1239</v>
      </c>
      <c r="AD184" s="48" t="s">
        <v>1231</v>
      </c>
      <c r="AE184" s="48" t="s">
        <v>1669</v>
      </c>
      <c r="AF184" s="48" t="s">
        <v>1436</v>
      </c>
      <c r="AG184" s="48" t="s">
        <v>1436</v>
      </c>
      <c r="AH184" s="48" t="s">
        <v>208</v>
      </c>
      <c r="AI184" s="50">
        <v>44562</v>
      </c>
      <c r="AJ184" s="50">
        <v>46387</v>
      </c>
      <c r="AK184" s="49" t="s">
        <v>1280</v>
      </c>
      <c r="AL184" s="48" t="s">
        <v>36</v>
      </c>
      <c r="AM184" s="48" t="s">
        <v>36</v>
      </c>
      <c r="AN184" s="51">
        <v>-2782.13</v>
      </c>
      <c r="AO184" s="51"/>
      <c r="AP184" s="51"/>
      <c r="AQ184" s="72">
        <v>1600000</v>
      </c>
      <c r="AR184" s="72">
        <v>50000</v>
      </c>
      <c r="AS184" s="50">
        <v>46387</v>
      </c>
      <c r="AT184" s="50" t="s">
        <v>1436</v>
      </c>
      <c r="AU184" s="49" t="s">
        <v>1436</v>
      </c>
      <c r="AV184" s="49" t="s">
        <v>1670</v>
      </c>
      <c r="AW184" s="48" t="s">
        <v>1244</v>
      </c>
    </row>
    <row r="185" spans="1:49" x14ac:dyDescent="0.3">
      <c r="A185" s="48" t="s">
        <v>1320</v>
      </c>
      <c r="B185" s="48" t="s">
        <v>6</v>
      </c>
      <c r="C185" s="48" t="s">
        <v>1322</v>
      </c>
      <c r="D185" s="50">
        <v>45046</v>
      </c>
      <c r="E185" s="48" t="s">
        <v>36</v>
      </c>
      <c r="F185" s="48" t="s">
        <v>1433</v>
      </c>
      <c r="G185" s="48" t="s">
        <v>1447</v>
      </c>
      <c r="H185" s="49" t="s">
        <v>1451</v>
      </c>
      <c r="I185" s="48" t="s">
        <v>1404</v>
      </c>
      <c r="J185" s="48" t="s">
        <v>38</v>
      </c>
      <c r="K185" s="48" t="s">
        <v>49</v>
      </c>
      <c r="L185" s="48" t="s">
        <v>38</v>
      </c>
      <c r="M185" s="48" t="s">
        <v>37</v>
      </c>
      <c r="N185" s="48" t="s">
        <v>1436</v>
      </c>
      <c r="O185" s="48" t="s">
        <v>1436</v>
      </c>
      <c r="P185" s="48" t="s">
        <v>1436</v>
      </c>
      <c r="Q185" s="48" t="s">
        <v>38</v>
      </c>
      <c r="R185" s="48" t="s">
        <v>39</v>
      </c>
      <c r="S185" s="48" t="s">
        <v>38</v>
      </c>
      <c r="T185" s="48" t="s">
        <v>41</v>
      </c>
      <c r="U185" s="48" t="s">
        <v>1436</v>
      </c>
      <c r="V185" s="48" t="s">
        <v>1436</v>
      </c>
      <c r="W185" s="48" t="s">
        <v>1436</v>
      </c>
      <c r="X185" s="49" t="s">
        <v>193</v>
      </c>
      <c r="Y185" s="48" t="s">
        <v>1194</v>
      </c>
      <c r="Z185" s="49" t="s">
        <v>1321</v>
      </c>
      <c r="AA185" s="48" t="s">
        <v>1324</v>
      </c>
      <c r="AB185" s="48" t="s">
        <v>1325</v>
      </c>
      <c r="AC185" s="48" t="s">
        <v>1239</v>
      </c>
      <c r="AD185" s="48" t="s">
        <v>1231</v>
      </c>
      <c r="AE185" s="48" t="s">
        <v>1669</v>
      </c>
      <c r="AF185" s="48" t="s">
        <v>1436</v>
      </c>
      <c r="AG185" s="48" t="s">
        <v>1436</v>
      </c>
      <c r="AH185" s="48" t="s">
        <v>208</v>
      </c>
      <c r="AI185" s="50">
        <v>44562</v>
      </c>
      <c r="AJ185" s="50">
        <v>46387</v>
      </c>
      <c r="AK185" s="49" t="s">
        <v>1280</v>
      </c>
      <c r="AL185" s="48" t="s">
        <v>36</v>
      </c>
      <c r="AM185" s="48" t="s">
        <v>36</v>
      </c>
      <c r="AN185" s="51">
        <v>224.499674</v>
      </c>
      <c r="AO185" s="51"/>
      <c r="AP185" s="51"/>
      <c r="AQ185" s="72">
        <v>1600000</v>
      </c>
      <c r="AR185" s="72">
        <v>50000</v>
      </c>
      <c r="AS185" s="50">
        <v>46387</v>
      </c>
      <c r="AT185" s="50" t="s">
        <v>1436</v>
      </c>
      <c r="AU185" s="49" t="s">
        <v>1436</v>
      </c>
      <c r="AV185" s="49" t="s">
        <v>1670</v>
      </c>
      <c r="AW185" s="48" t="s">
        <v>1244</v>
      </c>
    </row>
    <row r="186" spans="1:49" x14ac:dyDescent="0.3">
      <c r="A186" s="48" t="s">
        <v>1320</v>
      </c>
      <c r="B186" s="48" t="s">
        <v>6</v>
      </c>
      <c r="C186" s="48" t="s">
        <v>1322</v>
      </c>
      <c r="D186" s="50">
        <v>45077</v>
      </c>
      <c r="E186" s="48" t="s">
        <v>36</v>
      </c>
      <c r="F186" s="48" t="s">
        <v>1433</v>
      </c>
      <c r="G186" s="48" t="s">
        <v>1434</v>
      </c>
      <c r="H186" s="49" t="s">
        <v>1435</v>
      </c>
      <c r="I186" s="48" t="s">
        <v>1412</v>
      </c>
      <c r="J186" s="48" t="s">
        <v>40</v>
      </c>
      <c r="K186" s="48" t="s">
        <v>52</v>
      </c>
      <c r="L186" s="48" t="s">
        <v>38</v>
      </c>
      <c r="M186" s="48" t="s">
        <v>37</v>
      </c>
      <c r="N186" s="48" t="s">
        <v>1436</v>
      </c>
      <c r="O186" s="48" t="s">
        <v>1436</v>
      </c>
      <c r="P186" s="48" t="s">
        <v>1436</v>
      </c>
      <c r="Q186" s="48" t="s">
        <v>38</v>
      </c>
      <c r="R186" s="48" t="s">
        <v>39</v>
      </c>
      <c r="S186" s="48" t="s">
        <v>40</v>
      </c>
      <c r="T186" s="48" t="s">
        <v>41</v>
      </c>
      <c r="U186" s="48" t="s">
        <v>1436</v>
      </c>
      <c r="V186" s="48" t="s">
        <v>1436</v>
      </c>
      <c r="W186" s="48" t="s">
        <v>1436</v>
      </c>
      <c r="X186" s="49" t="s">
        <v>193</v>
      </c>
      <c r="Y186" s="48" t="s">
        <v>1194</v>
      </c>
      <c r="Z186" s="49" t="s">
        <v>1321</v>
      </c>
      <c r="AA186" s="48" t="s">
        <v>1324</v>
      </c>
      <c r="AB186" s="48" t="s">
        <v>1325</v>
      </c>
      <c r="AC186" s="48" t="s">
        <v>1239</v>
      </c>
      <c r="AD186" s="48" t="s">
        <v>1231</v>
      </c>
      <c r="AE186" s="48" t="s">
        <v>1669</v>
      </c>
      <c r="AF186" s="48" t="s">
        <v>1436</v>
      </c>
      <c r="AG186" s="48" t="s">
        <v>1436</v>
      </c>
      <c r="AH186" s="48" t="s">
        <v>208</v>
      </c>
      <c r="AI186" s="50">
        <v>44562</v>
      </c>
      <c r="AJ186" s="50">
        <v>46387</v>
      </c>
      <c r="AK186" s="49" t="s">
        <v>1280</v>
      </c>
      <c r="AL186" s="48" t="s">
        <v>36</v>
      </c>
      <c r="AM186" s="48" t="s">
        <v>36</v>
      </c>
      <c r="AN186" s="51">
        <v>-42330.49</v>
      </c>
      <c r="AO186" s="51"/>
      <c r="AP186" s="51"/>
      <c r="AQ186" s="72">
        <v>1600000</v>
      </c>
      <c r="AR186" s="72">
        <v>50000</v>
      </c>
      <c r="AS186" s="50">
        <v>46387</v>
      </c>
      <c r="AT186" s="50" t="s">
        <v>1436</v>
      </c>
      <c r="AU186" s="49" t="s">
        <v>1436</v>
      </c>
      <c r="AV186" s="49" t="s">
        <v>1670</v>
      </c>
      <c r="AW186" s="48" t="s">
        <v>1244</v>
      </c>
    </row>
    <row r="187" spans="1:49" x14ac:dyDescent="0.3">
      <c r="A187" s="48" t="s">
        <v>1320</v>
      </c>
      <c r="B187" s="48" t="s">
        <v>6</v>
      </c>
      <c r="C187" s="48" t="s">
        <v>1322</v>
      </c>
      <c r="D187" s="50">
        <v>45077</v>
      </c>
      <c r="E187" s="48" t="s">
        <v>36</v>
      </c>
      <c r="F187" s="48" t="s">
        <v>1433</v>
      </c>
      <c r="G187" s="48" t="s">
        <v>1434</v>
      </c>
      <c r="H187" s="49" t="s">
        <v>1437</v>
      </c>
      <c r="I187" s="48" t="s">
        <v>1410</v>
      </c>
      <c r="J187" s="48" t="s">
        <v>40</v>
      </c>
      <c r="K187" s="48" t="s">
        <v>42</v>
      </c>
      <c r="L187" s="48" t="s">
        <v>38</v>
      </c>
      <c r="M187" s="48" t="s">
        <v>37</v>
      </c>
      <c r="N187" s="48" t="s">
        <v>1436</v>
      </c>
      <c r="O187" s="48" t="s">
        <v>1436</v>
      </c>
      <c r="P187" s="48" t="s">
        <v>1436</v>
      </c>
      <c r="Q187" s="48" t="s">
        <v>38</v>
      </c>
      <c r="R187" s="48" t="s">
        <v>39</v>
      </c>
      <c r="S187" s="48" t="s">
        <v>40</v>
      </c>
      <c r="T187" s="48" t="s">
        <v>41</v>
      </c>
      <c r="U187" s="48" t="s">
        <v>1436</v>
      </c>
      <c r="V187" s="48" t="s">
        <v>1436</v>
      </c>
      <c r="W187" s="48" t="s">
        <v>1436</v>
      </c>
      <c r="X187" s="49" t="s">
        <v>193</v>
      </c>
      <c r="Y187" s="48" t="s">
        <v>1194</v>
      </c>
      <c r="Z187" s="49" t="s">
        <v>1321</v>
      </c>
      <c r="AA187" s="48" t="s">
        <v>1324</v>
      </c>
      <c r="AB187" s="48" t="s">
        <v>1325</v>
      </c>
      <c r="AC187" s="48" t="s">
        <v>1239</v>
      </c>
      <c r="AD187" s="48" t="s">
        <v>1231</v>
      </c>
      <c r="AE187" s="48" t="s">
        <v>1669</v>
      </c>
      <c r="AF187" s="48" t="s">
        <v>1436</v>
      </c>
      <c r="AG187" s="48" t="s">
        <v>1436</v>
      </c>
      <c r="AH187" s="48" t="s">
        <v>208</v>
      </c>
      <c r="AI187" s="50">
        <v>44562</v>
      </c>
      <c r="AJ187" s="50">
        <v>46387</v>
      </c>
      <c r="AK187" s="49" t="s">
        <v>1280</v>
      </c>
      <c r="AL187" s="48" t="s">
        <v>36</v>
      </c>
      <c r="AM187" s="48" t="s">
        <v>36</v>
      </c>
      <c r="AN187" s="51">
        <v>0</v>
      </c>
      <c r="AO187" s="51"/>
      <c r="AP187" s="51"/>
      <c r="AQ187" s="72">
        <v>1600000</v>
      </c>
      <c r="AR187" s="72">
        <v>50000</v>
      </c>
      <c r="AS187" s="50">
        <v>46387</v>
      </c>
      <c r="AT187" s="50" t="s">
        <v>1436</v>
      </c>
      <c r="AU187" s="49" t="s">
        <v>1436</v>
      </c>
      <c r="AV187" s="49" t="s">
        <v>1670</v>
      </c>
      <c r="AW187" s="48" t="s">
        <v>1244</v>
      </c>
    </row>
    <row r="188" spans="1:49" x14ac:dyDescent="0.3">
      <c r="A188" s="48" t="s">
        <v>1320</v>
      </c>
      <c r="B188" s="48" t="s">
        <v>6</v>
      </c>
      <c r="C188" s="48" t="s">
        <v>1322</v>
      </c>
      <c r="D188" s="50">
        <v>45077</v>
      </c>
      <c r="E188" s="48" t="s">
        <v>36</v>
      </c>
      <c r="F188" s="48" t="s">
        <v>1438</v>
      </c>
      <c r="G188" s="48" t="s">
        <v>1439</v>
      </c>
      <c r="H188" s="49" t="s">
        <v>1440</v>
      </c>
      <c r="I188" s="48" t="s">
        <v>1406</v>
      </c>
      <c r="J188" s="48" t="s">
        <v>1194</v>
      </c>
      <c r="K188" s="48" t="s">
        <v>1441</v>
      </c>
      <c r="L188" s="48" t="s">
        <v>38</v>
      </c>
      <c r="M188" s="48" t="s">
        <v>37</v>
      </c>
      <c r="N188" s="48" t="s">
        <v>1436</v>
      </c>
      <c r="O188" s="48" t="s">
        <v>1436</v>
      </c>
      <c r="P188" s="48" t="s">
        <v>1436</v>
      </c>
      <c r="Q188" s="48" t="s">
        <v>38</v>
      </c>
      <c r="R188" s="48" t="s">
        <v>39</v>
      </c>
      <c r="S188" s="48" t="s">
        <v>1194</v>
      </c>
      <c r="T188" s="48" t="s">
        <v>41</v>
      </c>
      <c r="U188" s="48" t="s">
        <v>1436</v>
      </c>
      <c r="V188" s="48" t="s">
        <v>1436</v>
      </c>
      <c r="W188" s="48" t="s">
        <v>1436</v>
      </c>
      <c r="X188" s="49" t="s">
        <v>193</v>
      </c>
      <c r="Y188" s="48" t="s">
        <v>1194</v>
      </c>
      <c r="Z188" s="49" t="s">
        <v>1321</v>
      </c>
      <c r="AA188" s="48" t="s">
        <v>1324</v>
      </c>
      <c r="AB188" s="48" t="s">
        <v>1325</v>
      </c>
      <c r="AC188" s="48" t="s">
        <v>1239</v>
      </c>
      <c r="AD188" s="48" t="s">
        <v>1231</v>
      </c>
      <c r="AE188" s="48" t="s">
        <v>1669</v>
      </c>
      <c r="AF188" s="48" t="s">
        <v>1436</v>
      </c>
      <c r="AG188" s="48" t="s">
        <v>1436</v>
      </c>
      <c r="AH188" s="48" t="s">
        <v>208</v>
      </c>
      <c r="AI188" s="50">
        <v>44562</v>
      </c>
      <c r="AJ188" s="50">
        <v>46387</v>
      </c>
      <c r="AK188" s="49" t="s">
        <v>1280</v>
      </c>
      <c r="AL188" s="48" t="s">
        <v>36</v>
      </c>
      <c r="AM188" s="48" t="s">
        <v>36</v>
      </c>
      <c r="AN188" s="51">
        <v>0</v>
      </c>
      <c r="AO188" s="51"/>
      <c r="AP188" s="51"/>
      <c r="AQ188" s="72">
        <v>1600000</v>
      </c>
      <c r="AR188" s="72">
        <v>50000</v>
      </c>
      <c r="AS188" s="50">
        <v>46387</v>
      </c>
      <c r="AT188" s="50" t="s">
        <v>1436</v>
      </c>
      <c r="AU188" s="49" t="s">
        <v>1436</v>
      </c>
      <c r="AV188" s="49" t="s">
        <v>1670</v>
      </c>
      <c r="AW188" s="48" t="s">
        <v>1244</v>
      </c>
    </row>
    <row r="189" spans="1:49" x14ac:dyDescent="0.3">
      <c r="A189" s="48" t="s">
        <v>1320</v>
      </c>
      <c r="B189" s="48" t="s">
        <v>6</v>
      </c>
      <c r="C189" s="48" t="s">
        <v>1322</v>
      </c>
      <c r="D189" s="50">
        <v>45077</v>
      </c>
      <c r="E189" s="48" t="s">
        <v>36</v>
      </c>
      <c r="F189" s="48" t="s">
        <v>1438</v>
      </c>
      <c r="G189" s="48" t="s">
        <v>1439</v>
      </c>
      <c r="H189" s="49" t="s">
        <v>1442</v>
      </c>
      <c r="I189" s="48" t="s">
        <v>1405</v>
      </c>
      <c r="J189" s="48" t="s">
        <v>1194</v>
      </c>
      <c r="K189" s="48" t="s">
        <v>1443</v>
      </c>
      <c r="L189" s="48" t="s">
        <v>38</v>
      </c>
      <c r="M189" s="48" t="s">
        <v>37</v>
      </c>
      <c r="N189" s="48" t="s">
        <v>1436</v>
      </c>
      <c r="O189" s="48" t="s">
        <v>1436</v>
      </c>
      <c r="P189" s="48" t="s">
        <v>1436</v>
      </c>
      <c r="Q189" s="48" t="s">
        <v>38</v>
      </c>
      <c r="R189" s="48" t="s">
        <v>39</v>
      </c>
      <c r="S189" s="48" t="s">
        <v>1194</v>
      </c>
      <c r="T189" s="48" t="s">
        <v>41</v>
      </c>
      <c r="U189" s="48" t="s">
        <v>1436</v>
      </c>
      <c r="V189" s="48" t="s">
        <v>1436</v>
      </c>
      <c r="W189" s="48" t="s">
        <v>1436</v>
      </c>
      <c r="X189" s="49" t="s">
        <v>193</v>
      </c>
      <c r="Y189" s="48" t="s">
        <v>1194</v>
      </c>
      <c r="Z189" s="49" t="s">
        <v>1321</v>
      </c>
      <c r="AA189" s="48" t="s">
        <v>1324</v>
      </c>
      <c r="AB189" s="48" t="s">
        <v>1325</v>
      </c>
      <c r="AC189" s="48" t="s">
        <v>1239</v>
      </c>
      <c r="AD189" s="48" t="s">
        <v>1231</v>
      </c>
      <c r="AE189" s="48" t="s">
        <v>1669</v>
      </c>
      <c r="AF189" s="48" t="s">
        <v>1436</v>
      </c>
      <c r="AG189" s="48" t="s">
        <v>1436</v>
      </c>
      <c r="AH189" s="48" t="s">
        <v>208</v>
      </c>
      <c r="AI189" s="50">
        <v>44562</v>
      </c>
      <c r="AJ189" s="50">
        <v>46387</v>
      </c>
      <c r="AK189" s="49" t="s">
        <v>1280</v>
      </c>
      <c r="AL189" s="48" t="s">
        <v>36</v>
      </c>
      <c r="AM189" s="48" t="s">
        <v>36</v>
      </c>
      <c r="AN189" s="51">
        <v>0</v>
      </c>
      <c r="AO189" s="51"/>
      <c r="AP189" s="51"/>
      <c r="AQ189" s="72">
        <v>1600000</v>
      </c>
      <c r="AR189" s="72">
        <v>50000</v>
      </c>
      <c r="AS189" s="50">
        <v>46387</v>
      </c>
      <c r="AT189" s="50" t="s">
        <v>1436</v>
      </c>
      <c r="AU189" s="49" t="s">
        <v>1436</v>
      </c>
      <c r="AV189" s="49" t="s">
        <v>1670</v>
      </c>
      <c r="AW189" s="48" t="s">
        <v>1244</v>
      </c>
    </row>
    <row r="190" spans="1:49" x14ac:dyDescent="0.3">
      <c r="A190" s="48" t="s">
        <v>1320</v>
      </c>
      <c r="B190" s="48" t="s">
        <v>6</v>
      </c>
      <c r="C190" s="48" t="s">
        <v>1322</v>
      </c>
      <c r="D190" s="50">
        <v>45077</v>
      </c>
      <c r="E190" s="48" t="s">
        <v>36</v>
      </c>
      <c r="F190" s="48" t="s">
        <v>1438</v>
      </c>
      <c r="G190" s="48" t="s">
        <v>1444</v>
      </c>
      <c r="H190" s="49" t="s">
        <v>1445</v>
      </c>
      <c r="I190" s="48" t="s">
        <v>1411</v>
      </c>
      <c r="J190" s="48" t="s">
        <v>40</v>
      </c>
      <c r="K190" s="48" t="s">
        <v>50</v>
      </c>
      <c r="L190" s="48" t="s">
        <v>38</v>
      </c>
      <c r="M190" s="48" t="s">
        <v>37</v>
      </c>
      <c r="N190" s="48" t="s">
        <v>1436</v>
      </c>
      <c r="O190" s="48" t="s">
        <v>1436</v>
      </c>
      <c r="P190" s="48" t="s">
        <v>1436</v>
      </c>
      <c r="Q190" s="48" t="s">
        <v>38</v>
      </c>
      <c r="R190" s="48" t="s">
        <v>39</v>
      </c>
      <c r="S190" s="48" t="s">
        <v>40</v>
      </c>
      <c r="T190" s="48" t="s">
        <v>41</v>
      </c>
      <c r="U190" s="48" t="s">
        <v>1436</v>
      </c>
      <c r="V190" s="48" t="s">
        <v>1436</v>
      </c>
      <c r="W190" s="48" t="s">
        <v>1436</v>
      </c>
      <c r="X190" s="49" t="s">
        <v>193</v>
      </c>
      <c r="Y190" s="48" t="s">
        <v>1194</v>
      </c>
      <c r="Z190" s="49" t="s">
        <v>1321</v>
      </c>
      <c r="AA190" s="48" t="s">
        <v>1324</v>
      </c>
      <c r="AB190" s="48" t="s">
        <v>1325</v>
      </c>
      <c r="AC190" s="48" t="s">
        <v>1239</v>
      </c>
      <c r="AD190" s="48" t="s">
        <v>1231</v>
      </c>
      <c r="AE190" s="48" t="s">
        <v>1669</v>
      </c>
      <c r="AF190" s="48" t="s">
        <v>1436</v>
      </c>
      <c r="AG190" s="48" t="s">
        <v>1436</v>
      </c>
      <c r="AH190" s="48" t="s">
        <v>208</v>
      </c>
      <c r="AI190" s="50">
        <v>44562</v>
      </c>
      <c r="AJ190" s="50">
        <v>46387</v>
      </c>
      <c r="AK190" s="49" t="s">
        <v>1280</v>
      </c>
      <c r="AL190" s="48" t="s">
        <v>36</v>
      </c>
      <c r="AM190" s="48" t="s">
        <v>36</v>
      </c>
      <c r="AN190" s="51">
        <v>42330.49</v>
      </c>
      <c r="AO190" s="51"/>
      <c r="AP190" s="51"/>
      <c r="AQ190" s="72">
        <v>1600000</v>
      </c>
      <c r="AR190" s="72">
        <v>50000</v>
      </c>
      <c r="AS190" s="50">
        <v>46387</v>
      </c>
      <c r="AT190" s="50" t="s">
        <v>1436</v>
      </c>
      <c r="AU190" s="49" t="s">
        <v>1436</v>
      </c>
      <c r="AV190" s="49" t="s">
        <v>1670</v>
      </c>
      <c r="AW190" s="48" t="s">
        <v>1244</v>
      </c>
    </row>
    <row r="191" spans="1:49" x14ac:dyDescent="0.3">
      <c r="A191" s="48" t="s">
        <v>1320</v>
      </c>
      <c r="B191" s="48" t="s">
        <v>6</v>
      </c>
      <c r="C191" s="48" t="s">
        <v>1322</v>
      </c>
      <c r="D191" s="50">
        <v>45077</v>
      </c>
      <c r="E191" s="48" t="s">
        <v>36</v>
      </c>
      <c r="F191" s="48" t="s">
        <v>1438</v>
      </c>
      <c r="G191" s="48" t="s">
        <v>1444</v>
      </c>
      <c r="H191" s="49" t="s">
        <v>1446</v>
      </c>
      <c r="I191" s="48" t="s">
        <v>1407</v>
      </c>
      <c r="J191" s="48" t="s">
        <v>40</v>
      </c>
      <c r="K191" s="48" t="s">
        <v>47</v>
      </c>
      <c r="L191" s="48" t="s">
        <v>38</v>
      </c>
      <c r="M191" s="48" t="s">
        <v>37</v>
      </c>
      <c r="N191" s="48" t="s">
        <v>1436</v>
      </c>
      <c r="O191" s="48" t="s">
        <v>1436</v>
      </c>
      <c r="P191" s="48" t="s">
        <v>1436</v>
      </c>
      <c r="Q191" s="48" t="s">
        <v>38</v>
      </c>
      <c r="R191" s="48" t="s">
        <v>39</v>
      </c>
      <c r="S191" s="48" t="s">
        <v>40</v>
      </c>
      <c r="T191" s="48" t="s">
        <v>41</v>
      </c>
      <c r="U191" s="48" t="s">
        <v>1436</v>
      </c>
      <c r="V191" s="48" t="s">
        <v>1436</v>
      </c>
      <c r="W191" s="48" t="s">
        <v>1436</v>
      </c>
      <c r="X191" s="49" t="s">
        <v>193</v>
      </c>
      <c r="Y191" s="48" t="s">
        <v>1194</v>
      </c>
      <c r="Z191" s="49" t="s">
        <v>1321</v>
      </c>
      <c r="AA191" s="48" t="s">
        <v>1324</v>
      </c>
      <c r="AB191" s="48" t="s">
        <v>1325</v>
      </c>
      <c r="AC191" s="48" t="s">
        <v>1239</v>
      </c>
      <c r="AD191" s="48" t="s">
        <v>1231</v>
      </c>
      <c r="AE191" s="48" t="s">
        <v>1669</v>
      </c>
      <c r="AF191" s="48" t="s">
        <v>1436</v>
      </c>
      <c r="AG191" s="48" t="s">
        <v>1436</v>
      </c>
      <c r="AH191" s="48" t="s">
        <v>208</v>
      </c>
      <c r="AI191" s="50">
        <v>44562</v>
      </c>
      <c r="AJ191" s="50">
        <v>46387</v>
      </c>
      <c r="AK191" s="49" t="s">
        <v>1280</v>
      </c>
      <c r="AL191" s="48" t="s">
        <v>36</v>
      </c>
      <c r="AM191" s="48" t="s">
        <v>36</v>
      </c>
      <c r="AN191" s="51">
        <v>11064.032547999999</v>
      </c>
      <c r="AO191" s="51"/>
      <c r="AP191" s="51"/>
      <c r="AQ191" s="72">
        <v>1600000</v>
      </c>
      <c r="AR191" s="72">
        <v>50000</v>
      </c>
      <c r="AS191" s="50">
        <v>46387</v>
      </c>
      <c r="AT191" s="50" t="s">
        <v>1436</v>
      </c>
      <c r="AU191" s="49" t="s">
        <v>1436</v>
      </c>
      <c r="AV191" s="49" t="s">
        <v>1670</v>
      </c>
      <c r="AW191" s="48" t="s">
        <v>1244</v>
      </c>
    </row>
    <row r="192" spans="1:49" x14ac:dyDescent="0.3">
      <c r="A192" s="48" t="s">
        <v>1320</v>
      </c>
      <c r="B192" s="48" t="s">
        <v>6</v>
      </c>
      <c r="C192" s="48" t="s">
        <v>1322</v>
      </c>
      <c r="D192" s="50">
        <v>45077</v>
      </c>
      <c r="E192" s="48" t="s">
        <v>36</v>
      </c>
      <c r="F192" s="48" t="s">
        <v>1433</v>
      </c>
      <c r="G192" s="48" t="s">
        <v>1447</v>
      </c>
      <c r="H192" s="49" t="s">
        <v>1448</v>
      </c>
      <c r="I192" s="48" t="s">
        <v>1413</v>
      </c>
      <c r="J192" s="48" t="s">
        <v>40</v>
      </c>
      <c r="K192" s="48" t="s">
        <v>58</v>
      </c>
      <c r="L192" s="48" t="s">
        <v>38</v>
      </c>
      <c r="M192" s="48" t="s">
        <v>37</v>
      </c>
      <c r="N192" s="48" t="s">
        <v>1436</v>
      </c>
      <c r="O192" s="48" t="s">
        <v>1436</v>
      </c>
      <c r="P192" s="48" t="s">
        <v>1436</v>
      </c>
      <c r="Q192" s="48" t="s">
        <v>38</v>
      </c>
      <c r="R192" s="48" t="s">
        <v>39</v>
      </c>
      <c r="S192" s="48" t="s">
        <v>40</v>
      </c>
      <c r="T192" s="48" t="s">
        <v>41</v>
      </c>
      <c r="U192" s="48" t="s">
        <v>1436</v>
      </c>
      <c r="V192" s="48" t="s">
        <v>1436</v>
      </c>
      <c r="W192" s="48" t="s">
        <v>1436</v>
      </c>
      <c r="X192" s="49" t="s">
        <v>193</v>
      </c>
      <c r="Y192" s="48" t="s">
        <v>1194</v>
      </c>
      <c r="Z192" s="49" t="s">
        <v>1321</v>
      </c>
      <c r="AA192" s="48" t="s">
        <v>1324</v>
      </c>
      <c r="AB192" s="48" t="s">
        <v>1325</v>
      </c>
      <c r="AC192" s="48" t="s">
        <v>1239</v>
      </c>
      <c r="AD192" s="48" t="s">
        <v>1231</v>
      </c>
      <c r="AE192" s="48" t="s">
        <v>1669</v>
      </c>
      <c r="AF192" s="48" t="s">
        <v>1436</v>
      </c>
      <c r="AG192" s="48" t="s">
        <v>1436</v>
      </c>
      <c r="AH192" s="48" t="s">
        <v>208</v>
      </c>
      <c r="AI192" s="50">
        <v>44562</v>
      </c>
      <c r="AJ192" s="50">
        <v>46387</v>
      </c>
      <c r="AK192" s="49" t="s">
        <v>1280</v>
      </c>
      <c r="AL192" s="48" t="s">
        <v>36</v>
      </c>
      <c r="AM192" s="48" t="s">
        <v>36</v>
      </c>
      <c r="AN192" s="51">
        <v>-50000</v>
      </c>
      <c r="AO192" s="51"/>
      <c r="AP192" s="51"/>
      <c r="AQ192" s="72">
        <v>1600000</v>
      </c>
      <c r="AR192" s="72">
        <v>50000</v>
      </c>
      <c r="AS192" s="50">
        <v>46387</v>
      </c>
      <c r="AT192" s="50" t="s">
        <v>1436</v>
      </c>
      <c r="AU192" s="49" t="s">
        <v>1436</v>
      </c>
      <c r="AV192" s="49" t="s">
        <v>1670</v>
      </c>
      <c r="AW192" s="48" t="s">
        <v>1244</v>
      </c>
    </row>
    <row r="193" spans="1:49" x14ac:dyDescent="0.3">
      <c r="A193" s="48" t="s">
        <v>1320</v>
      </c>
      <c r="B193" s="48" t="s">
        <v>6</v>
      </c>
      <c r="C193" s="48" t="s">
        <v>1322</v>
      </c>
      <c r="D193" s="50">
        <v>45077</v>
      </c>
      <c r="E193" s="48" t="s">
        <v>36</v>
      </c>
      <c r="F193" s="48" t="s">
        <v>1433</v>
      </c>
      <c r="G193" s="48" t="s">
        <v>1447</v>
      </c>
      <c r="H193" s="49" t="s">
        <v>1449</v>
      </c>
      <c r="I193" s="48" t="s">
        <v>1409</v>
      </c>
      <c r="J193" s="48" t="s">
        <v>40</v>
      </c>
      <c r="K193" s="48" t="s">
        <v>45</v>
      </c>
      <c r="L193" s="48" t="s">
        <v>38</v>
      </c>
      <c r="M193" s="48" t="s">
        <v>37</v>
      </c>
      <c r="N193" s="48" t="s">
        <v>1436</v>
      </c>
      <c r="O193" s="48" t="s">
        <v>1436</v>
      </c>
      <c r="P193" s="48" t="s">
        <v>1436</v>
      </c>
      <c r="Q193" s="48" t="s">
        <v>38</v>
      </c>
      <c r="R193" s="48" t="s">
        <v>39</v>
      </c>
      <c r="S193" s="48" t="s">
        <v>40</v>
      </c>
      <c r="T193" s="48" t="s">
        <v>41</v>
      </c>
      <c r="U193" s="48" t="s">
        <v>1436</v>
      </c>
      <c r="V193" s="48" t="s">
        <v>1436</v>
      </c>
      <c r="W193" s="48" t="s">
        <v>1436</v>
      </c>
      <c r="X193" s="49" t="s">
        <v>193</v>
      </c>
      <c r="Y193" s="48" t="s">
        <v>1194</v>
      </c>
      <c r="Z193" s="49" t="s">
        <v>1321</v>
      </c>
      <c r="AA193" s="48" t="s">
        <v>1324</v>
      </c>
      <c r="AB193" s="48" t="s">
        <v>1325</v>
      </c>
      <c r="AC193" s="48" t="s">
        <v>1239</v>
      </c>
      <c r="AD193" s="48" t="s">
        <v>1231</v>
      </c>
      <c r="AE193" s="48" t="s">
        <v>1669</v>
      </c>
      <c r="AF193" s="48" t="s">
        <v>1436</v>
      </c>
      <c r="AG193" s="48" t="s">
        <v>1436</v>
      </c>
      <c r="AH193" s="48" t="s">
        <v>208</v>
      </c>
      <c r="AI193" s="50">
        <v>44562</v>
      </c>
      <c r="AJ193" s="50">
        <v>46387</v>
      </c>
      <c r="AK193" s="49" t="s">
        <v>1280</v>
      </c>
      <c r="AL193" s="48" t="s">
        <v>36</v>
      </c>
      <c r="AM193" s="48" t="s">
        <v>36</v>
      </c>
      <c r="AN193" s="51">
        <v>41508.508196000002</v>
      </c>
      <c r="AO193" s="51"/>
      <c r="AP193" s="51"/>
      <c r="AQ193" s="72">
        <v>1600000</v>
      </c>
      <c r="AR193" s="72">
        <v>50000</v>
      </c>
      <c r="AS193" s="50">
        <v>46387</v>
      </c>
      <c r="AT193" s="50" t="s">
        <v>1436</v>
      </c>
      <c r="AU193" s="49" t="s">
        <v>1436</v>
      </c>
      <c r="AV193" s="49" t="s">
        <v>1670</v>
      </c>
      <c r="AW193" s="48" t="s">
        <v>1244</v>
      </c>
    </row>
    <row r="194" spans="1:49" x14ac:dyDescent="0.3">
      <c r="A194" s="48" t="s">
        <v>1320</v>
      </c>
      <c r="B194" s="48" t="s">
        <v>6</v>
      </c>
      <c r="C194" s="48" t="s">
        <v>1322</v>
      </c>
      <c r="D194" s="50">
        <v>45077</v>
      </c>
      <c r="E194" s="48" t="s">
        <v>36</v>
      </c>
      <c r="F194" s="48" t="s">
        <v>1433</v>
      </c>
      <c r="G194" s="48" t="s">
        <v>1447</v>
      </c>
      <c r="H194" s="49" t="s">
        <v>1450</v>
      </c>
      <c r="I194" s="48" t="s">
        <v>1408</v>
      </c>
      <c r="J194" s="48" t="s">
        <v>40</v>
      </c>
      <c r="K194" s="48" t="s">
        <v>54</v>
      </c>
      <c r="L194" s="48" t="s">
        <v>38</v>
      </c>
      <c r="M194" s="48" t="s">
        <v>37</v>
      </c>
      <c r="N194" s="48" t="s">
        <v>1436</v>
      </c>
      <c r="O194" s="48" t="s">
        <v>1436</v>
      </c>
      <c r="P194" s="48" t="s">
        <v>1436</v>
      </c>
      <c r="Q194" s="48" t="s">
        <v>38</v>
      </c>
      <c r="R194" s="48" t="s">
        <v>39</v>
      </c>
      <c r="S194" s="48" t="s">
        <v>40</v>
      </c>
      <c r="T194" s="48" t="s">
        <v>41</v>
      </c>
      <c r="U194" s="48" t="s">
        <v>1436</v>
      </c>
      <c r="V194" s="48" t="s">
        <v>1436</v>
      </c>
      <c r="W194" s="48" t="s">
        <v>1436</v>
      </c>
      <c r="X194" s="49" t="s">
        <v>193</v>
      </c>
      <c r="Y194" s="48" t="s">
        <v>1194</v>
      </c>
      <c r="Z194" s="49" t="s">
        <v>1321</v>
      </c>
      <c r="AA194" s="48" t="s">
        <v>1324</v>
      </c>
      <c r="AB194" s="48" t="s">
        <v>1325</v>
      </c>
      <c r="AC194" s="48" t="s">
        <v>1239</v>
      </c>
      <c r="AD194" s="48" t="s">
        <v>1231</v>
      </c>
      <c r="AE194" s="48" t="s">
        <v>1669</v>
      </c>
      <c r="AF194" s="48" t="s">
        <v>1436</v>
      </c>
      <c r="AG194" s="48" t="s">
        <v>1436</v>
      </c>
      <c r="AH194" s="48" t="s">
        <v>208</v>
      </c>
      <c r="AI194" s="50">
        <v>44562</v>
      </c>
      <c r="AJ194" s="50">
        <v>46387</v>
      </c>
      <c r="AK194" s="49" t="s">
        <v>1280</v>
      </c>
      <c r="AL194" s="48" t="s">
        <v>36</v>
      </c>
      <c r="AM194" s="48" t="s">
        <v>36</v>
      </c>
      <c r="AN194" s="51">
        <v>-2798.35</v>
      </c>
      <c r="AO194" s="51"/>
      <c r="AP194" s="51"/>
      <c r="AQ194" s="72">
        <v>1600000</v>
      </c>
      <c r="AR194" s="72">
        <v>50000</v>
      </c>
      <c r="AS194" s="50">
        <v>46387</v>
      </c>
      <c r="AT194" s="50" t="s">
        <v>1436</v>
      </c>
      <c r="AU194" s="49" t="s">
        <v>1436</v>
      </c>
      <c r="AV194" s="49" t="s">
        <v>1670</v>
      </c>
      <c r="AW194" s="48" t="s">
        <v>1244</v>
      </c>
    </row>
    <row r="195" spans="1:49" x14ac:dyDescent="0.3">
      <c r="A195" s="48" t="s">
        <v>1320</v>
      </c>
      <c r="B195" s="48" t="s">
        <v>6</v>
      </c>
      <c r="C195" s="48" t="s">
        <v>1322</v>
      </c>
      <c r="D195" s="50">
        <v>45077</v>
      </c>
      <c r="E195" s="48" t="s">
        <v>36</v>
      </c>
      <c r="F195" s="48" t="s">
        <v>1433</v>
      </c>
      <c r="G195" s="48" t="s">
        <v>1447</v>
      </c>
      <c r="H195" s="49" t="s">
        <v>1451</v>
      </c>
      <c r="I195" s="48" t="s">
        <v>1404</v>
      </c>
      <c r="J195" s="48" t="s">
        <v>38</v>
      </c>
      <c r="K195" s="48" t="s">
        <v>49</v>
      </c>
      <c r="L195" s="48" t="s">
        <v>38</v>
      </c>
      <c r="M195" s="48" t="s">
        <v>37</v>
      </c>
      <c r="N195" s="48" t="s">
        <v>1436</v>
      </c>
      <c r="O195" s="48" t="s">
        <v>1436</v>
      </c>
      <c r="P195" s="48" t="s">
        <v>1436</v>
      </c>
      <c r="Q195" s="48" t="s">
        <v>38</v>
      </c>
      <c r="R195" s="48" t="s">
        <v>39</v>
      </c>
      <c r="S195" s="48" t="s">
        <v>38</v>
      </c>
      <c r="T195" s="48" t="s">
        <v>41</v>
      </c>
      <c r="U195" s="48" t="s">
        <v>1436</v>
      </c>
      <c r="V195" s="48" t="s">
        <v>1436</v>
      </c>
      <c r="W195" s="48" t="s">
        <v>1436</v>
      </c>
      <c r="X195" s="49" t="s">
        <v>193</v>
      </c>
      <c r="Y195" s="48" t="s">
        <v>1194</v>
      </c>
      <c r="Z195" s="49" t="s">
        <v>1321</v>
      </c>
      <c r="AA195" s="48" t="s">
        <v>1324</v>
      </c>
      <c r="AB195" s="48" t="s">
        <v>1325</v>
      </c>
      <c r="AC195" s="48" t="s">
        <v>1239</v>
      </c>
      <c r="AD195" s="48" t="s">
        <v>1231</v>
      </c>
      <c r="AE195" s="48" t="s">
        <v>1669</v>
      </c>
      <c r="AF195" s="48" t="s">
        <v>1436</v>
      </c>
      <c r="AG195" s="48" t="s">
        <v>1436</v>
      </c>
      <c r="AH195" s="48" t="s">
        <v>208</v>
      </c>
      <c r="AI195" s="50">
        <v>44562</v>
      </c>
      <c r="AJ195" s="50">
        <v>46387</v>
      </c>
      <c r="AK195" s="49" t="s">
        <v>1280</v>
      </c>
      <c r="AL195" s="48" t="s">
        <v>36</v>
      </c>
      <c r="AM195" s="48" t="s">
        <v>36</v>
      </c>
      <c r="AN195" s="51">
        <v>225.809256</v>
      </c>
      <c r="AO195" s="51"/>
      <c r="AP195" s="51"/>
      <c r="AQ195" s="72">
        <v>1600000</v>
      </c>
      <c r="AR195" s="72">
        <v>50000</v>
      </c>
      <c r="AS195" s="50">
        <v>46387</v>
      </c>
      <c r="AT195" s="50" t="s">
        <v>1436</v>
      </c>
      <c r="AU195" s="49" t="s">
        <v>1436</v>
      </c>
      <c r="AV195" s="49" t="s">
        <v>1670</v>
      </c>
      <c r="AW195" s="48" t="s">
        <v>1244</v>
      </c>
    </row>
    <row r="196" spans="1:49" x14ac:dyDescent="0.3">
      <c r="A196" s="48" t="s">
        <v>1320</v>
      </c>
      <c r="B196" s="48" t="s">
        <v>6</v>
      </c>
      <c r="C196" s="48" t="s">
        <v>1322</v>
      </c>
      <c r="D196" s="50">
        <v>45107</v>
      </c>
      <c r="E196" s="48" t="s">
        <v>36</v>
      </c>
      <c r="F196" s="48" t="s">
        <v>1433</v>
      </c>
      <c r="G196" s="48" t="s">
        <v>1434</v>
      </c>
      <c r="H196" s="49" t="s">
        <v>1435</v>
      </c>
      <c r="I196" s="48" t="s">
        <v>1412</v>
      </c>
      <c r="J196" s="48" t="s">
        <v>40</v>
      </c>
      <c r="K196" s="48" t="s">
        <v>52</v>
      </c>
      <c r="L196" s="48" t="s">
        <v>38</v>
      </c>
      <c r="M196" s="48" t="s">
        <v>37</v>
      </c>
      <c r="N196" s="48" t="s">
        <v>1436</v>
      </c>
      <c r="O196" s="48" t="s">
        <v>1436</v>
      </c>
      <c r="P196" s="48" t="s">
        <v>1436</v>
      </c>
      <c r="Q196" s="48" t="s">
        <v>38</v>
      </c>
      <c r="R196" s="48" t="s">
        <v>39</v>
      </c>
      <c r="S196" s="48" t="s">
        <v>40</v>
      </c>
      <c r="T196" s="48" t="s">
        <v>41</v>
      </c>
      <c r="U196" s="48" t="s">
        <v>1436</v>
      </c>
      <c r="V196" s="48" t="s">
        <v>1436</v>
      </c>
      <c r="W196" s="48" t="s">
        <v>1436</v>
      </c>
      <c r="X196" s="49" t="s">
        <v>193</v>
      </c>
      <c r="Y196" s="48" t="s">
        <v>1194</v>
      </c>
      <c r="Z196" s="49" t="s">
        <v>1321</v>
      </c>
      <c r="AA196" s="48" t="s">
        <v>1324</v>
      </c>
      <c r="AB196" s="48" t="s">
        <v>1325</v>
      </c>
      <c r="AC196" s="48" t="s">
        <v>1239</v>
      </c>
      <c r="AD196" s="48" t="s">
        <v>1231</v>
      </c>
      <c r="AE196" s="48" t="s">
        <v>1669</v>
      </c>
      <c r="AF196" s="48" t="s">
        <v>1436</v>
      </c>
      <c r="AG196" s="48" t="s">
        <v>1436</v>
      </c>
      <c r="AH196" s="48" t="s">
        <v>208</v>
      </c>
      <c r="AI196" s="50">
        <v>44562</v>
      </c>
      <c r="AJ196" s="50">
        <v>46387</v>
      </c>
      <c r="AK196" s="49" t="s">
        <v>1280</v>
      </c>
      <c r="AL196" s="48" t="s">
        <v>36</v>
      </c>
      <c r="AM196" s="48" t="s">
        <v>36</v>
      </c>
      <c r="AN196" s="51">
        <v>-42330.49</v>
      </c>
      <c r="AO196" s="51"/>
      <c r="AP196" s="51"/>
      <c r="AQ196" s="72">
        <v>1600000</v>
      </c>
      <c r="AR196" s="72">
        <v>50000</v>
      </c>
      <c r="AS196" s="50">
        <v>46387</v>
      </c>
      <c r="AT196" s="50" t="s">
        <v>1436</v>
      </c>
      <c r="AU196" s="49" t="s">
        <v>1436</v>
      </c>
      <c r="AV196" s="49" t="s">
        <v>1670</v>
      </c>
      <c r="AW196" s="48" t="s">
        <v>1244</v>
      </c>
    </row>
    <row r="197" spans="1:49" x14ac:dyDescent="0.3">
      <c r="A197" s="48" t="s">
        <v>1320</v>
      </c>
      <c r="B197" s="48" t="s">
        <v>6</v>
      </c>
      <c r="C197" s="48" t="s">
        <v>1322</v>
      </c>
      <c r="D197" s="50">
        <v>45107</v>
      </c>
      <c r="E197" s="48" t="s">
        <v>36</v>
      </c>
      <c r="F197" s="48" t="s">
        <v>1433</v>
      </c>
      <c r="G197" s="48" t="s">
        <v>1434</v>
      </c>
      <c r="H197" s="49" t="s">
        <v>1437</v>
      </c>
      <c r="I197" s="48" t="s">
        <v>1410</v>
      </c>
      <c r="J197" s="48" t="s">
        <v>40</v>
      </c>
      <c r="K197" s="48" t="s">
        <v>42</v>
      </c>
      <c r="L197" s="48" t="s">
        <v>38</v>
      </c>
      <c r="M197" s="48" t="s">
        <v>37</v>
      </c>
      <c r="N197" s="48" t="s">
        <v>1436</v>
      </c>
      <c r="O197" s="48" t="s">
        <v>1436</v>
      </c>
      <c r="P197" s="48" t="s">
        <v>1436</v>
      </c>
      <c r="Q197" s="48" t="s">
        <v>38</v>
      </c>
      <c r="R197" s="48" t="s">
        <v>39</v>
      </c>
      <c r="S197" s="48" t="s">
        <v>40</v>
      </c>
      <c r="T197" s="48" t="s">
        <v>41</v>
      </c>
      <c r="U197" s="48" t="s">
        <v>1436</v>
      </c>
      <c r="V197" s="48" t="s">
        <v>1436</v>
      </c>
      <c r="W197" s="48" t="s">
        <v>1436</v>
      </c>
      <c r="X197" s="49" t="s">
        <v>193</v>
      </c>
      <c r="Y197" s="48" t="s">
        <v>1194</v>
      </c>
      <c r="Z197" s="49" t="s">
        <v>1321</v>
      </c>
      <c r="AA197" s="48" t="s">
        <v>1324</v>
      </c>
      <c r="AB197" s="48" t="s">
        <v>1325</v>
      </c>
      <c r="AC197" s="48" t="s">
        <v>1239</v>
      </c>
      <c r="AD197" s="48" t="s">
        <v>1231</v>
      </c>
      <c r="AE197" s="48" t="s">
        <v>1669</v>
      </c>
      <c r="AF197" s="48" t="s">
        <v>1436</v>
      </c>
      <c r="AG197" s="48" t="s">
        <v>1436</v>
      </c>
      <c r="AH197" s="48" t="s">
        <v>208</v>
      </c>
      <c r="AI197" s="50">
        <v>44562</v>
      </c>
      <c r="AJ197" s="50">
        <v>46387</v>
      </c>
      <c r="AK197" s="49" t="s">
        <v>1280</v>
      </c>
      <c r="AL197" s="48" t="s">
        <v>36</v>
      </c>
      <c r="AM197" s="48" t="s">
        <v>36</v>
      </c>
      <c r="AN197" s="51">
        <v>0</v>
      </c>
      <c r="AO197" s="51"/>
      <c r="AP197" s="51"/>
      <c r="AQ197" s="72">
        <v>1600000</v>
      </c>
      <c r="AR197" s="72">
        <v>50000</v>
      </c>
      <c r="AS197" s="50">
        <v>46387</v>
      </c>
      <c r="AT197" s="50" t="s">
        <v>1436</v>
      </c>
      <c r="AU197" s="49" t="s">
        <v>1436</v>
      </c>
      <c r="AV197" s="49" t="s">
        <v>1670</v>
      </c>
      <c r="AW197" s="48" t="s">
        <v>1244</v>
      </c>
    </row>
    <row r="198" spans="1:49" x14ac:dyDescent="0.3">
      <c r="A198" s="48" t="s">
        <v>1320</v>
      </c>
      <c r="B198" s="48" t="s">
        <v>6</v>
      </c>
      <c r="C198" s="48" t="s">
        <v>1322</v>
      </c>
      <c r="D198" s="50">
        <v>45107</v>
      </c>
      <c r="E198" s="48" t="s">
        <v>36</v>
      </c>
      <c r="F198" s="48" t="s">
        <v>1438</v>
      </c>
      <c r="G198" s="48" t="s">
        <v>1439</v>
      </c>
      <c r="H198" s="49" t="s">
        <v>1440</v>
      </c>
      <c r="I198" s="48" t="s">
        <v>1406</v>
      </c>
      <c r="J198" s="48" t="s">
        <v>1194</v>
      </c>
      <c r="K198" s="48" t="s">
        <v>1441</v>
      </c>
      <c r="L198" s="48" t="s">
        <v>38</v>
      </c>
      <c r="M198" s="48" t="s">
        <v>37</v>
      </c>
      <c r="N198" s="48" t="s">
        <v>1436</v>
      </c>
      <c r="O198" s="48" t="s">
        <v>1436</v>
      </c>
      <c r="P198" s="48" t="s">
        <v>1436</v>
      </c>
      <c r="Q198" s="48" t="s">
        <v>38</v>
      </c>
      <c r="R198" s="48" t="s">
        <v>39</v>
      </c>
      <c r="S198" s="48" t="s">
        <v>1194</v>
      </c>
      <c r="T198" s="48" t="s">
        <v>41</v>
      </c>
      <c r="U198" s="48" t="s">
        <v>1436</v>
      </c>
      <c r="V198" s="48" t="s">
        <v>1436</v>
      </c>
      <c r="W198" s="48" t="s">
        <v>1436</v>
      </c>
      <c r="X198" s="49" t="s">
        <v>193</v>
      </c>
      <c r="Y198" s="48" t="s">
        <v>1194</v>
      </c>
      <c r="Z198" s="49" t="s">
        <v>1321</v>
      </c>
      <c r="AA198" s="48" t="s">
        <v>1324</v>
      </c>
      <c r="AB198" s="48" t="s">
        <v>1325</v>
      </c>
      <c r="AC198" s="48" t="s">
        <v>1239</v>
      </c>
      <c r="AD198" s="48" t="s">
        <v>1231</v>
      </c>
      <c r="AE198" s="48" t="s">
        <v>1669</v>
      </c>
      <c r="AF198" s="48" t="s">
        <v>1436</v>
      </c>
      <c r="AG198" s="48" t="s">
        <v>1436</v>
      </c>
      <c r="AH198" s="48" t="s">
        <v>208</v>
      </c>
      <c r="AI198" s="50">
        <v>44562</v>
      </c>
      <c r="AJ198" s="50">
        <v>46387</v>
      </c>
      <c r="AK198" s="49" t="s">
        <v>1280</v>
      </c>
      <c r="AL198" s="48" t="s">
        <v>36</v>
      </c>
      <c r="AM198" s="48" t="s">
        <v>36</v>
      </c>
      <c r="AN198" s="51">
        <v>0</v>
      </c>
      <c r="AO198" s="51"/>
      <c r="AP198" s="51"/>
      <c r="AQ198" s="72">
        <v>1600000</v>
      </c>
      <c r="AR198" s="72">
        <v>50000</v>
      </c>
      <c r="AS198" s="50">
        <v>46387</v>
      </c>
      <c r="AT198" s="50" t="s">
        <v>1436</v>
      </c>
      <c r="AU198" s="49" t="s">
        <v>1436</v>
      </c>
      <c r="AV198" s="49" t="s">
        <v>1670</v>
      </c>
      <c r="AW198" s="48" t="s">
        <v>1244</v>
      </c>
    </row>
    <row r="199" spans="1:49" x14ac:dyDescent="0.3">
      <c r="A199" s="48" t="s">
        <v>1320</v>
      </c>
      <c r="B199" s="48" t="s">
        <v>6</v>
      </c>
      <c r="C199" s="48" t="s">
        <v>1322</v>
      </c>
      <c r="D199" s="50">
        <v>45107</v>
      </c>
      <c r="E199" s="48" t="s">
        <v>36</v>
      </c>
      <c r="F199" s="48" t="s">
        <v>1438</v>
      </c>
      <c r="G199" s="48" t="s">
        <v>1439</v>
      </c>
      <c r="H199" s="49" t="s">
        <v>1442</v>
      </c>
      <c r="I199" s="48" t="s">
        <v>1405</v>
      </c>
      <c r="J199" s="48" t="s">
        <v>1194</v>
      </c>
      <c r="K199" s="48" t="s">
        <v>1443</v>
      </c>
      <c r="L199" s="48" t="s">
        <v>38</v>
      </c>
      <c r="M199" s="48" t="s">
        <v>37</v>
      </c>
      <c r="N199" s="48" t="s">
        <v>1436</v>
      </c>
      <c r="O199" s="48" t="s">
        <v>1436</v>
      </c>
      <c r="P199" s="48" t="s">
        <v>1436</v>
      </c>
      <c r="Q199" s="48" t="s">
        <v>38</v>
      </c>
      <c r="R199" s="48" t="s">
        <v>39</v>
      </c>
      <c r="S199" s="48" t="s">
        <v>1194</v>
      </c>
      <c r="T199" s="48" t="s">
        <v>41</v>
      </c>
      <c r="U199" s="48" t="s">
        <v>1436</v>
      </c>
      <c r="V199" s="48" t="s">
        <v>1436</v>
      </c>
      <c r="W199" s="48" t="s">
        <v>1436</v>
      </c>
      <c r="X199" s="49" t="s">
        <v>193</v>
      </c>
      <c r="Y199" s="48" t="s">
        <v>1194</v>
      </c>
      <c r="Z199" s="49" t="s">
        <v>1321</v>
      </c>
      <c r="AA199" s="48" t="s">
        <v>1324</v>
      </c>
      <c r="AB199" s="48" t="s">
        <v>1325</v>
      </c>
      <c r="AC199" s="48" t="s">
        <v>1239</v>
      </c>
      <c r="AD199" s="48" t="s">
        <v>1231</v>
      </c>
      <c r="AE199" s="48" t="s">
        <v>1669</v>
      </c>
      <c r="AF199" s="48" t="s">
        <v>1436</v>
      </c>
      <c r="AG199" s="48" t="s">
        <v>1436</v>
      </c>
      <c r="AH199" s="48" t="s">
        <v>208</v>
      </c>
      <c r="AI199" s="50">
        <v>44562</v>
      </c>
      <c r="AJ199" s="50">
        <v>46387</v>
      </c>
      <c r="AK199" s="49" t="s">
        <v>1280</v>
      </c>
      <c r="AL199" s="48" t="s">
        <v>36</v>
      </c>
      <c r="AM199" s="48" t="s">
        <v>36</v>
      </c>
      <c r="AN199" s="51">
        <v>0</v>
      </c>
      <c r="AO199" s="51"/>
      <c r="AP199" s="51"/>
      <c r="AQ199" s="72">
        <v>1600000</v>
      </c>
      <c r="AR199" s="72">
        <v>50000</v>
      </c>
      <c r="AS199" s="50">
        <v>46387</v>
      </c>
      <c r="AT199" s="50" t="s">
        <v>1436</v>
      </c>
      <c r="AU199" s="49" t="s">
        <v>1436</v>
      </c>
      <c r="AV199" s="49" t="s">
        <v>1670</v>
      </c>
      <c r="AW199" s="48" t="s">
        <v>1244</v>
      </c>
    </row>
    <row r="200" spans="1:49" x14ac:dyDescent="0.3">
      <c r="A200" s="48" t="s">
        <v>1320</v>
      </c>
      <c r="B200" s="48" t="s">
        <v>6</v>
      </c>
      <c r="C200" s="48" t="s">
        <v>1322</v>
      </c>
      <c r="D200" s="50">
        <v>45107</v>
      </c>
      <c r="E200" s="48" t="s">
        <v>36</v>
      </c>
      <c r="F200" s="48" t="s">
        <v>1438</v>
      </c>
      <c r="G200" s="48" t="s">
        <v>1444</v>
      </c>
      <c r="H200" s="49" t="s">
        <v>1445</v>
      </c>
      <c r="I200" s="48" t="s">
        <v>1411</v>
      </c>
      <c r="J200" s="48" t="s">
        <v>40</v>
      </c>
      <c r="K200" s="48" t="s">
        <v>50</v>
      </c>
      <c r="L200" s="48" t="s">
        <v>38</v>
      </c>
      <c r="M200" s="48" t="s">
        <v>37</v>
      </c>
      <c r="N200" s="48" t="s">
        <v>1436</v>
      </c>
      <c r="O200" s="48" t="s">
        <v>1436</v>
      </c>
      <c r="P200" s="48" t="s">
        <v>1436</v>
      </c>
      <c r="Q200" s="48" t="s">
        <v>38</v>
      </c>
      <c r="R200" s="48" t="s">
        <v>39</v>
      </c>
      <c r="S200" s="48" t="s">
        <v>40</v>
      </c>
      <c r="T200" s="48" t="s">
        <v>41</v>
      </c>
      <c r="U200" s="48" t="s">
        <v>1436</v>
      </c>
      <c r="V200" s="48" t="s">
        <v>1436</v>
      </c>
      <c r="W200" s="48" t="s">
        <v>1436</v>
      </c>
      <c r="X200" s="49" t="s">
        <v>193</v>
      </c>
      <c r="Y200" s="48" t="s">
        <v>1194</v>
      </c>
      <c r="Z200" s="49" t="s">
        <v>1321</v>
      </c>
      <c r="AA200" s="48" t="s">
        <v>1324</v>
      </c>
      <c r="AB200" s="48" t="s">
        <v>1325</v>
      </c>
      <c r="AC200" s="48" t="s">
        <v>1239</v>
      </c>
      <c r="AD200" s="48" t="s">
        <v>1231</v>
      </c>
      <c r="AE200" s="48" t="s">
        <v>1669</v>
      </c>
      <c r="AF200" s="48" t="s">
        <v>1436</v>
      </c>
      <c r="AG200" s="48" t="s">
        <v>1436</v>
      </c>
      <c r="AH200" s="48" t="s">
        <v>208</v>
      </c>
      <c r="AI200" s="50">
        <v>44562</v>
      </c>
      <c r="AJ200" s="50">
        <v>46387</v>
      </c>
      <c r="AK200" s="49" t="s">
        <v>1280</v>
      </c>
      <c r="AL200" s="48" t="s">
        <v>36</v>
      </c>
      <c r="AM200" s="48" t="s">
        <v>36</v>
      </c>
      <c r="AN200" s="51">
        <v>42330.49</v>
      </c>
      <c r="AO200" s="51"/>
      <c r="AP200" s="51"/>
      <c r="AQ200" s="72">
        <v>1600000</v>
      </c>
      <c r="AR200" s="72">
        <v>50000</v>
      </c>
      <c r="AS200" s="50">
        <v>46387</v>
      </c>
      <c r="AT200" s="50" t="s">
        <v>1436</v>
      </c>
      <c r="AU200" s="49" t="s">
        <v>1436</v>
      </c>
      <c r="AV200" s="49" t="s">
        <v>1670</v>
      </c>
      <c r="AW200" s="48" t="s">
        <v>1244</v>
      </c>
    </row>
    <row r="201" spans="1:49" x14ac:dyDescent="0.3">
      <c r="A201" s="48" t="s">
        <v>1320</v>
      </c>
      <c r="B201" s="48" t="s">
        <v>6</v>
      </c>
      <c r="C201" s="48" t="s">
        <v>1322</v>
      </c>
      <c r="D201" s="50">
        <v>45107</v>
      </c>
      <c r="E201" s="48" t="s">
        <v>36</v>
      </c>
      <c r="F201" s="48" t="s">
        <v>1438</v>
      </c>
      <c r="G201" s="48" t="s">
        <v>1444</v>
      </c>
      <c r="H201" s="49" t="s">
        <v>1446</v>
      </c>
      <c r="I201" s="48" t="s">
        <v>1407</v>
      </c>
      <c r="J201" s="48" t="s">
        <v>40</v>
      </c>
      <c r="K201" s="48" t="s">
        <v>47</v>
      </c>
      <c r="L201" s="48" t="s">
        <v>38</v>
      </c>
      <c r="M201" s="48" t="s">
        <v>37</v>
      </c>
      <c r="N201" s="48" t="s">
        <v>1436</v>
      </c>
      <c r="O201" s="48" t="s">
        <v>1436</v>
      </c>
      <c r="P201" s="48" t="s">
        <v>1436</v>
      </c>
      <c r="Q201" s="48" t="s">
        <v>38</v>
      </c>
      <c r="R201" s="48" t="s">
        <v>39</v>
      </c>
      <c r="S201" s="48" t="s">
        <v>40</v>
      </c>
      <c r="T201" s="48" t="s">
        <v>41</v>
      </c>
      <c r="U201" s="48" t="s">
        <v>1436</v>
      </c>
      <c r="V201" s="48" t="s">
        <v>1436</v>
      </c>
      <c r="W201" s="48" t="s">
        <v>1436</v>
      </c>
      <c r="X201" s="49" t="s">
        <v>193</v>
      </c>
      <c r="Y201" s="48" t="s">
        <v>1194</v>
      </c>
      <c r="Z201" s="49" t="s">
        <v>1321</v>
      </c>
      <c r="AA201" s="48" t="s">
        <v>1324</v>
      </c>
      <c r="AB201" s="48" t="s">
        <v>1325</v>
      </c>
      <c r="AC201" s="48" t="s">
        <v>1239</v>
      </c>
      <c r="AD201" s="48" t="s">
        <v>1231</v>
      </c>
      <c r="AE201" s="48" t="s">
        <v>1669</v>
      </c>
      <c r="AF201" s="48" t="s">
        <v>1436</v>
      </c>
      <c r="AG201" s="48" t="s">
        <v>1436</v>
      </c>
      <c r="AH201" s="48" t="s">
        <v>208</v>
      </c>
      <c r="AI201" s="50">
        <v>44562</v>
      </c>
      <c r="AJ201" s="50">
        <v>46387</v>
      </c>
      <c r="AK201" s="49" t="s">
        <v>1280</v>
      </c>
      <c r="AL201" s="48" t="s">
        <v>36</v>
      </c>
      <c r="AM201" s="48" t="s">
        <v>36</v>
      </c>
      <c r="AN201" s="51">
        <v>10836.906070999999</v>
      </c>
      <c r="AO201" s="51"/>
      <c r="AP201" s="51"/>
      <c r="AQ201" s="72">
        <v>1600000</v>
      </c>
      <c r="AR201" s="72">
        <v>50000</v>
      </c>
      <c r="AS201" s="50">
        <v>46387</v>
      </c>
      <c r="AT201" s="50" t="s">
        <v>1436</v>
      </c>
      <c r="AU201" s="49" t="s">
        <v>1436</v>
      </c>
      <c r="AV201" s="49" t="s">
        <v>1670</v>
      </c>
      <c r="AW201" s="48" t="s">
        <v>1244</v>
      </c>
    </row>
    <row r="202" spans="1:49" x14ac:dyDescent="0.3">
      <c r="A202" s="48" t="s">
        <v>1320</v>
      </c>
      <c r="B202" s="48" t="s">
        <v>6</v>
      </c>
      <c r="C202" s="48" t="s">
        <v>1322</v>
      </c>
      <c r="D202" s="50">
        <v>45107</v>
      </c>
      <c r="E202" s="48" t="s">
        <v>36</v>
      </c>
      <c r="F202" s="48" t="s">
        <v>1433</v>
      </c>
      <c r="G202" s="48" t="s">
        <v>1447</v>
      </c>
      <c r="H202" s="49" t="s">
        <v>1448</v>
      </c>
      <c r="I202" s="48" t="s">
        <v>1413</v>
      </c>
      <c r="J202" s="48" t="s">
        <v>40</v>
      </c>
      <c r="K202" s="48" t="s">
        <v>58</v>
      </c>
      <c r="L202" s="48" t="s">
        <v>38</v>
      </c>
      <c r="M202" s="48" t="s">
        <v>37</v>
      </c>
      <c r="N202" s="48" t="s">
        <v>1436</v>
      </c>
      <c r="O202" s="48" t="s">
        <v>1436</v>
      </c>
      <c r="P202" s="48" t="s">
        <v>1436</v>
      </c>
      <c r="Q202" s="48" t="s">
        <v>38</v>
      </c>
      <c r="R202" s="48" t="s">
        <v>39</v>
      </c>
      <c r="S202" s="48" t="s">
        <v>40</v>
      </c>
      <c r="T202" s="48" t="s">
        <v>41</v>
      </c>
      <c r="U202" s="48" t="s">
        <v>1436</v>
      </c>
      <c r="V202" s="48" t="s">
        <v>1436</v>
      </c>
      <c r="W202" s="48" t="s">
        <v>1436</v>
      </c>
      <c r="X202" s="49" t="s">
        <v>193</v>
      </c>
      <c r="Y202" s="48" t="s">
        <v>1194</v>
      </c>
      <c r="Z202" s="49" t="s">
        <v>1321</v>
      </c>
      <c r="AA202" s="48" t="s">
        <v>1324</v>
      </c>
      <c r="AB202" s="48" t="s">
        <v>1325</v>
      </c>
      <c r="AC202" s="48" t="s">
        <v>1239</v>
      </c>
      <c r="AD202" s="48" t="s">
        <v>1231</v>
      </c>
      <c r="AE202" s="48" t="s">
        <v>1669</v>
      </c>
      <c r="AF202" s="48" t="s">
        <v>1436</v>
      </c>
      <c r="AG202" s="48" t="s">
        <v>1436</v>
      </c>
      <c r="AH202" s="48" t="s">
        <v>208</v>
      </c>
      <c r="AI202" s="50">
        <v>44562</v>
      </c>
      <c r="AJ202" s="50">
        <v>46387</v>
      </c>
      <c r="AK202" s="49" t="s">
        <v>1280</v>
      </c>
      <c r="AL202" s="48" t="s">
        <v>36</v>
      </c>
      <c r="AM202" s="48" t="s">
        <v>36</v>
      </c>
      <c r="AN202" s="51">
        <v>-50000</v>
      </c>
      <c r="AO202" s="51"/>
      <c r="AP202" s="51"/>
      <c r="AQ202" s="72">
        <v>1600000</v>
      </c>
      <c r="AR202" s="72">
        <v>50000</v>
      </c>
      <c r="AS202" s="50">
        <v>46387</v>
      </c>
      <c r="AT202" s="50" t="s">
        <v>1436</v>
      </c>
      <c r="AU202" s="49" t="s">
        <v>1436</v>
      </c>
      <c r="AV202" s="49" t="s">
        <v>1670</v>
      </c>
      <c r="AW202" s="48" t="s">
        <v>1244</v>
      </c>
    </row>
    <row r="203" spans="1:49" x14ac:dyDescent="0.3">
      <c r="A203" s="48" t="s">
        <v>1320</v>
      </c>
      <c r="B203" s="48" t="s">
        <v>6</v>
      </c>
      <c r="C203" s="48" t="s">
        <v>1322</v>
      </c>
      <c r="D203" s="50">
        <v>45107</v>
      </c>
      <c r="E203" s="48" t="s">
        <v>36</v>
      </c>
      <c r="F203" s="48" t="s">
        <v>1433</v>
      </c>
      <c r="G203" s="48" t="s">
        <v>1447</v>
      </c>
      <c r="H203" s="49" t="s">
        <v>1449</v>
      </c>
      <c r="I203" s="48" t="s">
        <v>1409</v>
      </c>
      <c r="J203" s="48" t="s">
        <v>40</v>
      </c>
      <c r="K203" s="48" t="s">
        <v>45</v>
      </c>
      <c r="L203" s="48" t="s">
        <v>38</v>
      </c>
      <c r="M203" s="48" t="s">
        <v>37</v>
      </c>
      <c r="N203" s="48" t="s">
        <v>1436</v>
      </c>
      <c r="O203" s="48" t="s">
        <v>1436</v>
      </c>
      <c r="P203" s="48" t="s">
        <v>1436</v>
      </c>
      <c r="Q203" s="48" t="s">
        <v>38</v>
      </c>
      <c r="R203" s="48" t="s">
        <v>39</v>
      </c>
      <c r="S203" s="48" t="s">
        <v>40</v>
      </c>
      <c r="T203" s="48" t="s">
        <v>41</v>
      </c>
      <c r="U203" s="48" t="s">
        <v>1436</v>
      </c>
      <c r="V203" s="48" t="s">
        <v>1436</v>
      </c>
      <c r="W203" s="48" t="s">
        <v>1436</v>
      </c>
      <c r="X203" s="49" t="s">
        <v>193</v>
      </c>
      <c r="Y203" s="48" t="s">
        <v>1194</v>
      </c>
      <c r="Z203" s="49" t="s">
        <v>1321</v>
      </c>
      <c r="AA203" s="48" t="s">
        <v>1324</v>
      </c>
      <c r="AB203" s="48" t="s">
        <v>1325</v>
      </c>
      <c r="AC203" s="48" t="s">
        <v>1239</v>
      </c>
      <c r="AD203" s="48" t="s">
        <v>1231</v>
      </c>
      <c r="AE203" s="48" t="s">
        <v>1669</v>
      </c>
      <c r="AF203" s="48" t="s">
        <v>1436</v>
      </c>
      <c r="AG203" s="48" t="s">
        <v>1436</v>
      </c>
      <c r="AH203" s="48" t="s">
        <v>208</v>
      </c>
      <c r="AI203" s="50">
        <v>44562</v>
      </c>
      <c r="AJ203" s="50">
        <v>46387</v>
      </c>
      <c r="AK203" s="49" t="s">
        <v>1280</v>
      </c>
      <c r="AL203" s="48" t="s">
        <v>36</v>
      </c>
      <c r="AM203" s="48" t="s">
        <v>36</v>
      </c>
      <c r="AN203" s="51">
        <v>41750.667452000002</v>
      </c>
      <c r="AO203" s="51"/>
      <c r="AP203" s="51"/>
      <c r="AQ203" s="72">
        <v>1600000</v>
      </c>
      <c r="AR203" s="72">
        <v>50000</v>
      </c>
      <c r="AS203" s="50">
        <v>46387</v>
      </c>
      <c r="AT203" s="50" t="s">
        <v>1436</v>
      </c>
      <c r="AU203" s="49" t="s">
        <v>1436</v>
      </c>
      <c r="AV203" s="49" t="s">
        <v>1670</v>
      </c>
      <c r="AW203" s="48" t="s">
        <v>1244</v>
      </c>
    </row>
    <row r="204" spans="1:49" x14ac:dyDescent="0.3">
      <c r="A204" s="48" t="s">
        <v>1320</v>
      </c>
      <c r="B204" s="48" t="s">
        <v>6</v>
      </c>
      <c r="C204" s="48" t="s">
        <v>1322</v>
      </c>
      <c r="D204" s="50">
        <v>45107</v>
      </c>
      <c r="E204" s="48" t="s">
        <v>36</v>
      </c>
      <c r="F204" s="48" t="s">
        <v>1433</v>
      </c>
      <c r="G204" s="48" t="s">
        <v>1447</v>
      </c>
      <c r="H204" s="49" t="s">
        <v>1450</v>
      </c>
      <c r="I204" s="48" t="s">
        <v>1408</v>
      </c>
      <c r="J204" s="48" t="s">
        <v>40</v>
      </c>
      <c r="K204" s="48" t="s">
        <v>54</v>
      </c>
      <c r="L204" s="48" t="s">
        <v>38</v>
      </c>
      <c r="M204" s="48" t="s">
        <v>37</v>
      </c>
      <c r="N204" s="48" t="s">
        <v>1436</v>
      </c>
      <c r="O204" s="48" t="s">
        <v>1436</v>
      </c>
      <c r="P204" s="48" t="s">
        <v>1436</v>
      </c>
      <c r="Q204" s="48" t="s">
        <v>38</v>
      </c>
      <c r="R204" s="48" t="s">
        <v>39</v>
      </c>
      <c r="S204" s="48" t="s">
        <v>40</v>
      </c>
      <c r="T204" s="48" t="s">
        <v>41</v>
      </c>
      <c r="U204" s="48" t="s">
        <v>1436</v>
      </c>
      <c r="V204" s="48" t="s">
        <v>1436</v>
      </c>
      <c r="W204" s="48" t="s">
        <v>1436</v>
      </c>
      <c r="X204" s="49" t="s">
        <v>193</v>
      </c>
      <c r="Y204" s="48" t="s">
        <v>1194</v>
      </c>
      <c r="Z204" s="49" t="s">
        <v>1321</v>
      </c>
      <c r="AA204" s="48" t="s">
        <v>1324</v>
      </c>
      <c r="AB204" s="48" t="s">
        <v>1325</v>
      </c>
      <c r="AC204" s="48" t="s">
        <v>1239</v>
      </c>
      <c r="AD204" s="48" t="s">
        <v>1231</v>
      </c>
      <c r="AE204" s="48" t="s">
        <v>1669</v>
      </c>
      <c r="AF204" s="48" t="s">
        <v>1436</v>
      </c>
      <c r="AG204" s="48" t="s">
        <v>1436</v>
      </c>
      <c r="AH204" s="48" t="s">
        <v>208</v>
      </c>
      <c r="AI204" s="50">
        <v>44562</v>
      </c>
      <c r="AJ204" s="50">
        <v>46387</v>
      </c>
      <c r="AK204" s="49" t="s">
        <v>1280</v>
      </c>
      <c r="AL204" s="48" t="s">
        <v>36</v>
      </c>
      <c r="AM204" s="48" t="s">
        <v>36</v>
      </c>
      <c r="AN204" s="51">
        <v>-2814.7</v>
      </c>
      <c r="AO204" s="51"/>
      <c r="AP204" s="51"/>
      <c r="AQ204" s="72">
        <v>1600000</v>
      </c>
      <c r="AR204" s="72">
        <v>50000</v>
      </c>
      <c r="AS204" s="50">
        <v>46387</v>
      </c>
      <c r="AT204" s="50" t="s">
        <v>1436</v>
      </c>
      <c r="AU204" s="49" t="s">
        <v>1436</v>
      </c>
      <c r="AV204" s="49" t="s">
        <v>1670</v>
      </c>
      <c r="AW204" s="48" t="s">
        <v>1244</v>
      </c>
    </row>
    <row r="205" spans="1:49" x14ac:dyDescent="0.3">
      <c r="A205" s="48" t="s">
        <v>1320</v>
      </c>
      <c r="B205" s="48" t="s">
        <v>6</v>
      </c>
      <c r="C205" s="48" t="s">
        <v>1322</v>
      </c>
      <c r="D205" s="50">
        <v>45107</v>
      </c>
      <c r="E205" s="48" t="s">
        <v>36</v>
      </c>
      <c r="F205" s="48" t="s">
        <v>1433</v>
      </c>
      <c r="G205" s="48" t="s">
        <v>1447</v>
      </c>
      <c r="H205" s="49" t="s">
        <v>1451</v>
      </c>
      <c r="I205" s="48" t="s">
        <v>1404</v>
      </c>
      <c r="J205" s="48" t="s">
        <v>38</v>
      </c>
      <c r="K205" s="48" t="s">
        <v>49</v>
      </c>
      <c r="L205" s="48" t="s">
        <v>38</v>
      </c>
      <c r="M205" s="48" t="s">
        <v>37</v>
      </c>
      <c r="N205" s="48" t="s">
        <v>1436</v>
      </c>
      <c r="O205" s="48" t="s">
        <v>1436</v>
      </c>
      <c r="P205" s="48" t="s">
        <v>1436</v>
      </c>
      <c r="Q205" s="48" t="s">
        <v>38</v>
      </c>
      <c r="R205" s="48" t="s">
        <v>39</v>
      </c>
      <c r="S205" s="48" t="s">
        <v>38</v>
      </c>
      <c r="T205" s="48" t="s">
        <v>41</v>
      </c>
      <c r="U205" s="48" t="s">
        <v>1436</v>
      </c>
      <c r="V205" s="48" t="s">
        <v>1436</v>
      </c>
      <c r="W205" s="48" t="s">
        <v>1436</v>
      </c>
      <c r="X205" s="49" t="s">
        <v>193</v>
      </c>
      <c r="Y205" s="48" t="s">
        <v>1194</v>
      </c>
      <c r="Z205" s="49" t="s">
        <v>1321</v>
      </c>
      <c r="AA205" s="48" t="s">
        <v>1324</v>
      </c>
      <c r="AB205" s="48" t="s">
        <v>1325</v>
      </c>
      <c r="AC205" s="48" t="s">
        <v>1239</v>
      </c>
      <c r="AD205" s="48" t="s">
        <v>1231</v>
      </c>
      <c r="AE205" s="48" t="s">
        <v>1669</v>
      </c>
      <c r="AF205" s="48" t="s">
        <v>1436</v>
      </c>
      <c r="AG205" s="48" t="s">
        <v>1436</v>
      </c>
      <c r="AH205" s="48" t="s">
        <v>208</v>
      </c>
      <c r="AI205" s="50">
        <v>44562</v>
      </c>
      <c r="AJ205" s="50">
        <v>46387</v>
      </c>
      <c r="AK205" s="49" t="s">
        <v>1280</v>
      </c>
      <c r="AL205" s="48" t="s">
        <v>36</v>
      </c>
      <c r="AM205" s="48" t="s">
        <v>36</v>
      </c>
      <c r="AN205" s="51">
        <v>227.12647699999999</v>
      </c>
      <c r="AO205" s="51"/>
      <c r="AP205" s="51"/>
      <c r="AQ205" s="72">
        <v>1600000</v>
      </c>
      <c r="AR205" s="72">
        <v>50000</v>
      </c>
      <c r="AS205" s="50">
        <v>46387</v>
      </c>
      <c r="AT205" s="50" t="s">
        <v>1436</v>
      </c>
      <c r="AU205" s="49" t="s">
        <v>1436</v>
      </c>
      <c r="AV205" s="49" t="s">
        <v>1670</v>
      </c>
      <c r="AW205" s="48" t="s">
        <v>1244</v>
      </c>
    </row>
    <row r="206" spans="1:49" x14ac:dyDescent="0.3">
      <c r="A206" s="48" t="s">
        <v>1320</v>
      </c>
      <c r="B206" s="48" t="s">
        <v>6</v>
      </c>
      <c r="C206" s="48" t="s">
        <v>1322</v>
      </c>
      <c r="D206" s="50">
        <v>45138</v>
      </c>
      <c r="E206" s="48" t="s">
        <v>36</v>
      </c>
      <c r="F206" s="48" t="s">
        <v>1433</v>
      </c>
      <c r="G206" s="48" t="s">
        <v>1434</v>
      </c>
      <c r="H206" s="49" t="s">
        <v>1435</v>
      </c>
      <c r="I206" s="48" t="s">
        <v>1412</v>
      </c>
      <c r="J206" s="48" t="s">
        <v>40</v>
      </c>
      <c r="K206" s="48" t="s">
        <v>52</v>
      </c>
      <c r="L206" s="48" t="s">
        <v>38</v>
      </c>
      <c r="M206" s="48" t="s">
        <v>37</v>
      </c>
      <c r="N206" s="48" t="s">
        <v>1436</v>
      </c>
      <c r="O206" s="48" t="s">
        <v>1436</v>
      </c>
      <c r="P206" s="48" t="s">
        <v>1436</v>
      </c>
      <c r="Q206" s="48" t="s">
        <v>38</v>
      </c>
      <c r="R206" s="48" t="s">
        <v>39</v>
      </c>
      <c r="S206" s="48" t="s">
        <v>40</v>
      </c>
      <c r="T206" s="48" t="s">
        <v>41</v>
      </c>
      <c r="U206" s="48" t="s">
        <v>1436</v>
      </c>
      <c r="V206" s="48" t="s">
        <v>1436</v>
      </c>
      <c r="W206" s="48" t="s">
        <v>1436</v>
      </c>
      <c r="X206" s="49" t="s">
        <v>193</v>
      </c>
      <c r="Y206" s="48" t="s">
        <v>1194</v>
      </c>
      <c r="Z206" s="49" t="s">
        <v>1321</v>
      </c>
      <c r="AA206" s="48" t="s">
        <v>1324</v>
      </c>
      <c r="AB206" s="48" t="s">
        <v>1325</v>
      </c>
      <c r="AC206" s="48" t="s">
        <v>1239</v>
      </c>
      <c r="AD206" s="48" t="s">
        <v>1231</v>
      </c>
      <c r="AE206" s="48" t="s">
        <v>1669</v>
      </c>
      <c r="AF206" s="48" t="s">
        <v>1436</v>
      </c>
      <c r="AG206" s="48" t="s">
        <v>1436</v>
      </c>
      <c r="AH206" s="48" t="s">
        <v>208</v>
      </c>
      <c r="AI206" s="50">
        <v>44562</v>
      </c>
      <c r="AJ206" s="50">
        <v>46387</v>
      </c>
      <c r="AK206" s="49" t="s">
        <v>1280</v>
      </c>
      <c r="AL206" s="48" t="s">
        <v>36</v>
      </c>
      <c r="AM206" s="48" t="s">
        <v>36</v>
      </c>
      <c r="AN206" s="51">
        <v>-42330.49</v>
      </c>
      <c r="AO206" s="51"/>
      <c r="AP206" s="51"/>
      <c r="AQ206" s="72">
        <v>1600000</v>
      </c>
      <c r="AR206" s="72">
        <v>50000</v>
      </c>
      <c r="AS206" s="50">
        <v>46387</v>
      </c>
      <c r="AT206" s="50" t="s">
        <v>1436</v>
      </c>
      <c r="AU206" s="49" t="s">
        <v>1436</v>
      </c>
      <c r="AV206" s="49" t="s">
        <v>1670</v>
      </c>
      <c r="AW206" s="48" t="s">
        <v>1244</v>
      </c>
    </row>
    <row r="207" spans="1:49" x14ac:dyDescent="0.3">
      <c r="A207" s="48" t="s">
        <v>1320</v>
      </c>
      <c r="B207" s="48" t="s">
        <v>6</v>
      </c>
      <c r="C207" s="48" t="s">
        <v>1322</v>
      </c>
      <c r="D207" s="50">
        <v>45138</v>
      </c>
      <c r="E207" s="48" t="s">
        <v>36</v>
      </c>
      <c r="F207" s="48" t="s">
        <v>1433</v>
      </c>
      <c r="G207" s="48" t="s">
        <v>1434</v>
      </c>
      <c r="H207" s="49" t="s">
        <v>1437</v>
      </c>
      <c r="I207" s="48" t="s">
        <v>1410</v>
      </c>
      <c r="J207" s="48" t="s">
        <v>40</v>
      </c>
      <c r="K207" s="48" t="s">
        <v>42</v>
      </c>
      <c r="L207" s="48" t="s">
        <v>38</v>
      </c>
      <c r="M207" s="48" t="s">
        <v>37</v>
      </c>
      <c r="N207" s="48" t="s">
        <v>1436</v>
      </c>
      <c r="O207" s="48" t="s">
        <v>1436</v>
      </c>
      <c r="P207" s="48" t="s">
        <v>1436</v>
      </c>
      <c r="Q207" s="48" t="s">
        <v>38</v>
      </c>
      <c r="R207" s="48" t="s">
        <v>39</v>
      </c>
      <c r="S207" s="48" t="s">
        <v>40</v>
      </c>
      <c r="T207" s="48" t="s">
        <v>41</v>
      </c>
      <c r="U207" s="48" t="s">
        <v>1436</v>
      </c>
      <c r="V207" s="48" t="s">
        <v>1436</v>
      </c>
      <c r="W207" s="48" t="s">
        <v>1436</v>
      </c>
      <c r="X207" s="49" t="s">
        <v>193</v>
      </c>
      <c r="Y207" s="48" t="s">
        <v>1194</v>
      </c>
      <c r="Z207" s="49" t="s">
        <v>1321</v>
      </c>
      <c r="AA207" s="48" t="s">
        <v>1324</v>
      </c>
      <c r="AB207" s="48" t="s">
        <v>1325</v>
      </c>
      <c r="AC207" s="48" t="s">
        <v>1239</v>
      </c>
      <c r="AD207" s="48" t="s">
        <v>1231</v>
      </c>
      <c r="AE207" s="48" t="s">
        <v>1669</v>
      </c>
      <c r="AF207" s="48" t="s">
        <v>1436</v>
      </c>
      <c r="AG207" s="48" t="s">
        <v>1436</v>
      </c>
      <c r="AH207" s="48" t="s">
        <v>208</v>
      </c>
      <c r="AI207" s="50">
        <v>44562</v>
      </c>
      <c r="AJ207" s="50">
        <v>46387</v>
      </c>
      <c r="AK207" s="49" t="s">
        <v>1280</v>
      </c>
      <c r="AL207" s="48" t="s">
        <v>36</v>
      </c>
      <c r="AM207" s="48" t="s">
        <v>36</v>
      </c>
      <c r="AN207" s="51">
        <v>0</v>
      </c>
      <c r="AO207" s="51"/>
      <c r="AP207" s="51"/>
      <c r="AQ207" s="72">
        <v>1600000</v>
      </c>
      <c r="AR207" s="72">
        <v>50000</v>
      </c>
      <c r="AS207" s="50">
        <v>46387</v>
      </c>
      <c r="AT207" s="50" t="s">
        <v>1436</v>
      </c>
      <c r="AU207" s="49" t="s">
        <v>1436</v>
      </c>
      <c r="AV207" s="49" t="s">
        <v>1670</v>
      </c>
      <c r="AW207" s="48" t="s">
        <v>1244</v>
      </c>
    </row>
    <row r="208" spans="1:49" x14ac:dyDescent="0.3">
      <c r="A208" s="48" t="s">
        <v>1320</v>
      </c>
      <c r="B208" s="48" t="s">
        <v>6</v>
      </c>
      <c r="C208" s="48" t="s">
        <v>1322</v>
      </c>
      <c r="D208" s="50">
        <v>45138</v>
      </c>
      <c r="E208" s="48" t="s">
        <v>36</v>
      </c>
      <c r="F208" s="48" t="s">
        <v>1438</v>
      </c>
      <c r="G208" s="48" t="s">
        <v>1439</v>
      </c>
      <c r="H208" s="49" t="s">
        <v>1440</v>
      </c>
      <c r="I208" s="48" t="s">
        <v>1406</v>
      </c>
      <c r="J208" s="48" t="s">
        <v>1194</v>
      </c>
      <c r="K208" s="48" t="s">
        <v>1441</v>
      </c>
      <c r="L208" s="48" t="s">
        <v>38</v>
      </c>
      <c r="M208" s="48" t="s">
        <v>37</v>
      </c>
      <c r="N208" s="48" t="s">
        <v>1436</v>
      </c>
      <c r="O208" s="48" t="s">
        <v>1436</v>
      </c>
      <c r="P208" s="48" t="s">
        <v>1436</v>
      </c>
      <c r="Q208" s="48" t="s">
        <v>38</v>
      </c>
      <c r="R208" s="48" t="s">
        <v>39</v>
      </c>
      <c r="S208" s="48" t="s">
        <v>1194</v>
      </c>
      <c r="T208" s="48" t="s">
        <v>41</v>
      </c>
      <c r="U208" s="48" t="s">
        <v>1436</v>
      </c>
      <c r="V208" s="48" t="s">
        <v>1436</v>
      </c>
      <c r="W208" s="48" t="s">
        <v>1436</v>
      </c>
      <c r="X208" s="49" t="s">
        <v>193</v>
      </c>
      <c r="Y208" s="48" t="s">
        <v>1194</v>
      </c>
      <c r="Z208" s="49" t="s">
        <v>1321</v>
      </c>
      <c r="AA208" s="48" t="s">
        <v>1324</v>
      </c>
      <c r="AB208" s="48" t="s">
        <v>1325</v>
      </c>
      <c r="AC208" s="48" t="s">
        <v>1239</v>
      </c>
      <c r="AD208" s="48" t="s">
        <v>1231</v>
      </c>
      <c r="AE208" s="48" t="s">
        <v>1669</v>
      </c>
      <c r="AF208" s="48" t="s">
        <v>1436</v>
      </c>
      <c r="AG208" s="48" t="s">
        <v>1436</v>
      </c>
      <c r="AH208" s="48" t="s">
        <v>208</v>
      </c>
      <c r="AI208" s="50">
        <v>44562</v>
      </c>
      <c r="AJ208" s="50">
        <v>46387</v>
      </c>
      <c r="AK208" s="49" t="s">
        <v>1280</v>
      </c>
      <c r="AL208" s="48" t="s">
        <v>36</v>
      </c>
      <c r="AM208" s="48" t="s">
        <v>36</v>
      </c>
      <c r="AN208" s="51">
        <v>0</v>
      </c>
      <c r="AO208" s="51"/>
      <c r="AP208" s="51"/>
      <c r="AQ208" s="72">
        <v>1600000</v>
      </c>
      <c r="AR208" s="72">
        <v>50000</v>
      </c>
      <c r="AS208" s="50">
        <v>46387</v>
      </c>
      <c r="AT208" s="50" t="s">
        <v>1436</v>
      </c>
      <c r="AU208" s="49" t="s">
        <v>1436</v>
      </c>
      <c r="AV208" s="49" t="s">
        <v>1670</v>
      </c>
      <c r="AW208" s="48" t="s">
        <v>1244</v>
      </c>
    </row>
    <row r="209" spans="1:49" x14ac:dyDescent="0.3">
      <c r="A209" s="48" t="s">
        <v>1320</v>
      </c>
      <c r="B209" s="48" t="s">
        <v>6</v>
      </c>
      <c r="C209" s="48" t="s">
        <v>1322</v>
      </c>
      <c r="D209" s="50">
        <v>45138</v>
      </c>
      <c r="E209" s="48" t="s">
        <v>36</v>
      </c>
      <c r="F209" s="48" t="s">
        <v>1438</v>
      </c>
      <c r="G209" s="48" t="s">
        <v>1439</v>
      </c>
      <c r="H209" s="49" t="s">
        <v>1442</v>
      </c>
      <c r="I209" s="48" t="s">
        <v>1405</v>
      </c>
      <c r="J209" s="48" t="s">
        <v>1194</v>
      </c>
      <c r="K209" s="48" t="s">
        <v>1443</v>
      </c>
      <c r="L209" s="48" t="s">
        <v>38</v>
      </c>
      <c r="M209" s="48" t="s">
        <v>37</v>
      </c>
      <c r="N209" s="48" t="s">
        <v>1436</v>
      </c>
      <c r="O209" s="48" t="s">
        <v>1436</v>
      </c>
      <c r="P209" s="48" t="s">
        <v>1436</v>
      </c>
      <c r="Q209" s="48" t="s">
        <v>38</v>
      </c>
      <c r="R209" s="48" t="s">
        <v>39</v>
      </c>
      <c r="S209" s="48" t="s">
        <v>1194</v>
      </c>
      <c r="T209" s="48" t="s">
        <v>41</v>
      </c>
      <c r="U209" s="48" t="s">
        <v>1436</v>
      </c>
      <c r="V209" s="48" t="s">
        <v>1436</v>
      </c>
      <c r="W209" s="48" t="s">
        <v>1436</v>
      </c>
      <c r="X209" s="49" t="s">
        <v>193</v>
      </c>
      <c r="Y209" s="48" t="s">
        <v>1194</v>
      </c>
      <c r="Z209" s="49" t="s">
        <v>1321</v>
      </c>
      <c r="AA209" s="48" t="s">
        <v>1324</v>
      </c>
      <c r="AB209" s="48" t="s">
        <v>1325</v>
      </c>
      <c r="AC209" s="48" t="s">
        <v>1239</v>
      </c>
      <c r="AD209" s="48" t="s">
        <v>1231</v>
      </c>
      <c r="AE209" s="48" t="s">
        <v>1669</v>
      </c>
      <c r="AF209" s="48" t="s">
        <v>1436</v>
      </c>
      <c r="AG209" s="48" t="s">
        <v>1436</v>
      </c>
      <c r="AH209" s="48" t="s">
        <v>208</v>
      </c>
      <c r="AI209" s="50">
        <v>44562</v>
      </c>
      <c r="AJ209" s="50">
        <v>46387</v>
      </c>
      <c r="AK209" s="49" t="s">
        <v>1280</v>
      </c>
      <c r="AL209" s="48" t="s">
        <v>36</v>
      </c>
      <c r="AM209" s="48" t="s">
        <v>36</v>
      </c>
      <c r="AN209" s="51">
        <v>0</v>
      </c>
      <c r="AO209" s="51"/>
      <c r="AP209" s="51"/>
      <c r="AQ209" s="72">
        <v>1600000</v>
      </c>
      <c r="AR209" s="72">
        <v>50000</v>
      </c>
      <c r="AS209" s="50">
        <v>46387</v>
      </c>
      <c r="AT209" s="50" t="s">
        <v>1436</v>
      </c>
      <c r="AU209" s="49" t="s">
        <v>1436</v>
      </c>
      <c r="AV209" s="49" t="s">
        <v>1670</v>
      </c>
      <c r="AW209" s="48" t="s">
        <v>1244</v>
      </c>
    </row>
    <row r="210" spans="1:49" x14ac:dyDescent="0.3">
      <c r="A210" s="48" t="s">
        <v>1320</v>
      </c>
      <c r="B210" s="48" t="s">
        <v>6</v>
      </c>
      <c r="C210" s="48" t="s">
        <v>1322</v>
      </c>
      <c r="D210" s="50">
        <v>45138</v>
      </c>
      <c r="E210" s="48" t="s">
        <v>36</v>
      </c>
      <c r="F210" s="48" t="s">
        <v>1438</v>
      </c>
      <c r="G210" s="48" t="s">
        <v>1444</v>
      </c>
      <c r="H210" s="49" t="s">
        <v>1445</v>
      </c>
      <c r="I210" s="48" t="s">
        <v>1411</v>
      </c>
      <c r="J210" s="48" t="s">
        <v>40</v>
      </c>
      <c r="K210" s="48" t="s">
        <v>50</v>
      </c>
      <c r="L210" s="48" t="s">
        <v>38</v>
      </c>
      <c r="M210" s="48" t="s">
        <v>37</v>
      </c>
      <c r="N210" s="48" t="s">
        <v>1436</v>
      </c>
      <c r="O210" s="48" t="s">
        <v>1436</v>
      </c>
      <c r="P210" s="48" t="s">
        <v>1436</v>
      </c>
      <c r="Q210" s="48" t="s">
        <v>38</v>
      </c>
      <c r="R210" s="48" t="s">
        <v>39</v>
      </c>
      <c r="S210" s="48" t="s">
        <v>40</v>
      </c>
      <c r="T210" s="48" t="s">
        <v>41</v>
      </c>
      <c r="U210" s="48" t="s">
        <v>1436</v>
      </c>
      <c r="V210" s="48" t="s">
        <v>1436</v>
      </c>
      <c r="W210" s="48" t="s">
        <v>1436</v>
      </c>
      <c r="X210" s="49" t="s">
        <v>193</v>
      </c>
      <c r="Y210" s="48" t="s">
        <v>1194</v>
      </c>
      <c r="Z210" s="49" t="s">
        <v>1321</v>
      </c>
      <c r="AA210" s="48" t="s">
        <v>1324</v>
      </c>
      <c r="AB210" s="48" t="s">
        <v>1325</v>
      </c>
      <c r="AC210" s="48" t="s">
        <v>1239</v>
      </c>
      <c r="AD210" s="48" t="s">
        <v>1231</v>
      </c>
      <c r="AE210" s="48" t="s">
        <v>1669</v>
      </c>
      <c r="AF210" s="48" t="s">
        <v>1436</v>
      </c>
      <c r="AG210" s="48" t="s">
        <v>1436</v>
      </c>
      <c r="AH210" s="48" t="s">
        <v>208</v>
      </c>
      <c r="AI210" s="50">
        <v>44562</v>
      </c>
      <c r="AJ210" s="50">
        <v>46387</v>
      </c>
      <c r="AK210" s="49" t="s">
        <v>1280</v>
      </c>
      <c r="AL210" s="48" t="s">
        <v>36</v>
      </c>
      <c r="AM210" s="48" t="s">
        <v>36</v>
      </c>
      <c r="AN210" s="51">
        <v>42330.49</v>
      </c>
      <c r="AO210" s="51"/>
      <c r="AP210" s="51"/>
      <c r="AQ210" s="72">
        <v>1600000</v>
      </c>
      <c r="AR210" s="72">
        <v>50000</v>
      </c>
      <c r="AS210" s="50">
        <v>46387</v>
      </c>
      <c r="AT210" s="50" t="s">
        <v>1436</v>
      </c>
      <c r="AU210" s="49" t="s">
        <v>1436</v>
      </c>
      <c r="AV210" s="49" t="s">
        <v>1670</v>
      </c>
      <c r="AW210" s="48" t="s">
        <v>1244</v>
      </c>
    </row>
    <row r="211" spans="1:49" x14ac:dyDescent="0.3">
      <c r="A211" s="48" t="s">
        <v>1320</v>
      </c>
      <c r="B211" s="48" t="s">
        <v>6</v>
      </c>
      <c r="C211" s="48" t="s">
        <v>1322</v>
      </c>
      <c r="D211" s="50">
        <v>45138</v>
      </c>
      <c r="E211" s="48" t="s">
        <v>36</v>
      </c>
      <c r="F211" s="48" t="s">
        <v>1438</v>
      </c>
      <c r="G211" s="48" t="s">
        <v>1444</v>
      </c>
      <c r="H211" s="49" t="s">
        <v>1446</v>
      </c>
      <c r="I211" s="48" t="s">
        <v>1407</v>
      </c>
      <c r="J211" s="48" t="s">
        <v>40</v>
      </c>
      <c r="K211" s="48" t="s">
        <v>47</v>
      </c>
      <c r="L211" s="48" t="s">
        <v>38</v>
      </c>
      <c r="M211" s="48" t="s">
        <v>37</v>
      </c>
      <c r="N211" s="48" t="s">
        <v>1436</v>
      </c>
      <c r="O211" s="48" t="s">
        <v>1436</v>
      </c>
      <c r="P211" s="48" t="s">
        <v>1436</v>
      </c>
      <c r="Q211" s="48" t="s">
        <v>38</v>
      </c>
      <c r="R211" s="48" t="s">
        <v>39</v>
      </c>
      <c r="S211" s="48" t="s">
        <v>40</v>
      </c>
      <c r="T211" s="48" t="s">
        <v>41</v>
      </c>
      <c r="U211" s="48" t="s">
        <v>1436</v>
      </c>
      <c r="V211" s="48" t="s">
        <v>1436</v>
      </c>
      <c r="W211" s="48" t="s">
        <v>1436</v>
      </c>
      <c r="X211" s="49" t="s">
        <v>193</v>
      </c>
      <c r="Y211" s="48" t="s">
        <v>1194</v>
      </c>
      <c r="Z211" s="49" t="s">
        <v>1321</v>
      </c>
      <c r="AA211" s="48" t="s">
        <v>1324</v>
      </c>
      <c r="AB211" s="48" t="s">
        <v>1325</v>
      </c>
      <c r="AC211" s="48" t="s">
        <v>1239</v>
      </c>
      <c r="AD211" s="48" t="s">
        <v>1231</v>
      </c>
      <c r="AE211" s="48" t="s">
        <v>1669</v>
      </c>
      <c r="AF211" s="48" t="s">
        <v>1436</v>
      </c>
      <c r="AG211" s="48" t="s">
        <v>1436</v>
      </c>
      <c r="AH211" s="48" t="s">
        <v>208</v>
      </c>
      <c r="AI211" s="50">
        <v>44562</v>
      </c>
      <c r="AJ211" s="50">
        <v>46387</v>
      </c>
      <c r="AK211" s="49" t="s">
        <v>1280</v>
      </c>
      <c r="AL211" s="48" t="s">
        <v>36</v>
      </c>
      <c r="AM211" s="48" t="s">
        <v>36</v>
      </c>
      <c r="AN211" s="51">
        <v>10608.454689</v>
      </c>
      <c r="AO211" s="51"/>
      <c r="AP211" s="51"/>
      <c r="AQ211" s="72">
        <v>1600000</v>
      </c>
      <c r="AR211" s="72">
        <v>50000</v>
      </c>
      <c r="AS211" s="50">
        <v>46387</v>
      </c>
      <c r="AT211" s="50" t="s">
        <v>1436</v>
      </c>
      <c r="AU211" s="49" t="s">
        <v>1436</v>
      </c>
      <c r="AV211" s="49" t="s">
        <v>1670</v>
      </c>
      <c r="AW211" s="48" t="s">
        <v>1244</v>
      </c>
    </row>
    <row r="212" spans="1:49" x14ac:dyDescent="0.3">
      <c r="A212" s="48" t="s">
        <v>1320</v>
      </c>
      <c r="B212" s="48" t="s">
        <v>6</v>
      </c>
      <c r="C212" s="48" t="s">
        <v>1322</v>
      </c>
      <c r="D212" s="50">
        <v>45138</v>
      </c>
      <c r="E212" s="48" t="s">
        <v>36</v>
      </c>
      <c r="F212" s="48" t="s">
        <v>1433</v>
      </c>
      <c r="G212" s="48" t="s">
        <v>1447</v>
      </c>
      <c r="H212" s="49" t="s">
        <v>1448</v>
      </c>
      <c r="I212" s="48" t="s">
        <v>1413</v>
      </c>
      <c r="J212" s="48" t="s">
        <v>40</v>
      </c>
      <c r="K212" s="48" t="s">
        <v>58</v>
      </c>
      <c r="L212" s="48" t="s">
        <v>38</v>
      </c>
      <c r="M212" s="48" t="s">
        <v>37</v>
      </c>
      <c r="N212" s="48" t="s">
        <v>1436</v>
      </c>
      <c r="O212" s="48" t="s">
        <v>1436</v>
      </c>
      <c r="P212" s="48" t="s">
        <v>1436</v>
      </c>
      <c r="Q212" s="48" t="s">
        <v>38</v>
      </c>
      <c r="R212" s="48" t="s">
        <v>39</v>
      </c>
      <c r="S212" s="48" t="s">
        <v>40</v>
      </c>
      <c r="T212" s="48" t="s">
        <v>41</v>
      </c>
      <c r="U212" s="48" t="s">
        <v>1436</v>
      </c>
      <c r="V212" s="48" t="s">
        <v>1436</v>
      </c>
      <c r="W212" s="48" t="s">
        <v>1436</v>
      </c>
      <c r="X212" s="49" t="s">
        <v>193</v>
      </c>
      <c r="Y212" s="48" t="s">
        <v>1194</v>
      </c>
      <c r="Z212" s="49" t="s">
        <v>1321</v>
      </c>
      <c r="AA212" s="48" t="s">
        <v>1324</v>
      </c>
      <c r="AB212" s="48" t="s">
        <v>1325</v>
      </c>
      <c r="AC212" s="48" t="s">
        <v>1239</v>
      </c>
      <c r="AD212" s="48" t="s">
        <v>1231</v>
      </c>
      <c r="AE212" s="48" t="s">
        <v>1669</v>
      </c>
      <c r="AF212" s="48" t="s">
        <v>1436</v>
      </c>
      <c r="AG212" s="48" t="s">
        <v>1436</v>
      </c>
      <c r="AH212" s="48" t="s">
        <v>208</v>
      </c>
      <c r="AI212" s="50">
        <v>44562</v>
      </c>
      <c r="AJ212" s="50">
        <v>46387</v>
      </c>
      <c r="AK212" s="49" t="s">
        <v>1280</v>
      </c>
      <c r="AL212" s="48" t="s">
        <v>36</v>
      </c>
      <c r="AM212" s="48" t="s">
        <v>36</v>
      </c>
      <c r="AN212" s="51">
        <v>-50000</v>
      </c>
      <c r="AO212" s="51"/>
      <c r="AP212" s="51"/>
      <c r="AQ212" s="72">
        <v>1600000</v>
      </c>
      <c r="AR212" s="72">
        <v>50000</v>
      </c>
      <c r="AS212" s="50">
        <v>46387</v>
      </c>
      <c r="AT212" s="50" t="s">
        <v>1436</v>
      </c>
      <c r="AU212" s="49" t="s">
        <v>1436</v>
      </c>
      <c r="AV212" s="49" t="s">
        <v>1670</v>
      </c>
      <c r="AW212" s="48" t="s">
        <v>1244</v>
      </c>
    </row>
    <row r="213" spans="1:49" x14ac:dyDescent="0.3">
      <c r="A213" s="48" t="s">
        <v>1320</v>
      </c>
      <c r="B213" s="48" t="s">
        <v>6</v>
      </c>
      <c r="C213" s="48" t="s">
        <v>1322</v>
      </c>
      <c r="D213" s="50">
        <v>45138</v>
      </c>
      <c r="E213" s="48" t="s">
        <v>36</v>
      </c>
      <c r="F213" s="48" t="s">
        <v>1433</v>
      </c>
      <c r="G213" s="48" t="s">
        <v>1447</v>
      </c>
      <c r="H213" s="49" t="s">
        <v>1449</v>
      </c>
      <c r="I213" s="48" t="s">
        <v>1409</v>
      </c>
      <c r="J213" s="48" t="s">
        <v>40</v>
      </c>
      <c r="K213" s="48" t="s">
        <v>45</v>
      </c>
      <c r="L213" s="48" t="s">
        <v>38</v>
      </c>
      <c r="M213" s="48" t="s">
        <v>37</v>
      </c>
      <c r="N213" s="48" t="s">
        <v>1436</v>
      </c>
      <c r="O213" s="48" t="s">
        <v>1436</v>
      </c>
      <c r="P213" s="48" t="s">
        <v>1436</v>
      </c>
      <c r="Q213" s="48" t="s">
        <v>38</v>
      </c>
      <c r="R213" s="48" t="s">
        <v>39</v>
      </c>
      <c r="S213" s="48" t="s">
        <v>40</v>
      </c>
      <c r="T213" s="48" t="s">
        <v>41</v>
      </c>
      <c r="U213" s="48" t="s">
        <v>1436</v>
      </c>
      <c r="V213" s="48" t="s">
        <v>1436</v>
      </c>
      <c r="W213" s="48" t="s">
        <v>1436</v>
      </c>
      <c r="X213" s="49" t="s">
        <v>193</v>
      </c>
      <c r="Y213" s="48" t="s">
        <v>1194</v>
      </c>
      <c r="Z213" s="49" t="s">
        <v>1321</v>
      </c>
      <c r="AA213" s="48" t="s">
        <v>1324</v>
      </c>
      <c r="AB213" s="48" t="s">
        <v>1325</v>
      </c>
      <c r="AC213" s="48" t="s">
        <v>1239</v>
      </c>
      <c r="AD213" s="48" t="s">
        <v>1231</v>
      </c>
      <c r="AE213" s="48" t="s">
        <v>1669</v>
      </c>
      <c r="AF213" s="48" t="s">
        <v>1436</v>
      </c>
      <c r="AG213" s="48" t="s">
        <v>1436</v>
      </c>
      <c r="AH213" s="48" t="s">
        <v>208</v>
      </c>
      <c r="AI213" s="50">
        <v>44562</v>
      </c>
      <c r="AJ213" s="50">
        <v>46387</v>
      </c>
      <c r="AK213" s="49" t="s">
        <v>1280</v>
      </c>
      <c r="AL213" s="48" t="s">
        <v>36</v>
      </c>
      <c r="AM213" s="48" t="s">
        <v>36</v>
      </c>
      <c r="AN213" s="51">
        <v>41994.183928999999</v>
      </c>
      <c r="AO213" s="51"/>
      <c r="AP213" s="51"/>
      <c r="AQ213" s="72">
        <v>1600000</v>
      </c>
      <c r="AR213" s="72">
        <v>50000</v>
      </c>
      <c r="AS213" s="50">
        <v>46387</v>
      </c>
      <c r="AT213" s="50" t="s">
        <v>1436</v>
      </c>
      <c r="AU213" s="49" t="s">
        <v>1436</v>
      </c>
      <c r="AV213" s="49" t="s">
        <v>1670</v>
      </c>
      <c r="AW213" s="48" t="s">
        <v>1244</v>
      </c>
    </row>
    <row r="214" spans="1:49" x14ac:dyDescent="0.3">
      <c r="A214" s="48" t="s">
        <v>1320</v>
      </c>
      <c r="B214" s="48" t="s">
        <v>6</v>
      </c>
      <c r="C214" s="48" t="s">
        <v>1322</v>
      </c>
      <c r="D214" s="50">
        <v>45138</v>
      </c>
      <c r="E214" s="48" t="s">
        <v>36</v>
      </c>
      <c r="F214" s="48" t="s">
        <v>1433</v>
      </c>
      <c r="G214" s="48" t="s">
        <v>1447</v>
      </c>
      <c r="H214" s="49" t="s">
        <v>1450</v>
      </c>
      <c r="I214" s="48" t="s">
        <v>1408</v>
      </c>
      <c r="J214" s="48" t="s">
        <v>40</v>
      </c>
      <c r="K214" s="48" t="s">
        <v>54</v>
      </c>
      <c r="L214" s="48" t="s">
        <v>38</v>
      </c>
      <c r="M214" s="48" t="s">
        <v>37</v>
      </c>
      <c r="N214" s="48" t="s">
        <v>1436</v>
      </c>
      <c r="O214" s="48" t="s">
        <v>1436</v>
      </c>
      <c r="P214" s="48" t="s">
        <v>1436</v>
      </c>
      <c r="Q214" s="48" t="s">
        <v>38</v>
      </c>
      <c r="R214" s="48" t="s">
        <v>39</v>
      </c>
      <c r="S214" s="48" t="s">
        <v>40</v>
      </c>
      <c r="T214" s="48" t="s">
        <v>41</v>
      </c>
      <c r="U214" s="48" t="s">
        <v>1436</v>
      </c>
      <c r="V214" s="48" t="s">
        <v>1436</v>
      </c>
      <c r="W214" s="48" t="s">
        <v>1436</v>
      </c>
      <c r="X214" s="49" t="s">
        <v>193</v>
      </c>
      <c r="Y214" s="48" t="s">
        <v>1194</v>
      </c>
      <c r="Z214" s="49" t="s">
        <v>1321</v>
      </c>
      <c r="AA214" s="48" t="s">
        <v>1324</v>
      </c>
      <c r="AB214" s="48" t="s">
        <v>1325</v>
      </c>
      <c r="AC214" s="48" t="s">
        <v>1239</v>
      </c>
      <c r="AD214" s="48" t="s">
        <v>1231</v>
      </c>
      <c r="AE214" s="48" t="s">
        <v>1669</v>
      </c>
      <c r="AF214" s="48" t="s">
        <v>1436</v>
      </c>
      <c r="AG214" s="48" t="s">
        <v>1436</v>
      </c>
      <c r="AH214" s="48" t="s">
        <v>208</v>
      </c>
      <c r="AI214" s="50">
        <v>44562</v>
      </c>
      <c r="AJ214" s="50">
        <v>46387</v>
      </c>
      <c r="AK214" s="49" t="s">
        <v>1280</v>
      </c>
      <c r="AL214" s="48" t="s">
        <v>36</v>
      </c>
      <c r="AM214" s="48" t="s">
        <v>36</v>
      </c>
      <c r="AN214" s="51">
        <v>-2831.09</v>
      </c>
      <c r="AO214" s="51"/>
      <c r="AP214" s="51"/>
      <c r="AQ214" s="72">
        <v>1600000</v>
      </c>
      <c r="AR214" s="72">
        <v>50000</v>
      </c>
      <c r="AS214" s="50">
        <v>46387</v>
      </c>
      <c r="AT214" s="50" t="s">
        <v>1436</v>
      </c>
      <c r="AU214" s="49" t="s">
        <v>1436</v>
      </c>
      <c r="AV214" s="49" t="s">
        <v>1670</v>
      </c>
      <c r="AW214" s="48" t="s">
        <v>1244</v>
      </c>
    </row>
    <row r="215" spans="1:49" x14ac:dyDescent="0.3">
      <c r="A215" s="48" t="s">
        <v>1320</v>
      </c>
      <c r="B215" s="48" t="s">
        <v>6</v>
      </c>
      <c r="C215" s="48" t="s">
        <v>1322</v>
      </c>
      <c r="D215" s="50">
        <v>45138</v>
      </c>
      <c r="E215" s="48" t="s">
        <v>36</v>
      </c>
      <c r="F215" s="48" t="s">
        <v>1433</v>
      </c>
      <c r="G215" s="48" t="s">
        <v>1447</v>
      </c>
      <c r="H215" s="49" t="s">
        <v>1451</v>
      </c>
      <c r="I215" s="48" t="s">
        <v>1404</v>
      </c>
      <c r="J215" s="48" t="s">
        <v>38</v>
      </c>
      <c r="K215" s="48" t="s">
        <v>49</v>
      </c>
      <c r="L215" s="48" t="s">
        <v>38</v>
      </c>
      <c r="M215" s="48" t="s">
        <v>37</v>
      </c>
      <c r="N215" s="48" t="s">
        <v>1436</v>
      </c>
      <c r="O215" s="48" t="s">
        <v>1436</v>
      </c>
      <c r="P215" s="48" t="s">
        <v>1436</v>
      </c>
      <c r="Q215" s="48" t="s">
        <v>38</v>
      </c>
      <c r="R215" s="48" t="s">
        <v>39</v>
      </c>
      <c r="S215" s="48" t="s">
        <v>38</v>
      </c>
      <c r="T215" s="48" t="s">
        <v>41</v>
      </c>
      <c r="U215" s="48" t="s">
        <v>1436</v>
      </c>
      <c r="V215" s="48" t="s">
        <v>1436</v>
      </c>
      <c r="W215" s="48" t="s">
        <v>1436</v>
      </c>
      <c r="X215" s="49" t="s">
        <v>193</v>
      </c>
      <c r="Y215" s="48" t="s">
        <v>1194</v>
      </c>
      <c r="Z215" s="49" t="s">
        <v>1321</v>
      </c>
      <c r="AA215" s="48" t="s">
        <v>1324</v>
      </c>
      <c r="AB215" s="48" t="s">
        <v>1325</v>
      </c>
      <c r="AC215" s="48" t="s">
        <v>1239</v>
      </c>
      <c r="AD215" s="48" t="s">
        <v>1231</v>
      </c>
      <c r="AE215" s="48" t="s">
        <v>1669</v>
      </c>
      <c r="AF215" s="48" t="s">
        <v>1436</v>
      </c>
      <c r="AG215" s="48" t="s">
        <v>1436</v>
      </c>
      <c r="AH215" s="48" t="s">
        <v>208</v>
      </c>
      <c r="AI215" s="50">
        <v>44562</v>
      </c>
      <c r="AJ215" s="50">
        <v>46387</v>
      </c>
      <c r="AK215" s="49" t="s">
        <v>1280</v>
      </c>
      <c r="AL215" s="48" t="s">
        <v>36</v>
      </c>
      <c r="AM215" s="48" t="s">
        <v>36</v>
      </c>
      <c r="AN215" s="51">
        <v>228.451382</v>
      </c>
      <c r="AO215" s="51"/>
      <c r="AP215" s="51"/>
      <c r="AQ215" s="72">
        <v>1600000</v>
      </c>
      <c r="AR215" s="72">
        <v>50000</v>
      </c>
      <c r="AS215" s="50">
        <v>46387</v>
      </c>
      <c r="AT215" s="50" t="s">
        <v>1436</v>
      </c>
      <c r="AU215" s="49" t="s">
        <v>1436</v>
      </c>
      <c r="AV215" s="49" t="s">
        <v>1670</v>
      </c>
      <c r="AW215" s="48" t="s">
        <v>1244</v>
      </c>
    </row>
    <row r="216" spans="1:49" x14ac:dyDescent="0.3">
      <c r="A216" s="48" t="s">
        <v>1320</v>
      </c>
      <c r="B216" s="48" t="s">
        <v>6</v>
      </c>
      <c r="C216" s="48" t="s">
        <v>1322</v>
      </c>
      <c r="D216" s="50">
        <v>45169</v>
      </c>
      <c r="E216" s="48" t="s">
        <v>36</v>
      </c>
      <c r="F216" s="48" t="s">
        <v>1433</v>
      </c>
      <c r="G216" s="48" t="s">
        <v>1434</v>
      </c>
      <c r="H216" s="49" t="s">
        <v>1435</v>
      </c>
      <c r="I216" s="48" t="s">
        <v>1412</v>
      </c>
      <c r="J216" s="48" t="s">
        <v>40</v>
      </c>
      <c r="K216" s="48" t="s">
        <v>52</v>
      </c>
      <c r="L216" s="48" t="s">
        <v>38</v>
      </c>
      <c r="M216" s="48" t="s">
        <v>37</v>
      </c>
      <c r="N216" s="48" t="s">
        <v>1436</v>
      </c>
      <c r="O216" s="48" t="s">
        <v>1436</v>
      </c>
      <c r="P216" s="48" t="s">
        <v>1436</v>
      </c>
      <c r="Q216" s="48" t="s">
        <v>38</v>
      </c>
      <c r="R216" s="48" t="s">
        <v>39</v>
      </c>
      <c r="S216" s="48" t="s">
        <v>40</v>
      </c>
      <c r="T216" s="48" t="s">
        <v>41</v>
      </c>
      <c r="U216" s="48" t="s">
        <v>1436</v>
      </c>
      <c r="V216" s="48" t="s">
        <v>1436</v>
      </c>
      <c r="W216" s="48" t="s">
        <v>1436</v>
      </c>
      <c r="X216" s="49" t="s">
        <v>193</v>
      </c>
      <c r="Y216" s="48" t="s">
        <v>1194</v>
      </c>
      <c r="Z216" s="49" t="s">
        <v>1321</v>
      </c>
      <c r="AA216" s="48" t="s">
        <v>1324</v>
      </c>
      <c r="AB216" s="48" t="s">
        <v>1325</v>
      </c>
      <c r="AC216" s="48" t="s">
        <v>1239</v>
      </c>
      <c r="AD216" s="48" t="s">
        <v>1231</v>
      </c>
      <c r="AE216" s="48" t="s">
        <v>1669</v>
      </c>
      <c r="AF216" s="48" t="s">
        <v>1436</v>
      </c>
      <c r="AG216" s="48" t="s">
        <v>1436</v>
      </c>
      <c r="AH216" s="48" t="s">
        <v>208</v>
      </c>
      <c r="AI216" s="50">
        <v>44562</v>
      </c>
      <c r="AJ216" s="50">
        <v>46387</v>
      </c>
      <c r="AK216" s="49" t="s">
        <v>1280</v>
      </c>
      <c r="AL216" s="48" t="s">
        <v>36</v>
      </c>
      <c r="AM216" s="48" t="s">
        <v>36</v>
      </c>
      <c r="AN216" s="51">
        <v>-42330.49</v>
      </c>
      <c r="AO216" s="51"/>
      <c r="AP216" s="51"/>
      <c r="AQ216" s="72">
        <v>1600000</v>
      </c>
      <c r="AR216" s="72">
        <v>50000</v>
      </c>
      <c r="AS216" s="50">
        <v>46387</v>
      </c>
      <c r="AT216" s="50" t="s">
        <v>1436</v>
      </c>
      <c r="AU216" s="49" t="s">
        <v>1436</v>
      </c>
      <c r="AV216" s="49" t="s">
        <v>1670</v>
      </c>
      <c r="AW216" s="48" t="s">
        <v>1244</v>
      </c>
    </row>
    <row r="217" spans="1:49" x14ac:dyDescent="0.3">
      <c r="A217" s="48" t="s">
        <v>1320</v>
      </c>
      <c r="B217" s="48" t="s">
        <v>6</v>
      </c>
      <c r="C217" s="48" t="s">
        <v>1322</v>
      </c>
      <c r="D217" s="50">
        <v>45169</v>
      </c>
      <c r="E217" s="48" t="s">
        <v>36</v>
      </c>
      <c r="F217" s="48" t="s">
        <v>1433</v>
      </c>
      <c r="G217" s="48" t="s">
        <v>1434</v>
      </c>
      <c r="H217" s="49" t="s">
        <v>1437</v>
      </c>
      <c r="I217" s="48" t="s">
        <v>1410</v>
      </c>
      <c r="J217" s="48" t="s">
        <v>40</v>
      </c>
      <c r="K217" s="48" t="s">
        <v>42</v>
      </c>
      <c r="L217" s="48" t="s">
        <v>38</v>
      </c>
      <c r="M217" s="48" t="s">
        <v>37</v>
      </c>
      <c r="N217" s="48" t="s">
        <v>1436</v>
      </c>
      <c r="O217" s="48" t="s">
        <v>1436</v>
      </c>
      <c r="P217" s="48" t="s">
        <v>1436</v>
      </c>
      <c r="Q217" s="48" t="s">
        <v>38</v>
      </c>
      <c r="R217" s="48" t="s">
        <v>39</v>
      </c>
      <c r="S217" s="48" t="s">
        <v>40</v>
      </c>
      <c r="T217" s="48" t="s">
        <v>41</v>
      </c>
      <c r="U217" s="48" t="s">
        <v>1436</v>
      </c>
      <c r="V217" s="48" t="s">
        <v>1436</v>
      </c>
      <c r="W217" s="48" t="s">
        <v>1436</v>
      </c>
      <c r="X217" s="49" t="s">
        <v>193</v>
      </c>
      <c r="Y217" s="48" t="s">
        <v>1194</v>
      </c>
      <c r="Z217" s="49" t="s">
        <v>1321</v>
      </c>
      <c r="AA217" s="48" t="s">
        <v>1324</v>
      </c>
      <c r="AB217" s="48" t="s">
        <v>1325</v>
      </c>
      <c r="AC217" s="48" t="s">
        <v>1239</v>
      </c>
      <c r="AD217" s="48" t="s">
        <v>1231</v>
      </c>
      <c r="AE217" s="48" t="s">
        <v>1669</v>
      </c>
      <c r="AF217" s="48" t="s">
        <v>1436</v>
      </c>
      <c r="AG217" s="48" t="s">
        <v>1436</v>
      </c>
      <c r="AH217" s="48" t="s">
        <v>208</v>
      </c>
      <c r="AI217" s="50">
        <v>44562</v>
      </c>
      <c r="AJ217" s="50">
        <v>46387</v>
      </c>
      <c r="AK217" s="49" t="s">
        <v>1280</v>
      </c>
      <c r="AL217" s="48" t="s">
        <v>36</v>
      </c>
      <c r="AM217" s="48" t="s">
        <v>36</v>
      </c>
      <c r="AN217" s="51">
        <v>0</v>
      </c>
      <c r="AO217" s="51"/>
      <c r="AP217" s="51"/>
      <c r="AQ217" s="72">
        <v>1600000</v>
      </c>
      <c r="AR217" s="72">
        <v>50000</v>
      </c>
      <c r="AS217" s="50">
        <v>46387</v>
      </c>
      <c r="AT217" s="50" t="s">
        <v>1436</v>
      </c>
      <c r="AU217" s="49" t="s">
        <v>1436</v>
      </c>
      <c r="AV217" s="49" t="s">
        <v>1670</v>
      </c>
      <c r="AW217" s="48" t="s">
        <v>1244</v>
      </c>
    </row>
    <row r="218" spans="1:49" x14ac:dyDescent="0.3">
      <c r="A218" s="48" t="s">
        <v>1320</v>
      </c>
      <c r="B218" s="48" t="s">
        <v>6</v>
      </c>
      <c r="C218" s="48" t="s">
        <v>1322</v>
      </c>
      <c r="D218" s="50">
        <v>45169</v>
      </c>
      <c r="E218" s="48" t="s">
        <v>36</v>
      </c>
      <c r="F218" s="48" t="s">
        <v>1438</v>
      </c>
      <c r="G218" s="48" t="s">
        <v>1439</v>
      </c>
      <c r="H218" s="49" t="s">
        <v>1440</v>
      </c>
      <c r="I218" s="48" t="s">
        <v>1406</v>
      </c>
      <c r="J218" s="48" t="s">
        <v>1194</v>
      </c>
      <c r="K218" s="48" t="s">
        <v>1441</v>
      </c>
      <c r="L218" s="48" t="s">
        <v>38</v>
      </c>
      <c r="M218" s="48" t="s">
        <v>37</v>
      </c>
      <c r="N218" s="48" t="s">
        <v>1436</v>
      </c>
      <c r="O218" s="48" t="s">
        <v>1436</v>
      </c>
      <c r="P218" s="48" t="s">
        <v>1436</v>
      </c>
      <c r="Q218" s="48" t="s">
        <v>38</v>
      </c>
      <c r="R218" s="48" t="s">
        <v>39</v>
      </c>
      <c r="S218" s="48" t="s">
        <v>1194</v>
      </c>
      <c r="T218" s="48" t="s">
        <v>41</v>
      </c>
      <c r="U218" s="48" t="s">
        <v>1436</v>
      </c>
      <c r="V218" s="48" t="s">
        <v>1436</v>
      </c>
      <c r="W218" s="48" t="s">
        <v>1436</v>
      </c>
      <c r="X218" s="49" t="s">
        <v>193</v>
      </c>
      <c r="Y218" s="48" t="s">
        <v>1194</v>
      </c>
      <c r="Z218" s="49" t="s">
        <v>1321</v>
      </c>
      <c r="AA218" s="48" t="s">
        <v>1324</v>
      </c>
      <c r="AB218" s="48" t="s">
        <v>1325</v>
      </c>
      <c r="AC218" s="48" t="s">
        <v>1239</v>
      </c>
      <c r="AD218" s="48" t="s">
        <v>1231</v>
      </c>
      <c r="AE218" s="48" t="s">
        <v>1669</v>
      </c>
      <c r="AF218" s="48" t="s">
        <v>1436</v>
      </c>
      <c r="AG218" s="48" t="s">
        <v>1436</v>
      </c>
      <c r="AH218" s="48" t="s">
        <v>208</v>
      </c>
      <c r="AI218" s="50">
        <v>44562</v>
      </c>
      <c r="AJ218" s="50">
        <v>46387</v>
      </c>
      <c r="AK218" s="49" t="s">
        <v>1280</v>
      </c>
      <c r="AL218" s="48" t="s">
        <v>36</v>
      </c>
      <c r="AM218" s="48" t="s">
        <v>36</v>
      </c>
      <c r="AN218" s="51">
        <v>0</v>
      </c>
      <c r="AO218" s="51"/>
      <c r="AP218" s="51"/>
      <c r="AQ218" s="72">
        <v>1600000</v>
      </c>
      <c r="AR218" s="72">
        <v>50000</v>
      </c>
      <c r="AS218" s="50">
        <v>46387</v>
      </c>
      <c r="AT218" s="50" t="s">
        <v>1436</v>
      </c>
      <c r="AU218" s="49" t="s">
        <v>1436</v>
      </c>
      <c r="AV218" s="49" t="s">
        <v>1670</v>
      </c>
      <c r="AW218" s="48" t="s">
        <v>1244</v>
      </c>
    </row>
    <row r="219" spans="1:49" x14ac:dyDescent="0.3">
      <c r="A219" s="48" t="s">
        <v>1320</v>
      </c>
      <c r="B219" s="48" t="s">
        <v>6</v>
      </c>
      <c r="C219" s="48" t="s">
        <v>1322</v>
      </c>
      <c r="D219" s="50">
        <v>45169</v>
      </c>
      <c r="E219" s="48" t="s">
        <v>36</v>
      </c>
      <c r="F219" s="48" t="s">
        <v>1438</v>
      </c>
      <c r="G219" s="48" t="s">
        <v>1439</v>
      </c>
      <c r="H219" s="49" t="s">
        <v>1442</v>
      </c>
      <c r="I219" s="48" t="s">
        <v>1405</v>
      </c>
      <c r="J219" s="48" t="s">
        <v>1194</v>
      </c>
      <c r="K219" s="48" t="s">
        <v>1443</v>
      </c>
      <c r="L219" s="48" t="s">
        <v>38</v>
      </c>
      <c r="M219" s="48" t="s">
        <v>37</v>
      </c>
      <c r="N219" s="48" t="s">
        <v>1436</v>
      </c>
      <c r="O219" s="48" t="s">
        <v>1436</v>
      </c>
      <c r="P219" s="48" t="s">
        <v>1436</v>
      </c>
      <c r="Q219" s="48" t="s">
        <v>38</v>
      </c>
      <c r="R219" s="48" t="s">
        <v>39</v>
      </c>
      <c r="S219" s="48" t="s">
        <v>1194</v>
      </c>
      <c r="T219" s="48" t="s">
        <v>41</v>
      </c>
      <c r="U219" s="48" t="s">
        <v>1436</v>
      </c>
      <c r="V219" s="48" t="s">
        <v>1436</v>
      </c>
      <c r="W219" s="48" t="s">
        <v>1436</v>
      </c>
      <c r="X219" s="49" t="s">
        <v>193</v>
      </c>
      <c r="Y219" s="48" t="s">
        <v>1194</v>
      </c>
      <c r="Z219" s="49" t="s">
        <v>1321</v>
      </c>
      <c r="AA219" s="48" t="s">
        <v>1324</v>
      </c>
      <c r="AB219" s="48" t="s">
        <v>1325</v>
      </c>
      <c r="AC219" s="48" t="s">
        <v>1239</v>
      </c>
      <c r="AD219" s="48" t="s">
        <v>1231</v>
      </c>
      <c r="AE219" s="48" t="s">
        <v>1669</v>
      </c>
      <c r="AF219" s="48" t="s">
        <v>1436</v>
      </c>
      <c r="AG219" s="48" t="s">
        <v>1436</v>
      </c>
      <c r="AH219" s="48" t="s">
        <v>208</v>
      </c>
      <c r="AI219" s="50">
        <v>44562</v>
      </c>
      <c r="AJ219" s="50">
        <v>46387</v>
      </c>
      <c r="AK219" s="49" t="s">
        <v>1280</v>
      </c>
      <c r="AL219" s="48" t="s">
        <v>36</v>
      </c>
      <c r="AM219" s="48" t="s">
        <v>36</v>
      </c>
      <c r="AN219" s="51">
        <v>0</v>
      </c>
      <c r="AO219" s="51"/>
      <c r="AP219" s="51"/>
      <c r="AQ219" s="72">
        <v>1600000</v>
      </c>
      <c r="AR219" s="72">
        <v>50000</v>
      </c>
      <c r="AS219" s="50">
        <v>46387</v>
      </c>
      <c r="AT219" s="50" t="s">
        <v>1436</v>
      </c>
      <c r="AU219" s="49" t="s">
        <v>1436</v>
      </c>
      <c r="AV219" s="49" t="s">
        <v>1670</v>
      </c>
      <c r="AW219" s="48" t="s">
        <v>1244</v>
      </c>
    </row>
    <row r="220" spans="1:49" x14ac:dyDescent="0.3">
      <c r="A220" s="48" t="s">
        <v>1320</v>
      </c>
      <c r="B220" s="48" t="s">
        <v>6</v>
      </c>
      <c r="C220" s="48" t="s">
        <v>1322</v>
      </c>
      <c r="D220" s="50">
        <v>45169</v>
      </c>
      <c r="E220" s="48" t="s">
        <v>36</v>
      </c>
      <c r="F220" s="48" t="s">
        <v>1438</v>
      </c>
      <c r="G220" s="48" t="s">
        <v>1444</v>
      </c>
      <c r="H220" s="49" t="s">
        <v>1445</v>
      </c>
      <c r="I220" s="48" t="s">
        <v>1411</v>
      </c>
      <c r="J220" s="48" t="s">
        <v>40</v>
      </c>
      <c r="K220" s="48" t="s">
        <v>50</v>
      </c>
      <c r="L220" s="48" t="s">
        <v>38</v>
      </c>
      <c r="M220" s="48" t="s">
        <v>37</v>
      </c>
      <c r="N220" s="48" t="s">
        <v>1436</v>
      </c>
      <c r="O220" s="48" t="s">
        <v>1436</v>
      </c>
      <c r="P220" s="48" t="s">
        <v>1436</v>
      </c>
      <c r="Q220" s="48" t="s">
        <v>38</v>
      </c>
      <c r="R220" s="48" t="s">
        <v>39</v>
      </c>
      <c r="S220" s="48" t="s">
        <v>40</v>
      </c>
      <c r="T220" s="48" t="s">
        <v>41</v>
      </c>
      <c r="U220" s="48" t="s">
        <v>1436</v>
      </c>
      <c r="V220" s="48" t="s">
        <v>1436</v>
      </c>
      <c r="W220" s="48" t="s">
        <v>1436</v>
      </c>
      <c r="X220" s="49" t="s">
        <v>193</v>
      </c>
      <c r="Y220" s="48" t="s">
        <v>1194</v>
      </c>
      <c r="Z220" s="49" t="s">
        <v>1321</v>
      </c>
      <c r="AA220" s="48" t="s">
        <v>1324</v>
      </c>
      <c r="AB220" s="48" t="s">
        <v>1325</v>
      </c>
      <c r="AC220" s="48" t="s">
        <v>1239</v>
      </c>
      <c r="AD220" s="48" t="s">
        <v>1231</v>
      </c>
      <c r="AE220" s="48" t="s">
        <v>1669</v>
      </c>
      <c r="AF220" s="48" t="s">
        <v>1436</v>
      </c>
      <c r="AG220" s="48" t="s">
        <v>1436</v>
      </c>
      <c r="AH220" s="48" t="s">
        <v>208</v>
      </c>
      <c r="AI220" s="50">
        <v>44562</v>
      </c>
      <c r="AJ220" s="50">
        <v>46387</v>
      </c>
      <c r="AK220" s="49" t="s">
        <v>1280</v>
      </c>
      <c r="AL220" s="48" t="s">
        <v>36</v>
      </c>
      <c r="AM220" s="48" t="s">
        <v>36</v>
      </c>
      <c r="AN220" s="51">
        <v>42330.49</v>
      </c>
      <c r="AO220" s="51"/>
      <c r="AP220" s="51"/>
      <c r="AQ220" s="72">
        <v>1600000</v>
      </c>
      <c r="AR220" s="72">
        <v>50000</v>
      </c>
      <c r="AS220" s="50">
        <v>46387</v>
      </c>
      <c r="AT220" s="50" t="s">
        <v>1436</v>
      </c>
      <c r="AU220" s="49" t="s">
        <v>1436</v>
      </c>
      <c r="AV220" s="49" t="s">
        <v>1670</v>
      </c>
      <c r="AW220" s="48" t="s">
        <v>1244</v>
      </c>
    </row>
    <row r="221" spans="1:49" x14ac:dyDescent="0.3">
      <c r="A221" s="48" t="s">
        <v>1320</v>
      </c>
      <c r="B221" s="48" t="s">
        <v>6</v>
      </c>
      <c r="C221" s="48" t="s">
        <v>1322</v>
      </c>
      <c r="D221" s="50">
        <v>45169</v>
      </c>
      <c r="E221" s="48" t="s">
        <v>36</v>
      </c>
      <c r="F221" s="48" t="s">
        <v>1438</v>
      </c>
      <c r="G221" s="48" t="s">
        <v>1444</v>
      </c>
      <c r="H221" s="49" t="s">
        <v>1446</v>
      </c>
      <c r="I221" s="48" t="s">
        <v>1407</v>
      </c>
      <c r="J221" s="48" t="s">
        <v>40</v>
      </c>
      <c r="K221" s="48" t="s">
        <v>47</v>
      </c>
      <c r="L221" s="48" t="s">
        <v>38</v>
      </c>
      <c r="M221" s="48" t="s">
        <v>37</v>
      </c>
      <c r="N221" s="48" t="s">
        <v>1436</v>
      </c>
      <c r="O221" s="48" t="s">
        <v>1436</v>
      </c>
      <c r="P221" s="48" t="s">
        <v>1436</v>
      </c>
      <c r="Q221" s="48" t="s">
        <v>38</v>
      </c>
      <c r="R221" s="48" t="s">
        <v>39</v>
      </c>
      <c r="S221" s="48" t="s">
        <v>40</v>
      </c>
      <c r="T221" s="48" t="s">
        <v>41</v>
      </c>
      <c r="U221" s="48" t="s">
        <v>1436</v>
      </c>
      <c r="V221" s="48" t="s">
        <v>1436</v>
      </c>
      <c r="W221" s="48" t="s">
        <v>1436</v>
      </c>
      <c r="X221" s="49" t="s">
        <v>193</v>
      </c>
      <c r="Y221" s="48" t="s">
        <v>1194</v>
      </c>
      <c r="Z221" s="49" t="s">
        <v>1321</v>
      </c>
      <c r="AA221" s="48" t="s">
        <v>1324</v>
      </c>
      <c r="AB221" s="48" t="s">
        <v>1325</v>
      </c>
      <c r="AC221" s="48" t="s">
        <v>1239</v>
      </c>
      <c r="AD221" s="48" t="s">
        <v>1231</v>
      </c>
      <c r="AE221" s="48" t="s">
        <v>1669</v>
      </c>
      <c r="AF221" s="48" t="s">
        <v>1436</v>
      </c>
      <c r="AG221" s="48" t="s">
        <v>1436</v>
      </c>
      <c r="AH221" s="48" t="s">
        <v>208</v>
      </c>
      <c r="AI221" s="50">
        <v>44562</v>
      </c>
      <c r="AJ221" s="50">
        <v>46387</v>
      </c>
      <c r="AK221" s="49" t="s">
        <v>1280</v>
      </c>
      <c r="AL221" s="48" t="s">
        <v>36</v>
      </c>
      <c r="AM221" s="48" t="s">
        <v>36</v>
      </c>
      <c r="AN221" s="51">
        <v>10378.670674999999</v>
      </c>
      <c r="AO221" s="51"/>
      <c r="AP221" s="51"/>
      <c r="AQ221" s="72">
        <v>1600000</v>
      </c>
      <c r="AR221" s="72">
        <v>50000</v>
      </c>
      <c r="AS221" s="50">
        <v>46387</v>
      </c>
      <c r="AT221" s="50" t="s">
        <v>1436</v>
      </c>
      <c r="AU221" s="49" t="s">
        <v>1436</v>
      </c>
      <c r="AV221" s="49" t="s">
        <v>1670</v>
      </c>
      <c r="AW221" s="48" t="s">
        <v>1244</v>
      </c>
    </row>
    <row r="222" spans="1:49" x14ac:dyDescent="0.3">
      <c r="A222" s="48" t="s">
        <v>1320</v>
      </c>
      <c r="B222" s="48" t="s">
        <v>6</v>
      </c>
      <c r="C222" s="48" t="s">
        <v>1322</v>
      </c>
      <c r="D222" s="50">
        <v>45169</v>
      </c>
      <c r="E222" s="48" t="s">
        <v>36</v>
      </c>
      <c r="F222" s="48" t="s">
        <v>1433</v>
      </c>
      <c r="G222" s="48" t="s">
        <v>1447</v>
      </c>
      <c r="H222" s="49" t="s">
        <v>1448</v>
      </c>
      <c r="I222" s="48" t="s">
        <v>1413</v>
      </c>
      <c r="J222" s="48" t="s">
        <v>40</v>
      </c>
      <c r="K222" s="48" t="s">
        <v>58</v>
      </c>
      <c r="L222" s="48" t="s">
        <v>38</v>
      </c>
      <c r="M222" s="48" t="s">
        <v>37</v>
      </c>
      <c r="N222" s="48" t="s">
        <v>1436</v>
      </c>
      <c r="O222" s="48" t="s">
        <v>1436</v>
      </c>
      <c r="P222" s="48" t="s">
        <v>1436</v>
      </c>
      <c r="Q222" s="48" t="s">
        <v>38</v>
      </c>
      <c r="R222" s="48" t="s">
        <v>39</v>
      </c>
      <c r="S222" s="48" t="s">
        <v>40</v>
      </c>
      <c r="T222" s="48" t="s">
        <v>41</v>
      </c>
      <c r="U222" s="48" t="s">
        <v>1436</v>
      </c>
      <c r="V222" s="48" t="s">
        <v>1436</v>
      </c>
      <c r="W222" s="48" t="s">
        <v>1436</v>
      </c>
      <c r="X222" s="49" t="s">
        <v>193</v>
      </c>
      <c r="Y222" s="48" t="s">
        <v>1194</v>
      </c>
      <c r="Z222" s="49" t="s">
        <v>1321</v>
      </c>
      <c r="AA222" s="48" t="s">
        <v>1324</v>
      </c>
      <c r="AB222" s="48" t="s">
        <v>1325</v>
      </c>
      <c r="AC222" s="48" t="s">
        <v>1239</v>
      </c>
      <c r="AD222" s="48" t="s">
        <v>1231</v>
      </c>
      <c r="AE222" s="48" t="s">
        <v>1669</v>
      </c>
      <c r="AF222" s="48" t="s">
        <v>1436</v>
      </c>
      <c r="AG222" s="48" t="s">
        <v>1436</v>
      </c>
      <c r="AH222" s="48" t="s">
        <v>208</v>
      </c>
      <c r="AI222" s="50">
        <v>44562</v>
      </c>
      <c r="AJ222" s="50">
        <v>46387</v>
      </c>
      <c r="AK222" s="49" t="s">
        <v>1280</v>
      </c>
      <c r="AL222" s="48" t="s">
        <v>36</v>
      </c>
      <c r="AM222" s="48" t="s">
        <v>36</v>
      </c>
      <c r="AN222" s="51">
        <v>-50000</v>
      </c>
      <c r="AO222" s="51"/>
      <c r="AP222" s="51"/>
      <c r="AQ222" s="72">
        <v>1600000</v>
      </c>
      <c r="AR222" s="72">
        <v>50000</v>
      </c>
      <c r="AS222" s="50">
        <v>46387</v>
      </c>
      <c r="AT222" s="50" t="s">
        <v>1436</v>
      </c>
      <c r="AU222" s="49" t="s">
        <v>1436</v>
      </c>
      <c r="AV222" s="49" t="s">
        <v>1670</v>
      </c>
      <c r="AW222" s="48" t="s">
        <v>1244</v>
      </c>
    </row>
    <row r="223" spans="1:49" x14ac:dyDescent="0.3">
      <c r="A223" s="48" t="s">
        <v>1320</v>
      </c>
      <c r="B223" s="48" t="s">
        <v>6</v>
      </c>
      <c r="C223" s="48" t="s">
        <v>1322</v>
      </c>
      <c r="D223" s="50">
        <v>45169</v>
      </c>
      <c r="E223" s="48" t="s">
        <v>36</v>
      </c>
      <c r="F223" s="48" t="s">
        <v>1433</v>
      </c>
      <c r="G223" s="48" t="s">
        <v>1447</v>
      </c>
      <c r="H223" s="49" t="s">
        <v>1449</v>
      </c>
      <c r="I223" s="48" t="s">
        <v>1409</v>
      </c>
      <c r="J223" s="48" t="s">
        <v>40</v>
      </c>
      <c r="K223" s="48" t="s">
        <v>45</v>
      </c>
      <c r="L223" s="48" t="s">
        <v>38</v>
      </c>
      <c r="M223" s="48" t="s">
        <v>37</v>
      </c>
      <c r="N223" s="48" t="s">
        <v>1436</v>
      </c>
      <c r="O223" s="48" t="s">
        <v>1436</v>
      </c>
      <c r="P223" s="48" t="s">
        <v>1436</v>
      </c>
      <c r="Q223" s="48" t="s">
        <v>38</v>
      </c>
      <c r="R223" s="48" t="s">
        <v>39</v>
      </c>
      <c r="S223" s="48" t="s">
        <v>40</v>
      </c>
      <c r="T223" s="48" t="s">
        <v>41</v>
      </c>
      <c r="U223" s="48" t="s">
        <v>1436</v>
      </c>
      <c r="V223" s="48" t="s">
        <v>1436</v>
      </c>
      <c r="W223" s="48" t="s">
        <v>1436</v>
      </c>
      <c r="X223" s="49" t="s">
        <v>193</v>
      </c>
      <c r="Y223" s="48" t="s">
        <v>1194</v>
      </c>
      <c r="Z223" s="49" t="s">
        <v>1321</v>
      </c>
      <c r="AA223" s="48" t="s">
        <v>1324</v>
      </c>
      <c r="AB223" s="48" t="s">
        <v>1325</v>
      </c>
      <c r="AC223" s="48" t="s">
        <v>1239</v>
      </c>
      <c r="AD223" s="48" t="s">
        <v>1231</v>
      </c>
      <c r="AE223" s="48" t="s">
        <v>1669</v>
      </c>
      <c r="AF223" s="48" t="s">
        <v>1436</v>
      </c>
      <c r="AG223" s="48" t="s">
        <v>1436</v>
      </c>
      <c r="AH223" s="48" t="s">
        <v>208</v>
      </c>
      <c r="AI223" s="50">
        <v>44562</v>
      </c>
      <c r="AJ223" s="50">
        <v>46387</v>
      </c>
      <c r="AK223" s="49" t="s">
        <v>1280</v>
      </c>
      <c r="AL223" s="48" t="s">
        <v>36</v>
      </c>
      <c r="AM223" s="48" t="s">
        <v>36</v>
      </c>
      <c r="AN223" s="51">
        <v>42239.165310999997</v>
      </c>
      <c r="AO223" s="51"/>
      <c r="AP223" s="51"/>
      <c r="AQ223" s="72">
        <v>1600000</v>
      </c>
      <c r="AR223" s="72">
        <v>50000</v>
      </c>
      <c r="AS223" s="50">
        <v>46387</v>
      </c>
      <c r="AT223" s="50" t="s">
        <v>1436</v>
      </c>
      <c r="AU223" s="49" t="s">
        <v>1436</v>
      </c>
      <c r="AV223" s="49" t="s">
        <v>1670</v>
      </c>
      <c r="AW223" s="48" t="s">
        <v>1244</v>
      </c>
    </row>
    <row r="224" spans="1:49" x14ac:dyDescent="0.3">
      <c r="A224" s="48" t="s">
        <v>1320</v>
      </c>
      <c r="B224" s="48" t="s">
        <v>6</v>
      </c>
      <c r="C224" s="48" t="s">
        <v>1322</v>
      </c>
      <c r="D224" s="50">
        <v>45169</v>
      </c>
      <c r="E224" s="48" t="s">
        <v>36</v>
      </c>
      <c r="F224" s="48" t="s">
        <v>1433</v>
      </c>
      <c r="G224" s="48" t="s">
        <v>1447</v>
      </c>
      <c r="H224" s="49" t="s">
        <v>1450</v>
      </c>
      <c r="I224" s="48" t="s">
        <v>1408</v>
      </c>
      <c r="J224" s="48" t="s">
        <v>40</v>
      </c>
      <c r="K224" s="48" t="s">
        <v>54</v>
      </c>
      <c r="L224" s="48" t="s">
        <v>38</v>
      </c>
      <c r="M224" s="48" t="s">
        <v>37</v>
      </c>
      <c r="N224" s="48" t="s">
        <v>1436</v>
      </c>
      <c r="O224" s="48" t="s">
        <v>1436</v>
      </c>
      <c r="P224" s="48" t="s">
        <v>1436</v>
      </c>
      <c r="Q224" s="48" t="s">
        <v>38</v>
      </c>
      <c r="R224" s="48" t="s">
        <v>39</v>
      </c>
      <c r="S224" s="48" t="s">
        <v>40</v>
      </c>
      <c r="T224" s="48" t="s">
        <v>41</v>
      </c>
      <c r="U224" s="48" t="s">
        <v>1436</v>
      </c>
      <c r="V224" s="48" t="s">
        <v>1436</v>
      </c>
      <c r="W224" s="48" t="s">
        <v>1436</v>
      </c>
      <c r="X224" s="49" t="s">
        <v>193</v>
      </c>
      <c r="Y224" s="48" t="s">
        <v>1194</v>
      </c>
      <c r="Z224" s="49" t="s">
        <v>1321</v>
      </c>
      <c r="AA224" s="48" t="s">
        <v>1324</v>
      </c>
      <c r="AB224" s="48" t="s">
        <v>1325</v>
      </c>
      <c r="AC224" s="48" t="s">
        <v>1239</v>
      </c>
      <c r="AD224" s="48" t="s">
        <v>1231</v>
      </c>
      <c r="AE224" s="48" t="s">
        <v>1669</v>
      </c>
      <c r="AF224" s="48" t="s">
        <v>1436</v>
      </c>
      <c r="AG224" s="48" t="s">
        <v>1436</v>
      </c>
      <c r="AH224" s="48" t="s">
        <v>208</v>
      </c>
      <c r="AI224" s="50">
        <v>44562</v>
      </c>
      <c r="AJ224" s="50">
        <v>46387</v>
      </c>
      <c r="AK224" s="49" t="s">
        <v>1280</v>
      </c>
      <c r="AL224" s="48" t="s">
        <v>36</v>
      </c>
      <c r="AM224" s="48" t="s">
        <v>36</v>
      </c>
      <c r="AN224" s="51">
        <v>-2847.62</v>
      </c>
      <c r="AO224" s="51"/>
      <c r="AP224" s="51"/>
      <c r="AQ224" s="72">
        <v>1600000</v>
      </c>
      <c r="AR224" s="72">
        <v>50000</v>
      </c>
      <c r="AS224" s="50">
        <v>46387</v>
      </c>
      <c r="AT224" s="50" t="s">
        <v>1436</v>
      </c>
      <c r="AU224" s="49" t="s">
        <v>1436</v>
      </c>
      <c r="AV224" s="49" t="s">
        <v>1670</v>
      </c>
      <c r="AW224" s="48" t="s">
        <v>1244</v>
      </c>
    </row>
    <row r="225" spans="1:49" x14ac:dyDescent="0.3">
      <c r="A225" s="48" t="s">
        <v>1320</v>
      </c>
      <c r="B225" s="48" t="s">
        <v>6</v>
      </c>
      <c r="C225" s="48" t="s">
        <v>1322</v>
      </c>
      <c r="D225" s="50">
        <v>45169</v>
      </c>
      <c r="E225" s="48" t="s">
        <v>36</v>
      </c>
      <c r="F225" s="48" t="s">
        <v>1433</v>
      </c>
      <c r="G225" s="48" t="s">
        <v>1447</v>
      </c>
      <c r="H225" s="49" t="s">
        <v>1451</v>
      </c>
      <c r="I225" s="48" t="s">
        <v>1404</v>
      </c>
      <c r="J225" s="48" t="s">
        <v>38</v>
      </c>
      <c r="K225" s="48" t="s">
        <v>49</v>
      </c>
      <c r="L225" s="48" t="s">
        <v>38</v>
      </c>
      <c r="M225" s="48" t="s">
        <v>37</v>
      </c>
      <c r="N225" s="48" t="s">
        <v>1436</v>
      </c>
      <c r="O225" s="48" t="s">
        <v>1436</v>
      </c>
      <c r="P225" s="48" t="s">
        <v>1436</v>
      </c>
      <c r="Q225" s="48" t="s">
        <v>38</v>
      </c>
      <c r="R225" s="48" t="s">
        <v>39</v>
      </c>
      <c r="S225" s="48" t="s">
        <v>38</v>
      </c>
      <c r="T225" s="48" t="s">
        <v>41</v>
      </c>
      <c r="U225" s="48" t="s">
        <v>1436</v>
      </c>
      <c r="V225" s="48" t="s">
        <v>1436</v>
      </c>
      <c r="W225" s="48" t="s">
        <v>1436</v>
      </c>
      <c r="X225" s="49" t="s">
        <v>193</v>
      </c>
      <c r="Y225" s="48" t="s">
        <v>1194</v>
      </c>
      <c r="Z225" s="49" t="s">
        <v>1321</v>
      </c>
      <c r="AA225" s="48" t="s">
        <v>1324</v>
      </c>
      <c r="AB225" s="48" t="s">
        <v>1325</v>
      </c>
      <c r="AC225" s="48" t="s">
        <v>1239</v>
      </c>
      <c r="AD225" s="48" t="s">
        <v>1231</v>
      </c>
      <c r="AE225" s="48" t="s">
        <v>1669</v>
      </c>
      <c r="AF225" s="48" t="s">
        <v>1436</v>
      </c>
      <c r="AG225" s="48" t="s">
        <v>1436</v>
      </c>
      <c r="AH225" s="48" t="s">
        <v>208</v>
      </c>
      <c r="AI225" s="50">
        <v>44562</v>
      </c>
      <c r="AJ225" s="50">
        <v>46387</v>
      </c>
      <c r="AK225" s="49" t="s">
        <v>1280</v>
      </c>
      <c r="AL225" s="48" t="s">
        <v>36</v>
      </c>
      <c r="AM225" s="48" t="s">
        <v>36</v>
      </c>
      <c r="AN225" s="51">
        <v>229.78401400000001</v>
      </c>
      <c r="AO225" s="51"/>
      <c r="AP225" s="51"/>
      <c r="AQ225" s="72">
        <v>1600000</v>
      </c>
      <c r="AR225" s="72">
        <v>50000</v>
      </c>
      <c r="AS225" s="50">
        <v>46387</v>
      </c>
      <c r="AT225" s="50" t="s">
        <v>1436</v>
      </c>
      <c r="AU225" s="49" t="s">
        <v>1436</v>
      </c>
      <c r="AV225" s="49" t="s">
        <v>1670</v>
      </c>
      <c r="AW225" s="48" t="s">
        <v>1244</v>
      </c>
    </row>
    <row r="226" spans="1:49" x14ac:dyDescent="0.3">
      <c r="A226" s="48" t="s">
        <v>1320</v>
      </c>
      <c r="B226" s="48" t="s">
        <v>6</v>
      </c>
      <c r="C226" s="48" t="s">
        <v>1322</v>
      </c>
      <c r="D226" s="50">
        <v>45199</v>
      </c>
      <c r="E226" s="48" t="s">
        <v>36</v>
      </c>
      <c r="F226" s="48" t="s">
        <v>1433</v>
      </c>
      <c r="G226" s="48" t="s">
        <v>1434</v>
      </c>
      <c r="H226" s="49" t="s">
        <v>1435</v>
      </c>
      <c r="I226" s="48" t="s">
        <v>1412</v>
      </c>
      <c r="J226" s="48" t="s">
        <v>40</v>
      </c>
      <c r="K226" s="48" t="s">
        <v>52</v>
      </c>
      <c r="L226" s="48" t="s">
        <v>38</v>
      </c>
      <c r="M226" s="48" t="s">
        <v>37</v>
      </c>
      <c r="N226" s="48" t="s">
        <v>1436</v>
      </c>
      <c r="O226" s="48" t="s">
        <v>1436</v>
      </c>
      <c r="P226" s="48" t="s">
        <v>1436</v>
      </c>
      <c r="Q226" s="48" t="s">
        <v>38</v>
      </c>
      <c r="R226" s="48" t="s">
        <v>39</v>
      </c>
      <c r="S226" s="48" t="s">
        <v>40</v>
      </c>
      <c r="T226" s="48" t="s">
        <v>41</v>
      </c>
      <c r="U226" s="48" t="s">
        <v>1436</v>
      </c>
      <c r="V226" s="48" t="s">
        <v>1436</v>
      </c>
      <c r="W226" s="48" t="s">
        <v>1436</v>
      </c>
      <c r="X226" s="49" t="s">
        <v>193</v>
      </c>
      <c r="Y226" s="48" t="s">
        <v>1194</v>
      </c>
      <c r="Z226" s="49" t="s">
        <v>1321</v>
      </c>
      <c r="AA226" s="48" t="s">
        <v>1324</v>
      </c>
      <c r="AB226" s="48" t="s">
        <v>1325</v>
      </c>
      <c r="AC226" s="48" t="s">
        <v>1239</v>
      </c>
      <c r="AD226" s="48" t="s">
        <v>1231</v>
      </c>
      <c r="AE226" s="48" t="s">
        <v>1669</v>
      </c>
      <c r="AF226" s="48" t="s">
        <v>1436</v>
      </c>
      <c r="AG226" s="48" t="s">
        <v>1436</v>
      </c>
      <c r="AH226" s="48" t="s">
        <v>208</v>
      </c>
      <c r="AI226" s="50">
        <v>44562</v>
      </c>
      <c r="AJ226" s="50">
        <v>46387</v>
      </c>
      <c r="AK226" s="49" t="s">
        <v>1280</v>
      </c>
      <c r="AL226" s="48" t="s">
        <v>36</v>
      </c>
      <c r="AM226" s="48" t="s">
        <v>36</v>
      </c>
      <c r="AN226" s="51">
        <v>-42330.49</v>
      </c>
      <c r="AO226" s="51"/>
      <c r="AP226" s="51"/>
      <c r="AQ226" s="72">
        <v>1600000</v>
      </c>
      <c r="AR226" s="72">
        <v>50000</v>
      </c>
      <c r="AS226" s="50">
        <v>46387</v>
      </c>
      <c r="AT226" s="50" t="s">
        <v>1436</v>
      </c>
      <c r="AU226" s="49" t="s">
        <v>1436</v>
      </c>
      <c r="AV226" s="49" t="s">
        <v>1670</v>
      </c>
      <c r="AW226" s="48" t="s">
        <v>1244</v>
      </c>
    </row>
    <row r="227" spans="1:49" x14ac:dyDescent="0.3">
      <c r="A227" s="48" t="s">
        <v>1320</v>
      </c>
      <c r="B227" s="48" t="s">
        <v>6</v>
      </c>
      <c r="C227" s="48" t="s">
        <v>1322</v>
      </c>
      <c r="D227" s="50">
        <v>45199</v>
      </c>
      <c r="E227" s="48" t="s">
        <v>36</v>
      </c>
      <c r="F227" s="48" t="s">
        <v>1433</v>
      </c>
      <c r="G227" s="48" t="s">
        <v>1434</v>
      </c>
      <c r="H227" s="49" t="s">
        <v>1437</v>
      </c>
      <c r="I227" s="48" t="s">
        <v>1410</v>
      </c>
      <c r="J227" s="48" t="s">
        <v>40</v>
      </c>
      <c r="K227" s="48" t="s">
        <v>42</v>
      </c>
      <c r="L227" s="48" t="s">
        <v>38</v>
      </c>
      <c r="M227" s="48" t="s">
        <v>37</v>
      </c>
      <c r="N227" s="48" t="s">
        <v>1436</v>
      </c>
      <c r="O227" s="48" t="s">
        <v>1436</v>
      </c>
      <c r="P227" s="48" t="s">
        <v>1436</v>
      </c>
      <c r="Q227" s="48" t="s">
        <v>38</v>
      </c>
      <c r="R227" s="48" t="s">
        <v>39</v>
      </c>
      <c r="S227" s="48" t="s">
        <v>40</v>
      </c>
      <c r="T227" s="48" t="s">
        <v>41</v>
      </c>
      <c r="U227" s="48" t="s">
        <v>1436</v>
      </c>
      <c r="V227" s="48" t="s">
        <v>1436</v>
      </c>
      <c r="W227" s="48" t="s">
        <v>1436</v>
      </c>
      <c r="X227" s="49" t="s">
        <v>193</v>
      </c>
      <c r="Y227" s="48" t="s">
        <v>1194</v>
      </c>
      <c r="Z227" s="49" t="s">
        <v>1321</v>
      </c>
      <c r="AA227" s="48" t="s">
        <v>1324</v>
      </c>
      <c r="AB227" s="48" t="s">
        <v>1325</v>
      </c>
      <c r="AC227" s="48" t="s">
        <v>1239</v>
      </c>
      <c r="AD227" s="48" t="s">
        <v>1231</v>
      </c>
      <c r="AE227" s="48" t="s">
        <v>1669</v>
      </c>
      <c r="AF227" s="48" t="s">
        <v>1436</v>
      </c>
      <c r="AG227" s="48" t="s">
        <v>1436</v>
      </c>
      <c r="AH227" s="48" t="s">
        <v>208</v>
      </c>
      <c r="AI227" s="50">
        <v>44562</v>
      </c>
      <c r="AJ227" s="50">
        <v>46387</v>
      </c>
      <c r="AK227" s="49" t="s">
        <v>1280</v>
      </c>
      <c r="AL227" s="48" t="s">
        <v>36</v>
      </c>
      <c r="AM227" s="48" t="s">
        <v>36</v>
      </c>
      <c r="AN227" s="51">
        <v>0</v>
      </c>
      <c r="AO227" s="51"/>
      <c r="AP227" s="51"/>
      <c r="AQ227" s="72">
        <v>1600000</v>
      </c>
      <c r="AR227" s="72">
        <v>50000</v>
      </c>
      <c r="AS227" s="50">
        <v>46387</v>
      </c>
      <c r="AT227" s="50" t="s">
        <v>1436</v>
      </c>
      <c r="AU227" s="49" t="s">
        <v>1436</v>
      </c>
      <c r="AV227" s="49" t="s">
        <v>1670</v>
      </c>
      <c r="AW227" s="48" t="s">
        <v>1244</v>
      </c>
    </row>
    <row r="228" spans="1:49" x14ac:dyDescent="0.3">
      <c r="A228" s="48" t="s">
        <v>1320</v>
      </c>
      <c r="B228" s="48" t="s">
        <v>6</v>
      </c>
      <c r="C228" s="48" t="s">
        <v>1322</v>
      </c>
      <c r="D228" s="50">
        <v>45199</v>
      </c>
      <c r="E228" s="48" t="s">
        <v>36</v>
      </c>
      <c r="F228" s="48" t="s">
        <v>1438</v>
      </c>
      <c r="G228" s="48" t="s">
        <v>1439</v>
      </c>
      <c r="H228" s="49" t="s">
        <v>1440</v>
      </c>
      <c r="I228" s="48" t="s">
        <v>1406</v>
      </c>
      <c r="J228" s="48" t="s">
        <v>1194</v>
      </c>
      <c r="K228" s="48" t="s">
        <v>1441</v>
      </c>
      <c r="L228" s="48" t="s">
        <v>38</v>
      </c>
      <c r="M228" s="48" t="s">
        <v>37</v>
      </c>
      <c r="N228" s="48" t="s">
        <v>1436</v>
      </c>
      <c r="O228" s="48" t="s">
        <v>1436</v>
      </c>
      <c r="P228" s="48" t="s">
        <v>1436</v>
      </c>
      <c r="Q228" s="48" t="s">
        <v>38</v>
      </c>
      <c r="R228" s="48" t="s">
        <v>39</v>
      </c>
      <c r="S228" s="48" t="s">
        <v>1194</v>
      </c>
      <c r="T228" s="48" t="s">
        <v>41</v>
      </c>
      <c r="U228" s="48" t="s">
        <v>1436</v>
      </c>
      <c r="V228" s="48" t="s">
        <v>1436</v>
      </c>
      <c r="W228" s="48" t="s">
        <v>1436</v>
      </c>
      <c r="X228" s="49" t="s">
        <v>193</v>
      </c>
      <c r="Y228" s="48" t="s">
        <v>1194</v>
      </c>
      <c r="Z228" s="49" t="s">
        <v>1321</v>
      </c>
      <c r="AA228" s="48" t="s">
        <v>1324</v>
      </c>
      <c r="AB228" s="48" t="s">
        <v>1325</v>
      </c>
      <c r="AC228" s="48" t="s">
        <v>1239</v>
      </c>
      <c r="AD228" s="48" t="s">
        <v>1231</v>
      </c>
      <c r="AE228" s="48" t="s">
        <v>1669</v>
      </c>
      <c r="AF228" s="48" t="s">
        <v>1436</v>
      </c>
      <c r="AG228" s="48" t="s">
        <v>1436</v>
      </c>
      <c r="AH228" s="48" t="s">
        <v>208</v>
      </c>
      <c r="AI228" s="50">
        <v>44562</v>
      </c>
      <c r="AJ228" s="50">
        <v>46387</v>
      </c>
      <c r="AK228" s="49" t="s">
        <v>1280</v>
      </c>
      <c r="AL228" s="48" t="s">
        <v>36</v>
      </c>
      <c r="AM228" s="48" t="s">
        <v>36</v>
      </c>
      <c r="AN228" s="51">
        <v>0</v>
      </c>
      <c r="AO228" s="51"/>
      <c r="AP228" s="51"/>
      <c r="AQ228" s="72">
        <v>1600000</v>
      </c>
      <c r="AR228" s="72">
        <v>50000</v>
      </c>
      <c r="AS228" s="50">
        <v>46387</v>
      </c>
      <c r="AT228" s="50" t="s">
        <v>1436</v>
      </c>
      <c r="AU228" s="49" t="s">
        <v>1436</v>
      </c>
      <c r="AV228" s="49" t="s">
        <v>1670</v>
      </c>
      <c r="AW228" s="48" t="s">
        <v>1244</v>
      </c>
    </row>
    <row r="229" spans="1:49" x14ac:dyDescent="0.3">
      <c r="A229" s="48" t="s">
        <v>1320</v>
      </c>
      <c r="B229" s="48" t="s">
        <v>6</v>
      </c>
      <c r="C229" s="48" t="s">
        <v>1322</v>
      </c>
      <c r="D229" s="50">
        <v>45199</v>
      </c>
      <c r="E229" s="48" t="s">
        <v>36</v>
      </c>
      <c r="F229" s="48" t="s">
        <v>1438</v>
      </c>
      <c r="G229" s="48" t="s">
        <v>1439</v>
      </c>
      <c r="H229" s="49" t="s">
        <v>1442</v>
      </c>
      <c r="I229" s="48" t="s">
        <v>1405</v>
      </c>
      <c r="J229" s="48" t="s">
        <v>1194</v>
      </c>
      <c r="K229" s="48" t="s">
        <v>1443</v>
      </c>
      <c r="L229" s="48" t="s">
        <v>38</v>
      </c>
      <c r="M229" s="48" t="s">
        <v>37</v>
      </c>
      <c r="N229" s="48" t="s">
        <v>1436</v>
      </c>
      <c r="O229" s="48" t="s">
        <v>1436</v>
      </c>
      <c r="P229" s="48" t="s">
        <v>1436</v>
      </c>
      <c r="Q229" s="48" t="s">
        <v>38</v>
      </c>
      <c r="R229" s="48" t="s">
        <v>39</v>
      </c>
      <c r="S229" s="48" t="s">
        <v>1194</v>
      </c>
      <c r="T229" s="48" t="s">
        <v>41</v>
      </c>
      <c r="U229" s="48" t="s">
        <v>1436</v>
      </c>
      <c r="V229" s="48" t="s">
        <v>1436</v>
      </c>
      <c r="W229" s="48" t="s">
        <v>1436</v>
      </c>
      <c r="X229" s="49" t="s">
        <v>193</v>
      </c>
      <c r="Y229" s="48" t="s">
        <v>1194</v>
      </c>
      <c r="Z229" s="49" t="s">
        <v>1321</v>
      </c>
      <c r="AA229" s="48" t="s">
        <v>1324</v>
      </c>
      <c r="AB229" s="48" t="s">
        <v>1325</v>
      </c>
      <c r="AC229" s="48" t="s">
        <v>1239</v>
      </c>
      <c r="AD229" s="48" t="s">
        <v>1231</v>
      </c>
      <c r="AE229" s="48" t="s">
        <v>1669</v>
      </c>
      <c r="AF229" s="48" t="s">
        <v>1436</v>
      </c>
      <c r="AG229" s="48" t="s">
        <v>1436</v>
      </c>
      <c r="AH229" s="48" t="s">
        <v>208</v>
      </c>
      <c r="AI229" s="50">
        <v>44562</v>
      </c>
      <c r="AJ229" s="50">
        <v>46387</v>
      </c>
      <c r="AK229" s="49" t="s">
        <v>1280</v>
      </c>
      <c r="AL229" s="48" t="s">
        <v>36</v>
      </c>
      <c r="AM229" s="48" t="s">
        <v>36</v>
      </c>
      <c r="AN229" s="51">
        <v>0</v>
      </c>
      <c r="AO229" s="51"/>
      <c r="AP229" s="51"/>
      <c r="AQ229" s="72">
        <v>1600000</v>
      </c>
      <c r="AR229" s="72">
        <v>50000</v>
      </c>
      <c r="AS229" s="50">
        <v>46387</v>
      </c>
      <c r="AT229" s="50" t="s">
        <v>1436</v>
      </c>
      <c r="AU229" s="49" t="s">
        <v>1436</v>
      </c>
      <c r="AV229" s="49" t="s">
        <v>1670</v>
      </c>
      <c r="AW229" s="48" t="s">
        <v>1244</v>
      </c>
    </row>
    <row r="230" spans="1:49" x14ac:dyDescent="0.3">
      <c r="A230" s="48" t="s">
        <v>1320</v>
      </c>
      <c r="B230" s="48" t="s">
        <v>6</v>
      </c>
      <c r="C230" s="48" t="s">
        <v>1322</v>
      </c>
      <c r="D230" s="50">
        <v>45199</v>
      </c>
      <c r="E230" s="48" t="s">
        <v>36</v>
      </c>
      <c r="F230" s="48" t="s">
        <v>1438</v>
      </c>
      <c r="G230" s="48" t="s">
        <v>1444</v>
      </c>
      <c r="H230" s="49" t="s">
        <v>1445</v>
      </c>
      <c r="I230" s="48" t="s">
        <v>1411</v>
      </c>
      <c r="J230" s="48" t="s">
        <v>40</v>
      </c>
      <c r="K230" s="48" t="s">
        <v>50</v>
      </c>
      <c r="L230" s="48" t="s">
        <v>38</v>
      </c>
      <c r="M230" s="48" t="s">
        <v>37</v>
      </c>
      <c r="N230" s="48" t="s">
        <v>1436</v>
      </c>
      <c r="O230" s="48" t="s">
        <v>1436</v>
      </c>
      <c r="P230" s="48" t="s">
        <v>1436</v>
      </c>
      <c r="Q230" s="48" t="s">
        <v>38</v>
      </c>
      <c r="R230" s="48" t="s">
        <v>39</v>
      </c>
      <c r="S230" s="48" t="s">
        <v>40</v>
      </c>
      <c r="T230" s="48" t="s">
        <v>41</v>
      </c>
      <c r="U230" s="48" t="s">
        <v>1436</v>
      </c>
      <c r="V230" s="48" t="s">
        <v>1436</v>
      </c>
      <c r="W230" s="48" t="s">
        <v>1436</v>
      </c>
      <c r="X230" s="49" t="s">
        <v>193</v>
      </c>
      <c r="Y230" s="48" t="s">
        <v>1194</v>
      </c>
      <c r="Z230" s="49" t="s">
        <v>1321</v>
      </c>
      <c r="AA230" s="48" t="s">
        <v>1324</v>
      </c>
      <c r="AB230" s="48" t="s">
        <v>1325</v>
      </c>
      <c r="AC230" s="48" t="s">
        <v>1239</v>
      </c>
      <c r="AD230" s="48" t="s">
        <v>1231</v>
      </c>
      <c r="AE230" s="48" t="s">
        <v>1669</v>
      </c>
      <c r="AF230" s="48" t="s">
        <v>1436</v>
      </c>
      <c r="AG230" s="48" t="s">
        <v>1436</v>
      </c>
      <c r="AH230" s="48" t="s">
        <v>208</v>
      </c>
      <c r="AI230" s="50">
        <v>44562</v>
      </c>
      <c r="AJ230" s="50">
        <v>46387</v>
      </c>
      <c r="AK230" s="49" t="s">
        <v>1280</v>
      </c>
      <c r="AL230" s="48" t="s">
        <v>36</v>
      </c>
      <c r="AM230" s="48" t="s">
        <v>36</v>
      </c>
      <c r="AN230" s="51">
        <v>42330.49</v>
      </c>
      <c r="AO230" s="51"/>
      <c r="AP230" s="51"/>
      <c r="AQ230" s="72">
        <v>1600000</v>
      </c>
      <c r="AR230" s="72">
        <v>50000</v>
      </c>
      <c r="AS230" s="50">
        <v>46387</v>
      </c>
      <c r="AT230" s="50" t="s">
        <v>1436</v>
      </c>
      <c r="AU230" s="49" t="s">
        <v>1436</v>
      </c>
      <c r="AV230" s="49" t="s">
        <v>1670</v>
      </c>
      <c r="AW230" s="48" t="s">
        <v>1244</v>
      </c>
    </row>
    <row r="231" spans="1:49" x14ac:dyDescent="0.3">
      <c r="A231" s="48" t="s">
        <v>1320</v>
      </c>
      <c r="B231" s="48" t="s">
        <v>6</v>
      </c>
      <c r="C231" s="48" t="s">
        <v>1322</v>
      </c>
      <c r="D231" s="50">
        <v>45199</v>
      </c>
      <c r="E231" s="48" t="s">
        <v>36</v>
      </c>
      <c r="F231" s="48" t="s">
        <v>1438</v>
      </c>
      <c r="G231" s="48" t="s">
        <v>1444</v>
      </c>
      <c r="H231" s="49" t="s">
        <v>1446</v>
      </c>
      <c r="I231" s="48" t="s">
        <v>1407</v>
      </c>
      <c r="J231" s="48" t="s">
        <v>40</v>
      </c>
      <c r="K231" s="48" t="s">
        <v>47</v>
      </c>
      <c r="L231" s="48" t="s">
        <v>38</v>
      </c>
      <c r="M231" s="48" t="s">
        <v>37</v>
      </c>
      <c r="N231" s="48" t="s">
        <v>1436</v>
      </c>
      <c r="O231" s="48" t="s">
        <v>1436</v>
      </c>
      <c r="P231" s="48" t="s">
        <v>1436</v>
      </c>
      <c r="Q231" s="48" t="s">
        <v>38</v>
      </c>
      <c r="R231" s="48" t="s">
        <v>39</v>
      </c>
      <c r="S231" s="48" t="s">
        <v>40</v>
      </c>
      <c r="T231" s="48" t="s">
        <v>41</v>
      </c>
      <c r="U231" s="48" t="s">
        <v>1436</v>
      </c>
      <c r="V231" s="48" t="s">
        <v>1436</v>
      </c>
      <c r="W231" s="48" t="s">
        <v>1436</v>
      </c>
      <c r="X231" s="49" t="s">
        <v>193</v>
      </c>
      <c r="Y231" s="48" t="s">
        <v>1194</v>
      </c>
      <c r="Z231" s="49" t="s">
        <v>1321</v>
      </c>
      <c r="AA231" s="48" t="s">
        <v>1324</v>
      </c>
      <c r="AB231" s="48" t="s">
        <v>1325</v>
      </c>
      <c r="AC231" s="48" t="s">
        <v>1239</v>
      </c>
      <c r="AD231" s="48" t="s">
        <v>1231</v>
      </c>
      <c r="AE231" s="48" t="s">
        <v>1669</v>
      </c>
      <c r="AF231" s="48" t="s">
        <v>1436</v>
      </c>
      <c r="AG231" s="48" t="s">
        <v>1436</v>
      </c>
      <c r="AH231" s="48" t="s">
        <v>208</v>
      </c>
      <c r="AI231" s="50">
        <v>44562</v>
      </c>
      <c r="AJ231" s="50">
        <v>46387</v>
      </c>
      <c r="AK231" s="49" t="s">
        <v>1280</v>
      </c>
      <c r="AL231" s="48" t="s">
        <v>36</v>
      </c>
      <c r="AM231" s="48" t="s">
        <v>36</v>
      </c>
      <c r="AN231" s="51">
        <v>10147.546254000001</v>
      </c>
      <c r="AO231" s="51"/>
      <c r="AP231" s="51"/>
      <c r="AQ231" s="72">
        <v>1600000</v>
      </c>
      <c r="AR231" s="72">
        <v>50000</v>
      </c>
      <c r="AS231" s="50">
        <v>46387</v>
      </c>
      <c r="AT231" s="50" t="s">
        <v>1436</v>
      </c>
      <c r="AU231" s="49" t="s">
        <v>1436</v>
      </c>
      <c r="AV231" s="49" t="s">
        <v>1670</v>
      </c>
      <c r="AW231" s="48" t="s">
        <v>1244</v>
      </c>
    </row>
    <row r="232" spans="1:49" x14ac:dyDescent="0.3">
      <c r="A232" s="48" t="s">
        <v>1320</v>
      </c>
      <c r="B232" s="48" t="s">
        <v>6</v>
      </c>
      <c r="C232" s="48" t="s">
        <v>1322</v>
      </c>
      <c r="D232" s="50">
        <v>45199</v>
      </c>
      <c r="E232" s="48" t="s">
        <v>36</v>
      </c>
      <c r="F232" s="48" t="s">
        <v>1433</v>
      </c>
      <c r="G232" s="48" t="s">
        <v>1447</v>
      </c>
      <c r="H232" s="49" t="s">
        <v>1448</v>
      </c>
      <c r="I232" s="48" t="s">
        <v>1413</v>
      </c>
      <c r="J232" s="48" t="s">
        <v>40</v>
      </c>
      <c r="K232" s="48" t="s">
        <v>58</v>
      </c>
      <c r="L232" s="48" t="s">
        <v>38</v>
      </c>
      <c r="M232" s="48" t="s">
        <v>37</v>
      </c>
      <c r="N232" s="48" t="s">
        <v>1436</v>
      </c>
      <c r="O232" s="48" t="s">
        <v>1436</v>
      </c>
      <c r="P232" s="48" t="s">
        <v>1436</v>
      </c>
      <c r="Q232" s="48" t="s">
        <v>38</v>
      </c>
      <c r="R232" s="48" t="s">
        <v>39</v>
      </c>
      <c r="S232" s="48" t="s">
        <v>40</v>
      </c>
      <c r="T232" s="48" t="s">
        <v>41</v>
      </c>
      <c r="U232" s="48" t="s">
        <v>1436</v>
      </c>
      <c r="V232" s="48" t="s">
        <v>1436</v>
      </c>
      <c r="W232" s="48" t="s">
        <v>1436</v>
      </c>
      <c r="X232" s="49" t="s">
        <v>193</v>
      </c>
      <c r="Y232" s="48" t="s">
        <v>1194</v>
      </c>
      <c r="Z232" s="49" t="s">
        <v>1321</v>
      </c>
      <c r="AA232" s="48" t="s">
        <v>1324</v>
      </c>
      <c r="AB232" s="48" t="s">
        <v>1325</v>
      </c>
      <c r="AC232" s="48" t="s">
        <v>1239</v>
      </c>
      <c r="AD232" s="48" t="s">
        <v>1231</v>
      </c>
      <c r="AE232" s="48" t="s">
        <v>1669</v>
      </c>
      <c r="AF232" s="48" t="s">
        <v>1436</v>
      </c>
      <c r="AG232" s="48" t="s">
        <v>1436</v>
      </c>
      <c r="AH232" s="48" t="s">
        <v>208</v>
      </c>
      <c r="AI232" s="50">
        <v>44562</v>
      </c>
      <c r="AJ232" s="50">
        <v>46387</v>
      </c>
      <c r="AK232" s="49" t="s">
        <v>1280</v>
      </c>
      <c r="AL232" s="48" t="s">
        <v>36</v>
      </c>
      <c r="AM232" s="48" t="s">
        <v>36</v>
      </c>
      <c r="AN232" s="51">
        <v>-50000</v>
      </c>
      <c r="AO232" s="51"/>
      <c r="AP232" s="51"/>
      <c r="AQ232" s="72">
        <v>1600000</v>
      </c>
      <c r="AR232" s="72">
        <v>50000</v>
      </c>
      <c r="AS232" s="50">
        <v>46387</v>
      </c>
      <c r="AT232" s="50" t="s">
        <v>1436</v>
      </c>
      <c r="AU232" s="49" t="s">
        <v>1436</v>
      </c>
      <c r="AV232" s="49" t="s">
        <v>1670</v>
      </c>
      <c r="AW232" s="48" t="s">
        <v>1244</v>
      </c>
    </row>
    <row r="233" spans="1:49" x14ac:dyDescent="0.3">
      <c r="A233" s="48" t="s">
        <v>1320</v>
      </c>
      <c r="B233" s="48" t="s">
        <v>6</v>
      </c>
      <c r="C233" s="48" t="s">
        <v>1322</v>
      </c>
      <c r="D233" s="50">
        <v>45199</v>
      </c>
      <c r="E233" s="48" t="s">
        <v>36</v>
      </c>
      <c r="F233" s="48" t="s">
        <v>1433</v>
      </c>
      <c r="G233" s="48" t="s">
        <v>1447</v>
      </c>
      <c r="H233" s="49" t="s">
        <v>1449</v>
      </c>
      <c r="I233" s="48" t="s">
        <v>1409</v>
      </c>
      <c r="J233" s="48" t="s">
        <v>40</v>
      </c>
      <c r="K233" s="48" t="s">
        <v>45</v>
      </c>
      <c r="L233" s="48" t="s">
        <v>38</v>
      </c>
      <c r="M233" s="48" t="s">
        <v>37</v>
      </c>
      <c r="N233" s="48" t="s">
        <v>1436</v>
      </c>
      <c r="O233" s="48" t="s">
        <v>1436</v>
      </c>
      <c r="P233" s="48" t="s">
        <v>1436</v>
      </c>
      <c r="Q233" s="48" t="s">
        <v>38</v>
      </c>
      <c r="R233" s="48" t="s">
        <v>39</v>
      </c>
      <c r="S233" s="48" t="s">
        <v>40</v>
      </c>
      <c r="T233" s="48" t="s">
        <v>41</v>
      </c>
      <c r="U233" s="48" t="s">
        <v>1436</v>
      </c>
      <c r="V233" s="48" t="s">
        <v>1436</v>
      </c>
      <c r="W233" s="48" t="s">
        <v>1436</v>
      </c>
      <c r="X233" s="49" t="s">
        <v>193</v>
      </c>
      <c r="Y233" s="48" t="s">
        <v>1194</v>
      </c>
      <c r="Z233" s="49" t="s">
        <v>1321</v>
      </c>
      <c r="AA233" s="48" t="s">
        <v>1324</v>
      </c>
      <c r="AB233" s="48" t="s">
        <v>1325</v>
      </c>
      <c r="AC233" s="48" t="s">
        <v>1239</v>
      </c>
      <c r="AD233" s="48" t="s">
        <v>1231</v>
      </c>
      <c r="AE233" s="48" t="s">
        <v>1669</v>
      </c>
      <c r="AF233" s="48" t="s">
        <v>1436</v>
      </c>
      <c r="AG233" s="48" t="s">
        <v>1436</v>
      </c>
      <c r="AH233" s="48" t="s">
        <v>208</v>
      </c>
      <c r="AI233" s="50">
        <v>44562</v>
      </c>
      <c r="AJ233" s="50">
        <v>46387</v>
      </c>
      <c r="AK233" s="49" t="s">
        <v>1280</v>
      </c>
      <c r="AL233" s="48" t="s">
        <v>36</v>
      </c>
      <c r="AM233" s="48" t="s">
        <v>36</v>
      </c>
      <c r="AN233" s="51">
        <v>42485.569324999997</v>
      </c>
      <c r="AO233" s="51"/>
      <c r="AP233" s="51"/>
      <c r="AQ233" s="72">
        <v>1600000</v>
      </c>
      <c r="AR233" s="72">
        <v>50000</v>
      </c>
      <c r="AS233" s="50">
        <v>46387</v>
      </c>
      <c r="AT233" s="50" t="s">
        <v>1436</v>
      </c>
      <c r="AU233" s="49" t="s">
        <v>1436</v>
      </c>
      <c r="AV233" s="49" t="s">
        <v>1670</v>
      </c>
      <c r="AW233" s="48" t="s">
        <v>1244</v>
      </c>
    </row>
    <row r="234" spans="1:49" x14ac:dyDescent="0.3">
      <c r="A234" s="48" t="s">
        <v>1320</v>
      </c>
      <c r="B234" s="48" t="s">
        <v>6</v>
      </c>
      <c r="C234" s="48" t="s">
        <v>1322</v>
      </c>
      <c r="D234" s="50">
        <v>45199</v>
      </c>
      <c r="E234" s="48" t="s">
        <v>36</v>
      </c>
      <c r="F234" s="48" t="s">
        <v>1433</v>
      </c>
      <c r="G234" s="48" t="s">
        <v>1447</v>
      </c>
      <c r="H234" s="49" t="s">
        <v>1450</v>
      </c>
      <c r="I234" s="48" t="s">
        <v>1408</v>
      </c>
      <c r="J234" s="48" t="s">
        <v>40</v>
      </c>
      <c r="K234" s="48" t="s">
        <v>54</v>
      </c>
      <c r="L234" s="48" t="s">
        <v>38</v>
      </c>
      <c r="M234" s="48" t="s">
        <v>37</v>
      </c>
      <c r="N234" s="48" t="s">
        <v>1436</v>
      </c>
      <c r="O234" s="48" t="s">
        <v>1436</v>
      </c>
      <c r="P234" s="48" t="s">
        <v>1436</v>
      </c>
      <c r="Q234" s="48" t="s">
        <v>38</v>
      </c>
      <c r="R234" s="48" t="s">
        <v>39</v>
      </c>
      <c r="S234" s="48" t="s">
        <v>40</v>
      </c>
      <c r="T234" s="48" t="s">
        <v>41</v>
      </c>
      <c r="U234" s="48" t="s">
        <v>1436</v>
      </c>
      <c r="V234" s="48" t="s">
        <v>1436</v>
      </c>
      <c r="W234" s="48" t="s">
        <v>1436</v>
      </c>
      <c r="X234" s="49" t="s">
        <v>193</v>
      </c>
      <c r="Y234" s="48" t="s">
        <v>1194</v>
      </c>
      <c r="Z234" s="49" t="s">
        <v>1321</v>
      </c>
      <c r="AA234" s="48" t="s">
        <v>1324</v>
      </c>
      <c r="AB234" s="48" t="s">
        <v>1325</v>
      </c>
      <c r="AC234" s="48" t="s">
        <v>1239</v>
      </c>
      <c r="AD234" s="48" t="s">
        <v>1231</v>
      </c>
      <c r="AE234" s="48" t="s">
        <v>1669</v>
      </c>
      <c r="AF234" s="48" t="s">
        <v>1436</v>
      </c>
      <c r="AG234" s="48" t="s">
        <v>1436</v>
      </c>
      <c r="AH234" s="48" t="s">
        <v>208</v>
      </c>
      <c r="AI234" s="50">
        <v>44562</v>
      </c>
      <c r="AJ234" s="50">
        <v>46387</v>
      </c>
      <c r="AK234" s="49" t="s">
        <v>1280</v>
      </c>
      <c r="AL234" s="48" t="s">
        <v>36</v>
      </c>
      <c r="AM234" s="48" t="s">
        <v>36</v>
      </c>
      <c r="AN234" s="51">
        <v>-2864.24</v>
      </c>
      <c r="AO234" s="51"/>
      <c r="AP234" s="51"/>
      <c r="AQ234" s="72">
        <v>1600000</v>
      </c>
      <c r="AR234" s="72">
        <v>50000</v>
      </c>
      <c r="AS234" s="50">
        <v>46387</v>
      </c>
      <c r="AT234" s="50" t="s">
        <v>1436</v>
      </c>
      <c r="AU234" s="49" t="s">
        <v>1436</v>
      </c>
      <c r="AV234" s="49" t="s">
        <v>1670</v>
      </c>
      <c r="AW234" s="48" t="s">
        <v>1244</v>
      </c>
    </row>
    <row r="235" spans="1:49" x14ac:dyDescent="0.3">
      <c r="A235" s="48" t="s">
        <v>1320</v>
      </c>
      <c r="B235" s="48" t="s">
        <v>6</v>
      </c>
      <c r="C235" s="48" t="s">
        <v>1322</v>
      </c>
      <c r="D235" s="50">
        <v>45199</v>
      </c>
      <c r="E235" s="48" t="s">
        <v>36</v>
      </c>
      <c r="F235" s="48" t="s">
        <v>1433</v>
      </c>
      <c r="G235" s="48" t="s">
        <v>1447</v>
      </c>
      <c r="H235" s="49" t="s">
        <v>1451</v>
      </c>
      <c r="I235" s="48" t="s">
        <v>1404</v>
      </c>
      <c r="J235" s="48" t="s">
        <v>38</v>
      </c>
      <c r="K235" s="48" t="s">
        <v>49</v>
      </c>
      <c r="L235" s="48" t="s">
        <v>38</v>
      </c>
      <c r="M235" s="48" t="s">
        <v>37</v>
      </c>
      <c r="N235" s="48" t="s">
        <v>1436</v>
      </c>
      <c r="O235" s="48" t="s">
        <v>1436</v>
      </c>
      <c r="P235" s="48" t="s">
        <v>1436</v>
      </c>
      <c r="Q235" s="48" t="s">
        <v>38</v>
      </c>
      <c r="R235" s="48" t="s">
        <v>39</v>
      </c>
      <c r="S235" s="48" t="s">
        <v>38</v>
      </c>
      <c r="T235" s="48" t="s">
        <v>41</v>
      </c>
      <c r="U235" s="48" t="s">
        <v>1436</v>
      </c>
      <c r="V235" s="48" t="s">
        <v>1436</v>
      </c>
      <c r="W235" s="48" t="s">
        <v>1436</v>
      </c>
      <c r="X235" s="49" t="s">
        <v>193</v>
      </c>
      <c r="Y235" s="48" t="s">
        <v>1194</v>
      </c>
      <c r="Z235" s="49" t="s">
        <v>1321</v>
      </c>
      <c r="AA235" s="48" t="s">
        <v>1324</v>
      </c>
      <c r="AB235" s="48" t="s">
        <v>1325</v>
      </c>
      <c r="AC235" s="48" t="s">
        <v>1239</v>
      </c>
      <c r="AD235" s="48" t="s">
        <v>1231</v>
      </c>
      <c r="AE235" s="48" t="s">
        <v>1669</v>
      </c>
      <c r="AF235" s="48" t="s">
        <v>1436</v>
      </c>
      <c r="AG235" s="48" t="s">
        <v>1436</v>
      </c>
      <c r="AH235" s="48" t="s">
        <v>208</v>
      </c>
      <c r="AI235" s="50">
        <v>44562</v>
      </c>
      <c r="AJ235" s="50">
        <v>46387</v>
      </c>
      <c r="AK235" s="49" t="s">
        <v>1280</v>
      </c>
      <c r="AL235" s="48" t="s">
        <v>36</v>
      </c>
      <c r="AM235" s="48" t="s">
        <v>36</v>
      </c>
      <c r="AN235" s="51">
        <v>231.12442100000001</v>
      </c>
      <c r="AO235" s="51"/>
      <c r="AP235" s="51"/>
      <c r="AQ235" s="72">
        <v>1600000</v>
      </c>
      <c r="AR235" s="72">
        <v>50000</v>
      </c>
      <c r="AS235" s="50">
        <v>46387</v>
      </c>
      <c r="AT235" s="50" t="s">
        <v>1436</v>
      </c>
      <c r="AU235" s="49" t="s">
        <v>1436</v>
      </c>
      <c r="AV235" s="49" t="s">
        <v>1670</v>
      </c>
      <c r="AW235" s="48" t="s">
        <v>1244</v>
      </c>
    </row>
    <row r="236" spans="1:49" x14ac:dyDescent="0.3">
      <c r="A236" s="48" t="s">
        <v>1320</v>
      </c>
      <c r="B236" s="48" t="s">
        <v>6</v>
      </c>
      <c r="C236" s="48" t="s">
        <v>1322</v>
      </c>
      <c r="D236" s="50">
        <v>45230</v>
      </c>
      <c r="E236" s="48" t="s">
        <v>36</v>
      </c>
      <c r="F236" s="48" t="s">
        <v>1433</v>
      </c>
      <c r="G236" s="48" t="s">
        <v>1434</v>
      </c>
      <c r="H236" s="49" t="s">
        <v>1435</v>
      </c>
      <c r="I236" s="48" t="s">
        <v>1412</v>
      </c>
      <c r="J236" s="48" t="s">
        <v>40</v>
      </c>
      <c r="K236" s="48" t="s">
        <v>52</v>
      </c>
      <c r="L236" s="48" t="s">
        <v>38</v>
      </c>
      <c r="M236" s="48" t="s">
        <v>37</v>
      </c>
      <c r="N236" s="48" t="s">
        <v>1436</v>
      </c>
      <c r="O236" s="48" t="s">
        <v>1436</v>
      </c>
      <c r="P236" s="48" t="s">
        <v>1436</v>
      </c>
      <c r="Q236" s="48" t="s">
        <v>38</v>
      </c>
      <c r="R236" s="48" t="s">
        <v>39</v>
      </c>
      <c r="S236" s="48" t="s">
        <v>40</v>
      </c>
      <c r="T236" s="48" t="s">
        <v>41</v>
      </c>
      <c r="U236" s="48" t="s">
        <v>1436</v>
      </c>
      <c r="V236" s="48" t="s">
        <v>1436</v>
      </c>
      <c r="W236" s="48" t="s">
        <v>1436</v>
      </c>
      <c r="X236" s="49" t="s">
        <v>193</v>
      </c>
      <c r="Y236" s="48" t="s">
        <v>1194</v>
      </c>
      <c r="Z236" s="49" t="s">
        <v>1321</v>
      </c>
      <c r="AA236" s="48" t="s">
        <v>1324</v>
      </c>
      <c r="AB236" s="48" t="s">
        <v>1325</v>
      </c>
      <c r="AC236" s="48" t="s">
        <v>1239</v>
      </c>
      <c r="AD236" s="48" t="s">
        <v>1231</v>
      </c>
      <c r="AE236" s="48" t="s">
        <v>1669</v>
      </c>
      <c r="AF236" s="48" t="s">
        <v>1436</v>
      </c>
      <c r="AG236" s="48" t="s">
        <v>1436</v>
      </c>
      <c r="AH236" s="48" t="s">
        <v>208</v>
      </c>
      <c r="AI236" s="50">
        <v>44562</v>
      </c>
      <c r="AJ236" s="50">
        <v>46387</v>
      </c>
      <c r="AK236" s="49" t="s">
        <v>1280</v>
      </c>
      <c r="AL236" s="48" t="s">
        <v>36</v>
      </c>
      <c r="AM236" s="48" t="s">
        <v>36</v>
      </c>
      <c r="AN236" s="51">
        <v>-42330.49</v>
      </c>
      <c r="AO236" s="51"/>
      <c r="AP236" s="51"/>
      <c r="AQ236" s="72">
        <v>1600000</v>
      </c>
      <c r="AR236" s="72">
        <v>50000</v>
      </c>
      <c r="AS236" s="50">
        <v>46387</v>
      </c>
      <c r="AT236" s="50" t="s">
        <v>1436</v>
      </c>
      <c r="AU236" s="49" t="s">
        <v>1436</v>
      </c>
      <c r="AV236" s="49" t="s">
        <v>1670</v>
      </c>
      <c r="AW236" s="48" t="s">
        <v>1244</v>
      </c>
    </row>
    <row r="237" spans="1:49" x14ac:dyDescent="0.3">
      <c r="A237" s="48" t="s">
        <v>1320</v>
      </c>
      <c r="B237" s="48" t="s">
        <v>6</v>
      </c>
      <c r="C237" s="48" t="s">
        <v>1322</v>
      </c>
      <c r="D237" s="50">
        <v>45230</v>
      </c>
      <c r="E237" s="48" t="s">
        <v>36</v>
      </c>
      <c r="F237" s="48" t="s">
        <v>1433</v>
      </c>
      <c r="G237" s="48" t="s">
        <v>1434</v>
      </c>
      <c r="H237" s="49" t="s">
        <v>1437</v>
      </c>
      <c r="I237" s="48" t="s">
        <v>1410</v>
      </c>
      <c r="J237" s="48" t="s">
        <v>40</v>
      </c>
      <c r="K237" s="48" t="s">
        <v>42</v>
      </c>
      <c r="L237" s="48" t="s">
        <v>38</v>
      </c>
      <c r="M237" s="48" t="s">
        <v>37</v>
      </c>
      <c r="N237" s="48" t="s">
        <v>1436</v>
      </c>
      <c r="O237" s="48" t="s">
        <v>1436</v>
      </c>
      <c r="P237" s="48" t="s">
        <v>1436</v>
      </c>
      <c r="Q237" s="48" t="s">
        <v>38</v>
      </c>
      <c r="R237" s="48" t="s">
        <v>39</v>
      </c>
      <c r="S237" s="48" t="s">
        <v>40</v>
      </c>
      <c r="T237" s="48" t="s">
        <v>41</v>
      </c>
      <c r="U237" s="48" t="s">
        <v>1436</v>
      </c>
      <c r="V237" s="48" t="s">
        <v>1436</v>
      </c>
      <c r="W237" s="48" t="s">
        <v>1436</v>
      </c>
      <c r="X237" s="49" t="s">
        <v>193</v>
      </c>
      <c r="Y237" s="48" t="s">
        <v>1194</v>
      </c>
      <c r="Z237" s="49" t="s">
        <v>1321</v>
      </c>
      <c r="AA237" s="48" t="s">
        <v>1324</v>
      </c>
      <c r="AB237" s="48" t="s">
        <v>1325</v>
      </c>
      <c r="AC237" s="48" t="s">
        <v>1239</v>
      </c>
      <c r="AD237" s="48" t="s">
        <v>1231</v>
      </c>
      <c r="AE237" s="48" t="s">
        <v>1669</v>
      </c>
      <c r="AF237" s="48" t="s">
        <v>1436</v>
      </c>
      <c r="AG237" s="48" t="s">
        <v>1436</v>
      </c>
      <c r="AH237" s="48" t="s">
        <v>208</v>
      </c>
      <c r="AI237" s="50">
        <v>44562</v>
      </c>
      <c r="AJ237" s="50">
        <v>46387</v>
      </c>
      <c r="AK237" s="49" t="s">
        <v>1280</v>
      </c>
      <c r="AL237" s="48" t="s">
        <v>36</v>
      </c>
      <c r="AM237" s="48" t="s">
        <v>36</v>
      </c>
      <c r="AN237" s="51">
        <v>0</v>
      </c>
      <c r="AO237" s="51"/>
      <c r="AP237" s="51"/>
      <c r="AQ237" s="72">
        <v>1600000</v>
      </c>
      <c r="AR237" s="72">
        <v>50000</v>
      </c>
      <c r="AS237" s="50">
        <v>46387</v>
      </c>
      <c r="AT237" s="50" t="s">
        <v>1436</v>
      </c>
      <c r="AU237" s="49" t="s">
        <v>1436</v>
      </c>
      <c r="AV237" s="49" t="s">
        <v>1670</v>
      </c>
      <c r="AW237" s="48" t="s">
        <v>1244</v>
      </c>
    </row>
    <row r="238" spans="1:49" x14ac:dyDescent="0.3">
      <c r="A238" s="48" t="s">
        <v>1320</v>
      </c>
      <c r="B238" s="48" t="s">
        <v>6</v>
      </c>
      <c r="C238" s="48" t="s">
        <v>1322</v>
      </c>
      <c r="D238" s="50">
        <v>45230</v>
      </c>
      <c r="E238" s="48" t="s">
        <v>36</v>
      </c>
      <c r="F238" s="48" t="s">
        <v>1438</v>
      </c>
      <c r="G238" s="48" t="s">
        <v>1439</v>
      </c>
      <c r="H238" s="49" t="s">
        <v>1440</v>
      </c>
      <c r="I238" s="48" t="s">
        <v>1406</v>
      </c>
      <c r="J238" s="48" t="s">
        <v>1194</v>
      </c>
      <c r="K238" s="48" t="s">
        <v>1441</v>
      </c>
      <c r="L238" s="48" t="s">
        <v>38</v>
      </c>
      <c r="M238" s="48" t="s">
        <v>37</v>
      </c>
      <c r="N238" s="48" t="s">
        <v>1436</v>
      </c>
      <c r="O238" s="48" t="s">
        <v>1436</v>
      </c>
      <c r="P238" s="48" t="s">
        <v>1436</v>
      </c>
      <c r="Q238" s="48" t="s">
        <v>38</v>
      </c>
      <c r="R238" s="48" t="s">
        <v>39</v>
      </c>
      <c r="S238" s="48" t="s">
        <v>1194</v>
      </c>
      <c r="T238" s="48" t="s">
        <v>41</v>
      </c>
      <c r="U238" s="48" t="s">
        <v>1436</v>
      </c>
      <c r="V238" s="48" t="s">
        <v>1436</v>
      </c>
      <c r="W238" s="48" t="s">
        <v>1436</v>
      </c>
      <c r="X238" s="49" t="s">
        <v>193</v>
      </c>
      <c r="Y238" s="48" t="s">
        <v>1194</v>
      </c>
      <c r="Z238" s="49" t="s">
        <v>1321</v>
      </c>
      <c r="AA238" s="48" t="s">
        <v>1324</v>
      </c>
      <c r="AB238" s="48" t="s">
        <v>1325</v>
      </c>
      <c r="AC238" s="48" t="s">
        <v>1239</v>
      </c>
      <c r="AD238" s="48" t="s">
        <v>1231</v>
      </c>
      <c r="AE238" s="48" t="s">
        <v>1669</v>
      </c>
      <c r="AF238" s="48" t="s">
        <v>1436</v>
      </c>
      <c r="AG238" s="48" t="s">
        <v>1436</v>
      </c>
      <c r="AH238" s="48" t="s">
        <v>208</v>
      </c>
      <c r="AI238" s="50">
        <v>44562</v>
      </c>
      <c r="AJ238" s="50">
        <v>46387</v>
      </c>
      <c r="AK238" s="49" t="s">
        <v>1280</v>
      </c>
      <c r="AL238" s="48" t="s">
        <v>36</v>
      </c>
      <c r="AM238" s="48" t="s">
        <v>36</v>
      </c>
      <c r="AN238" s="51">
        <v>0</v>
      </c>
      <c r="AO238" s="51"/>
      <c r="AP238" s="51"/>
      <c r="AQ238" s="72">
        <v>1600000</v>
      </c>
      <c r="AR238" s="72">
        <v>50000</v>
      </c>
      <c r="AS238" s="50">
        <v>46387</v>
      </c>
      <c r="AT238" s="50" t="s">
        <v>1436</v>
      </c>
      <c r="AU238" s="49" t="s">
        <v>1436</v>
      </c>
      <c r="AV238" s="49" t="s">
        <v>1670</v>
      </c>
      <c r="AW238" s="48" t="s">
        <v>1244</v>
      </c>
    </row>
    <row r="239" spans="1:49" x14ac:dyDescent="0.3">
      <c r="A239" s="48" t="s">
        <v>1320</v>
      </c>
      <c r="B239" s="48" t="s">
        <v>6</v>
      </c>
      <c r="C239" s="48" t="s">
        <v>1322</v>
      </c>
      <c r="D239" s="50">
        <v>45230</v>
      </c>
      <c r="E239" s="48" t="s">
        <v>36</v>
      </c>
      <c r="F239" s="48" t="s">
        <v>1438</v>
      </c>
      <c r="G239" s="48" t="s">
        <v>1439</v>
      </c>
      <c r="H239" s="49" t="s">
        <v>1442</v>
      </c>
      <c r="I239" s="48" t="s">
        <v>1405</v>
      </c>
      <c r="J239" s="48" t="s">
        <v>1194</v>
      </c>
      <c r="K239" s="48" t="s">
        <v>1443</v>
      </c>
      <c r="L239" s="48" t="s">
        <v>38</v>
      </c>
      <c r="M239" s="48" t="s">
        <v>37</v>
      </c>
      <c r="N239" s="48" t="s">
        <v>1436</v>
      </c>
      <c r="O239" s="48" t="s">
        <v>1436</v>
      </c>
      <c r="P239" s="48" t="s">
        <v>1436</v>
      </c>
      <c r="Q239" s="48" t="s">
        <v>38</v>
      </c>
      <c r="R239" s="48" t="s">
        <v>39</v>
      </c>
      <c r="S239" s="48" t="s">
        <v>1194</v>
      </c>
      <c r="T239" s="48" t="s">
        <v>41</v>
      </c>
      <c r="U239" s="48" t="s">
        <v>1436</v>
      </c>
      <c r="V239" s="48" t="s">
        <v>1436</v>
      </c>
      <c r="W239" s="48" t="s">
        <v>1436</v>
      </c>
      <c r="X239" s="49" t="s">
        <v>193</v>
      </c>
      <c r="Y239" s="48" t="s">
        <v>1194</v>
      </c>
      <c r="Z239" s="49" t="s">
        <v>1321</v>
      </c>
      <c r="AA239" s="48" t="s">
        <v>1324</v>
      </c>
      <c r="AB239" s="48" t="s">
        <v>1325</v>
      </c>
      <c r="AC239" s="48" t="s">
        <v>1239</v>
      </c>
      <c r="AD239" s="48" t="s">
        <v>1231</v>
      </c>
      <c r="AE239" s="48" t="s">
        <v>1669</v>
      </c>
      <c r="AF239" s="48" t="s">
        <v>1436</v>
      </c>
      <c r="AG239" s="48" t="s">
        <v>1436</v>
      </c>
      <c r="AH239" s="48" t="s">
        <v>208</v>
      </c>
      <c r="AI239" s="50">
        <v>44562</v>
      </c>
      <c r="AJ239" s="50">
        <v>46387</v>
      </c>
      <c r="AK239" s="49" t="s">
        <v>1280</v>
      </c>
      <c r="AL239" s="48" t="s">
        <v>36</v>
      </c>
      <c r="AM239" s="48" t="s">
        <v>36</v>
      </c>
      <c r="AN239" s="51">
        <v>0</v>
      </c>
      <c r="AO239" s="51"/>
      <c r="AP239" s="51"/>
      <c r="AQ239" s="72">
        <v>1600000</v>
      </c>
      <c r="AR239" s="72">
        <v>50000</v>
      </c>
      <c r="AS239" s="50">
        <v>46387</v>
      </c>
      <c r="AT239" s="50" t="s">
        <v>1436</v>
      </c>
      <c r="AU239" s="49" t="s">
        <v>1436</v>
      </c>
      <c r="AV239" s="49" t="s">
        <v>1670</v>
      </c>
      <c r="AW239" s="48" t="s">
        <v>1244</v>
      </c>
    </row>
    <row r="240" spans="1:49" x14ac:dyDescent="0.3">
      <c r="A240" s="48" t="s">
        <v>1320</v>
      </c>
      <c r="B240" s="48" t="s">
        <v>6</v>
      </c>
      <c r="C240" s="48" t="s">
        <v>1322</v>
      </c>
      <c r="D240" s="50">
        <v>45230</v>
      </c>
      <c r="E240" s="48" t="s">
        <v>36</v>
      </c>
      <c r="F240" s="48" t="s">
        <v>1438</v>
      </c>
      <c r="G240" s="48" t="s">
        <v>1444</v>
      </c>
      <c r="H240" s="49" t="s">
        <v>1445</v>
      </c>
      <c r="I240" s="48" t="s">
        <v>1411</v>
      </c>
      <c r="J240" s="48" t="s">
        <v>40</v>
      </c>
      <c r="K240" s="48" t="s">
        <v>50</v>
      </c>
      <c r="L240" s="48" t="s">
        <v>38</v>
      </c>
      <c r="M240" s="48" t="s">
        <v>37</v>
      </c>
      <c r="N240" s="48" t="s">
        <v>1436</v>
      </c>
      <c r="O240" s="48" t="s">
        <v>1436</v>
      </c>
      <c r="P240" s="48" t="s">
        <v>1436</v>
      </c>
      <c r="Q240" s="48" t="s">
        <v>38</v>
      </c>
      <c r="R240" s="48" t="s">
        <v>39</v>
      </c>
      <c r="S240" s="48" t="s">
        <v>40</v>
      </c>
      <c r="T240" s="48" t="s">
        <v>41</v>
      </c>
      <c r="U240" s="48" t="s">
        <v>1436</v>
      </c>
      <c r="V240" s="48" t="s">
        <v>1436</v>
      </c>
      <c r="W240" s="48" t="s">
        <v>1436</v>
      </c>
      <c r="X240" s="49" t="s">
        <v>193</v>
      </c>
      <c r="Y240" s="48" t="s">
        <v>1194</v>
      </c>
      <c r="Z240" s="49" t="s">
        <v>1321</v>
      </c>
      <c r="AA240" s="48" t="s">
        <v>1324</v>
      </c>
      <c r="AB240" s="48" t="s">
        <v>1325</v>
      </c>
      <c r="AC240" s="48" t="s">
        <v>1239</v>
      </c>
      <c r="AD240" s="48" t="s">
        <v>1231</v>
      </c>
      <c r="AE240" s="48" t="s">
        <v>1669</v>
      </c>
      <c r="AF240" s="48" t="s">
        <v>1436</v>
      </c>
      <c r="AG240" s="48" t="s">
        <v>1436</v>
      </c>
      <c r="AH240" s="48" t="s">
        <v>208</v>
      </c>
      <c r="AI240" s="50">
        <v>44562</v>
      </c>
      <c r="AJ240" s="50">
        <v>46387</v>
      </c>
      <c r="AK240" s="49" t="s">
        <v>1280</v>
      </c>
      <c r="AL240" s="48" t="s">
        <v>36</v>
      </c>
      <c r="AM240" s="48" t="s">
        <v>36</v>
      </c>
      <c r="AN240" s="51">
        <v>42330.49</v>
      </c>
      <c r="AO240" s="51"/>
      <c r="AP240" s="51"/>
      <c r="AQ240" s="72">
        <v>1600000</v>
      </c>
      <c r="AR240" s="72">
        <v>50000</v>
      </c>
      <c r="AS240" s="50">
        <v>46387</v>
      </c>
      <c r="AT240" s="50" t="s">
        <v>1436</v>
      </c>
      <c r="AU240" s="49" t="s">
        <v>1436</v>
      </c>
      <c r="AV240" s="49" t="s">
        <v>1670</v>
      </c>
      <c r="AW240" s="48" t="s">
        <v>1244</v>
      </c>
    </row>
    <row r="241" spans="1:49" x14ac:dyDescent="0.3">
      <c r="A241" s="48" t="s">
        <v>1320</v>
      </c>
      <c r="B241" s="48" t="s">
        <v>6</v>
      </c>
      <c r="C241" s="48" t="s">
        <v>1322</v>
      </c>
      <c r="D241" s="50">
        <v>45230</v>
      </c>
      <c r="E241" s="48" t="s">
        <v>36</v>
      </c>
      <c r="F241" s="48" t="s">
        <v>1438</v>
      </c>
      <c r="G241" s="48" t="s">
        <v>1444</v>
      </c>
      <c r="H241" s="49" t="s">
        <v>1446</v>
      </c>
      <c r="I241" s="48" t="s">
        <v>1407</v>
      </c>
      <c r="J241" s="48" t="s">
        <v>40</v>
      </c>
      <c r="K241" s="48" t="s">
        <v>47</v>
      </c>
      <c r="L241" s="48" t="s">
        <v>38</v>
      </c>
      <c r="M241" s="48" t="s">
        <v>37</v>
      </c>
      <c r="N241" s="48" t="s">
        <v>1436</v>
      </c>
      <c r="O241" s="48" t="s">
        <v>1436</v>
      </c>
      <c r="P241" s="48" t="s">
        <v>1436</v>
      </c>
      <c r="Q241" s="48" t="s">
        <v>38</v>
      </c>
      <c r="R241" s="48" t="s">
        <v>39</v>
      </c>
      <c r="S241" s="48" t="s">
        <v>40</v>
      </c>
      <c r="T241" s="48" t="s">
        <v>41</v>
      </c>
      <c r="U241" s="48" t="s">
        <v>1436</v>
      </c>
      <c r="V241" s="48" t="s">
        <v>1436</v>
      </c>
      <c r="W241" s="48" t="s">
        <v>1436</v>
      </c>
      <c r="X241" s="49" t="s">
        <v>193</v>
      </c>
      <c r="Y241" s="48" t="s">
        <v>1194</v>
      </c>
      <c r="Z241" s="49" t="s">
        <v>1321</v>
      </c>
      <c r="AA241" s="48" t="s">
        <v>1324</v>
      </c>
      <c r="AB241" s="48" t="s">
        <v>1325</v>
      </c>
      <c r="AC241" s="48" t="s">
        <v>1239</v>
      </c>
      <c r="AD241" s="48" t="s">
        <v>1231</v>
      </c>
      <c r="AE241" s="48" t="s">
        <v>1669</v>
      </c>
      <c r="AF241" s="48" t="s">
        <v>1436</v>
      </c>
      <c r="AG241" s="48" t="s">
        <v>1436</v>
      </c>
      <c r="AH241" s="48" t="s">
        <v>208</v>
      </c>
      <c r="AI241" s="50">
        <v>44562</v>
      </c>
      <c r="AJ241" s="50">
        <v>46387</v>
      </c>
      <c r="AK241" s="49" t="s">
        <v>1280</v>
      </c>
      <c r="AL241" s="48" t="s">
        <v>36</v>
      </c>
      <c r="AM241" s="48" t="s">
        <v>36</v>
      </c>
      <c r="AN241" s="51">
        <v>9915.0736070000003</v>
      </c>
      <c r="AO241" s="51"/>
      <c r="AP241" s="51"/>
      <c r="AQ241" s="72">
        <v>1600000</v>
      </c>
      <c r="AR241" s="72">
        <v>50000</v>
      </c>
      <c r="AS241" s="50">
        <v>46387</v>
      </c>
      <c r="AT241" s="50" t="s">
        <v>1436</v>
      </c>
      <c r="AU241" s="49" t="s">
        <v>1436</v>
      </c>
      <c r="AV241" s="49" t="s">
        <v>1670</v>
      </c>
      <c r="AW241" s="48" t="s">
        <v>1244</v>
      </c>
    </row>
    <row r="242" spans="1:49" x14ac:dyDescent="0.3">
      <c r="A242" s="48" t="s">
        <v>1320</v>
      </c>
      <c r="B242" s="48" t="s">
        <v>6</v>
      </c>
      <c r="C242" s="48" t="s">
        <v>1322</v>
      </c>
      <c r="D242" s="50">
        <v>45230</v>
      </c>
      <c r="E242" s="48" t="s">
        <v>36</v>
      </c>
      <c r="F242" s="48" t="s">
        <v>1433</v>
      </c>
      <c r="G242" s="48" t="s">
        <v>1447</v>
      </c>
      <c r="H242" s="49" t="s">
        <v>1448</v>
      </c>
      <c r="I242" s="48" t="s">
        <v>1413</v>
      </c>
      <c r="J242" s="48" t="s">
        <v>40</v>
      </c>
      <c r="K242" s="48" t="s">
        <v>58</v>
      </c>
      <c r="L242" s="48" t="s">
        <v>38</v>
      </c>
      <c r="M242" s="48" t="s">
        <v>37</v>
      </c>
      <c r="N242" s="48" t="s">
        <v>1436</v>
      </c>
      <c r="O242" s="48" t="s">
        <v>1436</v>
      </c>
      <c r="P242" s="48" t="s">
        <v>1436</v>
      </c>
      <c r="Q242" s="48" t="s">
        <v>38</v>
      </c>
      <c r="R242" s="48" t="s">
        <v>39</v>
      </c>
      <c r="S242" s="48" t="s">
        <v>40</v>
      </c>
      <c r="T242" s="48" t="s">
        <v>41</v>
      </c>
      <c r="U242" s="48" t="s">
        <v>1436</v>
      </c>
      <c r="V242" s="48" t="s">
        <v>1436</v>
      </c>
      <c r="W242" s="48" t="s">
        <v>1436</v>
      </c>
      <c r="X242" s="49" t="s">
        <v>193</v>
      </c>
      <c r="Y242" s="48" t="s">
        <v>1194</v>
      </c>
      <c r="Z242" s="49" t="s">
        <v>1321</v>
      </c>
      <c r="AA242" s="48" t="s">
        <v>1324</v>
      </c>
      <c r="AB242" s="48" t="s">
        <v>1325</v>
      </c>
      <c r="AC242" s="48" t="s">
        <v>1239</v>
      </c>
      <c r="AD242" s="48" t="s">
        <v>1231</v>
      </c>
      <c r="AE242" s="48" t="s">
        <v>1669</v>
      </c>
      <c r="AF242" s="48" t="s">
        <v>1436</v>
      </c>
      <c r="AG242" s="48" t="s">
        <v>1436</v>
      </c>
      <c r="AH242" s="48" t="s">
        <v>208</v>
      </c>
      <c r="AI242" s="50">
        <v>44562</v>
      </c>
      <c r="AJ242" s="50">
        <v>46387</v>
      </c>
      <c r="AK242" s="49" t="s">
        <v>1280</v>
      </c>
      <c r="AL242" s="48" t="s">
        <v>36</v>
      </c>
      <c r="AM242" s="48" t="s">
        <v>36</v>
      </c>
      <c r="AN242" s="51">
        <v>-50000</v>
      </c>
      <c r="AO242" s="51"/>
      <c r="AP242" s="51"/>
      <c r="AQ242" s="72">
        <v>1600000</v>
      </c>
      <c r="AR242" s="72">
        <v>50000</v>
      </c>
      <c r="AS242" s="50">
        <v>46387</v>
      </c>
      <c r="AT242" s="50" t="s">
        <v>1436</v>
      </c>
      <c r="AU242" s="49" t="s">
        <v>1436</v>
      </c>
      <c r="AV242" s="49" t="s">
        <v>1670</v>
      </c>
      <c r="AW242" s="48" t="s">
        <v>1244</v>
      </c>
    </row>
    <row r="243" spans="1:49" x14ac:dyDescent="0.3">
      <c r="A243" s="48" t="s">
        <v>1320</v>
      </c>
      <c r="B243" s="48" t="s">
        <v>6</v>
      </c>
      <c r="C243" s="48" t="s">
        <v>1322</v>
      </c>
      <c r="D243" s="50">
        <v>45230</v>
      </c>
      <c r="E243" s="48" t="s">
        <v>36</v>
      </c>
      <c r="F243" s="48" t="s">
        <v>1433</v>
      </c>
      <c r="G243" s="48" t="s">
        <v>1447</v>
      </c>
      <c r="H243" s="49" t="s">
        <v>1449</v>
      </c>
      <c r="I243" s="48" t="s">
        <v>1409</v>
      </c>
      <c r="J243" s="48" t="s">
        <v>40</v>
      </c>
      <c r="K243" s="48" t="s">
        <v>45</v>
      </c>
      <c r="L243" s="48" t="s">
        <v>38</v>
      </c>
      <c r="M243" s="48" t="s">
        <v>37</v>
      </c>
      <c r="N243" s="48" t="s">
        <v>1436</v>
      </c>
      <c r="O243" s="48" t="s">
        <v>1436</v>
      </c>
      <c r="P243" s="48" t="s">
        <v>1436</v>
      </c>
      <c r="Q243" s="48" t="s">
        <v>38</v>
      </c>
      <c r="R243" s="48" t="s">
        <v>39</v>
      </c>
      <c r="S243" s="48" t="s">
        <v>40</v>
      </c>
      <c r="T243" s="48" t="s">
        <v>41</v>
      </c>
      <c r="U243" s="48" t="s">
        <v>1436</v>
      </c>
      <c r="V243" s="48" t="s">
        <v>1436</v>
      </c>
      <c r="W243" s="48" t="s">
        <v>1436</v>
      </c>
      <c r="X243" s="49" t="s">
        <v>193</v>
      </c>
      <c r="Y243" s="48" t="s">
        <v>1194</v>
      </c>
      <c r="Z243" s="49" t="s">
        <v>1321</v>
      </c>
      <c r="AA243" s="48" t="s">
        <v>1324</v>
      </c>
      <c r="AB243" s="48" t="s">
        <v>1325</v>
      </c>
      <c r="AC243" s="48" t="s">
        <v>1239</v>
      </c>
      <c r="AD243" s="48" t="s">
        <v>1231</v>
      </c>
      <c r="AE243" s="48" t="s">
        <v>1669</v>
      </c>
      <c r="AF243" s="48" t="s">
        <v>1436</v>
      </c>
      <c r="AG243" s="48" t="s">
        <v>1436</v>
      </c>
      <c r="AH243" s="48" t="s">
        <v>208</v>
      </c>
      <c r="AI243" s="50">
        <v>44562</v>
      </c>
      <c r="AJ243" s="50">
        <v>46387</v>
      </c>
      <c r="AK243" s="49" t="s">
        <v>1280</v>
      </c>
      <c r="AL243" s="48" t="s">
        <v>36</v>
      </c>
      <c r="AM243" s="48" t="s">
        <v>36</v>
      </c>
      <c r="AN243" s="51">
        <v>42733.373745999997</v>
      </c>
      <c r="AO243" s="51"/>
      <c r="AP243" s="51"/>
      <c r="AQ243" s="72">
        <v>1600000</v>
      </c>
      <c r="AR243" s="72">
        <v>50000</v>
      </c>
      <c r="AS243" s="50">
        <v>46387</v>
      </c>
      <c r="AT243" s="50" t="s">
        <v>1436</v>
      </c>
      <c r="AU243" s="49" t="s">
        <v>1436</v>
      </c>
      <c r="AV243" s="49" t="s">
        <v>1670</v>
      </c>
      <c r="AW243" s="48" t="s">
        <v>1244</v>
      </c>
    </row>
    <row r="244" spans="1:49" x14ac:dyDescent="0.3">
      <c r="A244" s="48" t="s">
        <v>1320</v>
      </c>
      <c r="B244" s="48" t="s">
        <v>6</v>
      </c>
      <c r="C244" s="48" t="s">
        <v>1322</v>
      </c>
      <c r="D244" s="50">
        <v>45230</v>
      </c>
      <c r="E244" s="48" t="s">
        <v>36</v>
      </c>
      <c r="F244" s="48" t="s">
        <v>1433</v>
      </c>
      <c r="G244" s="48" t="s">
        <v>1447</v>
      </c>
      <c r="H244" s="49" t="s">
        <v>1450</v>
      </c>
      <c r="I244" s="48" t="s">
        <v>1408</v>
      </c>
      <c r="J244" s="48" t="s">
        <v>40</v>
      </c>
      <c r="K244" s="48" t="s">
        <v>54</v>
      </c>
      <c r="L244" s="48" t="s">
        <v>38</v>
      </c>
      <c r="M244" s="48" t="s">
        <v>37</v>
      </c>
      <c r="N244" s="48" t="s">
        <v>1436</v>
      </c>
      <c r="O244" s="48" t="s">
        <v>1436</v>
      </c>
      <c r="P244" s="48" t="s">
        <v>1436</v>
      </c>
      <c r="Q244" s="48" t="s">
        <v>38</v>
      </c>
      <c r="R244" s="48" t="s">
        <v>39</v>
      </c>
      <c r="S244" s="48" t="s">
        <v>40</v>
      </c>
      <c r="T244" s="48" t="s">
        <v>41</v>
      </c>
      <c r="U244" s="48" t="s">
        <v>1436</v>
      </c>
      <c r="V244" s="48" t="s">
        <v>1436</v>
      </c>
      <c r="W244" s="48" t="s">
        <v>1436</v>
      </c>
      <c r="X244" s="49" t="s">
        <v>193</v>
      </c>
      <c r="Y244" s="48" t="s">
        <v>1194</v>
      </c>
      <c r="Z244" s="49" t="s">
        <v>1321</v>
      </c>
      <c r="AA244" s="48" t="s">
        <v>1324</v>
      </c>
      <c r="AB244" s="48" t="s">
        <v>1325</v>
      </c>
      <c r="AC244" s="48" t="s">
        <v>1239</v>
      </c>
      <c r="AD244" s="48" t="s">
        <v>1231</v>
      </c>
      <c r="AE244" s="48" t="s">
        <v>1669</v>
      </c>
      <c r="AF244" s="48" t="s">
        <v>1436</v>
      </c>
      <c r="AG244" s="48" t="s">
        <v>1436</v>
      </c>
      <c r="AH244" s="48" t="s">
        <v>208</v>
      </c>
      <c r="AI244" s="50">
        <v>44562</v>
      </c>
      <c r="AJ244" s="50">
        <v>46387</v>
      </c>
      <c r="AK244" s="49" t="s">
        <v>1280</v>
      </c>
      <c r="AL244" s="48" t="s">
        <v>36</v>
      </c>
      <c r="AM244" s="48" t="s">
        <v>36</v>
      </c>
      <c r="AN244" s="51">
        <v>-2880.92</v>
      </c>
      <c r="AO244" s="51"/>
      <c r="AP244" s="51"/>
      <c r="AQ244" s="72">
        <v>1600000</v>
      </c>
      <c r="AR244" s="72">
        <v>50000</v>
      </c>
      <c r="AS244" s="50">
        <v>46387</v>
      </c>
      <c r="AT244" s="50" t="s">
        <v>1436</v>
      </c>
      <c r="AU244" s="49" t="s">
        <v>1436</v>
      </c>
      <c r="AV244" s="49" t="s">
        <v>1670</v>
      </c>
      <c r="AW244" s="48" t="s">
        <v>1244</v>
      </c>
    </row>
    <row r="245" spans="1:49" x14ac:dyDescent="0.3">
      <c r="A245" s="48" t="s">
        <v>1320</v>
      </c>
      <c r="B245" s="48" t="s">
        <v>6</v>
      </c>
      <c r="C245" s="48" t="s">
        <v>1322</v>
      </c>
      <c r="D245" s="50">
        <v>45230</v>
      </c>
      <c r="E245" s="48" t="s">
        <v>36</v>
      </c>
      <c r="F245" s="48" t="s">
        <v>1433</v>
      </c>
      <c r="G245" s="48" t="s">
        <v>1447</v>
      </c>
      <c r="H245" s="49" t="s">
        <v>1451</v>
      </c>
      <c r="I245" s="48" t="s">
        <v>1404</v>
      </c>
      <c r="J245" s="48" t="s">
        <v>38</v>
      </c>
      <c r="K245" s="48" t="s">
        <v>49</v>
      </c>
      <c r="L245" s="48" t="s">
        <v>38</v>
      </c>
      <c r="M245" s="48" t="s">
        <v>37</v>
      </c>
      <c r="N245" s="48" t="s">
        <v>1436</v>
      </c>
      <c r="O245" s="48" t="s">
        <v>1436</v>
      </c>
      <c r="P245" s="48" t="s">
        <v>1436</v>
      </c>
      <c r="Q245" s="48" t="s">
        <v>38</v>
      </c>
      <c r="R245" s="48" t="s">
        <v>39</v>
      </c>
      <c r="S245" s="48" t="s">
        <v>38</v>
      </c>
      <c r="T245" s="48" t="s">
        <v>41</v>
      </c>
      <c r="U245" s="48" t="s">
        <v>1436</v>
      </c>
      <c r="V245" s="48" t="s">
        <v>1436</v>
      </c>
      <c r="W245" s="48" t="s">
        <v>1436</v>
      </c>
      <c r="X245" s="49" t="s">
        <v>193</v>
      </c>
      <c r="Y245" s="48" t="s">
        <v>1194</v>
      </c>
      <c r="Z245" s="49" t="s">
        <v>1321</v>
      </c>
      <c r="AA245" s="48" t="s">
        <v>1324</v>
      </c>
      <c r="AB245" s="48" t="s">
        <v>1325</v>
      </c>
      <c r="AC245" s="48" t="s">
        <v>1239</v>
      </c>
      <c r="AD245" s="48" t="s">
        <v>1231</v>
      </c>
      <c r="AE245" s="48" t="s">
        <v>1669</v>
      </c>
      <c r="AF245" s="48" t="s">
        <v>1436</v>
      </c>
      <c r="AG245" s="48" t="s">
        <v>1436</v>
      </c>
      <c r="AH245" s="48" t="s">
        <v>208</v>
      </c>
      <c r="AI245" s="50">
        <v>44562</v>
      </c>
      <c r="AJ245" s="50">
        <v>46387</v>
      </c>
      <c r="AK245" s="49" t="s">
        <v>1280</v>
      </c>
      <c r="AL245" s="48" t="s">
        <v>36</v>
      </c>
      <c r="AM245" s="48" t="s">
        <v>36</v>
      </c>
      <c r="AN245" s="51">
        <v>232.47264699999999</v>
      </c>
      <c r="AO245" s="51"/>
      <c r="AP245" s="51"/>
      <c r="AQ245" s="72">
        <v>1600000</v>
      </c>
      <c r="AR245" s="72">
        <v>50000</v>
      </c>
      <c r="AS245" s="50">
        <v>46387</v>
      </c>
      <c r="AT245" s="50" t="s">
        <v>1436</v>
      </c>
      <c r="AU245" s="49" t="s">
        <v>1436</v>
      </c>
      <c r="AV245" s="49" t="s">
        <v>1670</v>
      </c>
      <c r="AW245" s="48" t="s">
        <v>1244</v>
      </c>
    </row>
    <row r="246" spans="1:49" x14ac:dyDescent="0.3">
      <c r="A246" s="48" t="s">
        <v>1320</v>
      </c>
      <c r="B246" s="48" t="s">
        <v>6</v>
      </c>
      <c r="C246" s="48" t="s">
        <v>1322</v>
      </c>
      <c r="D246" s="50">
        <v>45260</v>
      </c>
      <c r="E246" s="48" t="s">
        <v>36</v>
      </c>
      <c r="F246" s="48" t="s">
        <v>1433</v>
      </c>
      <c r="G246" s="48" t="s">
        <v>1434</v>
      </c>
      <c r="H246" s="49" t="s">
        <v>1435</v>
      </c>
      <c r="I246" s="48" t="s">
        <v>1412</v>
      </c>
      <c r="J246" s="48" t="s">
        <v>40</v>
      </c>
      <c r="K246" s="48" t="s">
        <v>52</v>
      </c>
      <c r="L246" s="48" t="s">
        <v>38</v>
      </c>
      <c r="M246" s="48" t="s">
        <v>37</v>
      </c>
      <c r="N246" s="48" t="s">
        <v>1436</v>
      </c>
      <c r="O246" s="48" t="s">
        <v>1436</v>
      </c>
      <c r="P246" s="48" t="s">
        <v>1436</v>
      </c>
      <c r="Q246" s="48" t="s">
        <v>38</v>
      </c>
      <c r="R246" s="48" t="s">
        <v>39</v>
      </c>
      <c r="S246" s="48" t="s">
        <v>40</v>
      </c>
      <c r="T246" s="48" t="s">
        <v>41</v>
      </c>
      <c r="U246" s="48" t="s">
        <v>1436</v>
      </c>
      <c r="V246" s="48" t="s">
        <v>1436</v>
      </c>
      <c r="W246" s="48" t="s">
        <v>1436</v>
      </c>
      <c r="X246" s="49" t="s">
        <v>193</v>
      </c>
      <c r="Y246" s="48" t="s">
        <v>1194</v>
      </c>
      <c r="Z246" s="49" t="s">
        <v>1321</v>
      </c>
      <c r="AA246" s="48" t="s">
        <v>1324</v>
      </c>
      <c r="AB246" s="48" t="s">
        <v>1325</v>
      </c>
      <c r="AC246" s="48" t="s">
        <v>1239</v>
      </c>
      <c r="AD246" s="48" t="s">
        <v>1231</v>
      </c>
      <c r="AE246" s="48" t="s">
        <v>1669</v>
      </c>
      <c r="AF246" s="48" t="s">
        <v>1436</v>
      </c>
      <c r="AG246" s="48" t="s">
        <v>1436</v>
      </c>
      <c r="AH246" s="48" t="s">
        <v>208</v>
      </c>
      <c r="AI246" s="50">
        <v>44562</v>
      </c>
      <c r="AJ246" s="50">
        <v>46387</v>
      </c>
      <c r="AK246" s="49" t="s">
        <v>1280</v>
      </c>
      <c r="AL246" s="48" t="s">
        <v>36</v>
      </c>
      <c r="AM246" s="48" t="s">
        <v>36</v>
      </c>
      <c r="AN246" s="51">
        <v>-42330.49</v>
      </c>
      <c r="AO246" s="51"/>
      <c r="AP246" s="51"/>
      <c r="AQ246" s="72">
        <v>1600000</v>
      </c>
      <c r="AR246" s="72">
        <v>50000</v>
      </c>
      <c r="AS246" s="50">
        <v>46387</v>
      </c>
      <c r="AT246" s="50" t="s">
        <v>1436</v>
      </c>
      <c r="AU246" s="49" t="s">
        <v>1436</v>
      </c>
      <c r="AV246" s="49" t="s">
        <v>1670</v>
      </c>
      <c r="AW246" s="48" t="s">
        <v>1244</v>
      </c>
    </row>
    <row r="247" spans="1:49" x14ac:dyDescent="0.3">
      <c r="A247" s="48" t="s">
        <v>1320</v>
      </c>
      <c r="B247" s="48" t="s">
        <v>6</v>
      </c>
      <c r="C247" s="48" t="s">
        <v>1322</v>
      </c>
      <c r="D247" s="50">
        <v>45260</v>
      </c>
      <c r="E247" s="48" t="s">
        <v>36</v>
      </c>
      <c r="F247" s="48" t="s">
        <v>1433</v>
      </c>
      <c r="G247" s="48" t="s">
        <v>1434</v>
      </c>
      <c r="H247" s="49" t="s">
        <v>1437</v>
      </c>
      <c r="I247" s="48" t="s">
        <v>1410</v>
      </c>
      <c r="J247" s="48" t="s">
        <v>40</v>
      </c>
      <c r="K247" s="48" t="s">
        <v>42</v>
      </c>
      <c r="L247" s="48" t="s">
        <v>38</v>
      </c>
      <c r="M247" s="48" t="s">
        <v>37</v>
      </c>
      <c r="N247" s="48" t="s">
        <v>1436</v>
      </c>
      <c r="O247" s="48" t="s">
        <v>1436</v>
      </c>
      <c r="P247" s="48" t="s">
        <v>1436</v>
      </c>
      <c r="Q247" s="48" t="s">
        <v>38</v>
      </c>
      <c r="R247" s="48" t="s">
        <v>39</v>
      </c>
      <c r="S247" s="48" t="s">
        <v>40</v>
      </c>
      <c r="T247" s="48" t="s">
        <v>41</v>
      </c>
      <c r="U247" s="48" t="s">
        <v>1436</v>
      </c>
      <c r="V247" s="48" t="s">
        <v>1436</v>
      </c>
      <c r="W247" s="48" t="s">
        <v>1436</v>
      </c>
      <c r="X247" s="49" t="s">
        <v>193</v>
      </c>
      <c r="Y247" s="48" t="s">
        <v>1194</v>
      </c>
      <c r="Z247" s="49" t="s">
        <v>1321</v>
      </c>
      <c r="AA247" s="48" t="s">
        <v>1324</v>
      </c>
      <c r="AB247" s="48" t="s">
        <v>1325</v>
      </c>
      <c r="AC247" s="48" t="s">
        <v>1239</v>
      </c>
      <c r="AD247" s="48" t="s">
        <v>1231</v>
      </c>
      <c r="AE247" s="48" t="s">
        <v>1669</v>
      </c>
      <c r="AF247" s="48" t="s">
        <v>1436</v>
      </c>
      <c r="AG247" s="48" t="s">
        <v>1436</v>
      </c>
      <c r="AH247" s="48" t="s">
        <v>208</v>
      </c>
      <c r="AI247" s="50">
        <v>44562</v>
      </c>
      <c r="AJ247" s="50">
        <v>46387</v>
      </c>
      <c r="AK247" s="49" t="s">
        <v>1280</v>
      </c>
      <c r="AL247" s="48" t="s">
        <v>36</v>
      </c>
      <c r="AM247" s="48" t="s">
        <v>36</v>
      </c>
      <c r="AN247" s="51">
        <v>0</v>
      </c>
      <c r="AO247" s="51"/>
      <c r="AP247" s="51"/>
      <c r="AQ247" s="72">
        <v>1600000</v>
      </c>
      <c r="AR247" s="72">
        <v>50000</v>
      </c>
      <c r="AS247" s="50">
        <v>46387</v>
      </c>
      <c r="AT247" s="50" t="s">
        <v>1436</v>
      </c>
      <c r="AU247" s="49" t="s">
        <v>1436</v>
      </c>
      <c r="AV247" s="49" t="s">
        <v>1670</v>
      </c>
      <c r="AW247" s="48" t="s">
        <v>1244</v>
      </c>
    </row>
    <row r="248" spans="1:49" x14ac:dyDescent="0.3">
      <c r="A248" s="48" t="s">
        <v>1320</v>
      </c>
      <c r="B248" s="48" t="s">
        <v>6</v>
      </c>
      <c r="C248" s="48" t="s">
        <v>1322</v>
      </c>
      <c r="D248" s="50">
        <v>45260</v>
      </c>
      <c r="E248" s="48" t="s">
        <v>36</v>
      </c>
      <c r="F248" s="48" t="s">
        <v>1438</v>
      </c>
      <c r="G248" s="48" t="s">
        <v>1439</v>
      </c>
      <c r="H248" s="49" t="s">
        <v>1440</v>
      </c>
      <c r="I248" s="48" t="s">
        <v>1406</v>
      </c>
      <c r="J248" s="48" t="s">
        <v>1194</v>
      </c>
      <c r="K248" s="48" t="s">
        <v>1441</v>
      </c>
      <c r="L248" s="48" t="s">
        <v>38</v>
      </c>
      <c r="M248" s="48" t="s">
        <v>37</v>
      </c>
      <c r="N248" s="48" t="s">
        <v>1436</v>
      </c>
      <c r="O248" s="48" t="s">
        <v>1436</v>
      </c>
      <c r="P248" s="48" t="s">
        <v>1436</v>
      </c>
      <c r="Q248" s="48" t="s">
        <v>38</v>
      </c>
      <c r="R248" s="48" t="s">
        <v>39</v>
      </c>
      <c r="S248" s="48" t="s">
        <v>1194</v>
      </c>
      <c r="T248" s="48" t="s">
        <v>41</v>
      </c>
      <c r="U248" s="48" t="s">
        <v>1436</v>
      </c>
      <c r="V248" s="48" t="s">
        <v>1436</v>
      </c>
      <c r="W248" s="48" t="s">
        <v>1436</v>
      </c>
      <c r="X248" s="49" t="s">
        <v>193</v>
      </c>
      <c r="Y248" s="48" t="s">
        <v>1194</v>
      </c>
      <c r="Z248" s="49" t="s">
        <v>1321</v>
      </c>
      <c r="AA248" s="48" t="s">
        <v>1324</v>
      </c>
      <c r="AB248" s="48" t="s">
        <v>1325</v>
      </c>
      <c r="AC248" s="48" t="s">
        <v>1239</v>
      </c>
      <c r="AD248" s="48" t="s">
        <v>1231</v>
      </c>
      <c r="AE248" s="48" t="s">
        <v>1669</v>
      </c>
      <c r="AF248" s="48" t="s">
        <v>1436</v>
      </c>
      <c r="AG248" s="48" t="s">
        <v>1436</v>
      </c>
      <c r="AH248" s="48" t="s">
        <v>208</v>
      </c>
      <c r="AI248" s="50">
        <v>44562</v>
      </c>
      <c r="AJ248" s="50">
        <v>46387</v>
      </c>
      <c r="AK248" s="49" t="s">
        <v>1280</v>
      </c>
      <c r="AL248" s="48" t="s">
        <v>36</v>
      </c>
      <c r="AM248" s="48" t="s">
        <v>36</v>
      </c>
      <c r="AN248" s="51">
        <v>0</v>
      </c>
      <c r="AO248" s="51"/>
      <c r="AP248" s="51"/>
      <c r="AQ248" s="72">
        <v>1600000</v>
      </c>
      <c r="AR248" s="72">
        <v>50000</v>
      </c>
      <c r="AS248" s="50">
        <v>46387</v>
      </c>
      <c r="AT248" s="50" t="s">
        <v>1436</v>
      </c>
      <c r="AU248" s="49" t="s">
        <v>1436</v>
      </c>
      <c r="AV248" s="49" t="s">
        <v>1670</v>
      </c>
      <c r="AW248" s="48" t="s">
        <v>1244</v>
      </c>
    </row>
    <row r="249" spans="1:49" x14ac:dyDescent="0.3">
      <c r="A249" s="48" t="s">
        <v>1320</v>
      </c>
      <c r="B249" s="48" t="s">
        <v>6</v>
      </c>
      <c r="C249" s="48" t="s">
        <v>1322</v>
      </c>
      <c r="D249" s="50">
        <v>45260</v>
      </c>
      <c r="E249" s="48" t="s">
        <v>36</v>
      </c>
      <c r="F249" s="48" t="s">
        <v>1438</v>
      </c>
      <c r="G249" s="48" t="s">
        <v>1439</v>
      </c>
      <c r="H249" s="49" t="s">
        <v>1442</v>
      </c>
      <c r="I249" s="48" t="s">
        <v>1405</v>
      </c>
      <c r="J249" s="48" t="s">
        <v>1194</v>
      </c>
      <c r="K249" s="48" t="s">
        <v>1443</v>
      </c>
      <c r="L249" s="48" t="s">
        <v>38</v>
      </c>
      <c r="M249" s="48" t="s">
        <v>37</v>
      </c>
      <c r="N249" s="48" t="s">
        <v>1436</v>
      </c>
      <c r="O249" s="48" t="s">
        <v>1436</v>
      </c>
      <c r="P249" s="48" t="s">
        <v>1436</v>
      </c>
      <c r="Q249" s="48" t="s">
        <v>38</v>
      </c>
      <c r="R249" s="48" t="s">
        <v>39</v>
      </c>
      <c r="S249" s="48" t="s">
        <v>1194</v>
      </c>
      <c r="T249" s="48" t="s">
        <v>41</v>
      </c>
      <c r="U249" s="48" t="s">
        <v>1436</v>
      </c>
      <c r="V249" s="48" t="s">
        <v>1436</v>
      </c>
      <c r="W249" s="48" t="s">
        <v>1436</v>
      </c>
      <c r="X249" s="49" t="s">
        <v>193</v>
      </c>
      <c r="Y249" s="48" t="s">
        <v>1194</v>
      </c>
      <c r="Z249" s="49" t="s">
        <v>1321</v>
      </c>
      <c r="AA249" s="48" t="s">
        <v>1324</v>
      </c>
      <c r="AB249" s="48" t="s">
        <v>1325</v>
      </c>
      <c r="AC249" s="48" t="s">
        <v>1239</v>
      </c>
      <c r="AD249" s="48" t="s">
        <v>1231</v>
      </c>
      <c r="AE249" s="48" t="s">
        <v>1669</v>
      </c>
      <c r="AF249" s="48" t="s">
        <v>1436</v>
      </c>
      <c r="AG249" s="48" t="s">
        <v>1436</v>
      </c>
      <c r="AH249" s="48" t="s">
        <v>208</v>
      </c>
      <c r="AI249" s="50">
        <v>44562</v>
      </c>
      <c r="AJ249" s="50">
        <v>46387</v>
      </c>
      <c r="AK249" s="49" t="s">
        <v>1280</v>
      </c>
      <c r="AL249" s="48" t="s">
        <v>36</v>
      </c>
      <c r="AM249" s="48" t="s">
        <v>36</v>
      </c>
      <c r="AN249" s="51">
        <v>0</v>
      </c>
      <c r="AO249" s="51"/>
      <c r="AP249" s="51"/>
      <c r="AQ249" s="72">
        <v>1600000</v>
      </c>
      <c r="AR249" s="72">
        <v>50000</v>
      </c>
      <c r="AS249" s="50">
        <v>46387</v>
      </c>
      <c r="AT249" s="50" t="s">
        <v>1436</v>
      </c>
      <c r="AU249" s="49" t="s">
        <v>1436</v>
      </c>
      <c r="AV249" s="49" t="s">
        <v>1670</v>
      </c>
      <c r="AW249" s="48" t="s">
        <v>1244</v>
      </c>
    </row>
    <row r="250" spans="1:49" x14ac:dyDescent="0.3">
      <c r="A250" s="48" t="s">
        <v>1320</v>
      </c>
      <c r="B250" s="48" t="s">
        <v>6</v>
      </c>
      <c r="C250" s="48" t="s">
        <v>1322</v>
      </c>
      <c r="D250" s="50">
        <v>45260</v>
      </c>
      <c r="E250" s="48" t="s">
        <v>36</v>
      </c>
      <c r="F250" s="48" t="s">
        <v>1438</v>
      </c>
      <c r="G250" s="48" t="s">
        <v>1444</v>
      </c>
      <c r="H250" s="49" t="s">
        <v>1445</v>
      </c>
      <c r="I250" s="48" t="s">
        <v>1411</v>
      </c>
      <c r="J250" s="48" t="s">
        <v>40</v>
      </c>
      <c r="K250" s="48" t="s">
        <v>50</v>
      </c>
      <c r="L250" s="48" t="s">
        <v>38</v>
      </c>
      <c r="M250" s="48" t="s">
        <v>37</v>
      </c>
      <c r="N250" s="48" t="s">
        <v>1436</v>
      </c>
      <c r="O250" s="48" t="s">
        <v>1436</v>
      </c>
      <c r="P250" s="48" t="s">
        <v>1436</v>
      </c>
      <c r="Q250" s="48" t="s">
        <v>38</v>
      </c>
      <c r="R250" s="48" t="s">
        <v>39</v>
      </c>
      <c r="S250" s="48" t="s">
        <v>40</v>
      </c>
      <c r="T250" s="48" t="s">
        <v>41</v>
      </c>
      <c r="U250" s="48" t="s">
        <v>1436</v>
      </c>
      <c r="V250" s="48" t="s">
        <v>1436</v>
      </c>
      <c r="W250" s="48" t="s">
        <v>1436</v>
      </c>
      <c r="X250" s="49" t="s">
        <v>193</v>
      </c>
      <c r="Y250" s="48" t="s">
        <v>1194</v>
      </c>
      <c r="Z250" s="49" t="s">
        <v>1321</v>
      </c>
      <c r="AA250" s="48" t="s">
        <v>1324</v>
      </c>
      <c r="AB250" s="48" t="s">
        <v>1325</v>
      </c>
      <c r="AC250" s="48" t="s">
        <v>1239</v>
      </c>
      <c r="AD250" s="48" t="s">
        <v>1231</v>
      </c>
      <c r="AE250" s="48" t="s">
        <v>1669</v>
      </c>
      <c r="AF250" s="48" t="s">
        <v>1436</v>
      </c>
      <c r="AG250" s="48" t="s">
        <v>1436</v>
      </c>
      <c r="AH250" s="48" t="s">
        <v>208</v>
      </c>
      <c r="AI250" s="50">
        <v>44562</v>
      </c>
      <c r="AJ250" s="50">
        <v>46387</v>
      </c>
      <c r="AK250" s="49" t="s">
        <v>1280</v>
      </c>
      <c r="AL250" s="48" t="s">
        <v>36</v>
      </c>
      <c r="AM250" s="48" t="s">
        <v>36</v>
      </c>
      <c r="AN250" s="51">
        <v>42330.49</v>
      </c>
      <c r="AO250" s="51"/>
      <c r="AP250" s="51"/>
      <c r="AQ250" s="72">
        <v>1600000</v>
      </c>
      <c r="AR250" s="72">
        <v>50000</v>
      </c>
      <c r="AS250" s="50">
        <v>46387</v>
      </c>
      <c r="AT250" s="50" t="s">
        <v>1436</v>
      </c>
      <c r="AU250" s="49" t="s">
        <v>1436</v>
      </c>
      <c r="AV250" s="49" t="s">
        <v>1670</v>
      </c>
      <c r="AW250" s="48" t="s">
        <v>1244</v>
      </c>
    </row>
    <row r="251" spans="1:49" x14ac:dyDescent="0.3">
      <c r="A251" s="48" t="s">
        <v>1320</v>
      </c>
      <c r="B251" s="48" t="s">
        <v>6</v>
      </c>
      <c r="C251" s="48" t="s">
        <v>1322</v>
      </c>
      <c r="D251" s="50">
        <v>45260</v>
      </c>
      <c r="E251" s="48" t="s">
        <v>36</v>
      </c>
      <c r="F251" s="48" t="s">
        <v>1438</v>
      </c>
      <c r="G251" s="48" t="s">
        <v>1444</v>
      </c>
      <c r="H251" s="49" t="s">
        <v>1446</v>
      </c>
      <c r="I251" s="48" t="s">
        <v>1407</v>
      </c>
      <c r="J251" s="48" t="s">
        <v>40</v>
      </c>
      <c r="K251" s="48" t="s">
        <v>47</v>
      </c>
      <c r="L251" s="48" t="s">
        <v>38</v>
      </c>
      <c r="M251" s="48" t="s">
        <v>37</v>
      </c>
      <c r="N251" s="48" t="s">
        <v>1436</v>
      </c>
      <c r="O251" s="48" t="s">
        <v>1436</v>
      </c>
      <c r="P251" s="48" t="s">
        <v>1436</v>
      </c>
      <c r="Q251" s="48" t="s">
        <v>38</v>
      </c>
      <c r="R251" s="48" t="s">
        <v>39</v>
      </c>
      <c r="S251" s="48" t="s">
        <v>40</v>
      </c>
      <c r="T251" s="48" t="s">
        <v>41</v>
      </c>
      <c r="U251" s="48" t="s">
        <v>1436</v>
      </c>
      <c r="V251" s="48" t="s">
        <v>1436</v>
      </c>
      <c r="W251" s="48" t="s">
        <v>1436</v>
      </c>
      <c r="X251" s="49" t="s">
        <v>193</v>
      </c>
      <c r="Y251" s="48" t="s">
        <v>1194</v>
      </c>
      <c r="Z251" s="49" t="s">
        <v>1321</v>
      </c>
      <c r="AA251" s="48" t="s">
        <v>1324</v>
      </c>
      <c r="AB251" s="48" t="s">
        <v>1325</v>
      </c>
      <c r="AC251" s="48" t="s">
        <v>1239</v>
      </c>
      <c r="AD251" s="48" t="s">
        <v>1231</v>
      </c>
      <c r="AE251" s="48" t="s">
        <v>1669</v>
      </c>
      <c r="AF251" s="48" t="s">
        <v>1436</v>
      </c>
      <c r="AG251" s="48" t="s">
        <v>1436</v>
      </c>
      <c r="AH251" s="48" t="s">
        <v>208</v>
      </c>
      <c r="AI251" s="50">
        <v>44562</v>
      </c>
      <c r="AJ251" s="50">
        <v>46387</v>
      </c>
      <c r="AK251" s="49" t="s">
        <v>1280</v>
      </c>
      <c r="AL251" s="48" t="s">
        <v>36</v>
      </c>
      <c r="AM251" s="48" t="s">
        <v>36</v>
      </c>
      <c r="AN251" s="51">
        <v>9681.2448700000004</v>
      </c>
      <c r="AO251" s="51"/>
      <c r="AP251" s="51"/>
      <c r="AQ251" s="72">
        <v>1600000</v>
      </c>
      <c r="AR251" s="72">
        <v>50000</v>
      </c>
      <c r="AS251" s="50">
        <v>46387</v>
      </c>
      <c r="AT251" s="50" t="s">
        <v>1436</v>
      </c>
      <c r="AU251" s="49" t="s">
        <v>1436</v>
      </c>
      <c r="AV251" s="49" t="s">
        <v>1670</v>
      </c>
      <c r="AW251" s="48" t="s">
        <v>1244</v>
      </c>
    </row>
    <row r="252" spans="1:49" x14ac:dyDescent="0.3">
      <c r="A252" s="48" t="s">
        <v>1320</v>
      </c>
      <c r="B252" s="48" t="s">
        <v>6</v>
      </c>
      <c r="C252" s="48" t="s">
        <v>1322</v>
      </c>
      <c r="D252" s="50">
        <v>45260</v>
      </c>
      <c r="E252" s="48" t="s">
        <v>36</v>
      </c>
      <c r="F252" s="48" t="s">
        <v>1433</v>
      </c>
      <c r="G252" s="48" t="s">
        <v>1447</v>
      </c>
      <c r="H252" s="49" t="s">
        <v>1448</v>
      </c>
      <c r="I252" s="48" t="s">
        <v>1413</v>
      </c>
      <c r="J252" s="48" t="s">
        <v>40</v>
      </c>
      <c r="K252" s="48" t="s">
        <v>58</v>
      </c>
      <c r="L252" s="48" t="s">
        <v>38</v>
      </c>
      <c r="M252" s="48" t="s">
        <v>37</v>
      </c>
      <c r="N252" s="48" t="s">
        <v>1436</v>
      </c>
      <c r="O252" s="48" t="s">
        <v>1436</v>
      </c>
      <c r="P252" s="48" t="s">
        <v>1436</v>
      </c>
      <c r="Q252" s="48" t="s">
        <v>38</v>
      </c>
      <c r="R252" s="48" t="s">
        <v>39</v>
      </c>
      <c r="S252" s="48" t="s">
        <v>40</v>
      </c>
      <c r="T252" s="48" t="s">
        <v>41</v>
      </c>
      <c r="U252" s="48" t="s">
        <v>1436</v>
      </c>
      <c r="V252" s="48" t="s">
        <v>1436</v>
      </c>
      <c r="W252" s="48" t="s">
        <v>1436</v>
      </c>
      <c r="X252" s="49" t="s">
        <v>193</v>
      </c>
      <c r="Y252" s="48" t="s">
        <v>1194</v>
      </c>
      <c r="Z252" s="49" t="s">
        <v>1321</v>
      </c>
      <c r="AA252" s="48" t="s">
        <v>1324</v>
      </c>
      <c r="AB252" s="48" t="s">
        <v>1325</v>
      </c>
      <c r="AC252" s="48" t="s">
        <v>1239</v>
      </c>
      <c r="AD252" s="48" t="s">
        <v>1231</v>
      </c>
      <c r="AE252" s="48" t="s">
        <v>1669</v>
      </c>
      <c r="AF252" s="48" t="s">
        <v>1436</v>
      </c>
      <c r="AG252" s="48" t="s">
        <v>1436</v>
      </c>
      <c r="AH252" s="48" t="s">
        <v>208</v>
      </c>
      <c r="AI252" s="50">
        <v>44562</v>
      </c>
      <c r="AJ252" s="50">
        <v>46387</v>
      </c>
      <c r="AK252" s="49" t="s">
        <v>1280</v>
      </c>
      <c r="AL252" s="48" t="s">
        <v>36</v>
      </c>
      <c r="AM252" s="48" t="s">
        <v>36</v>
      </c>
      <c r="AN252" s="51">
        <v>-50000</v>
      </c>
      <c r="AO252" s="51"/>
      <c r="AP252" s="51"/>
      <c r="AQ252" s="72">
        <v>1600000</v>
      </c>
      <c r="AR252" s="72">
        <v>50000</v>
      </c>
      <c r="AS252" s="50">
        <v>46387</v>
      </c>
      <c r="AT252" s="50" t="s">
        <v>1436</v>
      </c>
      <c r="AU252" s="49" t="s">
        <v>1436</v>
      </c>
      <c r="AV252" s="49" t="s">
        <v>1670</v>
      </c>
      <c r="AW252" s="48" t="s">
        <v>1244</v>
      </c>
    </row>
    <row r="253" spans="1:49" x14ac:dyDescent="0.3">
      <c r="A253" s="48" t="s">
        <v>1320</v>
      </c>
      <c r="B253" s="48" t="s">
        <v>6</v>
      </c>
      <c r="C253" s="48" t="s">
        <v>1322</v>
      </c>
      <c r="D253" s="50">
        <v>45260</v>
      </c>
      <c r="E253" s="48" t="s">
        <v>36</v>
      </c>
      <c r="F253" s="48" t="s">
        <v>1433</v>
      </c>
      <c r="G253" s="48" t="s">
        <v>1447</v>
      </c>
      <c r="H253" s="49" t="s">
        <v>1449</v>
      </c>
      <c r="I253" s="48" t="s">
        <v>1409</v>
      </c>
      <c r="J253" s="48" t="s">
        <v>40</v>
      </c>
      <c r="K253" s="48" t="s">
        <v>45</v>
      </c>
      <c r="L253" s="48" t="s">
        <v>38</v>
      </c>
      <c r="M253" s="48" t="s">
        <v>37</v>
      </c>
      <c r="N253" s="48" t="s">
        <v>1436</v>
      </c>
      <c r="O253" s="48" t="s">
        <v>1436</v>
      </c>
      <c r="P253" s="48" t="s">
        <v>1436</v>
      </c>
      <c r="Q253" s="48" t="s">
        <v>38</v>
      </c>
      <c r="R253" s="48" t="s">
        <v>39</v>
      </c>
      <c r="S253" s="48" t="s">
        <v>40</v>
      </c>
      <c r="T253" s="48" t="s">
        <v>41</v>
      </c>
      <c r="U253" s="48" t="s">
        <v>1436</v>
      </c>
      <c r="V253" s="48" t="s">
        <v>1436</v>
      </c>
      <c r="W253" s="48" t="s">
        <v>1436</v>
      </c>
      <c r="X253" s="49" t="s">
        <v>193</v>
      </c>
      <c r="Y253" s="48" t="s">
        <v>1194</v>
      </c>
      <c r="Z253" s="49" t="s">
        <v>1321</v>
      </c>
      <c r="AA253" s="48" t="s">
        <v>1324</v>
      </c>
      <c r="AB253" s="48" t="s">
        <v>1325</v>
      </c>
      <c r="AC253" s="48" t="s">
        <v>1239</v>
      </c>
      <c r="AD253" s="48" t="s">
        <v>1231</v>
      </c>
      <c r="AE253" s="48" t="s">
        <v>1669</v>
      </c>
      <c r="AF253" s="48" t="s">
        <v>1436</v>
      </c>
      <c r="AG253" s="48" t="s">
        <v>1436</v>
      </c>
      <c r="AH253" s="48" t="s">
        <v>208</v>
      </c>
      <c r="AI253" s="50">
        <v>44562</v>
      </c>
      <c r="AJ253" s="50">
        <v>46387</v>
      </c>
      <c r="AK253" s="49" t="s">
        <v>1280</v>
      </c>
      <c r="AL253" s="48" t="s">
        <v>36</v>
      </c>
      <c r="AM253" s="48" t="s">
        <v>36</v>
      </c>
      <c r="AN253" s="51">
        <v>42982.686393000004</v>
      </c>
      <c r="AO253" s="51"/>
      <c r="AP253" s="51"/>
      <c r="AQ253" s="72">
        <v>1600000</v>
      </c>
      <c r="AR253" s="72">
        <v>50000</v>
      </c>
      <c r="AS253" s="50">
        <v>46387</v>
      </c>
      <c r="AT253" s="50" t="s">
        <v>1436</v>
      </c>
      <c r="AU253" s="49" t="s">
        <v>1436</v>
      </c>
      <c r="AV253" s="49" t="s">
        <v>1670</v>
      </c>
      <c r="AW253" s="48" t="s">
        <v>1244</v>
      </c>
    </row>
    <row r="254" spans="1:49" x14ac:dyDescent="0.3">
      <c r="A254" s="48" t="s">
        <v>1320</v>
      </c>
      <c r="B254" s="48" t="s">
        <v>6</v>
      </c>
      <c r="C254" s="48" t="s">
        <v>1322</v>
      </c>
      <c r="D254" s="50">
        <v>45260</v>
      </c>
      <c r="E254" s="48" t="s">
        <v>36</v>
      </c>
      <c r="F254" s="48" t="s">
        <v>1433</v>
      </c>
      <c r="G254" s="48" t="s">
        <v>1447</v>
      </c>
      <c r="H254" s="49" t="s">
        <v>1450</v>
      </c>
      <c r="I254" s="48" t="s">
        <v>1408</v>
      </c>
      <c r="J254" s="48" t="s">
        <v>40</v>
      </c>
      <c r="K254" s="48" t="s">
        <v>54</v>
      </c>
      <c r="L254" s="48" t="s">
        <v>38</v>
      </c>
      <c r="M254" s="48" t="s">
        <v>37</v>
      </c>
      <c r="N254" s="48" t="s">
        <v>1436</v>
      </c>
      <c r="O254" s="48" t="s">
        <v>1436</v>
      </c>
      <c r="P254" s="48" t="s">
        <v>1436</v>
      </c>
      <c r="Q254" s="48" t="s">
        <v>38</v>
      </c>
      <c r="R254" s="48" t="s">
        <v>39</v>
      </c>
      <c r="S254" s="48" t="s">
        <v>40</v>
      </c>
      <c r="T254" s="48" t="s">
        <v>41</v>
      </c>
      <c r="U254" s="48" t="s">
        <v>1436</v>
      </c>
      <c r="V254" s="48" t="s">
        <v>1436</v>
      </c>
      <c r="W254" s="48" t="s">
        <v>1436</v>
      </c>
      <c r="X254" s="49" t="s">
        <v>193</v>
      </c>
      <c r="Y254" s="48" t="s">
        <v>1194</v>
      </c>
      <c r="Z254" s="49" t="s">
        <v>1321</v>
      </c>
      <c r="AA254" s="48" t="s">
        <v>1324</v>
      </c>
      <c r="AB254" s="48" t="s">
        <v>1325</v>
      </c>
      <c r="AC254" s="48" t="s">
        <v>1239</v>
      </c>
      <c r="AD254" s="48" t="s">
        <v>1231</v>
      </c>
      <c r="AE254" s="48" t="s">
        <v>1669</v>
      </c>
      <c r="AF254" s="48" t="s">
        <v>1436</v>
      </c>
      <c r="AG254" s="48" t="s">
        <v>1436</v>
      </c>
      <c r="AH254" s="48" t="s">
        <v>208</v>
      </c>
      <c r="AI254" s="50">
        <v>44562</v>
      </c>
      <c r="AJ254" s="50">
        <v>46387</v>
      </c>
      <c r="AK254" s="49" t="s">
        <v>1280</v>
      </c>
      <c r="AL254" s="48" t="s">
        <v>36</v>
      </c>
      <c r="AM254" s="48" t="s">
        <v>36</v>
      </c>
      <c r="AN254" s="51">
        <v>-2897.76</v>
      </c>
      <c r="AO254" s="51"/>
      <c r="AP254" s="51"/>
      <c r="AQ254" s="72">
        <v>1600000</v>
      </c>
      <c r="AR254" s="72">
        <v>50000</v>
      </c>
      <c r="AS254" s="50">
        <v>46387</v>
      </c>
      <c r="AT254" s="50" t="s">
        <v>1436</v>
      </c>
      <c r="AU254" s="49" t="s">
        <v>1436</v>
      </c>
      <c r="AV254" s="49" t="s">
        <v>1670</v>
      </c>
      <c r="AW254" s="48" t="s">
        <v>1244</v>
      </c>
    </row>
    <row r="255" spans="1:49" x14ac:dyDescent="0.3">
      <c r="A255" s="48" t="s">
        <v>1320</v>
      </c>
      <c r="B255" s="48" t="s">
        <v>6</v>
      </c>
      <c r="C255" s="48" t="s">
        <v>1322</v>
      </c>
      <c r="D255" s="50">
        <v>45260</v>
      </c>
      <c r="E255" s="48" t="s">
        <v>36</v>
      </c>
      <c r="F255" s="48" t="s">
        <v>1433</v>
      </c>
      <c r="G255" s="48" t="s">
        <v>1447</v>
      </c>
      <c r="H255" s="49" t="s">
        <v>1451</v>
      </c>
      <c r="I255" s="48" t="s">
        <v>1404</v>
      </c>
      <c r="J255" s="48" t="s">
        <v>38</v>
      </c>
      <c r="K255" s="48" t="s">
        <v>49</v>
      </c>
      <c r="L255" s="48" t="s">
        <v>38</v>
      </c>
      <c r="M255" s="48" t="s">
        <v>37</v>
      </c>
      <c r="N255" s="48" t="s">
        <v>1436</v>
      </c>
      <c r="O255" s="48" t="s">
        <v>1436</v>
      </c>
      <c r="P255" s="48" t="s">
        <v>1436</v>
      </c>
      <c r="Q255" s="48" t="s">
        <v>38</v>
      </c>
      <c r="R255" s="48" t="s">
        <v>39</v>
      </c>
      <c r="S255" s="48" t="s">
        <v>38</v>
      </c>
      <c r="T255" s="48" t="s">
        <v>41</v>
      </c>
      <c r="U255" s="48" t="s">
        <v>1436</v>
      </c>
      <c r="V255" s="48" t="s">
        <v>1436</v>
      </c>
      <c r="W255" s="48" t="s">
        <v>1436</v>
      </c>
      <c r="X255" s="49" t="s">
        <v>193</v>
      </c>
      <c r="Y255" s="48" t="s">
        <v>1194</v>
      </c>
      <c r="Z255" s="49" t="s">
        <v>1321</v>
      </c>
      <c r="AA255" s="48" t="s">
        <v>1324</v>
      </c>
      <c r="AB255" s="48" t="s">
        <v>1325</v>
      </c>
      <c r="AC255" s="48" t="s">
        <v>1239</v>
      </c>
      <c r="AD255" s="48" t="s">
        <v>1231</v>
      </c>
      <c r="AE255" s="48" t="s">
        <v>1669</v>
      </c>
      <c r="AF255" s="48" t="s">
        <v>1436</v>
      </c>
      <c r="AG255" s="48" t="s">
        <v>1436</v>
      </c>
      <c r="AH255" s="48" t="s">
        <v>208</v>
      </c>
      <c r="AI255" s="50">
        <v>44562</v>
      </c>
      <c r="AJ255" s="50">
        <v>46387</v>
      </c>
      <c r="AK255" s="49" t="s">
        <v>1280</v>
      </c>
      <c r="AL255" s="48" t="s">
        <v>36</v>
      </c>
      <c r="AM255" s="48" t="s">
        <v>36</v>
      </c>
      <c r="AN255" s="51">
        <v>233.82873699999999</v>
      </c>
      <c r="AO255" s="51"/>
      <c r="AP255" s="51"/>
      <c r="AQ255" s="72">
        <v>1600000</v>
      </c>
      <c r="AR255" s="72">
        <v>50000</v>
      </c>
      <c r="AS255" s="50">
        <v>46387</v>
      </c>
      <c r="AT255" s="50" t="s">
        <v>1436</v>
      </c>
      <c r="AU255" s="49" t="s">
        <v>1436</v>
      </c>
      <c r="AV255" s="49" t="s">
        <v>1670</v>
      </c>
      <c r="AW255" s="48" t="s">
        <v>1244</v>
      </c>
    </row>
    <row r="256" spans="1:49" x14ac:dyDescent="0.3">
      <c r="A256" s="48" t="s">
        <v>1320</v>
      </c>
      <c r="B256" s="48" t="s">
        <v>6</v>
      </c>
      <c r="C256" s="48" t="s">
        <v>1322</v>
      </c>
      <c r="D256" s="50">
        <v>45291</v>
      </c>
      <c r="E256" s="48" t="s">
        <v>36</v>
      </c>
      <c r="F256" s="48" t="s">
        <v>1433</v>
      </c>
      <c r="G256" s="48" t="s">
        <v>1434</v>
      </c>
      <c r="H256" s="49" t="s">
        <v>1435</v>
      </c>
      <c r="I256" s="48" t="s">
        <v>1412</v>
      </c>
      <c r="J256" s="48" t="s">
        <v>40</v>
      </c>
      <c r="K256" s="48" t="s">
        <v>52</v>
      </c>
      <c r="L256" s="48" t="s">
        <v>38</v>
      </c>
      <c r="M256" s="48" t="s">
        <v>37</v>
      </c>
      <c r="N256" s="48" t="s">
        <v>1436</v>
      </c>
      <c r="O256" s="48" t="s">
        <v>1436</v>
      </c>
      <c r="P256" s="48" t="s">
        <v>1436</v>
      </c>
      <c r="Q256" s="48" t="s">
        <v>38</v>
      </c>
      <c r="R256" s="48" t="s">
        <v>39</v>
      </c>
      <c r="S256" s="48" t="s">
        <v>40</v>
      </c>
      <c r="T256" s="48" t="s">
        <v>41</v>
      </c>
      <c r="U256" s="48" t="s">
        <v>1436</v>
      </c>
      <c r="V256" s="48" t="s">
        <v>1436</v>
      </c>
      <c r="W256" s="48" t="s">
        <v>1436</v>
      </c>
      <c r="X256" s="49" t="s">
        <v>193</v>
      </c>
      <c r="Y256" s="48" t="s">
        <v>1194</v>
      </c>
      <c r="Z256" s="49" t="s">
        <v>1321</v>
      </c>
      <c r="AA256" s="48" t="s">
        <v>1324</v>
      </c>
      <c r="AB256" s="48" t="s">
        <v>1325</v>
      </c>
      <c r="AC256" s="48" t="s">
        <v>1239</v>
      </c>
      <c r="AD256" s="48" t="s">
        <v>1231</v>
      </c>
      <c r="AE256" s="48" t="s">
        <v>1669</v>
      </c>
      <c r="AF256" s="48" t="s">
        <v>1436</v>
      </c>
      <c r="AG256" s="48" t="s">
        <v>1436</v>
      </c>
      <c r="AH256" s="48" t="s">
        <v>208</v>
      </c>
      <c r="AI256" s="50">
        <v>44562</v>
      </c>
      <c r="AJ256" s="50">
        <v>46387</v>
      </c>
      <c r="AK256" s="49" t="s">
        <v>1280</v>
      </c>
      <c r="AL256" s="48" t="s">
        <v>36</v>
      </c>
      <c r="AM256" s="48" t="s">
        <v>36</v>
      </c>
      <c r="AN256" s="51">
        <v>-42330.49</v>
      </c>
      <c r="AO256" s="51"/>
      <c r="AP256" s="51"/>
      <c r="AQ256" s="72">
        <v>1600000</v>
      </c>
      <c r="AR256" s="72">
        <v>50000</v>
      </c>
      <c r="AS256" s="50">
        <v>46387</v>
      </c>
      <c r="AT256" s="50" t="s">
        <v>1436</v>
      </c>
      <c r="AU256" s="49" t="s">
        <v>1436</v>
      </c>
      <c r="AV256" s="49" t="s">
        <v>1670</v>
      </c>
      <c r="AW256" s="48" t="s">
        <v>1244</v>
      </c>
    </row>
    <row r="257" spans="1:49" x14ac:dyDescent="0.3">
      <c r="A257" s="48" t="s">
        <v>1320</v>
      </c>
      <c r="B257" s="48" t="s">
        <v>6</v>
      </c>
      <c r="C257" s="48" t="s">
        <v>1322</v>
      </c>
      <c r="D257" s="50">
        <v>45291</v>
      </c>
      <c r="E257" s="48" t="s">
        <v>36</v>
      </c>
      <c r="F257" s="48" t="s">
        <v>1433</v>
      </c>
      <c r="G257" s="48" t="s">
        <v>1434</v>
      </c>
      <c r="H257" s="49" t="s">
        <v>1437</v>
      </c>
      <c r="I257" s="48" t="s">
        <v>1410</v>
      </c>
      <c r="J257" s="48" t="s">
        <v>40</v>
      </c>
      <c r="K257" s="48" t="s">
        <v>42</v>
      </c>
      <c r="L257" s="48" t="s">
        <v>38</v>
      </c>
      <c r="M257" s="48" t="s">
        <v>37</v>
      </c>
      <c r="N257" s="48" t="s">
        <v>1436</v>
      </c>
      <c r="O257" s="48" t="s">
        <v>1436</v>
      </c>
      <c r="P257" s="48" t="s">
        <v>1436</v>
      </c>
      <c r="Q257" s="48" t="s">
        <v>38</v>
      </c>
      <c r="R257" s="48" t="s">
        <v>39</v>
      </c>
      <c r="S257" s="48" t="s">
        <v>40</v>
      </c>
      <c r="T257" s="48" t="s">
        <v>41</v>
      </c>
      <c r="U257" s="48" t="s">
        <v>1436</v>
      </c>
      <c r="V257" s="48" t="s">
        <v>1436</v>
      </c>
      <c r="W257" s="48" t="s">
        <v>1436</v>
      </c>
      <c r="X257" s="49" t="s">
        <v>193</v>
      </c>
      <c r="Y257" s="48" t="s">
        <v>1194</v>
      </c>
      <c r="Z257" s="49" t="s">
        <v>1321</v>
      </c>
      <c r="AA257" s="48" t="s">
        <v>1324</v>
      </c>
      <c r="AB257" s="48" t="s">
        <v>1325</v>
      </c>
      <c r="AC257" s="48" t="s">
        <v>1239</v>
      </c>
      <c r="AD257" s="48" t="s">
        <v>1231</v>
      </c>
      <c r="AE257" s="48" t="s">
        <v>1669</v>
      </c>
      <c r="AF257" s="48" t="s">
        <v>1436</v>
      </c>
      <c r="AG257" s="48" t="s">
        <v>1436</v>
      </c>
      <c r="AH257" s="48" t="s">
        <v>208</v>
      </c>
      <c r="AI257" s="50">
        <v>44562</v>
      </c>
      <c r="AJ257" s="50">
        <v>46387</v>
      </c>
      <c r="AK257" s="49" t="s">
        <v>1280</v>
      </c>
      <c r="AL257" s="48" t="s">
        <v>36</v>
      </c>
      <c r="AM257" s="48" t="s">
        <v>36</v>
      </c>
      <c r="AN257" s="51">
        <v>0</v>
      </c>
      <c r="AO257" s="51"/>
      <c r="AP257" s="51"/>
      <c r="AQ257" s="72">
        <v>1600000</v>
      </c>
      <c r="AR257" s="72">
        <v>50000</v>
      </c>
      <c r="AS257" s="50">
        <v>46387</v>
      </c>
      <c r="AT257" s="50" t="s">
        <v>1436</v>
      </c>
      <c r="AU257" s="49" t="s">
        <v>1436</v>
      </c>
      <c r="AV257" s="49" t="s">
        <v>1670</v>
      </c>
      <c r="AW257" s="48" t="s">
        <v>1244</v>
      </c>
    </row>
    <row r="258" spans="1:49" x14ac:dyDescent="0.3">
      <c r="A258" s="48" t="s">
        <v>1320</v>
      </c>
      <c r="B258" s="48" t="s">
        <v>6</v>
      </c>
      <c r="C258" s="48" t="s">
        <v>1322</v>
      </c>
      <c r="D258" s="50">
        <v>45291</v>
      </c>
      <c r="E258" s="48" t="s">
        <v>36</v>
      </c>
      <c r="F258" s="48" t="s">
        <v>1438</v>
      </c>
      <c r="G258" s="48" t="s">
        <v>1439</v>
      </c>
      <c r="H258" s="49" t="s">
        <v>1440</v>
      </c>
      <c r="I258" s="48" t="s">
        <v>1406</v>
      </c>
      <c r="J258" s="48" t="s">
        <v>1194</v>
      </c>
      <c r="K258" s="48" t="s">
        <v>1441</v>
      </c>
      <c r="L258" s="48" t="s">
        <v>38</v>
      </c>
      <c r="M258" s="48" t="s">
        <v>37</v>
      </c>
      <c r="N258" s="48" t="s">
        <v>1436</v>
      </c>
      <c r="O258" s="48" t="s">
        <v>1436</v>
      </c>
      <c r="P258" s="48" t="s">
        <v>1436</v>
      </c>
      <c r="Q258" s="48" t="s">
        <v>38</v>
      </c>
      <c r="R258" s="48" t="s">
        <v>39</v>
      </c>
      <c r="S258" s="48" t="s">
        <v>1194</v>
      </c>
      <c r="T258" s="48" t="s">
        <v>41</v>
      </c>
      <c r="U258" s="48" t="s">
        <v>1436</v>
      </c>
      <c r="V258" s="48" t="s">
        <v>1436</v>
      </c>
      <c r="W258" s="48" t="s">
        <v>1436</v>
      </c>
      <c r="X258" s="49" t="s">
        <v>193</v>
      </c>
      <c r="Y258" s="48" t="s">
        <v>1194</v>
      </c>
      <c r="Z258" s="49" t="s">
        <v>1321</v>
      </c>
      <c r="AA258" s="48" t="s">
        <v>1324</v>
      </c>
      <c r="AB258" s="48" t="s">
        <v>1325</v>
      </c>
      <c r="AC258" s="48" t="s">
        <v>1239</v>
      </c>
      <c r="AD258" s="48" t="s">
        <v>1231</v>
      </c>
      <c r="AE258" s="48" t="s">
        <v>1669</v>
      </c>
      <c r="AF258" s="48" t="s">
        <v>1436</v>
      </c>
      <c r="AG258" s="48" t="s">
        <v>1436</v>
      </c>
      <c r="AH258" s="48" t="s">
        <v>208</v>
      </c>
      <c r="AI258" s="50">
        <v>44562</v>
      </c>
      <c r="AJ258" s="50">
        <v>46387</v>
      </c>
      <c r="AK258" s="49" t="s">
        <v>1280</v>
      </c>
      <c r="AL258" s="48" t="s">
        <v>36</v>
      </c>
      <c r="AM258" s="48" t="s">
        <v>36</v>
      </c>
      <c r="AN258" s="51">
        <v>0</v>
      </c>
      <c r="AO258" s="51"/>
      <c r="AP258" s="51"/>
      <c r="AQ258" s="72">
        <v>1600000</v>
      </c>
      <c r="AR258" s="72">
        <v>50000</v>
      </c>
      <c r="AS258" s="50">
        <v>46387</v>
      </c>
      <c r="AT258" s="50" t="s">
        <v>1436</v>
      </c>
      <c r="AU258" s="49" t="s">
        <v>1436</v>
      </c>
      <c r="AV258" s="49" t="s">
        <v>1670</v>
      </c>
      <c r="AW258" s="48" t="s">
        <v>1244</v>
      </c>
    </row>
    <row r="259" spans="1:49" x14ac:dyDescent="0.3">
      <c r="A259" s="48" t="s">
        <v>1320</v>
      </c>
      <c r="B259" s="48" t="s">
        <v>6</v>
      </c>
      <c r="C259" s="48" t="s">
        <v>1322</v>
      </c>
      <c r="D259" s="50">
        <v>45291</v>
      </c>
      <c r="E259" s="48" t="s">
        <v>36</v>
      </c>
      <c r="F259" s="48" t="s">
        <v>1438</v>
      </c>
      <c r="G259" s="48" t="s">
        <v>1439</v>
      </c>
      <c r="H259" s="49" t="s">
        <v>1442</v>
      </c>
      <c r="I259" s="48" t="s">
        <v>1405</v>
      </c>
      <c r="J259" s="48" t="s">
        <v>1194</v>
      </c>
      <c r="K259" s="48" t="s">
        <v>1443</v>
      </c>
      <c r="L259" s="48" t="s">
        <v>38</v>
      </c>
      <c r="M259" s="48" t="s">
        <v>37</v>
      </c>
      <c r="N259" s="48" t="s">
        <v>1436</v>
      </c>
      <c r="O259" s="48" t="s">
        <v>1436</v>
      </c>
      <c r="P259" s="48" t="s">
        <v>1436</v>
      </c>
      <c r="Q259" s="48" t="s">
        <v>38</v>
      </c>
      <c r="R259" s="48" t="s">
        <v>39</v>
      </c>
      <c r="S259" s="48" t="s">
        <v>1194</v>
      </c>
      <c r="T259" s="48" t="s">
        <v>41</v>
      </c>
      <c r="U259" s="48" t="s">
        <v>1436</v>
      </c>
      <c r="V259" s="48" t="s">
        <v>1436</v>
      </c>
      <c r="W259" s="48" t="s">
        <v>1436</v>
      </c>
      <c r="X259" s="49" t="s">
        <v>193</v>
      </c>
      <c r="Y259" s="48" t="s">
        <v>1194</v>
      </c>
      <c r="Z259" s="49" t="s">
        <v>1321</v>
      </c>
      <c r="AA259" s="48" t="s">
        <v>1324</v>
      </c>
      <c r="AB259" s="48" t="s">
        <v>1325</v>
      </c>
      <c r="AC259" s="48" t="s">
        <v>1239</v>
      </c>
      <c r="AD259" s="48" t="s">
        <v>1231</v>
      </c>
      <c r="AE259" s="48" t="s">
        <v>1669</v>
      </c>
      <c r="AF259" s="48" t="s">
        <v>1436</v>
      </c>
      <c r="AG259" s="48" t="s">
        <v>1436</v>
      </c>
      <c r="AH259" s="48" t="s">
        <v>208</v>
      </c>
      <c r="AI259" s="50">
        <v>44562</v>
      </c>
      <c r="AJ259" s="50">
        <v>46387</v>
      </c>
      <c r="AK259" s="49" t="s">
        <v>1280</v>
      </c>
      <c r="AL259" s="48" t="s">
        <v>36</v>
      </c>
      <c r="AM259" s="48" t="s">
        <v>36</v>
      </c>
      <c r="AN259" s="51">
        <v>0</v>
      </c>
      <c r="AO259" s="51"/>
      <c r="AP259" s="51"/>
      <c r="AQ259" s="72">
        <v>1600000</v>
      </c>
      <c r="AR259" s="72">
        <v>50000</v>
      </c>
      <c r="AS259" s="50">
        <v>46387</v>
      </c>
      <c r="AT259" s="50" t="s">
        <v>1436</v>
      </c>
      <c r="AU259" s="49" t="s">
        <v>1436</v>
      </c>
      <c r="AV259" s="49" t="s">
        <v>1670</v>
      </c>
      <c r="AW259" s="48" t="s">
        <v>1244</v>
      </c>
    </row>
    <row r="260" spans="1:49" x14ac:dyDescent="0.3">
      <c r="A260" s="48" t="s">
        <v>1320</v>
      </c>
      <c r="B260" s="48" t="s">
        <v>6</v>
      </c>
      <c r="C260" s="48" t="s">
        <v>1322</v>
      </c>
      <c r="D260" s="50">
        <v>45291</v>
      </c>
      <c r="E260" s="48" t="s">
        <v>36</v>
      </c>
      <c r="F260" s="48" t="s">
        <v>1438</v>
      </c>
      <c r="G260" s="48" t="s">
        <v>1444</v>
      </c>
      <c r="H260" s="49" t="s">
        <v>1445</v>
      </c>
      <c r="I260" s="48" t="s">
        <v>1411</v>
      </c>
      <c r="J260" s="48" t="s">
        <v>40</v>
      </c>
      <c r="K260" s="48" t="s">
        <v>50</v>
      </c>
      <c r="L260" s="48" t="s">
        <v>38</v>
      </c>
      <c r="M260" s="48" t="s">
        <v>37</v>
      </c>
      <c r="N260" s="48" t="s">
        <v>1436</v>
      </c>
      <c r="O260" s="48" t="s">
        <v>1436</v>
      </c>
      <c r="P260" s="48" t="s">
        <v>1436</v>
      </c>
      <c r="Q260" s="48" t="s">
        <v>38</v>
      </c>
      <c r="R260" s="48" t="s">
        <v>39</v>
      </c>
      <c r="S260" s="48" t="s">
        <v>40</v>
      </c>
      <c r="T260" s="48" t="s">
        <v>41</v>
      </c>
      <c r="U260" s="48" t="s">
        <v>1436</v>
      </c>
      <c r="V260" s="48" t="s">
        <v>1436</v>
      </c>
      <c r="W260" s="48" t="s">
        <v>1436</v>
      </c>
      <c r="X260" s="49" t="s">
        <v>193</v>
      </c>
      <c r="Y260" s="48" t="s">
        <v>1194</v>
      </c>
      <c r="Z260" s="49" t="s">
        <v>1321</v>
      </c>
      <c r="AA260" s="48" t="s">
        <v>1324</v>
      </c>
      <c r="AB260" s="48" t="s">
        <v>1325</v>
      </c>
      <c r="AC260" s="48" t="s">
        <v>1239</v>
      </c>
      <c r="AD260" s="48" t="s">
        <v>1231</v>
      </c>
      <c r="AE260" s="48" t="s">
        <v>1669</v>
      </c>
      <c r="AF260" s="48" t="s">
        <v>1436</v>
      </c>
      <c r="AG260" s="48" t="s">
        <v>1436</v>
      </c>
      <c r="AH260" s="48" t="s">
        <v>208</v>
      </c>
      <c r="AI260" s="50">
        <v>44562</v>
      </c>
      <c r="AJ260" s="50">
        <v>46387</v>
      </c>
      <c r="AK260" s="49" t="s">
        <v>1280</v>
      </c>
      <c r="AL260" s="48" t="s">
        <v>36</v>
      </c>
      <c r="AM260" s="48" t="s">
        <v>36</v>
      </c>
      <c r="AN260" s="51">
        <v>42330.49</v>
      </c>
      <c r="AO260" s="51"/>
      <c r="AP260" s="51"/>
      <c r="AQ260" s="72">
        <v>1600000</v>
      </c>
      <c r="AR260" s="72">
        <v>50000</v>
      </c>
      <c r="AS260" s="50">
        <v>46387</v>
      </c>
      <c r="AT260" s="50" t="s">
        <v>1436</v>
      </c>
      <c r="AU260" s="49" t="s">
        <v>1436</v>
      </c>
      <c r="AV260" s="49" t="s">
        <v>1670</v>
      </c>
      <c r="AW260" s="48" t="s">
        <v>1244</v>
      </c>
    </row>
    <row r="261" spans="1:49" x14ac:dyDescent="0.3">
      <c r="A261" s="48" t="s">
        <v>1320</v>
      </c>
      <c r="B261" s="48" t="s">
        <v>6</v>
      </c>
      <c r="C261" s="48" t="s">
        <v>1322</v>
      </c>
      <c r="D261" s="50">
        <v>45291</v>
      </c>
      <c r="E261" s="48" t="s">
        <v>36</v>
      </c>
      <c r="F261" s="48" t="s">
        <v>1438</v>
      </c>
      <c r="G261" s="48" t="s">
        <v>1444</v>
      </c>
      <c r="H261" s="49" t="s">
        <v>1446</v>
      </c>
      <c r="I261" s="48" t="s">
        <v>1407</v>
      </c>
      <c r="J261" s="48" t="s">
        <v>40</v>
      </c>
      <c r="K261" s="48" t="s">
        <v>47</v>
      </c>
      <c r="L261" s="48" t="s">
        <v>38</v>
      </c>
      <c r="M261" s="48" t="s">
        <v>37</v>
      </c>
      <c r="N261" s="48" t="s">
        <v>1436</v>
      </c>
      <c r="O261" s="48" t="s">
        <v>1436</v>
      </c>
      <c r="P261" s="48" t="s">
        <v>1436</v>
      </c>
      <c r="Q261" s="48" t="s">
        <v>38</v>
      </c>
      <c r="R261" s="48" t="s">
        <v>39</v>
      </c>
      <c r="S261" s="48" t="s">
        <v>40</v>
      </c>
      <c r="T261" s="48" t="s">
        <v>41</v>
      </c>
      <c r="U261" s="48" t="s">
        <v>1436</v>
      </c>
      <c r="V261" s="48" t="s">
        <v>1436</v>
      </c>
      <c r="W261" s="48" t="s">
        <v>1436</v>
      </c>
      <c r="X261" s="49" t="s">
        <v>193</v>
      </c>
      <c r="Y261" s="48" t="s">
        <v>1194</v>
      </c>
      <c r="Z261" s="49" t="s">
        <v>1321</v>
      </c>
      <c r="AA261" s="48" t="s">
        <v>1324</v>
      </c>
      <c r="AB261" s="48" t="s">
        <v>1325</v>
      </c>
      <c r="AC261" s="48" t="s">
        <v>1239</v>
      </c>
      <c r="AD261" s="48" t="s">
        <v>1231</v>
      </c>
      <c r="AE261" s="48" t="s">
        <v>1669</v>
      </c>
      <c r="AF261" s="48" t="s">
        <v>1436</v>
      </c>
      <c r="AG261" s="48" t="s">
        <v>1436</v>
      </c>
      <c r="AH261" s="48" t="s">
        <v>208</v>
      </c>
      <c r="AI261" s="50">
        <v>44562</v>
      </c>
      <c r="AJ261" s="50">
        <v>46387</v>
      </c>
      <c r="AK261" s="49" t="s">
        <v>1280</v>
      </c>
      <c r="AL261" s="48" t="s">
        <v>36</v>
      </c>
      <c r="AM261" s="48" t="s">
        <v>36</v>
      </c>
      <c r="AN261" s="51">
        <v>9446.0521320000007</v>
      </c>
      <c r="AO261" s="51"/>
      <c r="AP261" s="51"/>
      <c r="AQ261" s="72">
        <v>1600000</v>
      </c>
      <c r="AR261" s="72">
        <v>50000</v>
      </c>
      <c r="AS261" s="50">
        <v>46387</v>
      </c>
      <c r="AT261" s="50" t="s">
        <v>1436</v>
      </c>
      <c r="AU261" s="49" t="s">
        <v>1436</v>
      </c>
      <c r="AV261" s="49" t="s">
        <v>1670</v>
      </c>
      <c r="AW261" s="48" t="s">
        <v>1244</v>
      </c>
    </row>
    <row r="262" spans="1:49" x14ac:dyDescent="0.3">
      <c r="A262" s="48" t="s">
        <v>1320</v>
      </c>
      <c r="B262" s="48" t="s">
        <v>6</v>
      </c>
      <c r="C262" s="48" t="s">
        <v>1322</v>
      </c>
      <c r="D262" s="50">
        <v>45291</v>
      </c>
      <c r="E262" s="48" t="s">
        <v>36</v>
      </c>
      <c r="F262" s="48" t="s">
        <v>1433</v>
      </c>
      <c r="G262" s="48" t="s">
        <v>1447</v>
      </c>
      <c r="H262" s="49" t="s">
        <v>1448</v>
      </c>
      <c r="I262" s="48" t="s">
        <v>1413</v>
      </c>
      <c r="J262" s="48" t="s">
        <v>40</v>
      </c>
      <c r="K262" s="48" t="s">
        <v>58</v>
      </c>
      <c r="L262" s="48" t="s">
        <v>38</v>
      </c>
      <c r="M262" s="48" t="s">
        <v>37</v>
      </c>
      <c r="N262" s="48" t="s">
        <v>1436</v>
      </c>
      <c r="O262" s="48" t="s">
        <v>1436</v>
      </c>
      <c r="P262" s="48" t="s">
        <v>1436</v>
      </c>
      <c r="Q262" s="48" t="s">
        <v>38</v>
      </c>
      <c r="R262" s="48" t="s">
        <v>39</v>
      </c>
      <c r="S262" s="48" t="s">
        <v>40</v>
      </c>
      <c r="T262" s="48" t="s">
        <v>41</v>
      </c>
      <c r="U262" s="48" t="s">
        <v>1436</v>
      </c>
      <c r="V262" s="48" t="s">
        <v>1436</v>
      </c>
      <c r="W262" s="48" t="s">
        <v>1436</v>
      </c>
      <c r="X262" s="49" t="s">
        <v>193</v>
      </c>
      <c r="Y262" s="48" t="s">
        <v>1194</v>
      </c>
      <c r="Z262" s="49" t="s">
        <v>1321</v>
      </c>
      <c r="AA262" s="48" t="s">
        <v>1324</v>
      </c>
      <c r="AB262" s="48" t="s">
        <v>1325</v>
      </c>
      <c r="AC262" s="48" t="s">
        <v>1239</v>
      </c>
      <c r="AD262" s="48" t="s">
        <v>1231</v>
      </c>
      <c r="AE262" s="48" t="s">
        <v>1669</v>
      </c>
      <c r="AF262" s="48" t="s">
        <v>1436</v>
      </c>
      <c r="AG262" s="48" t="s">
        <v>1436</v>
      </c>
      <c r="AH262" s="48" t="s">
        <v>208</v>
      </c>
      <c r="AI262" s="50">
        <v>44562</v>
      </c>
      <c r="AJ262" s="50">
        <v>46387</v>
      </c>
      <c r="AK262" s="49" t="s">
        <v>1280</v>
      </c>
      <c r="AL262" s="48" t="s">
        <v>36</v>
      </c>
      <c r="AM262" s="48" t="s">
        <v>36</v>
      </c>
      <c r="AN262" s="51">
        <v>-50000</v>
      </c>
      <c r="AO262" s="51"/>
      <c r="AP262" s="51"/>
      <c r="AQ262" s="72">
        <v>1600000</v>
      </c>
      <c r="AR262" s="72">
        <v>50000</v>
      </c>
      <c r="AS262" s="50">
        <v>46387</v>
      </c>
      <c r="AT262" s="50" t="s">
        <v>1436</v>
      </c>
      <c r="AU262" s="49" t="s">
        <v>1436</v>
      </c>
      <c r="AV262" s="49" t="s">
        <v>1670</v>
      </c>
      <c r="AW262" s="48" t="s">
        <v>1244</v>
      </c>
    </row>
    <row r="263" spans="1:49" x14ac:dyDescent="0.3">
      <c r="A263" s="48" t="s">
        <v>1320</v>
      </c>
      <c r="B263" s="48" t="s">
        <v>6</v>
      </c>
      <c r="C263" s="48" t="s">
        <v>1322</v>
      </c>
      <c r="D263" s="50">
        <v>45291</v>
      </c>
      <c r="E263" s="48" t="s">
        <v>36</v>
      </c>
      <c r="F263" s="48" t="s">
        <v>1433</v>
      </c>
      <c r="G263" s="48" t="s">
        <v>1447</v>
      </c>
      <c r="H263" s="49" t="s">
        <v>1449</v>
      </c>
      <c r="I263" s="48" t="s">
        <v>1409</v>
      </c>
      <c r="J263" s="48" t="s">
        <v>40</v>
      </c>
      <c r="K263" s="48" t="s">
        <v>45</v>
      </c>
      <c r="L263" s="48" t="s">
        <v>38</v>
      </c>
      <c r="M263" s="48" t="s">
        <v>37</v>
      </c>
      <c r="N263" s="48" t="s">
        <v>1436</v>
      </c>
      <c r="O263" s="48" t="s">
        <v>1436</v>
      </c>
      <c r="P263" s="48" t="s">
        <v>1436</v>
      </c>
      <c r="Q263" s="48" t="s">
        <v>38</v>
      </c>
      <c r="R263" s="48" t="s">
        <v>39</v>
      </c>
      <c r="S263" s="48" t="s">
        <v>40</v>
      </c>
      <c r="T263" s="48" t="s">
        <v>41</v>
      </c>
      <c r="U263" s="48" t="s">
        <v>1436</v>
      </c>
      <c r="V263" s="48" t="s">
        <v>1436</v>
      </c>
      <c r="W263" s="48" t="s">
        <v>1436</v>
      </c>
      <c r="X263" s="49" t="s">
        <v>193</v>
      </c>
      <c r="Y263" s="48" t="s">
        <v>1194</v>
      </c>
      <c r="Z263" s="49" t="s">
        <v>1321</v>
      </c>
      <c r="AA263" s="48" t="s">
        <v>1324</v>
      </c>
      <c r="AB263" s="48" t="s">
        <v>1325</v>
      </c>
      <c r="AC263" s="48" t="s">
        <v>1239</v>
      </c>
      <c r="AD263" s="48" t="s">
        <v>1231</v>
      </c>
      <c r="AE263" s="48" t="s">
        <v>1669</v>
      </c>
      <c r="AF263" s="48" t="s">
        <v>1436</v>
      </c>
      <c r="AG263" s="48" t="s">
        <v>1436</v>
      </c>
      <c r="AH263" s="48" t="s">
        <v>208</v>
      </c>
      <c r="AI263" s="50">
        <v>44562</v>
      </c>
      <c r="AJ263" s="50">
        <v>46387</v>
      </c>
      <c r="AK263" s="49" t="s">
        <v>1280</v>
      </c>
      <c r="AL263" s="48" t="s">
        <v>36</v>
      </c>
      <c r="AM263" s="48" t="s">
        <v>36</v>
      </c>
      <c r="AN263" s="51">
        <v>43233.385130000002</v>
      </c>
      <c r="AO263" s="51"/>
      <c r="AP263" s="51"/>
      <c r="AQ263" s="72">
        <v>1600000</v>
      </c>
      <c r="AR263" s="72">
        <v>50000</v>
      </c>
      <c r="AS263" s="50">
        <v>46387</v>
      </c>
      <c r="AT263" s="50" t="s">
        <v>1436</v>
      </c>
      <c r="AU263" s="49" t="s">
        <v>1436</v>
      </c>
      <c r="AV263" s="49" t="s">
        <v>1670</v>
      </c>
      <c r="AW263" s="48" t="s">
        <v>1244</v>
      </c>
    </row>
    <row r="264" spans="1:49" x14ac:dyDescent="0.3">
      <c r="A264" s="48" t="s">
        <v>1320</v>
      </c>
      <c r="B264" s="48" t="s">
        <v>6</v>
      </c>
      <c r="C264" s="48" t="s">
        <v>1322</v>
      </c>
      <c r="D264" s="50">
        <v>45291</v>
      </c>
      <c r="E264" s="48" t="s">
        <v>36</v>
      </c>
      <c r="F264" s="48" t="s">
        <v>1433</v>
      </c>
      <c r="G264" s="48" t="s">
        <v>1447</v>
      </c>
      <c r="H264" s="49" t="s">
        <v>1450</v>
      </c>
      <c r="I264" s="48" t="s">
        <v>1408</v>
      </c>
      <c r="J264" s="48" t="s">
        <v>40</v>
      </c>
      <c r="K264" s="48" t="s">
        <v>54</v>
      </c>
      <c r="L264" s="48" t="s">
        <v>38</v>
      </c>
      <c r="M264" s="48" t="s">
        <v>37</v>
      </c>
      <c r="N264" s="48" t="s">
        <v>1436</v>
      </c>
      <c r="O264" s="48" t="s">
        <v>1436</v>
      </c>
      <c r="P264" s="48" t="s">
        <v>1436</v>
      </c>
      <c r="Q264" s="48" t="s">
        <v>38</v>
      </c>
      <c r="R264" s="48" t="s">
        <v>39</v>
      </c>
      <c r="S264" s="48" t="s">
        <v>40</v>
      </c>
      <c r="T264" s="48" t="s">
        <v>41</v>
      </c>
      <c r="U264" s="48" t="s">
        <v>1436</v>
      </c>
      <c r="V264" s="48" t="s">
        <v>1436</v>
      </c>
      <c r="W264" s="48" t="s">
        <v>1436</v>
      </c>
      <c r="X264" s="49" t="s">
        <v>193</v>
      </c>
      <c r="Y264" s="48" t="s">
        <v>1194</v>
      </c>
      <c r="Z264" s="49" t="s">
        <v>1321</v>
      </c>
      <c r="AA264" s="48" t="s">
        <v>1324</v>
      </c>
      <c r="AB264" s="48" t="s">
        <v>1325</v>
      </c>
      <c r="AC264" s="48" t="s">
        <v>1239</v>
      </c>
      <c r="AD264" s="48" t="s">
        <v>1231</v>
      </c>
      <c r="AE264" s="48" t="s">
        <v>1669</v>
      </c>
      <c r="AF264" s="48" t="s">
        <v>1436</v>
      </c>
      <c r="AG264" s="48" t="s">
        <v>1436</v>
      </c>
      <c r="AH264" s="48" t="s">
        <v>208</v>
      </c>
      <c r="AI264" s="50">
        <v>44562</v>
      </c>
      <c r="AJ264" s="50">
        <v>46387</v>
      </c>
      <c r="AK264" s="49" t="s">
        <v>1280</v>
      </c>
      <c r="AL264" s="48" t="s">
        <v>36</v>
      </c>
      <c r="AM264" s="48" t="s">
        <v>36</v>
      </c>
      <c r="AN264" s="51">
        <v>-2914.63</v>
      </c>
      <c r="AO264" s="51"/>
      <c r="AP264" s="51"/>
      <c r="AQ264" s="72">
        <v>1600000</v>
      </c>
      <c r="AR264" s="72">
        <v>50000</v>
      </c>
      <c r="AS264" s="50">
        <v>46387</v>
      </c>
      <c r="AT264" s="50" t="s">
        <v>1436</v>
      </c>
      <c r="AU264" s="49" t="s">
        <v>1436</v>
      </c>
      <c r="AV264" s="49" t="s">
        <v>1670</v>
      </c>
      <c r="AW264" s="48" t="s">
        <v>1244</v>
      </c>
    </row>
    <row r="265" spans="1:49" x14ac:dyDescent="0.3">
      <c r="A265" s="48" t="s">
        <v>1320</v>
      </c>
      <c r="B265" s="48" t="s">
        <v>6</v>
      </c>
      <c r="C265" s="48" t="s">
        <v>1322</v>
      </c>
      <c r="D265" s="50">
        <v>45291</v>
      </c>
      <c r="E265" s="48" t="s">
        <v>36</v>
      </c>
      <c r="F265" s="48" t="s">
        <v>1433</v>
      </c>
      <c r="G265" s="48" t="s">
        <v>1447</v>
      </c>
      <c r="H265" s="49" t="s">
        <v>1451</v>
      </c>
      <c r="I265" s="48" t="s">
        <v>1404</v>
      </c>
      <c r="J265" s="48" t="s">
        <v>38</v>
      </c>
      <c r="K265" s="48" t="s">
        <v>49</v>
      </c>
      <c r="L265" s="48" t="s">
        <v>38</v>
      </c>
      <c r="M265" s="48" t="s">
        <v>37</v>
      </c>
      <c r="N265" s="48" t="s">
        <v>1436</v>
      </c>
      <c r="O265" s="48" t="s">
        <v>1436</v>
      </c>
      <c r="P265" s="48" t="s">
        <v>1436</v>
      </c>
      <c r="Q265" s="48" t="s">
        <v>38</v>
      </c>
      <c r="R265" s="48" t="s">
        <v>39</v>
      </c>
      <c r="S265" s="48" t="s">
        <v>38</v>
      </c>
      <c r="T265" s="48" t="s">
        <v>41</v>
      </c>
      <c r="U265" s="48" t="s">
        <v>1436</v>
      </c>
      <c r="V265" s="48" t="s">
        <v>1436</v>
      </c>
      <c r="W265" s="48" t="s">
        <v>1436</v>
      </c>
      <c r="X265" s="49" t="s">
        <v>193</v>
      </c>
      <c r="Y265" s="48" t="s">
        <v>1194</v>
      </c>
      <c r="Z265" s="49" t="s">
        <v>1321</v>
      </c>
      <c r="AA265" s="48" t="s">
        <v>1324</v>
      </c>
      <c r="AB265" s="48" t="s">
        <v>1325</v>
      </c>
      <c r="AC265" s="48" t="s">
        <v>1239</v>
      </c>
      <c r="AD265" s="48" t="s">
        <v>1231</v>
      </c>
      <c r="AE265" s="48" t="s">
        <v>1669</v>
      </c>
      <c r="AF265" s="48" t="s">
        <v>1436</v>
      </c>
      <c r="AG265" s="48" t="s">
        <v>1436</v>
      </c>
      <c r="AH265" s="48" t="s">
        <v>208</v>
      </c>
      <c r="AI265" s="50">
        <v>44562</v>
      </c>
      <c r="AJ265" s="50">
        <v>46387</v>
      </c>
      <c r="AK265" s="49" t="s">
        <v>1280</v>
      </c>
      <c r="AL265" s="48" t="s">
        <v>36</v>
      </c>
      <c r="AM265" s="48" t="s">
        <v>36</v>
      </c>
      <c r="AN265" s="51">
        <v>235.19273799999999</v>
      </c>
      <c r="AO265" s="51"/>
      <c r="AP265" s="51"/>
      <c r="AQ265" s="72">
        <v>1600000</v>
      </c>
      <c r="AR265" s="72">
        <v>50000</v>
      </c>
      <c r="AS265" s="50">
        <v>46387</v>
      </c>
      <c r="AT265" s="50" t="s">
        <v>1436</v>
      </c>
      <c r="AU265" s="49" t="s">
        <v>1436</v>
      </c>
      <c r="AV265" s="49" t="s">
        <v>1670</v>
      </c>
      <c r="AW265" s="48" t="s">
        <v>1244</v>
      </c>
    </row>
    <row r="266" spans="1:49" x14ac:dyDescent="0.3">
      <c r="A266" s="48" t="s">
        <v>1320</v>
      </c>
      <c r="B266" s="48" t="s">
        <v>6</v>
      </c>
      <c r="C266" s="48" t="s">
        <v>1322</v>
      </c>
      <c r="D266" s="50">
        <v>45322</v>
      </c>
      <c r="E266" s="48" t="s">
        <v>36</v>
      </c>
      <c r="F266" s="48" t="s">
        <v>1433</v>
      </c>
      <c r="G266" s="48" t="s">
        <v>1434</v>
      </c>
      <c r="H266" s="49" t="s">
        <v>1435</v>
      </c>
      <c r="I266" s="48" t="s">
        <v>1412</v>
      </c>
      <c r="J266" s="48" t="s">
        <v>40</v>
      </c>
      <c r="K266" s="48" t="s">
        <v>52</v>
      </c>
      <c r="L266" s="48" t="s">
        <v>38</v>
      </c>
      <c r="M266" s="48" t="s">
        <v>37</v>
      </c>
      <c r="N266" s="48" t="s">
        <v>1436</v>
      </c>
      <c r="O266" s="48" t="s">
        <v>1436</v>
      </c>
      <c r="P266" s="48" t="s">
        <v>1436</v>
      </c>
      <c r="Q266" s="48" t="s">
        <v>38</v>
      </c>
      <c r="R266" s="48" t="s">
        <v>39</v>
      </c>
      <c r="S266" s="48" t="s">
        <v>40</v>
      </c>
      <c r="T266" s="48" t="s">
        <v>41</v>
      </c>
      <c r="U266" s="48" t="s">
        <v>1436</v>
      </c>
      <c r="V266" s="48" t="s">
        <v>1436</v>
      </c>
      <c r="W266" s="48" t="s">
        <v>1436</v>
      </c>
      <c r="X266" s="49" t="s">
        <v>193</v>
      </c>
      <c r="Y266" s="48" t="s">
        <v>1194</v>
      </c>
      <c r="Z266" s="49" t="s">
        <v>1321</v>
      </c>
      <c r="AA266" s="48" t="s">
        <v>1324</v>
      </c>
      <c r="AB266" s="48" t="s">
        <v>1325</v>
      </c>
      <c r="AC266" s="48" t="s">
        <v>1239</v>
      </c>
      <c r="AD266" s="48" t="s">
        <v>1231</v>
      </c>
      <c r="AE266" s="48" t="s">
        <v>1669</v>
      </c>
      <c r="AF266" s="48" t="s">
        <v>1436</v>
      </c>
      <c r="AG266" s="48" t="s">
        <v>1436</v>
      </c>
      <c r="AH266" s="48" t="s">
        <v>208</v>
      </c>
      <c r="AI266" s="50">
        <v>44562</v>
      </c>
      <c r="AJ266" s="50">
        <v>46387</v>
      </c>
      <c r="AK266" s="49" t="s">
        <v>1280</v>
      </c>
      <c r="AL266" s="48" t="s">
        <v>36</v>
      </c>
      <c r="AM266" s="48" t="s">
        <v>36</v>
      </c>
      <c r="AN266" s="51">
        <v>-42330.49</v>
      </c>
      <c r="AO266" s="51"/>
      <c r="AP266" s="51"/>
      <c r="AQ266" s="72">
        <v>1600000</v>
      </c>
      <c r="AR266" s="72">
        <v>50000</v>
      </c>
      <c r="AS266" s="50">
        <v>46387</v>
      </c>
      <c r="AT266" s="50" t="s">
        <v>1436</v>
      </c>
      <c r="AU266" s="49" t="s">
        <v>1436</v>
      </c>
      <c r="AV266" s="49" t="s">
        <v>1670</v>
      </c>
      <c r="AW266" s="48" t="s">
        <v>1244</v>
      </c>
    </row>
    <row r="267" spans="1:49" x14ac:dyDescent="0.3">
      <c r="A267" s="48" t="s">
        <v>1320</v>
      </c>
      <c r="B267" s="48" t="s">
        <v>6</v>
      </c>
      <c r="C267" s="48" t="s">
        <v>1322</v>
      </c>
      <c r="D267" s="50">
        <v>45322</v>
      </c>
      <c r="E267" s="48" t="s">
        <v>36</v>
      </c>
      <c r="F267" s="48" t="s">
        <v>1433</v>
      </c>
      <c r="G267" s="48" t="s">
        <v>1434</v>
      </c>
      <c r="H267" s="49" t="s">
        <v>1437</v>
      </c>
      <c r="I267" s="48" t="s">
        <v>1410</v>
      </c>
      <c r="J267" s="48" t="s">
        <v>40</v>
      </c>
      <c r="K267" s="48" t="s">
        <v>42</v>
      </c>
      <c r="L267" s="48" t="s">
        <v>38</v>
      </c>
      <c r="M267" s="48" t="s">
        <v>37</v>
      </c>
      <c r="N267" s="48" t="s">
        <v>1436</v>
      </c>
      <c r="O267" s="48" t="s">
        <v>1436</v>
      </c>
      <c r="P267" s="48" t="s">
        <v>1436</v>
      </c>
      <c r="Q267" s="48" t="s">
        <v>38</v>
      </c>
      <c r="R267" s="48" t="s">
        <v>39</v>
      </c>
      <c r="S267" s="48" t="s">
        <v>40</v>
      </c>
      <c r="T267" s="48" t="s">
        <v>41</v>
      </c>
      <c r="U267" s="48" t="s">
        <v>1436</v>
      </c>
      <c r="V267" s="48" t="s">
        <v>1436</v>
      </c>
      <c r="W267" s="48" t="s">
        <v>1436</v>
      </c>
      <c r="X267" s="49" t="s">
        <v>193</v>
      </c>
      <c r="Y267" s="48" t="s">
        <v>1194</v>
      </c>
      <c r="Z267" s="49" t="s">
        <v>1321</v>
      </c>
      <c r="AA267" s="48" t="s">
        <v>1324</v>
      </c>
      <c r="AB267" s="48" t="s">
        <v>1325</v>
      </c>
      <c r="AC267" s="48" t="s">
        <v>1239</v>
      </c>
      <c r="AD267" s="48" t="s">
        <v>1231</v>
      </c>
      <c r="AE267" s="48" t="s">
        <v>1669</v>
      </c>
      <c r="AF267" s="48" t="s">
        <v>1436</v>
      </c>
      <c r="AG267" s="48" t="s">
        <v>1436</v>
      </c>
      <c r="AH267" s="48" t="s">
        <v>208</v>
      </c>
      <c r="AI267" s="50">
        <v>44562</v>
      </c>
      <c r="AJ267" s="50">
        <v>46387</v>
      </c>
      <c r="AK267" s="49" t="s">
        <v>1280</v>
      </c>
      <c r="AL267" s="48" t="s">
        <v>36</v>
      </c>
      <c r="AM267" s="48" t="s">
        <v>36</v>
      </c>
      <c r="AN267" s="51">
        <v>0</v>
      </c>
      <c r="AO267" s="51"/>
      <c r="AP267" s="51"/>
      <c r="AQ267" s="72">
        <v>1600000</v>
      </c>
      <c r="AR267" s="72">
        <v>50000</v>
      </c>
      <c r="AS267" s="50">
        <v>46387</v>
      </c>
      <c r="AT267" s="50" t="s">
        <v>1436</v>
      </c>
      <c r="AU267" s="49" t="s">
        <v>1436</v>
      </c>
      <c r="AV267" s="49" t="s">
        <v>1670</v>
      </c>
      <c r="AW267" s="48" t="s">
        <v>1244</v>
      </c>
    </row>
    <row r="268" spans="1:49" x14ac:dyDescent="0.3">
      <c r="A268" s="48" t="s">
        <v>1320</v>
      </c>
      <c r="B268" s="48" t="s">
        <v>6</v>
      </c>
      <c r="C268" s="48" t="s">
        <v>1322</v>
      </c>
      <c r="D268" s="50">
        <v>45322</v>
      </c>
      <c r="E268" s="48" t="s">
        <v>36</v>
      </c>
      <c r="F268" s="48" t="s">
        <v>1438</v>
      </c>
      <c r="G268" s="48" t="s">
        <v>1439</v>
      </c>
      <c r="H268" s="49" t="s">
        <v>1440</v>
      </c>
      <c r="I268" s="48" t="s">
        <v>1406</v>
      </c>
      <c r="J268" s="48" t="s">
        <v>1194</v>
      </c>
      <c r="K268" s="48" t="s">
        <v>1441</v>
      </c>
      <c r="L268" s="48" t="s">
        <v>38</v>
      </c>
      <c r="M268" s="48" t="s">
        <v>37</v>
      </c>
      <c r="N268" s="48" t="s">
        <v>1436</v>
      </c>
      <c r="O268" s="48" t="s">
        <v>1436</v>
      </c>
      <c r="P268" s="48" t="s">
        <v>1436</v>
      </c>
      <c r="Q268" s="48" t="s">
        <v>38</v>
      </c>
      <c r="R268" s="48" t="s">
        <v>39</v>
      </c>
      <c r="S268" s="48" t="s">
        <v>1194</v>
      </c>
      <c r="T268" s="48" t="s">
        <v>41</v>
      </c>
      <c r="U268" s="48" t="s">
        <v>1436</v>
      </c>
      <c r="V268" s="48" t="s">
        <v>1436</v>
      </c>
      <c r="W268" s="48" t="s">
        <v>1436</v>
      </c>
      <c r="X268" s="49" t="s">
        <v>193</v>
      </c>
      <c r="Y268" s="48" t="s">
        <v>1194</v>
      </c>
      <c r="Z268" s="49" t="s">
        <v>1321</v>
      </c>
      <c r="AA268" s="48" t="s">
        <v>1324</v>
      </c>
      <c r="AB268" s="48" t="s">
        <v>1325</v>
      </c>
      <c r="AC268" s="48" t="s">
        <v>1239</v>
      </c>
      <c r="AD268" s="48" t="s">
        <v>1231</v>
      </c>
      <c r="AE268" s="48" t="s">
        <v>1669</v>
      </c>
      <c r="AF268" s="48" t="s">
        <v>1436</v>
      </c>
      <c r="AG268" s="48" t="s">
        <v>1436</v>
      </c>
      <c r="AH268" s="48" t="s">
        <v>208</v>
      </c>
      <c r="AI268" s="50">
        <v>44562</v>
      </c>
      <c r="AJ268" s="50">
        <v>46387</v>
      </c>
      <c r="AK268" s="49" t="s">
        <v>1280</v>
      </c>
      <c r="AL268" s="48" t="s">
        <v>36</v>
      </c>
      <c r="AM268" s="48" t="s">
        <v>36</v>
      </c>
      <c r="AN268" s="51">
        <v>0</v>
      </c>
      <c r="AO268" s="51"/>
      <c r="AP268" s="51"/>
      <c r="AQ268" s="72">
        <v>1600000</v>
      </c>
      <c r="AR268" s="72">
        <v>50000</v>
      </c>
      <c r="AS268" s="50">
        <v>46387</v>
      </c>
      <c r="AT268" s="50" t="s">
        <v>1436</v>
      </c>
      <c r="AU268" s="49" t="s">
        <v>1436</v>
      </c>
      <c r="AV268" s="49" t="s">
        <v>1670</v>
      </c>
      <c r="AW268" s="48" t="s">
        <v>1244</v>
      </c>
    </row>
    <row r="269" spans="1:49" x14ac:dyDescent="0.3">
      <c r="A269" s="48" t="s">
        <v>1320</v>
      </c>
      <c r="B269" s="48" t="s">
        <v>6</v>
      </c>
      <c r="C269" s="48" t="s">
        <v>1322</v>
      </c>
      <c r="D269" s="50">
        <v>45322</v>
      </c>
      <c r="E269" s="48" t="s">
        <v>36</v>
      </c>
      <c r="F269" s="48" t="s">
        <v>1438</v>
      </c>
      <c r="G269" s="48" t="s">
        <v>1439</v>
      </c>
      <c r="H269" s="49" t="s">
        <v>1442</v>
      </c>
      <c r="I269" s="48" t="s">
        <v>1405</v>
      </c>
      <c r="J269" s="48" t="s">
        <v>1194</v>
      </c>
      <c r="K269" s="48" t="s">
        <v>1443</v>
      </c>
      <c r="L269" s="48" t="s">
        <v>38</v>
      </c>
      <c r="M269" s="48" t="s">
        <v>37</v>
      </c>
      <c r="N269" s="48" t="s">
        <v>1436</v>
      </c>
      <c r="O269" s="48" t="s">
        <v>1436</v>
      </c>
      <c r="P269" s="48" t="s">
        <v>1436</v>
      </c>
      <c r="Q269" s="48" t="s">
        <v>38</v>
      </c>
      <c r="R269" s="48" t="s">
        <v>39</v>
      </c>
      <c r="S269" s="48" t="s">
        <v>1194</v>
      </c>
      <c r="T269" s="48" t="s">
        <v>41</v>
      </c>
      <c r="U269" s="48" t="s">
        <v>1436</v>
      </c>
      <c r="V269" s="48" t="s">
        <v>1436</v>
      </c>
      <c r="W269" s="48" t="s">
        <v>1436</v>
      </c>
      <c r="X269" s="49" t="s">
        <v>193</v>
      </c>
      <c r="Y269" s="48" t="s">
        <v>1194</v>
      </c>
      <c r="Z269" s="49" t="s">
        <v>1321</v>
      </c>
      <c r="AA269" s="48" t="s">
        <v>1324</v>
      </c>
      <c r="AB269" s="48" t="s">
        <v>1325</v>
      </c>
      <c r="AC269" s="48" t="s">
        <v>1239</v>
      </c>
      <c r="AD269" s="48" t="s">
        <v>1231</v>
      </c>
      <c r="AE269" s="48" t="s">
        <v>1669</v>
      </c>
      <c r="AF269" s="48" t="s">
        <v>1436</v>
      </c>
      <c r="AG269" s="48" t="s">
        <v>1436</v>
      </c>
      <c r="AH269" s="48" t="s">
        <v>208</v>
      </c>
      <c r="AI269" s="50">
        <v>44562</v>
      </c>
      <c r="AJ269" s="50">
        <v>46387</v>
      </c>
      <c r="AK269" s="49" t="s">
        <v>1280</v>
      </c>
      <c r="AL269" s="48" t="s">
        <v>36</v>
      </c>
      <c r="AM269" s="48" t="s">
        <v>36</v>
      </c>
      <c r="AN269" s="51">
        <v>0</v>
      </c>
      <c r="AO269" s="51"/>
      <c r="AP269" s="51"/>
      <c r="AQ269" s="72">
        <v>1600000</v>
      </c>
      <c r="AR269" s="72">
        <v>50000</v>
      </c>
      <c r="AS269" s="50">
        <v>46387</v>
      </c>
      <c r="AT269" s="50" t="s">
        <v>1436</v>
      </c>
      <c r="AU269" s="49" t="s">
        <v>1436</v>
      </c>
      <c r="AV269" s="49" t="s">
        <v>1670</v>
      </c>
      <c r="AW269" s="48" t="s">
        <v>1244</v>
      </c>
    </row>
    <row r="270" spans="1:49" x14ac:dyDescent="0.3">
      <c r="A270" s="48" t="s">
        <v>1320</v>
      </c>
      <c r="B270" s="48" t="s">
        <v>6</v>
      </c>
      <c r="C270" s="48" t="s">
        <v>1322</v>
      </c>
      <c r="D270" s="50">
        <v>45322</v>
      </c>
      <c r="E270" s="48" t="s">
        <v>36</v>
      </c>
      <c r="F270" s="48" t="s">
        <v>1438</v>
      </c>
      <c r="G270" s="48" t="s">
        <v>1444</v>
      </c>
      <c r="H270" s="49" t="s">
        <v>1445</v>
      </c>
      <c r="I270" s="48" t="s">
        <v>1411</v>
      </c>
      <c r="J270" s="48" t="s">
        <v>40</v>
      </c>
      <c r="K270" s="48" t="s">
        <v>50</v>
      </c>
      <c r="L270" s="48" t="s">
        <v>38</v>
      </c>
      <c r="M270" s="48" t="s">
        <v>37</v>
      </c>
      <c r="N270" s="48" t="s">
        <v>1436</v>
      </c>
      <c r="O270" s="48" t="s">
        <v>1436</v>
      </c>
      <c r="P270" s="48" t="s">
        <v>1436</v>
      </c>
      <c r="Q270" s="48" t="s">
        <v>38</v>
      </c>
      <c r="R270" s="48" t="s">
        <v>39</v>
      </c>
      <c r="S270" s="48" t="s">
        <v>40</v>
      </c>
      <c r="T270" s="48" t="s">
        <v>41</v>
      </c>
      <c r="U270" s="48" t="s">
        <v>1436</v>
      </c>
      <c r="V270" s="48" t="s">
        <v>1436</v>
      </c>
      <c r="W270" s="48" t="s">
        <v>1436</v>
      </c>
      <c r="X270" s="49" t="s">
        <v>193</v>
      </c>
      <c r="Y270" s="48" t="s">
        <v>1194</v>
      </c>
      <c r="Z270" s="49" t="s">
        <v>1321</v>
      </c>
      <c r="AA270" s="48" t="s">
        <v>1324</v>
      </c>
      <c r="AB270" s="48" t="s">
        <v>1325</v>
      </c>
      <c r="AC270" s="48" t="s">
        <v>1239</v>
      </c>
      <c r="AD270" s="48" t="s">
        <v>1231</v>
      </c>
      <c r="AE270" s="48" t="s">
        <v>1669</v>
      </c>
      <c r="AF270" s="48" t="s">
        <v>1436</v>
      </c>
      <c r="AG270" s="48" t="s">
        <v>1436</v>
      </c>
      <c r="AH270" s="48" t="s">
        <v>208</v>
      </c>
      <c r="AI270" s="50">
        <v>44562</v>
      </c>
      <c r="AJ270" s="50">
        <v>46387</v>
      </c>
      <c r="AK270" s="49" t="s">
        <v>1280</v>
      </c>
      <c r="AL270" s="48" t="s">
        <v>36</v>
      </c>
      <c r="AM270" s="48" t="s">
        <v>36</v>
      </c>
      <c r="AN270" s="51">
        <v>42330.49</v>
      </c>
      <c r="AO270" s="51"/>
      <c r="AP270" s="51"/>
      <c r="AQ270" s="72">
        <v>1600000</v>
      </c>
      <c r="AR270" s="72">
        <v>50000</v>
      </c>
      <c r="AS270" s="50">
        <v>46387</v>
      </c>
      <c r="AT270" s="50" t="s">
        <v>1436</v>
      </c>
      <c r="AU270" s="49" t="s">
        <v>1436</v>
      </c>
      <c r="AV270" s="49" t="s">
        <v>1670</v>
      </c>
      <c r="AW270" s="48" t="s">
        <v>1244</v>
      </c>
    </row>
    <row r="271" spans="1:49" x14ac:dyDescent="0.3">
      <c r="A271" s="48" t="s">
        <v>1320</v>
      </c>
      <c r="B271" s="48" t="s">
        <v>6</v>
      </c>
      <c r="C271" s="48" t="s">
        <v>1322</v>
      </c>
      <c r="D271" s="50">
        <v>45322</v>
      </c>
      <c r="E271" s="48" t="s">
        <v>36</v>
      </c>
      <c r="F271" s="48" t="s">
        <v>1438</v>
      </c>
      <c r="G271" s="48" t="s">
        <v>1444</v>
      </c>
      <c r="H271" s="49" t="s">
        <v>1446</v>
      </c>
      <c r="I271" s="48" t="s">
        <v>1407</v>
      </c>
      <c r="J271" s="48" t="s">
        <v>40</v>
      </c>
      <c r="K271" s="48" t="s">
        <v>47</v>
      </c>
      <c r="L271" s="48" t="s">
        <v>38</v>
      </c>
      <c r="M271" s="48" t="s">
        <v>37</v>
      </c>
      <c r="N271" s="48" t="s">
        <v>1436</v>
      </c>
      <c r="O271" s="48" t="s">
        <v>1436</v>
      </c>
      <c r="P271" s="48" t="s">
        <v>1436</v>
      </c>
      <c r="Q271" s="48" t="s">
        <v>38</v>
      </c>
      <c r="R271" s="48" t="s">
        <v>39</v>
      </c>
      <c r="S271" s="48" t="s">
        <v>40</v>
      </c>
      <c r="T271" s="48" t="s">
        <v>41</v>
      </c>
      <c r="U271" s="48" t="s">
        <v>1436</v>
      </c>
      <c r="V271" s="48" t="s">
        <v>1436</v>
      </c>
      <c r="W271" s="48" t="s">
        <v>1436</v>
      </c>
      <c r="X271" s="49" t="s">
        <v>193</v>
      </c>
      <c r="Y271" s="48" t="s">
        <v>1194</v>
      </c>
      <c r="Z271" s="49" t="s">
        <v>1321</v>
      </c>
      <c r="AA271" s="48" t="s">
        <v>1324</v>
      </c>
      <c r="AB271" s="48" t="s">
        <v>1325</v>
      </c>
      <c r="AC271" s="48" t="s">
        <v>1239</v>
      </c>
      <c r="AD271" s="48" t="s">
        <v>1231</v>
      </c>
      <c r="AE271" s="48" t="s">
        <v>1669</v>
      </c>
      <c r="AF271" s="48" t="s">
        <v>1436</v>
      </c>
      <c r="AG271" s="48" t="s">
        <v>1436</v>
      </c>
      <c r="AH271" s="48" t="s">
        <v>208</v>
      </c>
      <c r="AI271" s="50">
        <v>44562</v>
      </c>
      <c r="AJ271" s="50">
        <v>46387</v>
      </c>
      <c r="AK271" s="49" t="s">
        <v>1280</v>
      </c>
      <c r="AL271" s="48" t="s">
        <v>36</v>
      </c>
      <c r="AM271" s="48" t="s">
        <v>36</v>
      </c>
      <c r="AN271" s="51">
        <v>9209.4874359999994</v>
      </c>
      <c r="AO271" s="51"/>
      <c r="AP271" s="51"/>
      <c r="AQ271" s="72">
        <v>1600000</v>
      </c>
      <c r="AR271" s="72">
        <v>50000</v>
      </c>
      <c r="AS271" s="50">
        <v>46387</v>
      </c>
      <c r="AT271" s="50" t="s">
        <v>1436</v>
      </c>
      <c r="AU271" s="49" t="s">
        <v>1436</v>
      </c>
      <c r="AV271" s="49" t="s">
        <v>1670</v>
      </c>
      <c r="AW271" s="48" t="s">
        <v>1244</v>
      </c>
    </row>
    <row r="272" spans="1:49" x14ac:dyDescent="0.3">
      <c r="A272" s="48" t="s">
        <v>1320</v>
      </c>
      <c r="B272" s="48" t="s">
        <v>6</v>
      </c>
      <c r="C272" s="48" t="s">
        <v>1322</v>
      </c>
      <c r="D272" s="50">
        <v>45322</v>
      </c>
      <c r="E272" s="48" t="s">
        <v>36</v>
      </c>
      <c r="F272" s="48" t="s">
        <v>1433</v>
      </c>
      <c r="G272" s="48" t="s">
        <v>1447</v>
      </c>
      <c r="H272" s="49" t="s">
        <v>1448</v>
      </c>
      <c r="I272" s="48" t="s">
        <v>1413</v>
      </c>
      <c r="J272" s="48" t="s">
        <v>40</v>
      </c>
      <c r="K272" s="48" t="s">
        <v>58</v>
      </c>
      <c r="L272" s="48" t="s">
        <v>38</v>
      </c>
      <c r="M272" s="48" t="s">
        <v>37</v>
      </c>
      <c r="N272" s="48" t="s">
        <v>1436</v>
      </c>
      <c r="O272" s="48" t="s">
        <v>1436</v>
      </c>
      <c r="P272" s="48" t="s">
        <v>1436</v>
      </c>
      <c r="Q272" s="48" t="s">
        <v>38</v>
      </c>
      <c r="R272" s="48" t="s">
        <v>39</v>
      </c>
      <c r="S272" s="48" t="s">
        <v>40</v>
      </c>
      <c r="T272" s="48" t="s">
        <v>41</v>
      </c>
      <c r="U272" s="48" t="s">
        <v>1436</v>
      </c>
      <c r="V272" s="48" t="s">
        <v>1436</v>
      </c>
      <c r="W272" s="48" t="s">
        <v>1436</v>
      </c>
      <c r="X272" s="49" t="s">
        <v>193</v>
      </c>
      <c r="Y272" s="48" t="s">
        <v>1194</v>
      </c>
      <c r="Z272" s="49" t="s">
        <v>1321</v>
      </c>
      <c r="AA272" s="48" t="s">
        <v>1324</v>
      </c>
      <c r="AB272" s="48" t="s">
        <v>1325</v>
      </c>
      <c r="AC272" s="48" t="s">
        <v>1239</v>
      </c>
      <c r="AD272" s="48" t="s">
        <v>1231</v>
      </c>
      <c r="AE272" s="48" t="s">
        <v>1669</v>
      </c>
      <c r="AF272" s="48" t="s">
        <v>1436</v>
      </c>
      <c r="AG272" s="48" t="s">
        <v>1436</v>
      </c>
      <c r="AH272" s="48" t="s">
        <v>208</v>
      </c>
      <c r="AI272" s="50">
        <v>44562</v>
      </c>
      <c r="AJ272" s="50">
        <v>46387</v>
      </c>
      <c r="AK272" s="49" t="s">
        <v>1280</v>
      </c>
      <c r="AL272" s="48" t="s">
        <v>36</v>
      </c>
      <c r="AM272" s="48" t="s">
        <v>36</v>
      </c>
      <c r="AN272" s="51">
        <v>-50000</v>
      </c>
      <c r="AO272" s="51"/>
      <c r="AP272" s="51"/>
      <c r="AQ272" s="72">
        <v>1600000</v>
      </c>
      <c r="AR272" s="72">
        <v>50000</v>
      </c>
      <c r="AS272" s="50">
        <v>46387</v>
      </c>
      <c r="AT272" s="50" t="s">
        <v>1436</v>
      </c>
      <c r="AU272" s="49" t="s">
        <v>1436</v>
      </c>
      <c r="AV272" s="49" t="s">
        <v>1670</v>
      </c>
      <c r="AW272" s="48" t="s">
        <v>1244</v>
      </c>
    </row>
    <row r="273" spans="1:49" x14ac:dyDescent="0.3">
      <c r="A273" s="48" t="s">
        <v>1320</v>
      </c>
      <c r="B273" s="48" t="s">
        <v>6</v>
      </c>
      <c r="C273" s="48" t="s">
        <v>1322</v>
      </c>
      <c r="D273" s="50">
        <v>45322</v>
      </c>
      <c r="E273" s="48" t="s">
        <v>36</v>
      </c>
      <c r="F273" s="48" t="s">
        <v>1433</v>
      </c>
      <c r="G273" s="48" t="s">
        <v>1447</v>
      </c>
      <c r="H273" s="49" t="s">
        <v>1449</v>
      </c>
      <c r="I273" s="48" t="s">
        <v>1409</v>
      </c>
      <c r="J273" s="48" t="s">
        <v>40</v>
      </c>
      <c r="K273" s="48" t="s">
        <v>45</v>
      </c>
      <c r="L273" s="48" t="s">
        <v>38</v>
      </c>
      <c r="M273" s="48" t="s">
        <v>37</v>
      </c>
      <c r="N273" s="48" t="s">
        <v>1436</v>
      </c>
      <c r="O273" s="48" t="s">
        <v>1436</v>
      </c>
      <c r="P273" s="48" t="s">
        <v>1436</v>
      </c>
      <c r="Q273" s="48" t="s">
        <v>38</v>
      </c>
      <c r="R273" s="48" t="s">
        <v>39</v>
      </c>
      <c r="S273" s="48" t="s">
        <v>40</v>
      </c>
      <c r="T273" s="48" t="s">
        <v>41</v>
      </c>
      <c r="U273" s="48" t="s">
        <v>1436</v>
      </c>
      <c r="V273" s="48" t="s">
        <v>1436</v>
      </c>
      <c r="W273" s="48" t="s">
        <v>1436</v>
      </c>
      <c r="X273" s="49" t="s">
        <v>193</v>
      </c>
      <c r="Y273" s="48" t="s">
        <v>1194</v>
      </c>
      <c r="Z273" s="49" t="s">
        <v>1321</v>
      </c>
      <c r="AA273" s="48" t="s">
        <v>1324</v>
      </c>
      <c r="AB273" s="48" t="s">
        <v>1325</v>
      </c>
      <c r="AC273" s="48" t="s">
        <v>1239</v>
      </c>
      <c r="AD273" s="48" t="s">
        <v>1231</v>
      </c>
      <c r="AE273" s="48" t="s">
        <v>1669</v>
      </c>
      <c r="AF273" s="48" t="s">
        <v>1436</v>
      </c>
      <c r="AG273" s="48" t="s">
        <v>1436</v>
      </c>
      <c r="AH273" s="48" t="s">
        <v>208</v>
      </c>
      <c r="AI273" s="50">
        <v>44562</v>
      </c>
      <c r="AJ273" s="50">
        <v>46387</v>
      </c>
      <c r="AK273" s="49" t="s">
        <v>1280</v>
      </c>
      <c r="AL273" s="48" t="s">
        <v>36</v>
      </c>
      <c r="AM273" s="48" t="s">
        <v>36</v>
      </c>
      <c r="AN273" s="51">
        <v>43485.607867999999</v>
      </c>
      <c r="AO273" s="51"/>
      <c r="AP273" s="51"/>
      <c r="AQ273" s="72">
        <v>1600000</v>
      </c>
      <c r="AR273" s="72">
        <v>50000</v>
      </c>
      <c r="AS273" s="50">
        <v>46387</v>
      </c>
      <c r="AT273" s="50" t="s">
        <v>1436</v>
      </c>
      <c r="AU273" s="49" t="s">
        <v>1436</v>
      </c>
      <c r="AV273" s="49" t="s">
        <v>1670</v>
      </c>
      <c r="AW273" s="48" t="s">
        <v>1244</v>
      </c>
    </row>
    <row r="274" spans="1:49" x14ac:dyDescent="0.3">
      <c r="A274" s="48" t="s">
        <v>1320</v>
      </c>
      <c r="B274" s="48" t="s">
        <v>6</v>
      </c>
      <c r="C274" s="48" t="s">
        <v>1322</v>
      </c>
      <c r="D274" s="50">
        <v>45322</v>
      </c>
      <c r="E274" s="48" t="s">
        <v>36</v>
      </c>
      <c r="F274" s="48" t="s">
        <v>1433</v>
      </c>
      <c r="G274" s="48" t="s">
        <v>1447</v>
      </c>
      <c r="H274" s="49" t="s">
        <v>1450</v>
      </c>
      <c r="I274" s="48" t="s">
        <v>1408</v>
      </c>
      <c r="J274" s="48" t="s">
        <v>40</v>
      </c>
      <c r="K274" s="48" t="s">
        <v>54</v>
      </c>
      <c r="L274" s="48" t="s">
        <v>38</v>
      </c>
      <c r="M274" s="48" t="s">
        <v>37</v>
      </c>
      <c r="N274" s="48" t="s">
        <v>1436</v>
      </c>
      <c r="O274" s="48" t="s">
        <v>1436</v>
      </c>
      <c r="P274" s="48" t="s">
        <v>1436</v>
      </c>
      <c r="Q274" s="48" t="s">
        <v>38</v>
      </c>
      <c r="R274" s="48" t="s">
        <v>39</v>
      </c>
      <c r="S274" s="48" t="s">
        <v>40</v>
      </c>
      <c r="T274" s="48" t="s">
        <v>41</v>
      </c>
      <c r="U274" s="48" t="s">
        <v>1436</v>
      </c>
      <c r="V274" s="48" t="s">
        <v>1436</v>
      </c>
      <c r="W274" s="48" t="s">
        <v>1436</v>
      </c>
      <c r="X274" s="49" t="s">
        <v>193</v>
      </c>
      <c r="Y274" s="48" t="s">
        <v>1194</v>
      </c>
      <c r="Z274" s="49" t="s">
        <v>1321</v>
      </c>
      <c r="AA274" s="48" t="s">
        <v>1324</v>
      </c>
      <c r="AB274" s="48" t="s">
        <v>1325</v>
      </c>
      <c r="AC274" s="48" t="s">
        <v>1239</v>
      </c>
      <c r="AD274" s="48" t="s">
        <v>1231</v>
      </c>
      <c r="AE274" s="48" t="s">
        <v>1669</v>
      </c>
      <c r="AF274" s="48" t="s">
        <v>1436</v>
      </c>
      <c r="AG274" s="48" t="s">
        <v>1436</v>
      </c>
      <c r="AH274" s="48" t="s">
        <v>208</v>
      </c>
      <c r="AI274" s="50">
        <v>44562</v>
      </c>
      <c r="AJ274" s="50">
        <v>46387</v>
      </c>
      <c r="AK274" s="49" t="s">
        <v>1280</v>
      </c>
      <c r="AL274" s="48" t="s">
        <v>36</v>
      </c>
      <c r="AM274" s="48" t="s">
        <v>36</v>
      </c>
      <c r="AN274" s="51">
        <v>-2931.66</v>
      </c>
      <c r="AO274" s="51"/>
      <c r="AP274" s="51"/>
      <c r="AQ274" s="72">
        <v>1600000</v>
      </c>
      <c r="AR274" s="72">
        <v>50000</v>
      </c>
      <c r="AS274" s="50">
        <v>46387</v>
      </c>
      <c r="AT274" s="50" t="s">
        <v>1436</v>
      </c>
      <c r="AU274" s="49" t="s">
        <v>1436</v>
      </c>
      <c r="AV274" s="49" t="s">
        <v>1670</v>
      </c>
      <c r="AW274" s="48" t="s">
        <v>1244</v>
      </c>
    </row>
    <row r="275" spans="1:49" x14ac:dyDescent="0.3">
      <c r="A275" s="48" t="s">
        <v>1320</v>
      </c>
      <c r="B275" s="48" t="s">
        <v>6</v>
      </c>
      <c r="C275" s="48" t="s">
        <v>1322</v>
      </c>
      <c r="D275" s="50">
        <v>45322</v>
      </c>
      <c r="E275" s="48" t="s">
        <v>36</v>
      </c>
      <c r="F275" s="48" t="s">
        <v>1433</v>
      </c>
      <c r="G275" s="48" t="s">
        <v>1447</v>
      </c>
      <c r="H275" s="49" t="s">
        <v>1451</v>
      </c>
      <c r="I275" s="48" t="s">
        <v>1404</v>
      </c>
      <c r="J275" s="48" t="s">
        <v>38</v>
      </c>
      <c r="K275" s="48" t="s">
        <v>49</v>
      </c>
      <c r="L275" s="48" t="s">
        <v>38</v>
      </c>
      <c r="M275" s="48" t="s">
        <v>37</v>
      </c>
      <c r="N275" s="48" t="s">
        <v>1436</v>
      </c>
      <c r="O275" s="48" t="s">
        <v>1436</v>
      </c>
      <c r="P275" s="48" t="s">
        <v>1436</v>
      </c>
      <c r="Q275" s="48" t="s">
        <v>38</v>
      </c>
      <c r="R275" s="48" t="s">
        <v>39</v>
      </c>
      <c r="S275" s="48" t="s">
        <v>38</v>
      </c>
      <c r="T275" s="48" t="s">
        <v>41</v>
      </c>
      <c r="U275" s="48" t="s">
        <v>1436</v>
      </c>
      <c r="V275" s="48" t="s">
        <v>1436</v>
      </c>
      <c r="W275" s="48" t="s">
        <v>1436</v>
      </c>
      <c r="X275" s="49" t="s">
        <v>193</v>
      </c>
      <c r="Y275" s="48" t="s">
        <v>1194</v>
      </c>
      <c r="Z275" s="49" t="s">
        <v>1321</v>
      </c>
      <c r="AA275" s="48" t="s">
        <v>1324</v>
      </c>
      <c r="AB275" s="48" t="s">
        <v>1325</v>
      </c>
      <c r="AC275" s="48" t="s">
        <v>1239</v>
      </c>
      <c r="AD275" s="48" t="s">
        <v>1231</v>
      </c>
      <c r="AE275" s="48" t="s">
        <v>1669</v>
      </c>
      <c r="AF275" s="48" t="s">
        <v>1436</v>
      </c>
      <c r="AG275" s="48" t="s">
        <v>1436</v>
      </c>
      <c r="AH275" s="48" t="s">
        <v>208</v>
      </c>
      <c r="AI275" s="50">
        <v>44562</v>
      </c>
      <c r="AJ275" s="50">
        <v>46387</v>
      </c>
      <c r="AK275" s="49" t="s">
        <v>1280</v>
      </c>
      <c r="AL275" s="48" t="s">
        <v>36</v>
      </c>
      <c r="AM275" s="48" t="s">
        <v>36</v>
      </c>
      <c r="AN275" s="51">
        <v>236.564696</v>
      </c>
      <c r="AO275" s="51"/>
      <c r="AP275" s="51"/>
      <c r="AQ275" s="72">
        <v>1600000</v>
      </c>
      <c r="AR275" s="72">
        <v>50000</v>
      </c>
      <c r="AS275" s="50">
        <v>46387</v>
      </c>
      <c r="AT275" s="50" t="s">
        <v>1436</v>
      </c>
      <c r="AU275" s="49" t="s">
        <v>1436</v>
      </c>
      <c r="AV275" s="49" t="s">
        <v>1670</v>
      </c>
      <c r="AW275" s="48" t="s">
        <v>1244</v>
      </c>
    </row>
    <row r="276" spans="1:49" x14ac:dyDescent="0.3">
      <c r="A276" s="48" t="s">
        <v>1320</v>
      </c>
      <c r="B276" s="48" t="s">
        <v>6</v>
      </c>
      <c r="C276" s="48" t="s">
        <v>1322</v>
      </c>
      <c r="D276" s="50">
        <v>45351</v>
      </c>
      <c r="E276" s="48" t="s">
        <v>36</v>
      </c>
      <c r="F276" s="48" t="s">
        <v>1433</v>
      </c>
      <c r="G276" s="48" t="s">
        <v>1434</v>
      </c>
      <c r="H276" s="49" t="s">
        <v>1435</v>
      </c>
      <c r="I276" s="48" t="s">
        <v>1412</v>
      </c>
      <c r="J276" s="48" t="s">
        <v>40</v>
      </c>
      <c r="K276" s="48" t="s">
        <v>52</v>
      </c>
      <c r="L276" s="48" t="s">
        <v>38</v>
      </c>
      <c r="M276" s="48" t="s">
        <v>37</v>
      </c>
      <c r="N276" s="48" t="s">
        <v>1436</v>
      </c>
      <c r="O276" s="48" t="s">
        <v>1436</v>
      </c>
      <c r="P276" s="48" t="s">
        <v>1436</v>
      </c>
      <c r="Q276" s="48" t="s">
        <v>38</v>
      </c>
      <c r="R276" s="48" t="s">
        <v>39</v>
      </c>
      <c r="S276" s="48" t="s">
        <v>40</v>
      </c>
      <c r="T276" s="48" t="s">
        <v>41</v>
      </c>
      <c r="U276" s="48" t="s">
        <v>1436</v>
      </c>
      <c r="V276" s="48" t="s">
        <v>1436</v>
      </c>
      <c r="W276" s="48" t="s">
        <v>1436</v>
      </c>
      <c r="X276" s="49" t="s">
        <v>193</v>
      </c>
      <c r="Y276" s="48" t="s">
        <v>1194</v>
      </c>
      <c r="Z276" s="49" t="s">
        <v>1321</v>
      </c>
      <c r="AA276" s="48" t="s">
        <v>1324</v>
      </c>
      <c r="AB276" s="48" t="s">
        <v>1325</v>
      </c>
      <c r="AC276" s="48" t="s">
        <v>1239</v>
      </c>
      <c r="AD276" s="48" t="s">
        <v>1231</v>
      </c>
      <c r="AE276" s="48" t="s">
        <v>1669</v>
      </c>
      <c r="AF276" s="48" t="s">
        <v>1436</v>
      </c>
      <c r="AG276" s="48" t="s">
        <v>1436</v>
      </c>
      <c r="AH276" s="48" t="s">
        <v>208</v>
      </c>
      <c r="AI276" s="50">
        <v>44562</v>
      </c>
      <c r="AJ276" s="50">
        <v>46387</v>
      </c>
      <c r="AK276" s="49" t="s">
        <v>1280</v>
      </c>
      <c r="AL276" s="48" t="s">
        <v>36</v>
      </c>
      <c r="AM276" s="48" t="s">
        <v>36</v>
      </c>
      <c r="AN276" s="51">
        <v>-42330.49</v>
      </c>
      <c r="AO276" s="51"/>
      <c r="AP276" s="51"/>
      <c r="AQ276" s="72">
        <v>1600000</v>
      </c>
      <c r="AR276" s="72">
        <v>50000</v>
      </c>
      <c r="AS276" s="50">
        <v>46387</v>
      </c>
      <c r="AT276" s="50" t="s">
        <v>1436</v>
      </c>
      <c r="AU276" s="49" t="s">
        <v>1436</v>
      </c>
      <c r="AV276" s="49" t="s">
        <v>1670</v>
      </c>
      <c r="AW276" s="48" t="s">
        <v>1244</v>
      </c>
    </row>
    <row r="277" spans="1:49" x14ac:dyDescent="0.3">
      <c r="A277" s="48" t="s">
        <v>1320</v>
      </c>
      <c r="B277" s="48" t="s">
        <v>6</v>
      </c>
      <c r="C277" s="48" t="s">
        <v>1322</v>
      </c>
      <c r="D277" s="50">
        <v>45351</v>
      </c>
      <c r="E277" s="48" t="s">
        <v>36</v>
      </c>
      <c r="F277" s="48" t="s">
        <v>1433</v>
      </c>
      <c r="G277" s="48" t="s">
        <v>1434</v>
      </c>
      <c r="H277" s="49" t="s">
        <v>1437</v>
      </c>
      <c r="I277" s="48" t="s">
        <v>1410</v>
      </c>
      <c r="J277" s="48" t="s">
        <v>40</v>
      </c>
      <c r="K277" s="48" t="s">
        <v>42</v>
      </c>
      <c r="L277" s="48" t="s">
        <v>38</v>
      </c>
      <c r="M277" s="48" t="s">
        <v>37</v>
      </c>
      <c r="N277" s="48" t="s">
        <v>1436</v>
      </c>
      <c r="O277" s="48" t="s">
        <v>1436</v>
      </c>
      <c r="P277" s="48" t="s">
        <v>1436</v>
      </c>
      <c r="Q277" s="48" t="s">
        <v>38</v>
      </c>
      <c r="R277" s="48" t="s">
        <v>39</v>
      </c>
      <c r="S277" s="48" t="s">
        <v>40</v>
      </c>
      <c r="T277" s="48" t="s">
        <v>41</v>
      </c>
      <c r="U277" s="48" t="s">
        <v>1436</v>
      </c>
      <c r="V277" s="48" t="s">
        <v>1436</v>
      </c>
      <c r="W277" s="48" t="s">
        <v>1436</v>
      </c>
      <c r="X277" s="49" t="s">
        <v>193</v>
      </c>
      <c r="Y277" s="48" t="s">
        <v>1194</v>
      </c>
      <c r="Z277" s="49" t="s">
        <v>1321</v>
      </c>
      <c r="AA277" s="48" t="s">
        <v>1324</v>
      </c>
      <c r="AB277" s="48" t="s">
        <v>1325</v>
      </c>
      <c r="AC277" s="48" t="s">
        <v>1239</v>
      </c>
      <c r="AD277" s="48" t="s">
        <v>1231</v>
      </c>
      <c r="AE277" s="48" t="s">
        <v>1669</v>
      </c>
      <c r="AF277" s="48" t="s">
        <v>1436</v>
      </c>
      <c r="AG277" s="48" t="s">
        <v>1436</v>
      </c>
      <c r="AH277" s="48" t="s">
        <v>208</v>
      </c>
      <c r="AI277" s="50">
        <v>44562</v>
      </c>
      <c r="AJ277" s="50">
        <v>46387</v>
      </c>
      <c r="AK277" s="49" t="s">
        <v>1280</v>
      </c>
      <c r="AL277" s="48" t="s">
        <v>36</v>
      </c>
      <c r="AM277" s="48" t="s">
        <v>36</v>
      </c>
      <c r="AN277" s="51">
        <v>0</v>
      </c>
      <c r="AO277" s="51"/>
      <c r="AP277" s="51"/>
      <c r="AQ277" s="72">
        <v>1600000</v>
      </c>
      <c r="AR277" s="72">
        <v>50000</v>
      </c>
      <c r="AS277" s="50">
        <v>46387</v>
      </c>
      <c r="AT277" s="50" t="s">
        <v>1436</v>
      </c>
      <c r="AU277" s="49" t="s">
        <v>1436</v>
      </c>
      <c r="AV277" s="49" t="s">
        <v>1670</v>
      </c>
      <c r="AW277" s="48" t="s">
        <v>1244</v>
      </c>
    </row>
    <row r="278" spans="1:49" x14ac:dyDescent="0.3">
      <c r="A278" s="48" t="s">
        <v>1320</v>
      </c>
      <c r="B278" s="48" t="s">
        <v>6</v>
      </c>
      <c r="C278" s="48" t="s">
        <v>1322</v>
      </c>
      <c r="D278" s="50">
        <v>45351</v>
      </c>
      <c r="E278" s="48" t="s">
        <v>36</v>
      </c>
      <c r="F278" s="48" t="s">
        <v>1438</v>
      </c>
      <c r="G278" s="48" t="s">
        <v>1439</v>
      </c>
      <c r="H278" s="49" t="s">
        <v>1440</v>
      </c>
      <c r="I278" s="48" t="s">
        <v>1406</v>
      </c>
      <c r="J278" s="48" t="s">
        <v>1194</v>
      </c>
      <c r="K278" s="48" t="s">
        <v>1441</v>
      </c>
      <c r="L278" s="48" t="s">
        <v>38</v>
      </c>
      <c r="M278" s="48" t="s">
        <v>37</v>
      </c>
      <c r="N278" s="48" t="s">
        <v>1436</v>
      </c>
      <c r="O278" s="48" t="s">
        <v>1436</v>
      </c>
      <c r="P278" s="48" t="s">
        <v>1436</v>
      </c>
      <c r="Q278" s="48" t="s">
        <v>38</v>
      </c>
      <c r="R278" s="48" t="s">
        <v>39</v>
      </c>
      <c r="S278" s="48" t="s">
        <v>1194</v>
      </c>
      <c r="T278" s="48" t="s">
        <v>41</v>
      </c>
      <c r="U278" s="48" t="s">
        <v>1436</v>
      </c>
      <c r="V278" s="48" t="s">
        <v>1436</v>
      </c>
      <c r="W278" s="48" t="s">
        <v>1436</v>
      </c>
      <c r="X278" s="49" t="s">
        <v>193</v>
      </c>
      <c r="Y278" s="48" t="s">
        <v>1194</v>
      </c>
      <c r="Z278" s="49" t="s">
        <v>1321</v>
      </c>
      <c r="AA278" s="48" t="s">
        <v>1324</v>
      </c>
      <c r="AB278" s="48" t="s">
        <v>1325</v>
      </c>
      <c r="AC278" s="48" t="s">
        <v>1239</v>
      </c>
      <c r="AD278" s="48" t="s">
        <v>1231</v>
      </c>
      <c r="AE278" s="48" t="s">
        <v>1669</v>
      </c>
      <c r="AF278" s="48" t="s">
        <v>1436</v>
      </c>
      <c r="AG278" s="48" t="s">
        <v>1436</v>
      </c>
      <c r="AH278" s="48" t="s">
        <v>208</v>
      </c>
      <c r="AI278" s="50">
        <v>44562</v>
      </c>
      <c r="AJ278" s="50">
        <v>46387</v>
      </c>
      <c r="AK278" s="49" t="s">
        <v>1280</v>
      </c>
      <c r="AL278" s="48" t="s">
        <v>36</v>
      </c>
      <c r="AM278" s="48" t="s">
        <v>36</v>
      </c>
      <c r="AN278" s="51">
        <v>0</v>
      </c>
      <c r="AO278" s="51"/>
      <c r="AP278" s="51"/>
      <c r="AQ278" s="72">
        <v>1600000</v>
      </c>
      <c r="AR278" s="72">
        <v>50000</v>
      </c>
      <c r="AS278" s="50">
        <v>46387</v>
      </c>
      <c r="AT278" s="50" t="s">
        <v>1436</v>
      </c>
      <c r="AU278" s="49" t="s">
        <v>1436</v>
      </c>
      <c r="AV278" s="49" t="s">
        <v>1670</v>
      </c>
      <c r="AW278" s="48" t="s">
        <v>1244</v>
      </c>
    </row>
    <row r="279" spans="1:49" x14ac:dyDescent="0.3">
      <c r="A279" s="48" t="s">
        <v>1320</v>
      </c>
      <c r="B279" s="48" t="s">
        <v>6</v>
      </c>
      <c r="C279" s="48" t="s">
        <v>1322</v>
      </c>
      <c r="D279" s="50">
        <v>45351</v>
      </c>
      <c r="E279" s="48" t="s">
        <v>36</v>
      </c>
      <c r="F279" s="48" t="s">
        <v>1438</v>
      </c>
      <c r="G279" s="48" t="s">
        <v>1439</v>
      </c>
      <c r="H279" s="49" t="s">
        <v>1442</v>
      </c>
      <c r="I279" s="48" t="s">
        <v>1405</v>
      </c>
      <c r="J279" s="48" t="s">
        <v>1194</v>
      </c>
      <c r="K279" s="48" t="s">
        <v>1443</v>
      </c>
      <c r="L279" s="48" t="s">
        <v>38</v>
      </c>
      <c r="M279" s="48" t="s">
        <v>37</v>
      </c>
      <c r="N279" s="48" t="s">
        <v>1436</v>
      </c>
      <c r="O279" s="48" t="s">
        <v>1436</v>
      </c>
      <c r="P279" s="48" t="s">
        <v>1436</v>
      </c>
      <c r="Q279" s="48" t="s">
        <v>38</v>
      </c>
      <c r="R279" s="48" t="s">
        <v>39</v>
      </c>
      <c r="S279" s="48" t="s">
        <v>1194</v>
      </c>
      <c r="T279" s="48" t="s">
        <v>41</v>
      </c>
      <c r="U279" s="48" t="s">
        <v>1436</v>
      </c>
      <c r="V279" s="48" t="s">
        <v>1436</v>
      </c>
      <c r="W279" s="48" t="s">
        <v>1436</v>
      </c>
      <c r="X279" s="49" t="s">
        <v>193</v>
      </c>
      <c r="Y279" s="48" t="s">
        <v>1194</v>
      </c>
      <c r="Z279" s="49" t="s">
        <v>1321</v>
      </c>
      <c r="AA279" s="48" t="s">
        <v>1324</v>
      </c>
      <c r="AB279" s="48" t="s">
        <v>1325</v>
      </c>
      <c r="AC279" s="48" t="s">
        <v>1239</v>
      </c>
      <c r="AD279" s="48" t="s">
        <v>1231</v>
      </c>
      <c r="AE279" s="48" t="s">
        <v>1669</v>
      </c>
      <c r="AF279" s="48" t="s">
        <v>1436</v>
      </c>
      <c r="AG279" s="48" t="s">
        <v>1436</v>
      </c>
      <c r="AH279" s="48" t="s">
        <v>208</v>
      </c>
      <c r="AI279" s="50">
        <v>44562</v>
      </c>
      <c r="AJ279" s="50">
        <v>46387</v>
      </c>
      <c r="AK279" s="49" t="s">
        <v>1280</v>
      </c>
      <c r="AL279" s="48" t="s">
        <v>36</v>
      </c>
      <c r="AM279" s="48" t="s">
        <v>36</v>
      </c>
      <c r="AN279" s="51">
        <v>0</v>
      </c>
      <c r="AO279" s="51"/>
      <c r="AP279" s="51"/>
      <c r="AQ279" s="72">
        <v>1600000</v>
      </c>
      <c r="AR279" s="72">
        <v>50000</v>
      </c>
      <c r="AS279" s="50">
        <v>46387</v>
      </c>
      <c r="AT279" s="50" t="s">
        <v>1436</v>
      </c>
      <c r="AU279" s="49" t="s">
        <v>1436</v>
      </c>
      <c r="AV279" s="49" t="s">
        <v>1670</v>
      </c>
      <c r="AW279" s="48" t="s">
        <v>1244</v>
      </c>
    </row>
    <row r="280" spans="1:49" x14ac:dyDescent="0.3">
      <c r="A280" s="48" t="s">
        <v>1320</v>
      </c>
      <c r="B280" s="48" t="s">
        <v>6</v>
      </c>
      <c r="C280" s="48" t="s">
        <v>1322</v>
      </c>
      <c r="D280" s="50">
        <v>45351</v>
      </c>
      <c r="E280" s="48" t="s">
        <v>36</v>
      </c>
      <c r="F280" s="48" t="s">
        <v>1438</v>
      </c>
      <c r="G280" s="48" t="s">
        <v>1444</v>
      </c>
      <c r="H280" s="49" t="s">
        <v>1445</v>
      </c>
      <c r="I280" s="48" t="s">
        <v>1411</v>
      </c>
      <c r="J280" s="48" t="s">
        <v>40</v>
      </c>
      <c r="K280" s="48" t="s">
        <v>50</v>
      </c>
      <c r="L280" s="48" t="s">
        <v>38</v>
      </c>
      <c r="M280" s="48" t="s">
        <v>37</v>
      </c>
      <c r="N280" s="48" t="s">
        <v>1436</v>
      </c>
      <c r="O280" s="48" t="s">
        <v>1436</v>
      </c>
      <c r="P280" s="48" t="s">
        <v>1436</v>
      </c>
      <c r="Q280" s="48" t="s">
        <v>38</v>
      </c>
      <c r="R280" s="48" t="s">
        <v>39</v>
      </c>
      <c r="S280" s="48" t="s">
        <v>40</v>
      </c>
      <c r="T280" s="48" t="s">
        <v>41</v>
      </c>
      <c r="U280" s="48" t="s">
        <v>1436</v>
      </c>
      <c r="V280" s="48" t="s">
        <v>1436</v>
      </c>
      <c r="W280" s="48" t="s">
        <v>1436</v>
      </c>
      <c r="X280" s="49" t="s">
        <v>193</v>
      </c>
      <c r="Y280" s="48" t="s">
        <v>1194</v>
      </c>
      <c r="Z280" s="49" t="s">
        <v>1321</v>
      </c>
      <c r="AA280" s="48" t="s">
        <v>1324</v>
      </c>
      <c r="AB280" s="48" t="s">
        <v>1325</v>
      </c>
      <c r="AC280" s="48" t="s">
        <v>1239</v>
      </c>
      <c r="AD280" s="48" t="s">
        <v>1231</v>
      </c>
      <c r="AE280" s="48" t="s">
        <v>1669</v>
      </c>
      <c r="AF280" s="48" t="s">
        <v>1436</v>
      </c>
      <c r="AG280" s="48" t="s">
        <v>1436</v>
      </c>
      <c r="AH280" s="48" t="s">
        <v>208</v>
      </c>
      <c r="AI280" s="50">
        <v>44562</v>
      </c>
      <c r="AJ280" s="50">
        <v>46387</v>
      </c>
      <c r="AK280" s="49" t="s">
        <v>1280</v>
      </c>
      <c r="AL280" s="48" t="s">
        <v>36</v>
      </c>
      <c r="AM280" s="48" t="s">
        <v>36</v>
      </c>
      <c r="AN280" s="51">
        <v>42330.49</v>
      </c>
      <c r="AO280" s="51"/>
      <c r="AP280" s="51"/>
      <c r="AQ280" s="72">
        <v>1600000</v>
      </c>
      <c r="AR280" s="72">
        <v>50000</v>
      </c>
      <c r="AS280" s="50">
        <v>46387</v>
      </c>
      <c r="AT280" s="50" t="s">
        <v>1436</v>
      </c>
      <c r="AU280" s="49" t="s">
        <v>1436</v>
      </c>
      <c r="AV280" s="49" t="s">
        <v>1670</v>
      </c>
      <c r="AW280" s="48" t="s">
        <v>1244</v>
      </c>
    </row>
    <row r="281" spans="1:49" x14ac:dyDescent="0.3">
      <c r="A281" s="48" t="s">
        <v>1320</v>
      </c>
      <c r="B281" s="48" t="s">
        <v>6</v>
      </c>
      <c r="C281" s="48" t="s">
        <v>1322</v>
      </c>
      <c r="D281" s="50">
        <v>45351</v>
      </c>
      <c r="E281" s="48" t="s">
        <v>36</v>
      </c>
      <c r="F281" s="48" t="s">
        <v>1438</v>
      </c>
      <c r="G281" s="48" t="s">
        <v>1444</v>
      </c>
      <c r="H281" s="49" t="s">
        <v>1446</v>
      </c>
      <c r="I281" s="48" t="s">
        <v>1407</v>
      </c>
      <c r="J281" s="48" t="s">
        <v>40</v>
      </c>
      <c r="K281" s="48" t="s">
        <v>47</v>
      </c>
      <c r="L281" s="48" t="s">
        <v>38</v>
      </c>
      <c r="M281" s="48" t="s">
        <v>37</v>
      </c>
      <c r="N281" s="48" t="s">
        <v>1436</v>
      </c>
      <c r="O281" s="48" t="s">
        <v>1436</v>
      </c>
      <c r="P281" s="48" t="s">
        <v>1436</v>
      </c>
      <c r="Q281" s="48" t="s">
        <v>38</v>
      </c>
      <c r="R281" s="48" t="s">
        <v>39</v>
      </c>
      <c r="S281" s="48" t="s">
        <v>40</v>
      </c>
      <c r="T281" s="48" t="s">
        <v>41</v>
      </c>
      <c r="U281" s="48" t="s">
        <v>1436</v>
      </c>
      <c r="V281" s="48" t="s">
        <v>1436</v>
      </c>
      <c r="W281" s="48" t="s">
        <v>1436</v>
      </c>
      <c r="X281" s="49" t="s">
        <v>193</v>
      </c>
      <c r="Y281" s="48" t="s">
        <v>1194</v>
      </c>
      <c r="Z281" s="49" t="s">
        <v>1321</v>
      </c>
      <c r="AA281" s="48" t="s">
        <v>1324</v>
      </c>
      <c r="AB281" s="48" t="s">
        <v>1325</v>
      </c>
      <c r="AC281" s="48" t="s">
        <v>1239</v>
      </c>
      <c r="AD281" s="48" t="s">
        <v>1231</v>
      </c>
      <c r="AE281" s="48" t="s">
        <v>1669</v>
      </c>
      <c r="AF281" s="48" t="s">
        <v>1436</v>
      </c>
      <c r="AG281" s="48" t="s">
        <v>1436</v>
      </c>
      <c r="AH281" s="48" t="s">
        <v>208</v>
      </c>
      <c r="AI281" s="50">
        <v>44562</v>
      </c>
      <c r="AJ281" s="50">
        <v>46387</v>
      </c>
      <c r="AK281" s="49" t="s">
        <v>1280</v>
      </c>
      <c r="AL281" s="48" t="s">
        <v>36</v>
      </c>
      <c r="AM281" s="48" t="s">
        <v>36</v>
      </c>
      <c r="AN281" s="51">
        <v>8971.5427789999994</v>
      </c>
      <c r="AO281" s="51"/>
      <c r="AP281" s="51"/>
      <c r="AQ281" s="72">
        <v>1600000</v>
      </c>
      <c r="AR281" s="72">
        <v>50000</v>
      </c>
      <c r="AS281" s="50">
        <v>46387</v>
      </c>
      <c r="AT281" s="50" t="s">
        <v>1436</v>
      </c>
      <c r="AU281" s="49" t="s">
        <v>1436</v>
      </c>
      <c r="AV281" s="49" t="s">
        <v>1670</v>
      </c>
      <c r="AW281" s="48" t="s">
        <v>1244</v>
      </c>
    </row>
    <row r="282" spans="1:49" x14ac:dyDescent="0.3">
      <c r="A282" s="48" t="s">
        <v>1320</v>
      </c>
      <c r="B282" s="48" t="s">
        <v>6</v>
      </c>
      <c r="C282" s="48" t="s">
        <v>1322</v>
      </c>
      <c r="D282" s="50">
        <v>45351</v>
      </c>
      <c r="E282" s="48" t="s">
        <v>36</v>
      </c>
      <c r="F282" s="48" t="s">
        <v>1433</v>
      </c>
      <c r="G282" s="48" t="s">
        <v>1447</v>
      </c>
      <c r="H282" s="49" t="s">
        <v>1448</v>
      </c>
      <c r="I282" s="48" t="s">
        <v>1413</v>
      </c>
      <c r="J282" s="48" t="s">
        <v>40</v>
      </c>
      <c r="K282" s="48" t="s">
        <v>58</v>
      </c>
      <c r="L282" s="48" t="s">
        <v>38</v>
      </c>
      <c r="M282" s="48" t="s">
        <v>37</v>
      </c>
      <c r="N282" s="48" t="s">
        <v>1436</v>
      </c>
      <c r="O282" s="48" t="s">
        <v>1436</v>
      </c>
      <c r="P282" s="48" t="s">
        <v>1436</v>
      </c>
      <c r="Q282" s="48" t="s">
        <v>38</v>
      </c>
      <c r="R282" s="48" t="s">
        <v>39</v>
      </c>
      <c r="S282" s="48" t="s">
        <v>40</v>
      </c>
      <c r="T282" s="48" t="s">
        <v>41</v>
      </c>
      <c r="U282" s="48" t="s">
        <v>1436</v>
      </c>
      <c r="V282" s="48" t="s">
        <v>1436</v>
      </c>
      <c r="W282" s="48" t="s">
        <v>1436</v>
      </c>
      <c r="X282" s="49" t="s">
        <v>193</v>
      </c>
      <c r="Y282" s="48" t="s">
        <v>1194</v>
      </c>
      <c r="Z282" s="49" t="s">
        <v>1321</v>
      </c>
      <c r="AA282" s="48" t="s">
        <v>1324</v>
      </c>
      <c r="AB282" s="48" t="s">
        <v>1325</v>
      </c>
      <c r="AC282" s="48" t="s">
        <v>1239</v>
      </c>
      <c r="AD282" s="48" t="s">
        <v>1231</v>
      </c>
      <c r="AE282" s="48" t="s">
        <v>1669</v>
      </c>
      <c r="AF282" s="48" t="s">
        <v>1436</v>
      </c>
      <c r="AG282" s="48" t="s">
        <v>1436</v>
      </c>
      <c r="AH282" s="48" t="s">
        <v>208</v>
      </c>
      <c r="AI282" s="50">
        <v>44562</v>
      </c>
      <c r="AJ282" s="50">
        <v>46387</v>
      </c>
      <c r="AK282" s="49" t="s">
        <v>1280</v>
      </c>
      <c r="AL282" s="48" t="s">
        <v>36</v>
      </c>
      <c r="AM282" s="48" t="s">
        <v>36</v>
      </c>
      <c r="AN282" s="51">
        <v>-50000</v>
      </c>
      <c r="AO282" s="51"/>
      <c r="AP282" s="51"/>
      <c r="AQ282" s="72">
        <v>1600000</v>
      </c>
      <c r="AR282" s="72">
        <v>50000</v>
      </c>
      <c r="AS282" s="50">
        <v>46387</v>
      </c>
      <c r="AT282" s="50" t="s">
        <v>1436</v>
      </c>
      <c r="AU282" s="49" t="s">
        <v>1436</v>
      </c>
      <c r="AV282" s="49" t="s">
        <v>1670</v>
      </c>
      <c r="AW282" s="48" t="s">
        <v>1244</v>
      </c>
    </row>
    <row r="283" spans="1:49" x14ac:dyDescent="0.3">
      <c r="A283" s="48" t="s">
        <v>1320</v>
      </c>
      <c r="B283" s="48" t="s">
        <v>6</v>
      </c>
      <c r="C283" s="48" t="s">
        <v>1322</v>
      </c>
      <c r="D283" s="50">
        <v>45351</v>
      </c>
      <c r="E283" s="48" t="s">
        <v>36</v>
      </c>
      <c r="F283" s="48" t="s">
        <v>1433</v>
      </c>
      <c r="G283" s="48" t="s">
        <v>1447</v>
      </c>
      <c r="H283" s="49" t="s">
        <v>1449</v>
      </c>
      <c r="I283" s="48" t="s">
        <v>1409</v>
      </c>
      <c r="J283" s="48" t="s">
        <v>40</v>
      </c>
      <c r="K283" s="48" t="s">
        <v>45</v>
      </c>
      <c r="L283" s="48" t="s">
        <v>38</v>
      </c>
      <c r="M283" s="48" t="s">
        <v>37</v>
      </c>
      <c r="N283" s="48" t="s">
        <v>1436</v>
      </c>
      <c r="O283" s="48" t="s">
        <v>1436</v>
      </c>
      <c r="P283" s="48" t="s">
        <v>1436</v>
      </c>
      <c r="Q283" s="48" t="s">
        <v>38</v>
      </c>
      <c r="R283" s="48" t="s">
        <v>39</v>
      </c>
      <c r="S283" s="48" t="s">
        <v>40</v>
      </c>
      <c r="T283" s="48" t="s">
        <v>41</v>
      </c>
      <c r="U283" s="48" t="s">
        <v>1436</v>
      </c>
      <c r="V283" s="48" t="s">
        <v>1436</v>
      </c>
      <c r="W283" s="48" t="s">
        <v>1436</v>
      </c>
      <c r="X283" s="49" t="s">
        <v>193</v>
      </c>
      <c r="Y283" s="48" t="s">
        <v>1194</v>
      </c>
      <c r="Z283" s="49" t="s">
        <v>1321</v>
      </c>
      <c r="AA283" s="48" t="s">
        <v>1324</v>
      </c>
      <c r="AB283" s="48" t="s">
        <v>1325</v>
      </c>
      <c r="AC283" s="48" t="s">
        <v>1239</v>
      </c>
      <c r="AD283" s="48" t="s">
        <v>1231</v>
      </c>
      <c r="AE283" s="48" t="s">
        <v>1669</v>
      </c>
      <c r="AF283" s="48" t="s">
        <v>1436</v>
      </c>
      <c r="AG283" s="48" t="s">
        <v>1436</v>
      </c>
      <c r="AH283" s="48" t="s">
        <v>208</v>
      </c>
      <c r="AI283" s="50">
        <v>44562</v>
      </c>
      <c r="AJ283" s="50">
        <v>46387</v>
      </c>
      <c r="AK283" s="49" t="s">
        <v>1280</v>
      </c>
      <c r="AL283" s="48" t="s">
        <v>36</v>
      </c>
      <c r="AM283" s="48" t="s">
        <v>36</v>
      </c>
      <c r="AN283" s="51">
        <v>43739.262563999997</v>
      </c>
      <c r="AO283" s="51"/>
      <c r="AP283" s="51"/>
      <c r="AQ283" s="72">
        <v>1600000</v>
      </c>
      <c r="AR283" s="72">
        <v>50000</v>
      </c>
      <c r="AS283" s="50">
        <v>46387</v>
      </c>
      <c r="AT283" s="50" t="s">
        <v>1436</v>
      </c>
      <c r="AU283" s="49" t="s">
        <v>1436</v>
      </c>
      <c r="AV283" s="49" t="s">
        <v>1670</v>
      </c>
      <c r="AW283" s="48" t="s">
        <v>1244</v>
      </c>
    </row>
    <row r="284" spans="1:49" x14ac:dyDescent="0.3">
      <c r="A284" s="48" t="s">
        <v>1320</v>
      </c>
      <c r="B284" s="48" t="s">
        <v>6</v>
      </c>
      <c r="C284" s="48" t="s">
        <v>1322</v>
      </c>
      <c r="D284" s="50">
        <v>45351</v>
      </c>
      <c r="E284" s="48" t="s">
        <v>36</v>
      </c>
      <c r="F284" s="48" t="s">
        <v>1433</v>
      </c>
      <c r="G284" s="48" t="s">
        <v>1447</v>
      </c>
      <c r="H284" s="49" t="s">
        <v>1450</v>
      </c>
      <c r="I284" s="48" t="s">
        <v>1408</v>
      </c>
      <c r="J284" s="48" t="s">
        <v>40</v>
      </c>
      <c r="K284" s="48" t="s">
        <v>54</v>
      </c>
      <c r="L284" s="48" t="s">
        <v>38</v>
      </c>
      <c r="M284" s="48" t="s">
        <v>37</v>
      </c>
      <c r="N284" s="48" t="s">
        <v>1436</v>
      </c>
      <c r="O284" s="48" t="s">
        <v>1436</v>
      </c>
      <c r="P284" s="48" t="s">
        <v>1436</v>
      </c>
      <c r="Q284" s="48" t="s">
        <v>38</v>
      </c>
      <c r="R284" s="48" t="s">
        <v>39</v>
      </c>
      <c r="S284" s="48" t="s">
        <v>40</v>
      </c>
      <c r="T284" s="48" t="s">
        <v>41</v>
      </c>
      <c r="U284" s="48" t="s">
        <v>1436</v>
      </c>
      <c r="V284" s="48" t="s">
        <v>1436</v>
      </c>
      <c r="W284" s="48" t="s">
        <v>1436</v>
      </c>
      <c r="X284" s="49" t="s">
        <v>193</v>
      </c>
      <c r="Y284" s="48" t="s">
        <v>1194</v>
      </c>
      <c r="Z284" s="49" t="s">
        <v>1321</v>
      </c>
      <c r="AA284" s="48" t="s">
        <v>1324</v>
      </c>
      <c r="AB284" s="48" t="s">
        <v>1325</v>
      </c>
      <c r="AC284" s="48" t="s">
        <v>1239</v>
      </c>
      <c r="AD284" s="48" t="s">
        <v>1231</v>
      </c>
      <c r="AE284" s="48" t="s">
        <v>1669</v>
      </c>
      <c r="AF284" s="48" t="s">
        <v>1436</v>
      </c>
      <c r="AG284" s="48" t="s">
        <v>1436</v>
      </c>
      <c r="AH284" s="48" t="s">
        <v>208</v>
      </c>
      <c r="AI284" s="50">
        <v>44562</v>
      </c>
      <c r="AJ284" s="50">
        <v>46387</v>
      </c>
      <c r="AK284" s="49" t="s">
        <v>1280</v>
      </c>
      <c r="AL284" s="48" t="s">
        <v>36</v>
      </c>
      <c r="AM284" s="48" t="s">
        <v>36</v>
      </c>
      <c r="AN284" s="51">
        <v>-2948.75</v>
      </c>
      <c r="AO284" s="51"/>
      <c r="AP284" s="51"/>
      <c r="AQ284" s="72">
        <v>1600000</v>
      </c>
      <c r="AR284" s="72">
        <v>50000</v>
      </c>
      <c r="AS284" s="50">
        <v>46387</v>
      </c>
      <c r="AT284" s="50" t="s">
        <v>1436</v>
      </c>
      <c r="AU284" s="49" t="s">
        <v>1436</v>
      </c>
      <c r="AV284" s="49" t="s">
        <v>1670</v>
      </c>
      <c r="AW284" s="48" t="s">
        <v>1244</v>
      </c>
    </row>
    <row r="285" spans="1:49" x14ac:dyDescent="0.3">
      <c r="A285" s="48" t="s">
        <v>1320</v>
      </c>
      <c r="B285" s="48" t="s">
        <v>6</v>
      </c>
      <c r="C285" s="48" t="s">
        <v>1322</v>
      </c>
      <c r="D285" s="50">
        <v>45351</v>
      </c>
      <c r="E285" s="48" t="s">
        <v>36</v>
      </c>
      <c r="F285" s="48" t="s">
        <v>1433</v>
      </c>
      <c r="G285" s="48" t="s">
        <v>1447</v>
      </c>
      <c r="H285" s="49" t="s">
        <v>1451</v>
      </c>
      <c r="I285" s="48" t="s">
        <v>1404</v>
      </c>
      <c r="J285" s="48" t="s">
        <v>38</v>
      </c>
      <c r="K285" s="48" t="s">
        <v>49</v>
      </c>
      <c r="L285" s="48" t="s">
        <v>38</v>
      </c>
      <c r="M285" s="48" t="s">
        <v>37</v>
      </c>
      <c r="N285" s="48" t="s">
        <v>1436</v>
      </c>
      <c r="O285" s="48" t="s">
        <v>1436</v>
      </c>
      <c r="P285" s="48" t="s">
        <v>1436</v>
      </c>
      <c r="Q285" s="48" t="s">
        <v>38</v>
      </c>
      <c r="R285" s="48" t="s">
        <v>39</v>
      </c>
      <c r="S285" s="48" t="s">
        <v>38</v>
      </c>
      <c r="T285" s="48" t="s">
        <v>41</v>
      </c>
      <c r="U285" s="48" t="s">
        <v>1436</v>
      </c>
      <c r="V285" s="48" t="s">
        <v>1436</v>
      </c>
      <c r="W285" s="48" t="s">
        <v>1436</v>
      </c>
      <c r="X285" s="49" t="s">
        <v>193</v>
      </c>
      <c r="Y285" s="48" t="s">
        <v>1194</v>
      </c>
      <c r="Z285" s="49" t="s">
        <v>1321</v>
      </c>
      <c r="AA285" s="48" t="s">
        <v>1324</v>
      </c>
      <c r="AB285" s="48" t="s">
        <v>1325</v>
      </c>
      <c r="AC285" s="48" t="s">
        <v>1239</v>
      </c>
      <c r="AD285" s="48" t="s">
        <v>1231</v>
      </c>
      <c r="AE285" s="48" t="s">
        <v>1669</v>
      </c>
      <c r="AF285" s="48" t="s">
        <v>1436</v>
      </c>
      <c r="AG285" s="48" t="s">
        <v>1436</v>
      </c>
      <c r="AH285" s="48" t="s">
        <v>208</v>
      </c>
      <c r="AI285" s="50">
        <v>44562</v>
      </c>
      <c r="AJ285" s="50">
        <v>46387</v>
      </c>
      <c r="AK285" s="49" t="s">
        <v>1280</v>
      </c>
      <c r="AL285" s="48" t="s">
        <v>36</v>
      </c>
      <c r="AM285" s="48" t="s">
        <v>36</v>
      </c>
      <c r="AN285" s="51">
        <v>237.94465700000001</v>
      </c>
      <c r="AO285" s="51"/>
      <c r="AP285" s="51"/>
      <c r="AQ285" s="72">
        <v>1600000</v>
      </c>
      <c r="AR285" s="72">
        <v>50000</v>
      </c>
      <c r="AS285" s="50">
        <v>46387</v>
      </c>
      <c r="AT285" s="50" t="s">
        <v>1436</v>
      </c>
      <c r="AU285" s="49" t="s">
        <v>1436</v>
      </c>
      <c r="AV285" s="49" t="s">
        <v>1670</v>
      </c>
      <c r="AW285" s="48" t="s">
        <v>1244</v>
      </c>
    </row>
    <row r="286" spans="1:49" x14ac:dyDescent="0.3">
      <c r="A286" s="48" t="s">
        <v>1320</v>
      </c>
      <c r="B286" s="48" t="s">
        <v>6</v>
      </c>
      <c r="C286" s="48" t="s">
        <v>1322</v>
      </c>
      <c r="D286" s="50">
        <v>45382</v>
      </c>
      <c r="E286" s="48" t="s">
        <v>36</v>
      </c>
      <c r="F286" s="48" t="s">
        <v>1433</v>
      </c>
      <c r="G286" s="48" t="s">
        <v>1434</v>
      </c>
      <c r="H286" s="49" t="s">
        <v>1435</v>
      </c>
      <c r="I286" s="48" t="s">
        <v>1412</v>
      </c>
      <c r="J286" s="48" t="s">
        <v>40</v>
      </c>
      <c r="K286" s="48" t="s">
        <v>52</v>
      </c>
      <c r="L286" s="48" t="s">
        <v>38</v>
      </c>
      <c r="M286" s="48" t="s">
        <v>37</v>
      </c>
      <c r="N286" s="48" t="s">
        <v>1436</v>
      </c>
      <c r="O286" s="48" t="s">
        <v>1436</v>
      </c>
      <c r="P286" s="48" t="s">
        <v>1436</v>
      </c>
      <c r="Q286" s="48" t="s">
        <v>38</v>
      </c>
      <c r="R286" s="48" t="s">
        <v>39</v>
      </c>
      <c r="S286" s="48" t="s">
        <v>40</v>
      </c>
      <c r="T286" s="48" t="s">
        <v>41</v>
      </c>
      <c r="U286" s="48" t="s">
        <v>1436</v>
      </c>
      <c r="V286" s="48" t="s">
        <v>1436</v>
      </c>
      <c r="W286" s="48" t="s">
        <v>1436</v>
      </c>
      <c r="X286" s="49" t="s">
        <v>193</v>
      </c>
      <c r="Y286" s="48" t="s">
        <v>1194</v>
      </c>
      <c r="Z286" s="49" t="s">
        <v>1321</v>
      </c>
      <c r="AA286" s="48" t="s">
        <v>1324</v>
      </c>
      <c r="AB286" s="48" t="s">
        <v>1325</v>
      </c>
      <c r="AC286" s="48" t="s">
        <v>1239</v>
      </c>
      <c r="AD286" s="48" t="s">
        <v>1231</v>
      </c>
      <c r="AE286" s="48" t="s">
        <v>1669</v>
      </c>
      <c r="AF286" s="48" t="s">
        <v>1436</v>
      </c>
      <c r="AG286" s="48" t="s">
        <v>1436</v>
      </c>
      <c r="AH286" s="48" t="s">
        <v>208</v>
      </c>
      <c r="AI286" s="50">
        <v>44562</v>
      </c>
      <c r="AJ286" s="50">
        <v>46387</v>
      </c>
      <c r="AK286" s="49" t="s">
        <v>1280</v>
      </c>
      <c r="AL286" s="48" t="s">
        <v>36</v>
      </c>
      <c r="AM286" s="48" t="s">
        <v>36</v>
      </c>
      <c r="AN286" s="51">
        <v>-42330.49</v>
      </c>
      <c r="AO286" s="51"/>
      <c r="AP286" s="51"/>
      <c r="AQ286" s="72">
        <v>1600000</v>
      </c>
      <c r="AR286" s="72">
        <v>50000</v>
      </c>
      <c r="AS286" s="50">
        <v>46387</v>
      </c>
      <c r="AT286" s="50" t="s">
        <v>1436</v>
      </c>
      <c r="AU286" s="49" t="s">
        <v>1436</v>
      </c>
      <c r="AV286" s="49" t="s">
        <v>1670</v>
      </c>
      <c r="AW286" s="48" t="s">
        <v>1244</v>
      </c>
    </row>
    <row r="287" spans="1:49" x14ac:dyDescent="0.3">
      <c r="A287" s="48" t="s">
        <v>1320</v>
      </c>
      <c r="B287" s="48" t="s">
        <v>6</v>
      </c>
      <c r="C287" s="48" t="s">
        <v>1322</v>
      </c>
      <c r="D287" s="50">
        <v>45382</v>
      </c>
      <c r="E287" s="48" t="s">
        <v>36</v>
      </c>
      <c r="F287" s="48" t="s">
        <v>1433</v>
      </c>
      <c r="G287" s="48" t="s">
        <v>1434</v>
      </c>
      <c r="H287" s="49" t="s">
        <v>1437</v>
      </c>
      <c r="I287" s="48" t="s">
        <v>1410</v>
      </c>
      <c r="J287" s="48" t="s">
        <v>40</v>
      </c>
      <c r="K287" s="48" t="s">
        <v>42</v>
      </c>
      <c r="L287" s="48" t="s">
        <v>38</v>
      </c>
      <c r="M287" s="48" t="s">
        <v>37</v>
      </c>
      <c r="N287" s="48" t="s">
        <v>1436</v>
      </c>
      <c r="O287" s="48" t="s">
        <v>1436</v>
      </c>
      <c r="P287" s="48" t="s">
        <v>1436</v>
      </c>
      <c r="Q287" s="48" t="s">
        <v>38</v>
      </c>
      <c r="R287" s="48" t="s">
        <v>39</v>
      </c>
      <c r="S287" s="48" t="s">
        <v>40</v>
      </c>
      <c r="T287" s="48" t="s">
        <v>41</v>
      </c>
      <c r="U287" s="48" t="s">
        <v>1436</v>
      </c>
      <c r="V287" s="48" t="s">
        <v>1436</v>
      </c>
      <c r="W287" s="48" t="s">
        <v>1436</v>
      </c>
      <c r="X287" s="49" t="s">
        <v>193</v>
      </c>
      <c r="Y287" s="48" t="s">
        <v>1194</v>
      </c>
      <c r="Z287" s="49" t="s">
        <v>1321</v>
      </c>
      <c r="AA287" s="48" t="s">
        <v>1324</v>
      </c>
      <c r="AB287" s="48" t="s">
        <v>1325</v>
      </c>
      <c r="AC287" s="48" t="s">
        <v>1239</v>
      </c>
      <c r="AD287" s="48" t="s">
        <v>1231</v>
      </c>
      <c r="AE287" s="48" t="s">
        <v>1669</v>
      </c>
      <c r="AF287" s="48" t="s">
        <v>1436</v>
      </c>
      <c r="AG287" s="48" t="s">
        <v>1436</v>
      </c>
      <c r="AH287" s="48" t="s">
        <v>208</v>
      </c>
      <c r="AI287" s="50">
        <v>44562</v>
      </c>
      <c r="AJ287" s="50">
        <v>46387</v>
      </c>
      <c r="AK287" s="49" t="s">
        <v>1280</v>
      </c>
      <c r="AL287" s="48" t="s">
        <v>36</v>
      </c>
      <c r="AM287" s="48" t="s">
        <v>36</v>
      </c>
      <c r="AN287" s="51">
        <v>0</v>
      </c>
      <c r="AO287" s="51"/>
      <c r="AP287" s="51"/>
      <c r="AQ287" s="72">
        <v>1600000</v>
      </c>
      <c r="AR287" s="72">
        <v>50000</v>
      </c>
      <c r="AS287" s="50">
        <v>46387</v>
      </c>
      <c r="AT287" s="50" t="s">
        <v>1436</v>
      </c>
      <c r="AU287" s="49" t="s">
        <v>1436</v>
      </c>
      <c r="AV287" s="49" t="s">
        <v>1670</v>
      </c>
      <c r="AW287" s="48" t="s">
        <v>1244</v>
      </c>
    </row>
    <row r="288" spans="1:49" x14ac:dyDescent="0.3">
      <c r="A288" s="48" t="s">
        <v>1320</v>
      </c>
      <c r="B288" s="48" t="s">
        <v>6</v>
      </c>
      <c r="C288" s="48" t="s">
        <v>1322</v>
      </c>
      <c r="D288" s="50">
        <v>45382</v>
      </c>
      <c r="E288" s="48" t="s">
        <v>36</v>
      </c>
      <c r="F288" s="48" t="s">
        <v>1438</v>
      </c>
      <c r="G288" s="48" t="s">
        <v>1439</v>
      </c>
      <c r="H288" s="49" t="s">
        <v>1440</v>
      </c>
      <c r="I288" s="48" t="s">
        <v>1406</v>
      </c>
      <c r="J288" s="48" t="s">
        <v>1194</v>
      </c>
      <c r="K288" s="48" t="s">
        <v>1441</v>
      </c>
      <c r="L288" s="48" t="s">
        <v>38</v>
      </c>
      <c r="M288" s="48" t="s">
        <v>37</v>
      </c>
      <c r="N288" s="48" t="s">
        <v>1436</v>
      </c>
      <c r="O288" s="48" t="s">
        <v>1436</v>
      </c>
      <c r="P288" s="48" t="s">
        <v>1436</v>
      </c>
      <c r="Q288" s="48" t="s">
        <v>38</v>
      </c>
      <c r="R288" s="48" t="s">
        <v>39</v>
      </c>
      <c r="S288" s="48" t="s">
        <v>1194</v>
      </c>
      <c r="T288" s="48" t="s">
        <v>41</v>
      </c>
      <c r="U288" s="48" t="s">
        <v>1436</v>
      </c>
      <c r="V288" s="48" t="s">
        <v>1436</v>
      </c>
      <c r="W288" s="48" t="s">
        <v>1436</v>
      </c>
      <c r="X288" s="49" t="s">
        <v>193</v>
      </c>
      <c r="Y288" s="48" t="s">
        <v>1194</v>
      </c>
      <c r="Z288" s="49" t="s">
        <v>1321</v>
      </c>
      <c r="AA288" s="48" t="s">
        <v>1324</v>
      </c>
      <c r="AB288" s="48" t="s">
        <v>1325</v>
      </c>
      <c r="AC288" s="48" t="s">
        <v>1239</v>
      </c>
      <c r="AD288" s="48" t="s">
        <v>1231</v>
      </c>
      <c r="AE288" s="48" t="s">
        <v>1669</v>
      </c>
      <c r="AF288" s="48" t="s">
        <v>1436</v>
      </c>
      <c r="AG288" s="48" t="s">
        <v>1436</v>
      </c>
      <c r="AH288" s="48" t="s">
        <v>208</v>
      </c>
      <c r="AI288" s="50">
        <v>44562</v>
      </c>
      <c r="AJ288" s="50">
        <v>46387</v>
      </c>
      <c r="AK288" s="49" t="s">
        <v>1280</v>
      </c>
      <c r="AL288" s="48" t="s">
        <v>36</v>
      </c>
      <c r="AM288" s="48" t="s">
        <v>36</v>
      </c>
      <c r="AN288" s="51">
        <v>0</v>
      </c>
      <c r="AO288" s="51"/>
      <c r="AP288" s="51"/>
      <c r="AQ288" s="72">
        <v>1600000</v>
      </c>
      <c r="AR288" s="72">
        <v>50000</v>
      </c>
      <c r="AS288" s="50">
        <v>46387</v>
      </c>
      <c r="AT288" s="50" t="s">
        <v>1436</v>
      </c>
      <c r="AU288" s="49" t="s">
        <v>1436</v>
      </c>
      <c r="AV288" s="49" t="s">
        <v>1670</v>
      </c>
      <c r="AW288" s="48" t="s">
        <v>1244</v>
      </c>
    </row>
    <row r="289" spans="1:49" x14ac:dyDescent="0.3">
      <c r="A289" s="48" t="s">
        <v>1320</v>
      </c>
      <c r="B289" s="48" t="s">
        <v>6</v>
      </c>
      <c r="C289" s="48" t="s">
        <v>1322</v>
      </c>
      <c r="D289" s="50">
        <v>45382</v>
      </c>
      <c r="E289" s="48" t="s">
        <v>36</v>
      </c>
      <c r="F289" s="48" t="s">
        <v>1438</v>
      </c>
      <c r="G289" s="48" t="s">
        <v>1439</v>
      </c>
      <c r="H289" s="49" t="s">
        <v>1442</v>
      </c>
      <c r="I289" s="48" t="s">
        <v>1405</v>
      </c>
      <c r="J289" s="48" t="s">
        <v>1194</v>
      </c>
      <c r="K289" s="48" t="s">
        <v>1443</v>
      </c>
      <c r="L289" s="48" t="s">
        <v>38</v>
      </c>
      <c r="M289" s="48" t="s">
        <v>37</v>
      </c>
      <c r="N289" s="48" t="s">
        <v>1436</v>
      </c>
      <c r="O289" s="48" t="s">
        <v>1436</v>
      </c>
      <c r="P289" s="48" t="s">
        <v>1436</v>
      </c>
      <c r="Q289" s="48" t="s">
        <v>38</v>
      </c>
      <c r="R289" s="48" t="s">
        <v>39</v>
      </c>
      <c r="S289" s="48" t="s">
        <v>1194</v>
      </c>
      <c r="T289" s="48" t="s">
        <v>41</v>
      </c>
      <c r="U289" s="48" t="s">
        <v>1436</v>
      </c>
      <c r="V289" s="48" t="s">
        <v>1436</v>
      </c>
      <c r="W289" s="48" t="s">
        <v>1436</v>
      </c>
      <c r="X289" s="49" t="s">
        <v>193</v>
      </c>
      <c r="Y289" s="48" t="s">
        <v>1194</v>
      </c>
      <c r="Z289" s="49" t="s">
        <v>1321</v>
      </c>
      <c r="AA289" s="48" t="s">
        <v>1324</v>
      </c>
      <c r="AB289" s="48" t="s">
        <v>1325</v>
      </c>
      <c r="AC289" s="48" t="s">
        <v>1239</v>
      </c>
      <c r="AD289" s="48" t="s">
        <v>1231</v>
      </c>
      <c r="AE289" s="48" t="s">
        <v>1669</v>
      </c>
      <c r="AF289" s="48" t="s">
        <v>1436</v>
      </c>
      <c r="AG289" s="48" t="s">
        <v>1436</v>
      </c>
      <c r="AH289" s="48" t="s">
        <v>208</v>
      </c>
      <c r="AI289" s="50">
        <v>44562</v>
      </c>
      <c r="AJ289" s="50">
        <v>46387</v>
      </c>
      <c r="AK289" s="49" t="s">
        <v>1280</v>
      </c>
      <c r="AL289" s="48" t="s">
        <v>36</v>
      </c>
      <c r="AM289" s="48" t="s">
        <v>36</v>
      </c>
      <c r="AN289" s="51">
        <v>0</v>
      </c>
      <c r="AO289" s="51"/>
      <c r="AP289" s="51"/>
      <c r="AQ289" s="72">
        <v>1600000</v>
      </c>
      <c r="AR289" s="72">
        <v>50000</v>
      </c>
      <c r="AS289" s="50">
        <v>46387</v>
      </c>
      <c r="AT289" s="50" t="s">
        <v>1436</v>
      </c>
      <c r="AU289" s="49" t="s">
        <v>1436</v>
      </c>
      <c r="AV289" s="49" t="s">
        <v>1670</v>
      </c>
      <c r="AW289" s="48" t="s">
        <v>1244</v>
      </c>
    </row>
    <row r="290" spans="1:49" x14ac:dyDescent="0.3">
      <c r="A290" s="48" t="s">
        <v>1320</v>
      </c>
      <c r="B290" s="48" t="s">
        <v>6</v>
      </c>
      <c r="C290" s="48" t="s">
        <v>1322</v>
      </c>
      <c r="D290" s="50">
        <v>45382</v>
      </c>
      <c r="E290" s="48" t="s">
        <v>36</v>
      </c>
      <c r="F290" s="48" t="s">
        <v>1438</v>
      </c>
      <c r="G290" s="48" t="s">
        <v>1444</v>
      </c>
      <c r="H290" s="49" t="s">
        <v>1445</v>
      </c>
      <c r="I290" s="48" t="s">
        <v>1411</v>
      </c>
      <c r="J290" s="48" t="s">
        <v>40</v>
      </c>
      <c r="K290" s="48" t="s">
        <v>50</v>
      </c>
      <c r="L290" s="48" t="s">
        <v>38</v>
      </c>
      <c r="M290" s="48" t="s">
        <v>37</v>
      </c>
      <c r="N290" s="48" t="s">
        <v>1436</v>
      </c>
      <c r="O290" s="48" t="s">
        <v>1436</v>
      </c>
      <c r="P290" s="48" t="s">
        <v>1436</v>
      </c>
      <c r="Q290" s="48" t="s">
        <v>38</v>
      </c>
      <c r="R290" s="48" t="s">
        <v>39</v>
      </c>
      <c r="S290" s="48" t="s">
        <v>40</v>
      </c>
      <c r="T290" s="48" t="s">
        <v>41</v>
      </c>
      <c r="U290" s="48" t="s">
        <v>1436</v>
      </c>
      <c r="V290" s="48" t="s">
        <v>1436</v>
      </c>
      <c r="W290" s="48" t="s">
        <v>1436</v>
      </c>
      <c r="X290" s="49" t="s">
        <v>193</v>
      </c>
      <c r="Y290" s="48" t="s">
        <v>1194</v>
      </c>
      <c r="Z290" s="49" t="s">
        <v>1321</v>
      </c>
      <c r="AA290" s="48" t="s">
        <v>1324</v>
      </c>
      <c r="AB290" s="48" t="s">
        <v>1325</v>
      </c>
      <c r="AC290" s="48" t="s">
        <v>1239</v>
      </c>
      <c r="AD290" s="48" t="s">
        <v>1231</v>
      </c>
      <c r="AE290" s="48" t="s">
        <v>1669</v>
      </c>
      <c r="AF290" s="48" t="s">
        <v>1436</v>
      </c>
      <c r="AG290" s="48" t="s">
        <v>1436</v>
      </c>
      <c r="AH290" s="48" t="s">
        <v>208</v>
      </c>
      <c r="AI290" s="50">
        <v>44562</v>
      </c>
      <c r="AJ290" s="50">
        <v>46387</v>
      </c>
      <c r="AK290" s="49" t="s">
        <v>1280</v>
      </c>
      <c r="AL290" s="48" t="s">
        <v>36</v>
      </c>
      <c r="AM290" s="48" t="s">
        <v>36</v>
      </c>
      <c r="AN290" s="51">
        <v>42330.49</v>
      </c>
      <c r="AO290" s="51"/>
      <c r="AP290" s="51"/>
      <c r="AQ290" s="72">
        <v>1600000</v>
      </c>
      <c r="AR290" s="72">
        <v>50000</v>
      </c>
      <c r="AS290" s="50">
        <v>46387</v>
      </c>
      <c r="AT290" s="50" t="s">
        <v>1436</v>
      </c>
      <c r="AU290" s="49" t="s">
        <v>1436</v>
      </c>
      <c r="AV290" s="49" t="s">
        <v>1670</v>
      </c>
      <c r="AW290" s="48" t="s">
        <v>1244</v>
      </c>
    </row>
    <row r="291" spans="1:49" x14ac:dyDescent="0.3">
      <c r="A291" s="48" t="s">
        <v>1320</v>
      </c>
      <c r="B291" s="48" t="s">
        <v>6</v>
      </c>
      <c r="C291" s="48" t="s">
        <v>1322</v>
      </c>
      <c r="D291" s="50">
        <v>45382</v>
      </c>
      <c r="E291" s="48" t="s">
        <v>36</v>
      </c>
      <c r="F291" s="48" t="s">
        <v>1438</v>
      </c>
      <c r="G291" s="48" t="s">
        <v>1444</v>
      </c>
      <c r="H291" s="49" t="s">
        <v>1446</v>
      </c>
      <c r="I291" s="48" t="s">
        <v>1407</v>
      </c>
      <c r="J291" s="48" t="s">
        <v>40</v>
      </c>
      <c r="K291" s="48" t="s">
        <v>47</v>
      </c>
      <c r="L291" s="48" t="s">
        <v>38</v>
      </c>
      <c r="M291" s="48" t="s">
        <v>37</v>
      </c>
      <c r="N291" s="48" t="s">
        <v>1436</v>
      </c>
      <c r="O291" s="48" t="s">
        <v>1436</v>
      </c>
      <c r="P291" s="48" t="s">
        <v>1436</v>
      </c>
      <c r="Q291" s="48" t="s">
        <v>38</v>
      </c>
      <c r="R291" s="48" t="s">
        <v>39</v>
      </c>
      <c r="S291" s="48" t="s">
        <v>40</v>
      </c>
      <c r="T291" s="48" t="s">
        <v>41</v>
      </c>
      <c r="U291" s="48" t="s">
        <v>1436</v>
      </c>
      <c r="V291" s="48" t="s">
        <v>1436</v>
      </c>
      <c r="W291" s="48" t="s">
        <v>1436</v>
      </c>
      <c r="X291" s="49" t="s">
        <v>193</v>
      </c>
      <c r="Y291" s="48" t="s">
        <v>1194</v>
      </c>
      <c r="Z291" s="49" t="s">
        <v>1321</v>
      </c>
      <c r="AA291" s="48" t="s">
        <v>1324</v>
      </c>
      <c r="AB291" s="48" t="s">
        <v>1325</v>
      </c>
      <c r="AC291" s="48" t="s">
        <v>1239</v>
      </c>
      <c r="AD291" s="48" t="s">
        <v>1231</v>
      </c>
      <c r="AE291" s="48" t="s">
        <v>1669</v>
      </c>
      <c r="AF291" s="48" t="s">
        <v>1436</v>
      </c>
      <c r="AG291" s="48" t="s">
        <v>1436</v>
      </c>
      <c r="AH291" s="48" t="s">
        <v>208</v>
      </c>
      <c r="AI291" s="50">
        <v>44562</v>
      </c>
      <c r="AJ291" s="50">
        <v>46387</v>
      </c>
      <c r="AK291" s="49" t="s">
        <v>1280</v>
      </c>
      <c r="AL291" s="48" t="s">
        <v>36</v>
      </c>
      <c r="AM291" s="48" t="s">
        <v>36</v>
      </c>
      <c r="AN291" s="51">
        <v>8732.2101120000007</v>
      </c>
      <c r="AO291" s="51"/>
      <c r="AP291" s="51"/>
      <c r="AQ291" s="72">
        <v>1600000</v>
      </c>
      <c r="AR291" s="72">
        <v>50000</v>
      </c>
      <c r="AS291" s="50">
        <v>46387</v>
      </c>
      <c r="AT291" s="50" t="s">
        <v>1436</v>
      </c>
      <c r="AU291" s="49" t="s">
        <v>1436</v>
      </c>
      <c r="AV291" s="49" t="s">
        <v>1670</v>
      </c>
      <c r="AW291" s="48" t="s">
        <v>1244</v>
      </c>
    </row>
    <row r="292" spans="1:49" x14ac:dyDescent="0.3">
      <c r="A292" s="48" t="s">
        <v>1320</v>
      </c>
      <c r="B292" s="48" t="s">
        <v>6</v>
      </c>
      <c r="C292" s="48" t="s">
        <v>1322</v>
      </c>
      <c r="D292" s="50">
        <v>45382</v>
      </c>
      <c r="E292" s="48" t="s">
        <v>36</v>
      </c>
      <c r="F292" s="48" t="s">
        <v>1433</v>
      </c>
      <c r="G292" s="48" t="s">
        <v>1447</v>
      </c>
      <c r="H292" s="49" t="s">
        <v>1448</v>
      </c>
      <c r="I292" s="48" t="s">
        <v>1413</v>
      </c>
      <c r="J292" s="48" t="s">
        <v>40</v>
      </c>
      <c r="K292" s="48" t="s">
        <v>58</v>
      </c>
      <c r="L292" s="48" t="s">
        <v>38</v>
      </c>
      <c r="M292" s="48" t="s">
        <v>37</v>
      </c>
      <c r="N292" s="48" t="s">
        <v>1436</v>
      </c>
      <c r="O292" s="48" t="s">
        <v>1436</v>
      </c>
      <c r="P292" s="48" t="s">
        <v>1436</v>
      </c>
      <c r="Q292" s="48" t="s">
        <v>38</v>
      </c>
      <c r="R292" s="48" t="s">
        <v>39</v>
      </c>
      <c r="S292" s="48" t="s">
        <v>40</v>
      </c>
      <c r="T292" s="48" t="s">
        <v>41</v>
      </c>
      <c r="U292" s="48" t="s">
        <v>1436</v>
      </c>
      <c r="V292" s="48" t="s">
        <v>1436</v>
      </c>
      <c r="W292" s="48" t="s">
        <v>1436</v>
      </c>
      <c r="X292" s="49" t="s">
        <v>193</v>
      </c>
      <c r="Y292" s="48" t="s">
        <v>1194</v>
      </c>
      <c r="Z292" s="49" t="s">
        <v>1321</v>
      </c>
      <c r="AA292" s="48" t="s">
        <v>1324</v>
      </c>
      <c r="AB292" s="48" t="s">
        <v>1325</v>
      </c>
      <c r="AC292" s="48" t="s">
        <v>1239</v>
      </c>
      <c r="AD292" s="48" t="s">
        <v>1231</v>
      </c>
      <c r="AE292" s="48" t="s">
        <v>1669</v>
      </c>
      <c r="AF292" s="48" t="s">
        <v>1436</v>
      </c>
      <c r="AG292" s="48" t="s">
        <v>1436</v>
      </c>
      <c r="AH292" s="48" t="s">
        <v>208</v>
      </c>
      <c r="AI292" s="50">
        <v>44562</v>
      </c>
      <c r="AJ292" s="50">
        <v>46387</v>
      </c>
      <c r="AK292" s="49" t="s">
        <v>1280</v>
      </c>
      <c r="AL292" s="48" t="s">
        <v>36</v>
      </c>
      <c r="AM292" s="48" t="s">
        <v>36</v>
      </c>
      <c r="AN292" s="51">
        <v>-50000</v>
      </c>
      <c r="AO292" s="51"/>
      <c r="AP292" s="51"/>
      <c r="AQ292" s="72">
        <v>1600000</v>
      </c>
      <c r="AR292" s="72">
        <v>50000</v>
      </c>
      <c r="AS292" s="50">
        <v>46387</v>
      </c>
      <c r="AT292" s="50" t="s">
        <v>1436</v>
      </c>
      <c r="AU292" s="49" t="s">
        <v>1436</v>
      </c>
      <c r="AV292" s="49" t="s">
        <v>1670</v>
      </c>
      <c r="AW292" s="48" t="s">
        <v>1244</v>
      </c>
    </row>
    <row r="293" spans="1:49" x14ac:dyDescent="0.3">
      <c r="A293" s="48" t="s">
        <v>1320</v>
      </c>
      <c r="B293" s="48" t="s">
        <v>6</v>
      </c>
      <c r="C293" s="48" t="s">
        <v>1322</v>
      </c>
      <c r="D293" s="50">
        <v>45382</v>
      </c>
      <c r="E293" s="48" t="s">
        <v>36</v>
      </c>
      <c r="F293" s="48" t="s">
        <v>1433</v>
      </c>
      <c r="G293" s="48" t="s">
        <v>1447</v>
      </c>
      <c r="H293" s="49" t="s">
        <v>1449</v>
      </c>
      <c r="I293" s="48" t="s">
        <v>1409</v>
      </c>
      <c r="J293" s="48" t="s">
        <v>40</v>
      </c>
      <c r="K293" s="48" t="s">
        <v>45</v>
      </c>
      <c r="L293" s="48" t="s">
        <v>38</v>
      </c>
      <c r="M293" s="48" t="s">
        <v>37</v>
      </c>
      <c r="N293" s="48" t="s">
        <v>1436</v>
      </c>
      <c r="O293" s="48" t="s">
        <v>1436</v>
      </c>
      <c r="P293" s="48" t="s">
        <v>1436</v>
      </c>
      <c r="Q293" s="48" t="s">
        <v>38</v>
      </c>
      <c r="R293" s="48" t="s">
        <v>39</v>
      </c>
      <c r="S293" s="48" t="s">
        <v>40</v>
      </c>
      <c r="T293" s="48" t="s">
        <v>41</v>
      </c>
      <c r="U293" s="48" t="s">
        <v>1436</v>
      </c>
      <c r="V293" s="48" t="s">
        <v>1436</v>
      </c>
      <c r="W293" s="48" t="s">
        <v>1436</v>
      </c>
      <c r="X293" s="49" t="s">
        <v>193</v>
      </c>
      <c r="Y293" s="48" t="s">
        <v>1194</v>
      </c>
      <c r="Z293" s="49" t="s">
        <v>1321</v>
      </c>
      <c r="AA293" s="48" t="s">
        <v>1324</v>
      </c>
      <c r="AB293" s="48" t="s">
        <v>1325</v>
      </c>
      <c r="AC293" s="48" t="s">
        <v>1239</v>
      </c>
      <c r="AD293" s="48" t="s">
        <v>1231</v>
      </c>
      <c r="AE293" s="48" t="s">
        <v>1669</v>
      </c>
      <c r="AF293" s="48" t="s">
        <v>1436</v>
      </c>
      <c r="AG293" s="48" t="s">
        <v>1436</v>
      </c>
      <c r="AH293" s="48" t="s">
        <v>208</v>
      </c>
      <c r="AI293" s="50">
        <v>44562</v>
      </c>
      <c r="AJ293" s="50">
        <v>46387</v>
      </c>
      <c r="AK293" s="49" t="s">
        <v>1280</v>
      </c>
      <c r="AL293" s="48" t="s">
        <v>36</v>
      </c>
      <c r="AM293" s="48" t="s">
        <v>36</v>
      </c>
      <c r="AN293" s="51">
        <v>43994.397220999999</v>
      </c>
      <c r="AO293" s="51"/>
      <c r="AP293" s="51"/>
      <c r="AQ293" s="72">
        <v>1600000</v>
      </c>
      <c r="AR293" s="72">
        <v>50000</v>
      </c>
      <c r="AS293" s="50">
        <v>46387</v>
      </c>
      <c r="AT293" s="50" t="s">
        <v>1436</v>
      </c>
      <c r="AU293" s="49" t="s">
        <v>1436</v>
      </c>
      <c r="AV293" s="49" t="s">
        <v>1670</v>
      </c>
      <c r="AW293" s="48" t="s">
        <v>1244</v>
      </c>
    </row>
    <row r="294" spans="1:49" x14ac:dyDescent="0.3">
      <c r="A294" s="48" t="s">
        <v>1320</v>
      </c>
      <c r="B294" s="48" t="s">
        <v>6</v>
      </c>
      <c r="C294" s="48" t="s">
        <v>1322</v>
      </c>
      <c r="D294" s="50">
        <v>45382</v>
      </c>
      <c r="E294" s="48" t="s">
        <v>36</v>
      </c>
      <c r="F294" s="48" t="s">
        <v>1433</v>
      </c>
      <c r="G294" s="48" t="s">
        <v>1447</v>
      </c>
      <c r="H294" s="49" t="s">
        <v>1450</v>
      </c>
      <c r="I294" s="48" t="s">
        <v>1408</v>
      </c>
      <c r="J294" s="48" t="s">
        <v>40</v>
      </c>
      <c r="K294" s="48" t="s">
        <v>54</v>
      </c>
      <c r="L294" s="48" t="s">
        <v>38</v>
      </c>
      <c r="M294" s="48" t="s">
        <v>37</v>
      </c>
      <c r="N294" s="48" t="s">
        <v>1436</v>
      </c>
      <c r="O294" s="48" t="s">
        <v>1436</v>
      </c>
      <c r="P294" s="48" t="s">
        <v>1436</v>
      </c>
      <c r="Q294" s="48" t="s">
        <v>38</v>
      </c>
      <c r="R294" s="48" t="s">
        <v>39</v>
      </c>
      <c r="S294" s="48" t="s">
        <v>40</v>
      </c>
      <c r="T294" s="48" t="s">
        <v>41</v>
      </c>
      <c r="U294" s="48" t="s">
        <v>1436</v>
      </c>
      <c r="V294" s="48" t="s">
        <v>1436</v>
      </c>
      <c r="W294" s="48" t="s">
        <v>1436</v>
      </c>
      <c r="X294" s="49" t="s">
        <v>193</v>
      </c>
      <c r="Y294" s="48" t="s">
        <v>1194</v>
      </c>
      <c r="Z294" s="49" t="s">
        <v>1321</v>
      </c>
      <c r="AA294" s="48" t="s">
        <v>1324</v>
      </c>
      <c r="AB294" s="48" t="s">
        <v>1325</v>
      </c>
      <c r="AC294" s="48" t="s">
        <v>1239</v>
      </c>
      <c r="AD294" s="48" t="s">
        <v>1231</v>
      </c>
      <c r="AE294" s="48" t="s">
        <v>1669</v>
      </c>
      <c r="AF294" s="48" t="s">
        <v>1436</v>
      </c>
      <c r="AG294" s="48" t="s">
        <v>1436</v>
      </c>
      <c r="AH294" s="48" t="s">
        <v>208</v>
      </c>
      <c r="AI294" s="50">
        <v>44562</v>
      </c>
      <c r="AJ294" s="50">
        <v>46387</v>
      </c>
      <c r="AK294" s="49" t="s">
        <v>1280</v>
      </c>
      <c r="AL294" s="48" t="s">
        <v>36</v>
      </c>
      <c r="AM294" s="48" t="s">
        <v>36</v>
      </c>
      <c r="AN294" s="51">
        <v>-2965.94</v>
      </c>
      <c r="AO294" s="51"/>
      <c r="AP294" s="51"/>
      <c r="AQ294" s="72">
        <v>1600000</v>
      </c>
      <c r="AR294" s="72">
        <v>50000</v>
      </c>
      <c r="AS294" s="50">
        <v>46387</v>
      </c>
      <c r="AT294" s="50" t="s">
        <v>1436</v>
      </c>
      <c r="AU294" s="49" t="s">
        <v>1436</v>
      </c>
      <c r="AV294" s="49" t="s">
        <v>1670</v>
      </c>
      <c r="AW294" s="48" t="s">
        <v>1244</v>
      </c>
    </row>
    <row r="295" spans="1:49" x14ac:dyDescent="0.3">
      <c r="A295" s="48" t="s">
        <v>1320</v>
      </c>
      <c r="B295" s="48" t="s">
        <v>6</v>
      </c>
      <c r="C295" s="48" t="s">
        <v>1322</v>
      </c>
      <c r="D295" s="50">
        <v>45382</v>
      </c>
      <c r="E295" s="48" t="s">
        <v>36</v>
      </c>
      <c r="F295" s="48" t="s">
        <v>1433</v>
      </c>
      <c r="G295" s="48" t="s">
        <v>1447</v>
      </c>
      <c r="H295" s="49" t="s">
        <v>1451</v>
      </c>
      <c r="I295" s="48" t="s">
        <v>1404</v>
      </c>
      <c r="J295" s="48" t="s">
        <v>38</v>
      </c>
      <c r="K295" s="48" t="s">
        <v>49</v>
      </c>
      <c r="L295" s="48" t="s">
        <v>38</v>
      </c>
      <c r="M295" s="48" t="s">
        <v>37</v>
      </c>
      <c r="N295" s="48" t="s">
        <v>1436</v>
      </c>
      <c r="O295" s="48" t="s">
        <v>1436</v>
      </c>
      <c r="P295" s="48" t="s">
        <v>1436</v>
      </c>
      <c r="Q295" s="48" t="s">
        <v>38</v>
      </c>
      <c r="R295" s="48" t="s">
        <v>39</v>
      </c>
      <c r="S295" s="48" t="s">
        <v>38</v>
      </c>
      <c r="T295" s="48" t="s">
        <v>41</v>
      </c>
      <c r="U295" s="48" t="s">
        <v>1436</v>
      </c>
      <c r="V295" s="48" t="s">
        <v>1436</v>
      </c>
      <c r="W295" s="48" t="s">
        <v>1436</v>
      </c>
      <c r="X295" s="49" t="s">
        <v>193</v>
      </c>
      <c r="Y295" s="48" t="s">
        <v>1194</v>
      </c>
      <c r="Z295" s="49" t="s">
        <v>1321</v>
      </c>
      <c r="AA295" s="48" t="s">
        <v>1324</v>
      </c>
      <c r="AB295" s="48" t="s">
        <v>1325</v>
      </c>
      <c r="AC295" s="48" t="s">
        <v>1239</v>
      </c>
      <c r="AD295" s="48" t="s">
        <v>1231</v>
      </c>
      <c r="AE295" s="48" t="s">
        <v>1669</v>
      </c>
      <c r="AF295" s="48" t="s">
        <v>1436</v>
      </c>
      <c r="AG295" s="48" t="s">
        <v>1436</v>
      </c>
      <c r="AH295" s="48" t="s">
        <v>208</v>
      </c>
      <c r="AI295" s="50">
        <v>44562</v>
      </c>
      <c r="AJ295" s="50">
        <v>46387</v>
      </c>
      <c r="AK295" s="49" t="s">
        <v>1280</v>
      </c>
      <c r="AL295" s="48" t="s">
        <v>36</v>
      </c>
      <c r="AM295" s="48" t="s">
        <v>36</v>
      </c>
      <c r="AN295" s="51">
        <v>239.33266699999999</v>
      </c>
      <c r="AO295" s="51"/>
      <c r="AP295" s="51"/>
      <c r="AQ295" s="72">
        <v>1600000</v>
      </c>
      <c r="AR295" s="72">
        <v>50000</v>
      </c>
      <c r="AS295" s="50">
        <v>46387</v>
      </c>
      <c r="AT295" s="50" t="s">
        <v>1436</v>
      </c>
      <c r="AU295" s="49" t="s">
        <v>1436</v>
      </c>
      <c r="AV295" s="49" t="s">
        <v>1670</v>
      </c>
      <c r="AW295" s="48" t="s">
        <v>1244</v>
      </c>
    </row>
    <row r="296" spans="1:49" x14ac:dyDescent="0.3">
      <c r="A296" s="48" t="s">
        <v>1320</v>
      </c>
      <c r="B296" s="48" t="s">
        <v>6</v>
      </c>
      <c r="C296" s="48" t="s">
        <v>1322</v>
      </c>
      <c r="D296" s="50">
        <v>45412</v>
      </c>
      <c r="E296" s="48" t="s">
        <v>36</v>
      </c>
      <c r="F296" s="48" t="s">
        <v>1433</v>
      </c>
      <c r="G296" s="48" t="s">
        <v>1434</v>
      </c>
      <c r="H296" s="49" t="s">
        <v>1435</v>
      </c>
      <c r="I296" s="48" t="s">
        <v>1412</v>
      </c>
      <c r="J296" s="48" t="s">
        <v>40</v>
      </c>
      <c r="K296" s="48" t="s">
        <v>52</v>
      </c>
      <c r="L296" s="48" t="s">
        <v>38</v>
      </c>
      <c r="M296" s="48" t="s">
        <v>37</v>
      </c>
      <c r="N296" s="48" t="s">
        <v>1436</v>
      </c>
      <c r="O296" s="48" t="s">
        <v>1436</v>
      </c>
      <c r="P296" s="48" t="s">
        <v>1436</v>
      </c>
      <c r="Q296" s="48" t="s">
        <v>38</v>
      </c>
      <c r="R296" s="48" t="s">
        <v>39</v>
      </c>
      <c r="S296" s="48" t="s">
        <v>40</v>
      </c>
      <c r="T296" s="48" t="s">
        <v>41</v>
      </c>
      <c r="U296" s="48" t="s">
        <v>1436</v>
      </c>
      <c r="V296" s="48" t="s">
        <v>1436</v>
      </c>
      <c r="W296" s="48" t="s">
        <v>1436</v>
      </c>
      <c r="X296" s="49" t="s">
        <v>193</v>
      </c>
      <c r="Y296" s="48" t="s">
        <v>1194</v>
      </c>
      <c r="Z296" s="49" t="s">
        <v>1321</v>
      </c>
      <c r="AA296" s="48" t="s">
        <v>1324</v>
      </c>
      <c r="AB296" s="48" t="s">
        <v>1325</v>
      </c>
      <c r="AC296" s="48" t="s">
        <v>1239</v>
      </c>
      <c r="AD296" s="48" t="s">
        <v>1231</v>
      </c>
      <c r="AE296" s="48" t="s">
        <v>1669</v>
      </c>
      <c r="AF296" s="48" t="s">
        <v>1436</v>
      </c>
      <c r="AG296" s="48" t="s">
        <v>1436</v>
      </c>
      <c r="AH296" s="48" t="s">
        <v>208</v>
      </c>
      <c r="AI296" s="50">
        <v>44562</v>
      </c>
      <c r="AJ296" s="50">
        <v>46387</v>
      </c>
      <c r="AK296" s="49" t="s">
        <v>1280</v>
      </c>
      <c r="AL296" s="48" t="s">
        <v>36</v>
      </c>
      <c r="AM296" s="48" t="s">
        <v>36</v>
      </c>
      <c r="AN296" s="51">
        <v>-42330.49</v>
      </c>
      <c r="AO296" s="51"/>
      <c r="AP296" s="51"/>
      <c r="AQ296" s="72">
        <v>1600000</v>
      </c>
      <c r="AR296" s="72">
        <v>50000</v>
      </c>
      <c r="AS296" s="50">
        <v>46387</v>
      </c>
      <c r="AT296" s="50" t="s">
        <v>1436</v>
      </c>
      <c r="AU296" s="49" t="s">
        <v>1436</v>
      </c>
      <c r="AV296" s="49" t="s">
        <v>1670</v>
      </c>
      <c r="AW296" s="48" t="s">
        <v>1244</v>
      </c>
    </row>
    <row r="297" spans="1:49" x14ac:dyDescent="0.3">
      <c r="A297" s="48" t="s">
        <v>1320</v>
      </c>
      <c r="B297" s="48" t="s">
        <v>6</v>
      </c>
      <c r="C297" s="48" t="s">
        <v>1322</v>
      </c>
      <c r="D297" s="50">
        <v>45412</v>
      </c>
      <c r="E297" s="48" t="s">
        <v>36</v>
      </c>
      <c r="F297" s="48" t="s">
        <v>1433</v>
      </c>
      <c r="G297" s="48" t="s">
        <v>1434</v>
      </c>
      <c r="H297" s="49" t="s">
        <v>1437</v>
      </c>
      <c r="I297" s="48" t="s">
        <v>1410</v>
      </c>
      <c r="J297" s="48" t="s">
        <v>40</v>
      </c>
      <c r="K297" s="48" t="s">
        <v>42</v>
      </c>
      <c r="L297" s="48" t="s">
        <v>38</v>
      </c>
      <c r="M297" s="48" t="s">
        <v>37</v>
      </c>
      <c r="N297" s="48" t="s">
        <v>1436</v>
      </c>
      <c r="O297" s="48" t="s">
        <v>1436</v>
      </c>
      <c r="P297" s="48" t="s">
        <v>1436</v>
      </c>
      <c r="Q297" s="48" t="s">
        <v>38</v>
      </c>
      <c r="R297" s="48" t="s">
        <v>39</v>
      </c>
      <c r="S297" s="48" t="s">
        <v>40</v>
      </c>
      <c r="T297" s="48" t="s">
        <v>41</v>
      </c>
      <c r="U297" s="48" t="s">
        <v>1436</v>
      </c>
      <c r="V297" s="48" t="s">
        <v>1436</v>
      </c>
      <c r="W297" s="48" t="s">
        <v>1436</v>
      </c>
      <c r="X297" s="49" t="s">
        <v>193</v>
      </c>
      <c r="Y297" s="48" t="s">
        <v>1194</v>
      </c>
      <c r="Z297" s="49" t="s">
        <v>1321</v>
      </c>
      <c r="AA297" s="48" t="s">
        <v>1324</v>
      </c>
      <c r="AB297" s="48" t="s">
        <v>1325</v>
      </c>
      <c r="AC297" s="48" t="s">
        <v>1239</v>
      </c>
      <c r="AD297" s="48" t="s">
        <v>1231</v>
      </c>
      <c r="AE297" s="48" t="s">
        <v>1669</v>
      </c>
      <c r="AF297" s="48" t="s">
        <v>1436</v>
      </c>
      <c r="AG297" s="48" t="s">
        <v>1436</v>
      </c>
      <c r="AH297" s="48" t="s">
        <v>208</v>
      </c>
      <c r="AI297" s="50">
        <v>44562</v>
      </c>
      <c r="AJ297" s="50">
        <v>46387</v>
      </c>
      <c r="AK297" s="49" t="s">
        <v>1280</v>
      </c>
      <c r="AL297" s="48" t="s">
        <v>36</v>
      </c>
      <c r="AM297" s="48" t="s">
        <v>36</v>
      </c>
      <c r="AN297" s="51">
        <v>0</v>
      </c>
      <c r="AO297" s="51"/>
      <c r="AP297" s="51"/>
      <c r="AQ297" s="72">
        <v>1600000</v>
      </c>
      <c r="AR297" s="72">
        <v>50000</v>
      </c>
      <c r="AS297" s="50">
        <v>46387</v>
      </c>
      <c r="AT297" s="50" t="s">
        <v>1436</v>
      </c>
      <c r="AU297" s="49" t="s">
        <v>1436</v>
      </c>
      <c r="AV297" s="49" t="s">
        <v>1670</v>
      </c>
      <c r="AW297" s="48" t="s">
        <v>1244</v>
      </c>
    </row>
    <row r="298" spans="1:49" x14ac:dyDescent="0.3">
      <c r="A298" s="48" t="s">
        <v>1320</v>
      </c>
      <c r="B298" s="48" t="s">
        <v>6</v>
      </c>
      <c r="C298" s="48" t="s">
        <v>1322</v>
      </c>
      <c r="D298" s="50">
        <v>45412</v>
      </c>
      <c r="E298" s="48" t="s">
        <v>36</v>
      </c>
      <c r="F298" s="48" t="s">
        <v>1438</v>
      </c>
      <c r="G298" s="48" t="s">
        <v>1439</v>
      </c>
      <c r="H298" s="49" t="s">
        <v>1440</v>
      </c>
      <c r="I298" s="48" t="s">
        <v>1406</v>
      </c>
      <c r="J298" s="48" t="s">
        <v>1194</v>
      </c>
      <c r="K298" s="48" t="s">
        <v>1441</v>
      </c>
      <c r="L298" s="48" t="s">
        <v>38</v>
      </c>
      <c r="M298" s="48" t="s">
        <v>37</v>
      </c>
      <c r="N298" s="48" t="s">
        <v>1436</v>
      </c>
      <c r="O298" s="48" t="s">
        <v>1436</v>
      </c>
      <c r="P298" s="48" t="s">
        <v>1436</v>
      </c>
      <c r="Q298" s="48" t="s">
        <v>38</v>
      </c>
      <c r="R298" s="48" t="s">
        <v>39</v>
      </c>
      <c r="S298" s="48" t="s">
        <v>1194</v>
      </c>
      <c r="T298" s="48" t="s">
        <v>41</v>
      </c>
      <c r="U298" s="48" t="s">
        <v>1436</v>
      </c>
      <c r="V298" s="48" t="s">
        <v>1436</v>
      </c>
      <c r="W298" s="48" t="s">
        <v>1436</v>
      </c>
      <c r="X298" s="49" t="s">
        <v>193</v>
      </c>
      <c r="Y298" s="48" t="s">
        <v>1194</v>
      </c>
      <c r="Z298" s="49" t="s">
        <v>1321</v>
      </c>
      <c r="AA298" s="48" t="s">
        <v>1324</v>
      </c>
      <c r="AB298" s="48" t="s">
        <v>1325</v>
      </c>
      <c r="AC298" s="48" t="s">
        <v>1239</v>
      </c>
      <c r="AD298" s="48" t="s">
        <v>1231</v>
      </c>
      <c r="AE298" s="48" t="s">
        <v>1669</v>
      </c>
      <c r="AF298" s="48" t="s">
        <v>1436</v>
      </c>
      <c r="AG298" s="48" t="s">
        <v>1436</v>
      </c>
      <c r="AH298" s="48" t="s">
        <v>208</v>
      </c>
      <c r="AI298" s="50">
        <v>44562</v>
      </c>
      <c r="AJ298" s="50">
        <v>46387</v>
      </c>
      <c r="AK298" s="49" t="s">
        <v>1280</v>
      </c>
      <c r="AL298" s="48" t="s">
        <v>36</v>
      </c>
      <c r="AM298" s="48" t="s">
        <v>36</v>
      </c>
      <c r="AN298" s="51">
        <v>0</v>
      </c>
      <c r="AO298" s="51"/>
      <c r="AP298" s="51"/>
      <c r="AQ298" s="72">
        <v>1600000</v>
      </c>
      <c r="AR298" s="72">
        <v>50000</v>
      </c>
      <c r="AS298" s="50">
        <v>46387</v>
      </c>
      <c r="AT298" s="50" t="s">
        <v>1436</v>
      </c>
      <c r="AU298" s="49" t="s">
        <v>1436</v>
      </c>
      <c r="AV298" s="49" t="s">
        <v>1670</v>
      </c>
      <c r="AW298" s="48" t="s">
        <v>1244</v>
      </c>
    </row>
    <row r="299" spans="1:49" x14ac:dyDescent="0.3">
      <c r="A299" s="48" t="s">
        <v>1320</v>
      </c>
      <c r="B299" s="48" t="s">
        <v>6</v>
      </c>
      <c r="C299" s="48" t="s">
        <v>1322</v>
      </c>
      <c r="D299" s="50">
        <v>45412</v>
      </c>
      <c r="E299" s="48" t="s">
        <v>36</v>
      </c>
      <c r="F299" s="48" t="s">
        <v>1438</v>
      </c>
      <c r="G299" s="48" t="s">
        <v>1439</v>
      </c>
      <c r="H299" s="49" t="s">
        <v>1442</v>
      </c>
      <c r="I299" s="48" t="s">
        <v>1405</v>
      </c>
      <c r="J299" s="48" t="s">
        <v>1194</v>
      </c>
      <c r="K299" s="48" t="s">
        <v>1443</v>
      </c>
      <c r="L299" s="48" t="s">
        <v>38</v>
      </c>
      <c r="M299" s="48" t="s">
        <v>37</v>
      </c>
      <c r="N299" s="48" t="s">
        <v>1436</v>
      </c>
      <c r="O299" s="48" t="s">
        <v>1436</v>
      </c>
      <c r="P299" s="48" t="s">
        <v>1436</v>
      </c>
      <c r="Q299" s="48" t="s">
        <v>38</v>
      </c>
      <c r="R299" s="48" t="s">
        <v>39</v>
      </c>
      <c r="S299" s="48" t="s">
        <v>1194</v>
      </c>
      <c r="T299" s="48" t="s">
        <v>41</v>
      </c>
      <c r="U299" s="48" t="s">
        <v>1436</v>
      </c>
      <c r="V299" s="48" t="s">
        <v>1436</v>
      </c>
      <c r="W299" s="48" t="s">
        <v>1436</v>
      </c>
      <c r="X299" s="49" t="s">
        <v>193</v>
      </c>
      <c r="Y299" s="48" t="s">
        <v>1194</v>
      </c>
      <c r="Z299" s="49" t="s">
        <v>1321</v>
      </c>
      <c r="AA299" s="48" t="s">
        <v>1324</v>
      </c>
      <c r="AB299" s="48" t="s">
        <v>1325</v>
      </c>
      <c r="AC299" s="48" t="s">
        <v>1239</v>
      </c>
      <c r="AD299" s="48" t="s">
        <v>1231</v>
      </c>
      <c r="AE299" s="48" t="s">
        <v>1669</v>
      </c>
      <c r="AF299" s="48" t="s">
        <v>1436</v>
      </c>
      <c r="AG299" s="48" t="s">
        <v>1436</v>
      </c>
      <c r="AH299" s="48" t="s">
        <v>208</v>
      </c>
      <c r="AI299" s="50">
        <v>44562</v>
      </c>
      <c r="AJ299" s="50">
        <v>46387</v>
      </c>
      <c r="AK299" s="49" t="s">
        <v>1280</v>
      </c>
      <c r="AL299" s="48" t="s">
        <v>36</v>
      </c>
      <c r="AM299" s="48" t="s">
        <v>36</v>
      </c>
      <c r="AN299" s="51">
        <v>0</v>
      </c>
      <c r="AO299" s="51"/>
      <c r="AP299" s="51"/>
      <c r="AQ299" s="72">
        <v>1600000</v>
      </c>
      <c r="AR299" s="72">
        <v>50000</v>
      </c>
      <c r="AS299" s="50">
        <v>46387</v>
      </c>
      <c r="AT299" s="50" t="s">
        <v>1436</v>
      </c>
      <c r="AU299" s="49" t="s">
        <v>1436</v>
      </c>
      <c r="AV299" s="49" t="s">
        <v>1670</v>
      </c>
      <c r="AW299" s="48" t="s">
        <v>1244</v>
      </c>
    </row>
    <row r="300" spans="1:49" x14ac:dyDescent="0.3">
      <c r="A300" s="48" t="s">
        <v>1320</v>
      </c>
      <c r="B300" s="48" t="s">
        <v>6</v>
      </c>
      <c r="C300" s="48" t="s">
        <v>1322</v>
      </c>
      <c r="D300" s="50">
        <v>45412</v>
      </c>
      <c r="E300" s="48" t="s">
        <v>36</v>
      </c>
      <c r="F300" s="48" t="s">
        <v>1438</v>
      </c>
      <c r="G300" s="48" t="s">
        <v>1444</v>
      </c>
      <c r="H300" s="49" t="s">
        <v>1445</v>
      </c>
      <c r="I300" s="48" t="s">
        <v>1411</v>
      </c>
      <c r="J300" s="48" t="s">
        <v>40</v>
      </c>
      <c r="K300" s="48" t="s">
        <v>50</v>
      </c>
      <c r="L300" s="48" t="s">
        <v>38</v>
      </c>
      <c r="M300" s="48" t="s">
        <v>37</v>
      </c>
      <c r="N300" s="48" t="s">
        <v>1436</v>
      </c>
      <c r="O300" s="48" t="s">
        <v>1436</v>
      </c>
      <c r="P300" s="48" t="s">
        <v>1436</v>
      </c>
      <c r="Q300" s="48" t="s">
        <v>38</v>
      </c>
      <c r="R300" s="48" t="s">
        <v>39</v>
      </c>
      <c r="S300" s="48" t="s">
        <v>40</v>
      </c>
      <c r="T300" s="48" t="s">
        <v>41</v>
      </c>
      <c r="U300" s="48" t="s">
        <v>1436</v>
      </c>
      <c r="V300" s="48" t="s">
        <v>1436</v>
      </c>
      <c r="W300" s="48" t="s">
        <v>1436</v>
      </c>
      <c r="X300" s="49" t="s">
        <v>193</v>
      </c>
      <c r="Y300" s="48" t="s">
        <v>1194</v>
      </c>
      <c r="Z300" s="49" t="s">
        <v>1321</v>
      </c>
      <c r="AA300" s="48" t="s">
        <v>1324</v>
      </c>
      <c r="AB300" s="48" t="s">
        <v>1325</v>
      </c>
      <c r="AC300" s="48" t="s">
        <v>1239</v>
      </c>
      <c r="AD300" s="48" t="s">
        <v>1231</v>
      </c>
      <c r="AE300" s="48" t="s">
        <v>1669</v>
      </c>
      <c r="AF300" s="48" t="s">
        <v>1436</v>
      </c>
      <c r="AG300" s="48" t="s">
        <v>1436</v>
      </c>
      <c r="AH300" s="48" t="s">
        <v>208</v>
      </c>
      <c r="AI300" s="50">
        <v>44562</v>
      </c>
      <c r="AJ300" s="50">
        <v>46387</v>
      </c>
      <c r="AK300" s="49" t="s">
        <v>1280</v>
      </c>
      <c r="AL300" s="48" t="s">
        <v>36</v>
      </c>
      <c r="AM300" s="48" t="s">
        <v>36</v>
      </c>
      <c r="AN300" s="51">
        <v>42330.49</v>
      </c>
      <c r="AO300" s="51"/>
      <c r="AP300" s="51"/>
      <c r="AQ300" s="72">
        <v>1600000</v>
      </c>
      <c r="AR300" s="72">
        <v>50000</v>
      </c>
      <c r="AS300" s="50">
        <v>46387</v>
      </c>
      <c r="AT300" s="50" t="s">
        <v>1436</v>
      </c>
      <c r="AU300" s="49" t="s">
        <v>1436</v>
      </c>
      <c r="AV300" s="49" t="s">
        <v>1670</v>
      </c>
      <c r="AW300" s="48" t="s">
        <v>1244</v>
      </c>
    </row>
    <row r="301" spans="1:49" x14ac:dyDescent="0.3">
      <c r="A301" s="48" t="s">
        <v>1320</v>
      </c>
      <c r="B301" s="48" t="s">
        <v>6</v>
      </c>
      <c r="C301" s="48" t="s">
        <v>1322</v>
      </c>
      <c r="D301" s="50">
        <v>45412</v>
      </c>
      <c r="E301" s="48" t="s">
        <v>36</v>
      </c>
      <c r="F301" s="48" t="s">
        <v>1438</v>
      </c>
      <c r="G301" s="48" t="s">
        <v>1444</v>
      </c>
      <c r="H301" s="49" t="s">
        <v>1446</v>
      </c>
      <c r="I301" s="48" t="s">
        <v>1407</v>
      </c>
      <c r="J301" s="48" t="s">
        <v>40</v>
      </c>
      <c r="K301" s="48" t="s">
        <v>47</v>
      </c>
      <c r="L301" s="48" t="s">
        <v>38</v>
      </c>
      <c r="M301" s="48" t="s">
        <v>37</v>
      </c>
      <c r="N301" s="48" t="s">
        <v>1436</v>
      </c>
      <c r="O301" s="48" t="s">
        <v>1436</v>
      </c>
      <c r="P301" s="48" t="s">
        <v>1436</v>
      </c>
      <c r="Q301" s="48" t="s">
        <v>38</v>
      </c>
      <c r="R301" s="48" t="s">
        <v>39</v>
      </c>
      <c r="S301" s="48" t="s">
        <v>40</v>
      </c>
      <c r="T301" s="48" t="s">
        <v>41</v>
      </c>
      <c r="U301" s="48" t="s">
        <v>1436</v>
      </c>
      <c r="V301" s="48" t="s">
        <v>1436</v>
      </c>
      <c r="W301" s="48" t="s">
        <v>1436</v>
      </c>
      <c r="X301" s="49" t="s">
        <v>193</v>
      </c>
      <c r="Y301" s="48" t="s">
        <v>1194</v>
      </c>
      <c r="Z301" s="49" t="s">
        <v>1321</v>
      </c>
      <c r="AA301" s="48" t="s">
        <v>1324</v>
      </c>
      <c r="AB301" s="48" t="s">
        <v>1325</v>
      </c>
      <c r="AC301" s="48" t="s">
        <v>1239</v>
      </c>
      <c r="AD301" s="48" t="s">
        <v>1231</v>
      </c>
      <c r="AE301" s="48" t="s">
        <v>1669</v>
      </c>
      <c r="AF301" s="48" t="s">
        <v>1436</v>
      </c>
      <c r="AG301" s="48" t="s">
        <v>1436</v>
      </c>
      <c r="AH301" s="48" t="s">
        <v>208</v>
      </c>
      <c r="AI301" s="50">
        <v>44562</v>
      </c>
      <c r="AJ301" s="50">
        <v>46387</v>
      </c>
      <c r="AK301" s="49" t="s">
        <v>1280</v>
      </c>
      <c r="AL301" s="48" t="s">
        <v>36</v>
      </c>
      <c r="AM301" s="48" t="s">
        <v>36</v>
      </c>
      <c r="AN301" s="51">
        <v>8491.4813379999996</v>
      </c>
      <c r="AO301" s="51"/>
      <c r="AP301" s="51"/>
      <c r="AQ301" s="72">
        <v>1600000</v>
      </c>
      <c r="AR301" s="72">
        <v>50000</v>
      </c>
      <c r="AS301" s="50">
        <v>46387</v>
      </c>
      <c r="AT301" s="50" t="s">
        <v>1436</v>
      </c>
      <c r="AU301" s="49" t="s">
        <v>1436</v>
      </c>
      <c r="AV301" s="49" t="s">
        <v>1670</v>
      </c>
      <c r="AW301" s="48" t="s">
        <v>1244</v>
      </c>
    </row>
    <row r="302" spans="1:49" x14ac:dyDescent="0.3">
      <c r="A302" s="48" t="s">
        <v>1320</v>
      </c>
      <c r="B302" s="48" t="s">
        <v>6</v>
      </c>
      <c r="C302" s="48" t="s">
        <v>1322</v>
      </c>
      <c r="D302" s="50">
        <v>45412</v>
      </c>
      <c r="E302" s="48" t="s">
        <v>36</v>
      </c>
      <c r="F302" s="48" t="s">
        <v>1433</v>
      </c>
      <c r="G302" s="48" t="s">
        <v>1447</v>
      </c>
      <c r="H302" s="49" t="s">
        <v>1448</v>
      </c>
      <c r="I302" s="48" t="s">
        <v>1413</v>
      </c>
      <c r="J302" s="48" t="s">
        <v>40</v>
      </c>
      <c r="K302" s="48" t="s">
        <v>58</v>
      </c>
      <c r="L302" s="48" t="s">
        <v>38</v>
      </c>
      <c r="M302" s="48" t="s">
        <v>37</v>
      </c>
      <c r="N302" s="48" t="s">
        <v>1436</v>
      </c>
      <c r="O302" s="48" t="s">
        <v>1436</v>
      </c>
      <c r="P302" s="48" t="s">
        <v>1436</v>
      </c>
      <c r="Q302" s="48" t="s">
        <v>38</v>
      </c>
      <c r="R302" s="48" t="s">
        <v>39</v>
      </c>
      <c r="S302" s="48" t="s">
        <v>40</v>
      </c>
      <c r="T302" s="48" t="s">
        <v>41</v>
      </c>
      <c r="U302" s="48" t="s">
        <v>1436</v>
      </c>
      <c r="V302" s="48" t="s">
        <v>1436</v>
      </c>
      <c r="W302" s="48" t="s">
        <v>1436</v>
      </c>
      <c r="X302" s="49" t="s">
        <v>193</v>
      </c>
      <c r="Y302" s="48" t="s">
        <v>1194</v>
      </c>
      <c r="Z302" s="49" t="s">
        <v>1321</v>
      </c>
      <c r="AA302" s="48" t="s">
        <v>1324</v>
      </c>
      <c r="AB302" s="48" t="s">
        <v>1325</v>
      </c>
      <c r="AC302" s="48" t="s">
        <v>1239</v>
      </c>
      <c r="AD302" s="48" t="s">
        <v>1231</v>
      </c>
      <c r="AE302" s="48" t="s">
        <v>1669</v>
      </c>
      <c r="AF302" s="48" t="s">
        <v>1436</v>
      </c>
      <c r="AG302" s="48" t="s">
        <v>1436</v>
      </c>
      <c r="AH302" s="48" t="s">
        <v>208</v>
      </c>
      <c r="AI302" s="50">
        <v>44562</v>
      </c>
      <c r="AJ302" s="50">
        <v>46387</v>
      </c>
      <c r="AK302" s="49" t="s">
        <v>1280</v>
      </c>
      <c r="AL302" s="48" t="s">
        <v>36</v>
      </c>
      <c r="AM302" s="48" t="s">
        <v>36</v>
      </c>
      <c r="AN302" s="51">
        <v>-50000</v>
      </c>
      <c r="AO302" s="51"/>
      <c r="AP302" s="51"/>
      <c r="AQ302" s="72">
        <v>1600000</v>
      </c>
      <c r="AR302" s="72">
        <v>50000</v>
      </c>
      <c r="AS302" s="50">
        <v>46387</v>
      </c>
      <c r="AT302" s="50" t="s">
        <v>1436</v>
      </c>
      <c r="AU302" s="49" t="s">
        <v>1436</v>
      </c>
      <c r="AV302" s="49" t="s">
        <v>1670</v>
      </c>
      <c r="AW302" s="48" t="s">
        <v>1244</v>
      </c>
    </row>
    <row r="303" spans="1:49" x14ac:dyDescent="0.3">
      <c r="A303" s="48" t="s">
        <v>1320</v>
      </c>
      <c r="B303" s="48" t="s">
        <v>6</v>
      </c>
      <c r="C303" s="48" t="s">
        <v>1322</v>
      </c>
      <c r="D303" s="50">
        <v>45412</v>
      </c>
      <c r="E303" s="48" t="s">
        <v>36</v>
      </c>
      <c r="F303" s="48" t="s">
        <v>1433</v>
      </c>
      <c r="G303" s="48" t="s">
        <v>1447</v>
      </c>
      <c r="H303" s="49" t="s">
        <v>1449</v>
      </c>
      <c r="I303" s="48" t="s">
        <v>1409</v>
      </c>
      <c r="J303" s="48" t="s">
        <v>40</v>
      </c>
      <c r="K303" s="48" t="s">
        <v>45</v>
      </c>
      <c r="L303" s="48" t="s">
        <v>38</v>
      </c>
      <c r="M303" s="48" t="s">
        <v>37</v>
      </c>
      <c r="N303" s="48" t="s">
        <v>1436</v>
      </c>
      <c r="O303" s="48" t="s">
        <v>1436</v>
      </c>
      <c r="P303" s="48" t="s">
        <v>1436</v>
      </c>
      <c r="Q303" s="48" t="s">
        <v>38</v>
      </c>
      <c r="R303" s="48" t="s">
        <v>39</v>
      </c>
      <c r="S303" s="48" t="s">
        <v>40</v>
      </c>
      <c r="T303" s="48" t="s">
        <v>41</v>
      </c>
      <c r="U303" s="48" t="s">
        <v>1436</v>
      </c>
      <c r="V303" s="48" t="s">
        <v>1436</v>
      </c>
      <c r="W303" s="48" t="s">
        <v>1436</v>
      </c>
      <c r="X303" s="49" t="s">
        <v>193</v>
      </c>
      <c r="Y303" s="48" t="s">
        <v>1194</v>
      </c>
      <c r="Z303" s="49" t="s">
        <v>1321</v>
      </c>
      <c r="AA303" s="48" t="s">
        <v>1324</v>
      </c>
      <c r="AB303" s="48" t="s">
        <v>1325</v>
      </c>
      <c r="AC303" s="48" t="s">
        <v>1239</v>
      </c>
      <c r="AD303" s="48" t="s">
        <v>1231</v>
      </c>
      <c r="AE303" s="48" t="s">
        <v>1669</v>
      </c>
      <c r="AF303" s="48" t="s">
        <v>1436</v>
      </c>
      <c r="AG303" s="48" t="s">
        <v>1436</v>
      </c>
      <c r="AH303" s="48" t="s">
        <v>208</v>
      </c>
      <c r="AI303" s="50">
        <v>44562</v>
      </c>
      <c r="AJ303" s="50">
        <v>46387</v>
      </c>
      <c r="AK303" s="49" t="s">
        <v>1280</v>
      </c>
      <c r="AL303" s="48" t="s">
        <v>36</v>
      </c>
      <c r="AM303" s="48" t="s">
        <v>36</v>
      </c>
      <c r="AN303" s="51">
        <v>44251.049888000001</v>
      </c>
      <c r="AO303" s="51"/>
      <c r="AP303" s="51"/>
      <c r="AQ303" s="72">
        <v>1600000</v>
      </c>
      <c r="AR303" s="72">
        <v>50000</v>
      </c>
      <c r="AS303" s="50">
        <v>46387</v>
      </c>
      <c r="AT303" s="50" t="s">
        <v>1436</v>
      </c>
      <c r="AU303" s="49" t="s">
        <v>1436</v>
      </c>
      <c r="AV303" s="49" t="s">
        <v>1670</v>
      </c>
      <c r="AW303" s="48" t="s">
        <v>1244</v>
      </c>
    </row>
    <row r="304" spans="1:49" x14ac:dyDescent="0.3">
      <c r="A304" s="48" t="s">
        <v>1320</v>
      </c>
      <c r="B304" s="48" t="s">
        <v>6</v>
      </c>
      <c r="C304" s="48" t="s">
        <v>1322</v>
      </c>
      <c r="D304" s="50">
        <v>45412</v>
      </c>
      <c r="E304" s="48" t="s">
        <v>36</v>
      </c>
      <c r="F304" s="48" t="s">
        <v>1433</v>
      </c>
      <c r="G304" s="48" t="s">
        <v>1447</v>
      </c>
      <c r="H304" s="49" t="s">
        <v>1450</v>
      </c>
      <c r="I304" s="48" t="s">
        <v>1408</v>
      </c>
      <c r="J304" s="48" t="s">
        <v>40</v>
      </c>
      <c r="K304" s="48" t="s">
        <v>54</v>
      </c>
      <c r="L304" s="48" t="s">
        <v>38</v>
      </c>
      <c r="M304" s="48" t="s">
        <v>37</v>
      </c>
      <c r="N304" s="48" t="s">
        <v>1436</v>
      </c>
      <c r="O304" s="48" t="s">
        <v>1436</v>
      </c>
      <c r="P304" s="48" t="s">
        <v>1436</v>
      </c>
      <c r="Q304" s="48" t="s">
        <v>38</v>
      </c>
      <c r="R304" s="48" t="s">
        <v>39</v>
      </c>
      <c r="S304" s="48" t="s">
        <v>40</v>
      </c>
      <c r="T304" s="48" t="s">
        <v>41</v>
      </c>
      <c r="U304" s="48" t="s">
        <v>1436</v>
      </c>
      <c r="V304" s="48" t="s">
        <v>1436</v>
      </c>
      <c r="W304" s="48" t="s">
        <v>1436</v>
      </c>
      <c r="X304" s="49" t="s">
        <v>193</v>
      </c>
      <c r="Y304" s="48" t="s">
        <v>1194</v>
      </c>
      <c r="Z304" s="49" t="s">
        <v>1321</v>
      </c>
      <c r="AA304" s="48" t="s">
        <v>1324</v>
      </c>
      <c r="AB304" s="48" t="s">
        <v>1325</v>
      </c>
      <c r="AC304" s="48" t="s">
        <v>1239</v>
      </c>
      <c r="AD304" s="48" t="s">
        <v>1231</v>
      </c>
      <c r="AE304" s="48" t="s">
        <v>1669</v>
      </c>
      <c r="AF304" s="48" t="s">
        <v>1436</v>
      </c>
      <c r="AG304" s="48" t="s">
        <v>1436</v>
      </c>
      <c r="AH304" s="48" t="s">
        <v>208</v>
      </c>
      <c r="AI304" s="50">
        <v>44562</v>
      </c>
      <c r="AJ304" s="50">
        <v>46387</v>
      </c>
      <c r="AK304" s="49" t="s">
        <v>1280</v>
      </c>
      <c r="AL304" s="48" t="s">
        <v>36</v>
      </c>
      <c r="AM304" s="48" t="s">
        <v>36</v>
      </c>
      <c r="AN304" s="51">
        <v>-2983.26</v>
      </c>
      <c r="AO304" s="51"/>
      <c r="AP304" s="51"/>
      <c r="AQ304" s="72">
        <v>1600000</v>
      </c>
      <c r="AR304" s="72">
        <v>50000</v>
      </c>
      <c r="AS304" s="50">
        <v>46387</v>
      </c>
      <c r="AT304" s="50" t="s">
        <v>1436</v>
      </c>
      <c r="AU304" s="49" t="s">
        <v>1436</v>
      </c>
      <c r="AV304" s="49" t="s">
        <v>1670</v>
      </c>
      <c r="AW304" s="48" t="s">
        <v>1244</v>
      </c>
    </row>
    <row r="305" spans="1:49" x14ac:dyDescent="0.3">
      <c r="A305" s="48" t="s">
        <v>1320</v>
      </c>
      <c r="B305" s="48" t="s">
        <v>6</v>
      </c>
      <c r="C305" s="48" t="s">
        <v>1322</v>
      </c>
      <c r="D305" s="50">
        <v>45412</v>
      </c>
      <c r="E305" s="48" t="s">
        <v>36</v>
      </c>
      <c r="F305" s="48" t="s">
        <v>1433</v>
      </c>
      <c r="G305" s="48" t="s">
        <v>1447</v>
      </c>
      <c r="H305" s="49" t="s">
        <v>1451</v>
      </c>
      <c r="I305" s="48" t="s">
        <v>1404</v>
      </c>
      <c r="J305" s="48" t="s">
        <v>38</v>
      </c>
      <c r="K305" s="48" t="s">
        <v>49</v>
      </c>
      <c r="L305" s="48" t="s">
        <v>38</v>
      </c>
      <c r="M305" s="48" t="s">
        <v>37</v>
      </c>
      <c r="N305" s="48" t="s">
        <v>1436</v>
      </c>
      <c r="O305" s="48" t="s">
        <v>1436</v>
      </c>
      <c r="P305" s="48" t="s">
        <v>1436</v>
      </c>
      <c r="Q305" s="48" t="s">
        <v>38</v>
      </c>
      <c r="R305" s="48" t="s">
        <v>39</v>
      </c>
      <c r="S305" s="48" t="s">
        <v>38</v>
      </c>
      <c r="T305" s="48" t="s">
        <v>41</v>
      </c>
      <c r="U305" s="48" t="s">
        <v>1436</v>
      </c>
      <c r="V305" s="48" t="s">
        <v>1436</v>
      </c>
      <c r="W305" s="48" t="s">
        <v>1436</v>
      </c>
      <c r="X305" s="49" t="s">
        <v>193</v>
      </c>
      <c r="Y305" s="48" t="s">
        <v>1194</v>
      </c>
      <c r="Z305" s="49" t="s">
        <v>1321</v>
      </c>
      <c r="AA305" s="48" t="s">
        <v>1324</v>
      </c>
      <c r="AB305" s="48" t="s">
        <v>1325</v>
      </c>
      <c r="AC305" s="48" t="s">
        <v>1239</v>
      </c>
      <c r="AD305" s="48" t="s">
        <v>1231</v>
      </c>
      <c r="AE305" s="48" t="s">
        <v>1669</v>
      </c>
      <c r="AF305" s="48" t="s">
        <v>1436</v>
      </c>
      <c r="AG305" s="48" t="s">
        <v>1436</v>
      </c>
      <c r="AH305" s="48" t="s">
        <v>208</v>
      </c>
      <c r="AI305" s="50">
        <v>44562</v>
      </c>
      <c r="AJ305" s="50">
        <v>46387</v>
      </c>
      <c r="AK305" s="49" t="s">
        <v>1280</v>
      </c>
      <c r="AL305" s="48" t="s">
        <v>36</v>
      </c>
      <c r="AM305" s="48" t="s">
        <v>36</v>
      </c>
      <c r="AN305" s="51">
        <v>240.72877399999999</v>
      </c>
      <c r="AO305" s="51"/>
      <c r="AP305" s="51"/>
      <c r="AQ305" s="72">
        <v>1600000</v>
      </c>
      <c r="AR305" s="72">
        <v>50000</v>
      </c>
      <c r="AS305" s="50">
        <v>46387</v>
      </c>
      <c r="AT305" s="50" t="s">
        <v>1436</v>
      </c>
      <c r="AU305" s="49" t="s">
        <v>1436</v>
      </c>
      <c r="AV305" s="49" t="s">
        <v>1670</v>
      </c>
      <c r="AW305" s="48" t="s">
        <v>1244</v>
      </c>
    </row>
    <row r="306" spans="1:49" x14ac:dyDescent="0.3">
      <c r="A306" s="48" t="s">
        <v>1320</v>
      </c>
      <c r="B306" s="48" t="s">
        <v>6</v>
      </c>
      <c r="C306" s="48" t="s">
        <v>1322</v>
      </c>
      <c r="D306" s="50">
        <v>45443</v>
      </c>
      <c r="E306" s="48" t="s">
        <v>36</v>
      </c>
      <c r="F306" s="48" t="s">
        <v>1433</v>
      </c>
      <c r="G306" s="48" t="s">
        <v>1434</v>
      </c>
      <c r="H306" s="49" t="s">
        <v>1435</v>
      </c>
      <c r="I306" s="48" t="s">
        <v>1412</v>
      </c>
      <c r="J306" s="48" t="s">
        <v>40</v>
      </c>
      <c r="K306" s="48" t="s">
        <v>52</v>
      </c>
      <c r="L306" s="48" t="s">
        <v>38</v>
      </c>
      <c r="M306" s="48" t="s">
        <v>37</v>
      </c>
      <c r="N306" s="48" t="s">
        <v>1436</v>
      </c>
      <c r="O306" s="48" t="s">
        <v>1436</v>
      </c>
      <c r="P306" s="48" t="s">
        <v>1436</v>
      </c>
      <c r="Q306" s="48" t="s">
        <v>38</v>
      </c>
      <c r="R306" s="48" t="s">
        <v>39</v>
      </c>
      <c r="S306" s="48" t="s">
        <v>40</v>
      </c>
      <c r="T306" s="48" t="s">
        <v>41</v>
      </c>
      <c r="U306" s="48" t="s">
        <v>1436</v>
      </c>
      <c r="V306" s="48" t="s">
        <v>1436</v>
      </c>
      <c r="W306" s="48" t="s">
        <v>1436</v>
      </c>
      <c r="X306" s="49" t="s">
        <v>193</v>
      </c>
      <c r="Y306" s="48" t="s">
        <v>1194</v>
      </c>
      <c r="Z306" s="49" t="s">
        <v>1321</v>
      </c>
      <c r="AA306" s="48" t="s">
        <v>1324</v>
      </c>
      <c r="AB306" s="48" t="s">
        <v>1325</v>
      </c>
      <c r="AC306" s="48" t="s">
        <v>1239</v>
      </c>
      <c r="AD306" s="48" t="s">
        <v>1231</v>
      </c>
      <c r="AE306" s="48" t="s">
        <v>1669</v>
      </c>
      <c r="AF306" s="48" t="s">
        <v>1436</v>
      </c>
      <c r="AG306" s="48" t="s">
        <v>1436</v>
      </c>
      <c r="AH306" s="48" t="s">
        <v>208</v>
      </c>
      <c r="AI306" s="50">
        <v>44562</v>
      </c>
      <c r="AJ306" s="50">
        <v>46387</v>
      </c>
      <c r="AK306" s="49" t="s">
        <v>1280</v>
      </c>
      <c r="AL306" s="48" t="s">
        <v>36</v>
      </c>
      <c r="AM306" s="48" t="s">
        <v>36</v>
      </c>
      <c r="AN306" s="51">
        <v>-42330.49</v>
      </c>
      <c r="AO306" s="51"/>
      <c r="AP306" s="51"/>
      <c r="AQ306" s="72">
        <v>1600000</v>
      </c>
      <c r="AR306" s="72">
        <v>50000</v>
      </c>
      <c r="AS306" s="50">
        <v>46387</v>
      </c>
      <c r="AT306" s="50" t="s">
        <v>1436</v>
      </c>
      <c r="AU306" s="49" t="s">
        <v>1436</v>
      </c>
      <c r="AV306" s="49" t="s">
        <v>1670</v>
      </c>
      <c r="AW306" s="48" t="s">
        <v>1244</v>
      </c>
    </row>
    <row r="307" spans="1:49" x14ac:dyDescent="0.3">
      <c r="A307" s="48" t="s">
        <v>1320</v>
      </c>
      <c r="B307" s="48" t="s">
        <v>6</v>
      </c>
      <c r="C307" s="48" t="s">
        <v>1322</v>
      </c>
      <c r="D307" s="50">
        <v>45443</v>
      </c>
      <c r="E307" s="48" t="s">
        <v>36</v>
      </c>
      <c r="F307" s="48" t="s">
        <v>1433</v>
      </c>
      <c r="G307" s="48" t="s">
        <v>1434</v>
      </c>
      <c r="H307" s="49" t="s">
        <v>1437</v>
      </c>
      <c r="I307" s="48" t="s">
        <v>1410</v>
      </c>
      <c r="J307" s="48" t="s">
        <v>40</v>
      </c>
      <c r="K307" s="48" t="s">
        <v>42</v>
      </c>
      <c r="L307" s="48" t="s">
        <v>38</v>
      </c>
      <c r="M307" s="48" t="s">
        <v>37</v>
      </c>
      <c r="N307" s="48" t="s">
        <v>1436</v>
      </c>
      <c r="O307" s="48" t="s">
        <v>1436</v>
      </c>
      <c r="P307" s="48" t="s">
        <v>1436</v>
      </c>
      <c r="Q307" s="48" t="s">
        <v>38</v>
      </c>
      <c r="R307" s="48" t="s">
        <v>39</v>
      </c>
      <c r="S307" s="48" t="s">
        <v>40</v>
      </c>
      <c r="T307" s="48" t="s">
        <v>41</v>
      </c>
      <c r="U307" s="48" t="s">
        <v>1436</v>
      </c>
      <c r="V307" s="48" t="s">
        <v>1436</v>
      </c>
      <c r="W307" s="48" t="s">
        <v>1436</v>
      </c>
      <c r="X307" s="49" t="s">
        <v>193</v>
      </c>
      <c r="Y307" s="48" t="s">
        <v>1194</v>
      </c>
      <c r="Z307" s="49" t="s">
        <v>1321</v>
      </c>
      <c r="AA307" s="48" t="s">
        <v>1324</v>
      </c>
      <c r="AB307" s="48" t="s">
        <v>1325</v>
      </c>
      <c r="AC307" s="48" t="s">
        <v>1239</v>
      </c>
      <c r="AD307" s="48" t="s">
        <v>1231</v>
      </c>
      <c r="AE307" s="48" t="s">
        <v>1669</v>
      </c>
      <c r="AF307" s="48" t="s">
        <v>1436</v>
      </c>
      <c r="AG307" s="48" t="s">
        <v>1436</v>
      </c>
      <c r="AH307" s="48" t="s">
        <v>208</v>
      </c>
      <c r="AI307" s="50">
        <v>44562</v>
      </c>
      <c r="AJ307" s="50">
        <v>46387</v>
      </c>
      <c r="AK307" s="49" t="s">
        <v>1280</v>
      </c>
      <c r="AL307" s="48" t="s">
        <v>36</v>
      </c>
      <c r="AM307" s="48" t="s">
        <v>36</v>
      </c>
      <c r="AN307" s="51">
        <v>0</v>
      </c>
      <c r="AO307" s="51"/>
      <c r="AP307" s="51"/>
      <c r="AQ307" s="72">
        <v>1600000</v>
      </c>
      <c r="AR307" s="72">
        <v>50000</v>
      </c>
      <c r="AS307" s="50">
        <v>46387</v>
      </c>
      <c r="AT307" s="50" t="s">
        <v>1436</v>
      </c>
      <c r="AU307" s="49" t="s">
        <v>1436</v>
      </c>
      <c r="AV307" s="49" t="s">
        <v>1670</v>
      </c>
      <c r="AW307" s="48" t="s">
        <v>1244</v>
      </c>
    </row>
    <row r="308" spans="1:49" x14ac:dyDescent="0.3">
      <c r="A308" s="48" t="s">
        <v>1320</v>
      </c>
      <c r="B308" s="48" t="s">
        <v>6</v>
      </c>
      <c r="C308" s="48" t="s">
        <v>1322</v>
      </c>
      <c r="D308" s="50">
        <v>45443</v>
      </c>
      <c r="E308" s="48" t="s">
        <v>36</v>
      </c>
      <c r="F308" s="48" t="s">
        <v>1438</v>
      </c>
      <c r="G308" s="48" t="s">
        <v>1439</v>
      </c>
      <c r="H308" s="49" t="s">
        <v>1440</v>
      </c>
      <c r="I308" s="48" t="s">
        <v>1406</v>
      </c>
      <c r="J308" s="48" t="s">
        <v>1194</v>
      </c>
      <c r="K308" s="48" t="s">
        <v>1441</v>
      </c>
      <c r="L308" s="48" t="s">
        <v>38</v>
      </c>
      <c r="M308" s="48" t="s">
        <v>37</v>
      </c>
      <c r="N308" s="48" t="s">
        <v>1436</v>
      </c>
      <c r="O308" s="48" t="s">
        <v>1436</v>
      </c>
      <c r="P308" s="48" t="s">
        <v>1436</v>
      </c>
      <c r="Q308" s="48" t="s">
        <v>38</v>
      </c>
      <c r="R308" s="48" t="s">
        <v>39</v>
      </c>
      <c r="S308" s="48" t="s">
        <v>1194</v>
      </c>
      <c r="T308" s="48" t="s">
        <v>41</v>
      </c>
      <c r="U308" s="48" t="s">
        <v>1436</v>
      </c>
      <c r="V308" s="48" t="s">
        <v>1436</v>
      </c>
      <c r="W308" s="48" t="s">
        <v>1436</v>
      </c>
      <c r="X308" s="49" t="s">
        <v>193</v>
      </c>
      <c r="Y308" s="48" t="s">
        <v>1194</v>
      </c>
      <c r="Z308" s="49" t="s">
        <v>1321</v>
      </c>
      <c r="AA308" s="48" t="s">
        <v>1324</v>
      </c>
      <c r="AB308" s="48" t="s">
        <v>1325</v>
      </c>
      <c r="AC308" s="48" t="s">
        <v>1239</v>
      </c>
      <c r="AD308" s="48" t="s">
        <v>1231</v>
      </c>
      <c r="AE308" s="48" t="s">
        <v>1669</v>
      </c>
      <c r="AF308" s="48" t="s">
        <v>1436</v>
      </c>
      <c r="AG308" s="48" t="s">
        <v>1436</v>
      </c>
      <c r="AH308" s="48" t="s">
        <v>208</v>
      </c>
      <c r="AI308" s="50">
        <v>44562</v>
      </c>
      <c r="AJ308" s="50">
        <v>46387</v>
      </c>
      <c r="AK308" s="49" t="s">
        <v>1280</v>
      </c>
      <c r="AL308" s="48" t="s">
        <v>36</v>
      </c>
      <c r="AM308" s="48" t="s">
        <v>36</v>
      </c>
      <c r="AN308" s="51">
        <v>0</v>
      </c>
      <c r="AO308" s="51"/>
      <c r="AP308" s="51"/>
      <c r="AQ308" s="72">
        <v>1600000</v>
      </c>
      <c r="AR308" s="72">
        <v>50000</v>
      </c>
      <c r="AS308" s="50">
        <v>46387</v>
      </c>
      <c r="AT308" s="50" t="s">
        <v>1436</v>
      </c>
      <c r="AU308" s="49" t="s">
        <v>1436</v>
      </c>
      <c r="AV308" s="49" t="s">
        <v>1670</v>
      </c>
      <c r="AW308" s="48" t="s">
        <v>1244</v>
      </c>
    </row>
    <row r="309" spans="1:49" x14ac:dyDescent="0.3">
      <c r="A309" s="48" t="s">
        <v>1320</v>
      </c>
      <c r="B309" s="48" t="s">
        <v>6</v>
      </c>
      <c r="C309" s="48" t="s">
        <v>1322</v>
      </c>
      <c r="D309" s="50">
        <v>45443</v>
      </c>
      <c r="E309" s="48" t="s">
        <v>36</v>
      </c>
      <c r="F309" s="48" t="s">
        <v>1438</v>
      </c>
      <c r="G309" s="48" t="s">
        <v>1439</v>
      </c>
      <c r="H309" s="49" t="s">
        <v>1442</v>
      </c>
      <c r="I309" s="48" t="s">
        <v>1405</v>
      </c>
      <c r="J309" s="48" t="s">
        <v>1194</v>
      </c>
      <c r="K309" s="48" t="s">
        <v>1443</v>
      </c>
      <c r="L309" s="48" t="s">
        <v>38</v>
      </c>
      <c r="M309" s="48" t="s">
        <v>37</v>
      </c>
      <c r="N309" s="48" t="s">
        <v>1436</v>
      </c>
      <c r="O309" s="48" t="s">
        <v>1436</v>
      </c>
      <c r="P309" s="48" t="s">
        <v>1436</v>
      </c>
      <c r="Q309" s="48" t="s">
        <v>38</v>
      </c>
      <c r="R309" s="48" t="s">
        <v>39</v>
      </c>
      <c r="S309" s="48" t="s">
        <v>1194</v>
      </c>
      <c r="T309" s="48" t="s">
        <v>41</v>
      </c>
      <c r="U309" s="48" t="s">
        <v>1436</v>
      </c>
      <c r="V309" s="48" t="s">
        <v>1436</v>
      </c>
      <c r="W309" s="48" t="s">
        <v>1436</v>
      </c>
      <c r="X309" s="49" t="s">
        <v>193</v>
      </c>
      <c r="Y309" s="48" t="s">
        <v>1194</v>
      </c>
      <c r="Z309" s="49" t="s">
        <v>1321</v>
      </c>
      <c r="AA309" s="48" t="s">
        <v>1324</v>
      </c>
      <c r="AB309" s="48" t="s">
        <v>1325</v>
      </c>
      <c r="AC309" s="48" t="s">
        <v>1239</v>
      </c>
      <c r="AD309" s="48" t="s">
        <v>1231</v>
      </c>
      <c r="AE309" s="48" t="s">
        <v>1669</v>
      </c>
      <c r="AF309" s="48" t="s">
        <v>1436</v>
      </c>
      <c r="AG309" s="48" t="s">
        <v>1436</v>
      </c>
      <c r="AH309" s="48" t="s">
        <v>208</v>
      </c>
      <c r="AI309" s="50">
        <v>44562</v>
      </c>
      <c r="AJ309" s="50">
        <v>46387</v>
      </c>
      <c r="AK309" s="49" t="s">
        <v>1280</v>
      </c>
      <c r="AL309" s="48" t="s">
        <v>36</v>
      </c>
      <c r="AM309" s="48" t="s">
        <v>36</v>
      </c>
      <c r="AN309" s="51">
        <v>0</v>
      </c>
      <c r="AO309" s="51"/>
      <c r="AP309" s="51"/>
      <c r="AQ309" s="72">
        <v>1600000</v>
      </c>
      <c r="AR309" s="72">
        <v>50000</v>
      </c>
      <c r="AS309" s="50">
        <v>46387</v>
      </c>
      <c r="AT309" s="50" t="s">
        <v>1436</v>
      </c>
      <c r="AU309" s="49" t="s">
        <v>1436</v>
      </c>
      <c r="AV309" s="49" t="s">
        <v>1670</v>
      </c>
      <c r="AW309" s="48" t="s">
        <v>1244</v>
      </c>
    </row>
    <row r="310" spans="1:49" x14ac:dyDescent="0.3">
      <c r="A310" s="48" t="s">
        <v>1320</v>
      </c>
      <c r="B310" s="48" t="s">
        <v>6</v>
      </c>
      <c r="C310" s="48" t="s">
        <v>1322</v>
      </c>
      <c r="D310" s="50">
        <v>45443</v>
      </c>
      <c r="E310" s="48" t="s">
        <v>36</v>
      </c>
      <c r="F310" s="48" t="s">
        <v>1438</v>
      </c>
      <c r="G310" s="48" t="s">
        <v>1444</v>
      </c>
      <c r="H310" s="49" t="s">
        <v>1445</v>
      </c>
      <c r="I310" s="48" t="s">
        <v>1411</v>
      </c>
      <c r="J310" s="48" t="s">
        <v>40</v>
      </c>
      <c r="K310" s="48" t="s">
        <v>50</v>
      </c>
      <c r="L310" s="48" t="s">
        <v>38</v>
      </c>
      <c r="M310" s="48" t="s">
        <v>37</v>
      </c>
      <c r="N310" s="48" t="s">
        <v>1436</v>
      </c>
      <c r="O310" s="48" t="s">
        <v>1436</v>
      </c>
      <c r="P310" s="48" t="s">
        <v>1436</v>
      </c>
      <c r="Q310" s="48" t="s">
        <v>38</v>
      </c>
      <c r="R310" s="48" t="s">
        <v>39</v>
      </c>
      <c r="S310" s="48" t="s">
        <v>40</v>
      </c>
      <c r="T310" s="48" t="s">
        <v>41</v>
      </c>
      <c r="U310" s="48" t="s">
        <v>1436</v>
      </c>
      <c r="V310" s="48" t="s">
        <v>1436</v>
      </c>
      <c r="W310" s="48" t="s">
        <v>1436</v>
      </c>
      <c r="X310" s="49" t="s">
        <v>193</v>
      </c>
      <c r="Y310" s="48" t="s">
        <v>1194</v>
      </c>
      <c r="Z310" s="49" t="s">
        <v>1321</v>
      </c>
      <c r="AA310" s="48" t="s">
        <v>1324</v>
      </c>
      <c r="AB310" s="48" t="s">
        <v>1325</v>
      </c>
      <c r="AC310" s="48" t="s">
        <v>1239</v>
      </c>
      <c r="AD310" s="48" t="s">
        <v>1231</v>
      </c>
      <c r="AE310" s="48" t="s">
        <v>1669</v>
      </c>
      <c r="AF310" s="48" t="s">
        <v>1436</v>
      </c>
      <c r="AG310" s="48" t="s">
        <v>1436</v>
      </c>
      <c r="AH310" s="48" t="s">
        <v>208</v>
      </c>
      <c r="AI310" s="50">
        <v>44562</v>
      </c>
      <c r="AJ310" s="50">
        <v>46387</v>
      </c>
      <c r="AK310" s="49" t="s">
        <v>1280</v>
      </c>
      <c r="AL310" s="48" t="s">
        <v>36</v>
      </c>
      <c r="AM310" s="48" t="s">
        <v>36</v>
      </c>
      <c r="AN310" s="51">
        <v>42330.49</v>
      </c>
      <c r="AO310" s="51"/>
      <c r="AP310" s="51"/>
      <c r="AQ310" s="72">
        <v>1600000</v>
      </c>
      <c r="AR310" s="72">
        <v>50000</v>
      </c>
      <c r="AS310" s="50">
        <v>46387</v>
      </c>
      <c r="AT310" s="50" t="s">
        <v>1436</v>
      </c>
      <c r="AU310" s="49" t="s">
        <v>1436</v>
      </c>
      <c r="AV310" s="49" t="s">
        <v>1670</v>
      </c>
      <c r="AW310" s="48" t="s">
        <v>1244</v>
      </c>
    </row>
    <row r="311" spans="1:49" x14ac:dyDescent="0.3">
      <c r="A311" s="48" t="s">
        <v>1320</v>
      </c>
      <c r="B311" s="48" t="s">
        <v>6</v>
      </c>
      <c r="C311" s="48" t="s">
        <v>1322</v>
      </c>
      <c r="D311" s="50">
        <v>45443</v>
      </c>
      <c r="E311" s="48" t="s">
        <v>36</v>
      </c>
      <c r="F311" s="48" t="s">
        <v>1438</v>
      </c>
      <c r="G311" s="48" t="s">
        <v>1444</v>
      </c>
      <c r="H311" s="49" t="s">
        <v>1446</v>
      </c>
      <c r="I311" s="48" t="s">
        <v>1407</v>
      </c>
      <c r="J311" s="48" t="s">
        <v>40</v>
      </c>
      <c r="K311" s="48" t="s">
        <v>47</v>
      </c>
      <c r="L311" s="48" t="s">
        <v>38</v>
      </c>
      <c r="M311" s="48" t="s">
        <v>37</v>
      </c>
      <c r="N311" s="48" t="s">
        <v>1436</v>
      </c>
      <c r="O311" s="48" t="s">
        <v>1436</v>
      </c>
      <c r="P311" s="48" t="s">
        <v>1436</v>
      </c>
      <c r="Q311" s="48" t="s">
        <v>38</v>
      </c>
      <c r="R311" s="48" t="s">
        <v>39</v>
      </c>
      <c r="S311" s="48" t="s">
        <v>40</v>
      </c>
      <c r="T311" s="48" t="s">
        <v>41</v>
      </c>
      <c r="U311" s="48" t="s">
        <v>1436</v>
      </c>
      <c r="V311" s="48" t="s">
        <v>1436</v>
      </c>
      <c r="W311" s="48" t="s">
        <v>1436</v>
      </c>
      <c r="X311" s="49" t="s">
        <v>193</v>
      </c>
      <c r="Y311" s="48" t="s">
        <v>1194</v>
      </c>
      <c r="Z311" s="49" t="s">
        <v>1321</v>
      </c>
      <c r="AA311" s="48" t="s">
        <v>1324</v>
      </c>
      <c r="AB311" s="48" t="s">
        <v>1325</v>
      </c>
      <c r="AC311" s="48" t="s">
        <v>1239</v>
      </c>
      <c r="AD311" s="48" t="s">
        <v>1231</v>
      </c>
      <c r="AE311" s="48" t="s">
        <v>1669</v>
      </c>
      <c r="AF311" s="48" t="s">
        <v>1436</v>
      </c>
      <c r="AG311" s="48" t="s">
        <v>1436</v>
      </c>
      <c r="AH311" s="48" t="s">
        <v>208</v>
      </c>
      <c r="AI311" s="50">
        <v>44562</v>
      </c>
      <c r="AJ311" s="50">
        <v>46387</v>
      </c>
      <c r="AK311" s="49" t="s">
        <v>1280</v>
      </c>
      <c r="AL311" s="48" t="s">
        <v>36</v>
      </c>
      <c r="AM311" s="48" t="s">
        <v>36</v>
      </c>
      <c r="AN311" s="51">
        <v>8249.3483120000001</v>
      </c>
      <c r="AO311" s="51"/>
      <c r="AP311" s="51"/>
      <c r="AQ311" s="72">
        <v>1600000</v>
      </c>
      <c r="AR311" s="72">
        <v>50000</v>
      </c>
      <c r="AS311" s="50">
        <v>46387</v>
      </c>
      <c r="AT311" s="50" t="s">
        <v>1436</v>
      </c>
      <c r="AU311" s="49" t="s">
        <v>1436</v>
      </c>
      <c r="AV311" s="49" t="s">
        <v>1670</v>
      </c>
      <c r="AW311" s="48" t="s">
        <v>1244</v>
      </c>
    </row>
    <row r="312" spans="1:49" x14ac:dyDescent="0.3">
      <c r="A312" s="48" t="s">
        <v>1320</v>
      </c>
      <c r="B312" s="48" t="s">
        <v>6</v>
      </c>
      <c r="C312" s="48" t="s">
        <v>1322</v>
      </c>
      <c r="D312" s="50">
        <v>45443</v>
      </c>
      <c r="E312" s="48" t="s">
        <v>36</v>
      </c>
      <c r="F312" s="48" t="s">
        <v>1433</v>
      </c>
      <c r="G312" s="48" t="s">
        <v>1447</v>
      </c>
      <c r="H312" s="49" t="s">
        <v>1448</v>
      </c>
      <c r="I312" s="48" t="s">
        <v>1413</v>
      </c>
      <c r="J312" s="48" t="s">
        <v>40</v>
      </c>
      <c r="K312" s="48" t="s">
        <v>58</v>
      </c>
      <c r="L312" s="48" t="s">
        <v>38</v>
      </c>
      <c r="M312" s="48" t="s">
        <v>37</v>
      </c>
      <c r="N312" s="48" t="s">
        <v>1436</v>
      </c>
      <c r="O312" s="48" t="s">
        <v>1436</v>
      </c>
      <c r="P312" s="48" t="s">
        <v>1436</v>
      </c>
      <c r="Q312" s="48" t="s">
        <v>38</v>
      </c>
      <c r="R312" s="48" t="s">
        <v>39</v>
      </c>
      <c r="S312" s="48" t="s">
        <v>40</v>
      </c>
      <c r="T312" s="48" t="s">
        <v>41</v>
      </c>
      <c r="U312" s="48" t="s">
        <v>1436</v>
      </c>
      <c r="V312" s="48" t="s">
        <v>1436</v>
      </c>
      <c r="W312" s="48" t="s">
        <v>1436</v>
      </c>
      <c r="X312" s="49" t="s">
        <v>193</v>
      </c>
      <c r="Y312" s="48" t="s">
        <v>1194</v>
      </c>
      <c r="Z312" s="49" t="s">
        <v>1321</v>
      </c>
      <c r="AA312" s="48" t="s">
        <v>1324</v>
      </c>
      <c r="AB312" s="48" t="s">
        <v>1325</v>
      </c>
      <c r="AC312" s="48" t="s">
        <v>1239</v>
      </c>
      <c r="AD312" s="48" t="s">
        <v>1231</v>
      </c>
      <c r="AE312" s="48" t="s">
        <v>1669</v>
      </c>
      <c r="AF312" s="48" t="s">
        <v>1436</v>
      </c>
      <c r="AG312" s="48" t="s">
        <v>1436</v>
      </c>
      <c r="AH312" s="48" t="s">
        <v>208</v>
      </c>
      <c r="AI312" s="50">
        <v>44562</v>
      </c>
      <c r="AJ312" s="50">
        <v>46387</v>
      </c>
      <c r="AK312" s="49" t="s">
        <v>1280</v>
      </c>
      <c r="AL312" s="48" t="s">
        <v>36</v>
      </c>
      <c r="AM312" s="48" t="s">
        <v>36</v>
      </c>
      <c r="AN312" s="51">
        <v>-50000</v>
      </c>
      <c r="AO312" s="51"/>
      <c r="AP312" s="51"/>
      <c r="AQ312" s="72">
        <v>1600000</v>
      </c>
      <c r="AR312" s="72">
        <v>50000</v>
      </c>
      <c r="AS312" s="50">
        <v>46387</v>
      </c>
      <c r="AT312" s="50" t="s">
        <v>1436</v>
      </c>
      <c r="AU312" s="49" t="s">
        <v>1436</v>
      </c>
      <c r="AV312" s="49" t="s">
        <v>1670</v>
      </c>
      <c r="AW312" s="48" t="s">
        <v>1244</v>
      </c>
    </row>
    <row r="313" spans="1:49" x14ac:dyDescent="0.3">
      <c r="A313" s="48" t="s">
        <v>1320</v>
      </c>
      <c r="B313" s="48" t="s">
        <v>6</v>
      </c>
      <c r="C313" s="48" t="s">
        <v>1322</v>
      </c>
      <c r="D313" s="50">
        <v>45443</v>
      </c>
      <c r="E313" s="48" t="s">
        <v>36</v>
      </c>
      <c r="F313" s="48" t="s">
        <v>1433</v>
      </c>
      <c r="G313" s="48" t="s">
        <v>1447</v>
      </c>
      <c r="H313" s="49" t="s">
        <v>1449</v>
      </c>
      <c r="I313" s="48" t="s">
        <v>1409</v>
      </c>
      <c r="J313" s="48" t="s">
        <v>40</v>
      </c>
      <c r="K313" s="48" t="s">
        <v>45</v>
      </c>
      <c r="L313" s="48" t="s">
        <v>38</v>
      </c>
      <c r="M313" s="48" t="s">
        <v>37</v>
      </c>
      <c r="N313" s="48" t="s">
        <v>1436</v>
      </c>
      <c r="O313" s="48" t="s">
        <v>1436</v>
      </c>
      <c r="P313" s="48" t="s">
        <v>1436</v>
      </c>
      <c r="Q313" s="48" t="s">
        <v>38</v>
      </c>
      <c r="R313" s="48" t="s">
        <v>39</v>
      </c>
      <c r="S313" s="48" t="s">
        <v>40</v>
      </c>
      <c r="T313" s="48" t="s">
        <v>41</v>
      </c>
      <c r="U313" s="48" t="s">
        <v>1436</v>
      </c>
      <c r="V313" s="48" t="s">
        <v>1436</v>
      </c>
      <c r="W313" s="48" t="s">
        <v>1436</v>
      </c>
      <c r="X313" s="49" t="s">
        <v>193</v>
      </c>
      <c r="Y313" s="48" t="s">
        <v>1194</v>
      </c>
      <c r="Z313" s="49" t="s">
        <v>1321</v>
      </c>
      <c r="AA313" s="48" t="s">
        <v>1324</v>
      </c>
      <c r="AB313" s="48" t="s">
        <v>1325</v>
      </c>
      <c r="AC313" s="48" t="s">
        <v>1239</v>
      </c>
      <c r="AD313" s="48" t="s">
        <v>1231</v>
      </c>
      <c r="AE313" s="48" t="s">
        <v>1669</v>
      </c>
      <c r="AF313" s="48" t="s">
        <v>1436</v>
      </c>
      <c r="AG313" s="48" t="s">
        <v>1436</v>
      </c>
      <c r="AH313" s="48" t="s">
        <v>208</v>
      </c>
      <c r="AI313" s="50">
        <v>44562</v>
      </c>
      <c r="AJ313" s="50">
        <v>46387</v>
      </c>
      <c r="AK313" s="49" t="s">
        <v>1280</v>
      </c>
      <c r="AL313" s="48" t="s">
        <v>36</v>
      </c>
      <c r="AM313" s="48" t="s">
        <v>36</v>
      </c>
      <c r="AN313" s="51">
        <v>44509.168661999996</v>
      </c>
      <c r="AO313" s="51"/>
      <c r="AP313" s="51"/>
      <c r="AQ313" s="72">
        <v>1600000</v>
      </c>
      <c r="AR313" s="72">
        <v>50000</v>
      </c>
      <c r="AS313" s="50">
        <v>46387</v>
      </c>
      <c r="AT313" s="50" t="s">
        <v>1436</v>
      </c>
      <c r="AU313" s="49" t="s">
        <v>1436</v>
      </c>
      <c r="AV313" s="49" t="s">
        <v>1670</v>
      </c>
      <c r="AW313" s="48" t="s">
        <v>1244</v>
      </c>
    </row>
    <row r="314" spans="1:49" x14ac:dyDescent="0.3">
      <c r="A314" s="48" t="s">
        <v>1320</v>
      </c>
      <c r="B314" s="48" t="s">
        <v>6</v>
      </c>
      <c r="C314" s="48" t="s">
        <v>1322</v>
      </c>
      <c r="D314" s="50">
        <v>45443</v>
      </c>
      <c r="E314" s="48" t="s">
        <v>36</v>
      </c>
      <c r="F314" s="48" t="s">
        <v>1433</v>
      </c>
      <c r="G314" s="48" t="s">
        <v>1447</v>
      </c>
      <c r="H314" s="49" t="s">
        <v>1450</v>
      </c>
      <c r="I314" s="48" t="s">
        <v>1408</v>
      </c>
      <c r="J314" s="48" t="s">
        <v>40</v>
      </c>
      <c r="K314" s="48" t="s">
        <v>54</v>
      </c>
      <c r="L314" s="48" t="s">
        <v>38</v>
      </c>
      <c r="M314" s="48" t="s">
        <v>37</v>
      </c>
      <c r="N314" s="48" t="s">
        <v>1436</v>
      </c>
      <c r="O314" s="48" t="s">
        <v>1436</v>
      </c>
      <c r="P314" s="48" t="s">
        <v>1436</v>
      </c>
      <c r="Q314" s="48" t="s">
        <v>38</v>
      </c>
      <c r="R314" s="48" t="s">
        <v>39</v>
      </c>
      <c r="S314" s="48" t="s">
        <v>40</v>
      </c>
      <c r="T314" s="48" t="s">
        <v>41</v>
      </c>
      <c r="U314" s="48" t="s">
        <v>1436</v>
      </c>
      <c r="V314" s="48" t="s">
        <v>1436</v>
      </c>
      <c r="W314" s="48" t="s">
        <v>1436</v>
      </c>
      <c r="X314" s="49" t="s">
        <v>193</v>
      </c>
      <c r="Y314" s="48" t="s">
        <v>1194</v>
      </c>
      <c r="Z314" s="49" t="s">
        <v>1321</v>
      </c>
      <c r="AA314" s="48" t="s">
        <v>1324</v>
      </c>
      <c r="AB314" s="48" t="s">
        <v>1325</v>
      </c>
      <c r="AC314" s="48" t="s">
        <v>1239</v>
      </c>
      <c r="AD314" s="48" t="s">
        <v>1231</v>
      </c>
      <c r="AE314" s="48" t="s">
        <v>1669</v>
      </c>
      <c r="AF314" s="48" t="s">
        <v>1436</v>
      </c>
      <c r="AG314" s="48" t="s">
        <v>1436</v>
      </c>
      <c r="AH314" s="48" t="s">
        <v>208</v>
      </c>
      <c r="AI314" s="50">
        <v>44562</v>
      </c>
      <c r="AJ314" s="50">
        <v>46387</v>
      </c>
      <c r="AK314" s="49" t="s">
        <v>1280</v>
      </c>
      <c r="AL314" s="48" t="s">
        <v>36</v>
      </c>
      <c r="AM314" s="48" t="s">
        <v>36</v>
      </c>
      <c r="AN314" s="51">
        <v>-3000.65</v>
      </c>
      <c r="AO314" s="51"/>
      <c r="AP314" s="51"/>
      <c r="AQ314" s="72">
        <v>1600000</v>
      </c>
      <c r="AR314" s="72">
        <v>50000</v>
      </c>
      <c r="AS314" s="50">
        <v>46387</v>
      </c>
      <c r="AT314" s="50" t="s">
        <v>1436</v>
      </c>
      <c r="AU314" s="49" t="s">
        <v>1436</v>
      </c>
      <c r="AV314" s="49" t="s">
        <v>1670</v>
      </c>
      <c r="AW314" s="48" t="s">
        <v>1244</v>
      </c>
    </row>
    <row r="315" spans="1:49" x14ac:dyDescent="0.3">
      <c r="A315" s="48" t="s">
        <v>1320</v>
      </c>
      <c r="B315" s="48" t="s">
        <v>6</v>
      </c>
      <c r="C315" s="48" t="s">
        <v>1322</v>
      </c>
      <c r="D315" s="50">
        <v>45443</v>
      </c>
      <c r="E315" s="48" t="s">
        <v>36</v>
      </c>
      <c r="F315" s="48" t="s">
        <v>1433</v>
      </c>
      <c r="G315" s="48" t="s">
        <v>1447</v>
      </c>
      <c r="H315" s="49" t="s">
        <v>1451</v>
      </c>
      <c r="I315" s="48" t="s">
        <v>1404</v>
      </c>
      <c r="J315" s="48" t="s">
        <v>38</v>
      </c>
      <c r="K315" s="48" t="s">
        <v>49</v>
      </c>
      <c r="L315" s="48" t="s">
        <v>38</v>
      </c>
      <c r="M315" s="48" t="s">
        <v>37</v>
      </c>
      <c r="N315" s="48" t="s">
        <v>1436</v>
      </c>
      <c r="O315" s="48" t="s">
        <v>1436</v>
      </c>
      <c r="P315" s="48" t="s">
        <v>1436</v>
      </c>
      <c r="Q315" s="48" t="s">
        <v>38</v>
      </c>
      <c r="R315" s="48" t="s">
        <v>39</v>
      </c>
      <c r="S315" s="48" t="s">
        <v>38</v>
      </c>
      <c r="T315" s="48" t="s">
        <v>41</v>
      </c>
      <c r="U315" s="48" t="s">
        <v>1436</v>
      </c>
      <c r="V315" s="48" t="s">
        <v>1436</v>
      </c>
      <c r="W315" s="48" t="s">
        <v>1436</v>
      </c>
      <c r="X315" s="49" t="s">
        <v>193</v>
      </c>
      <c r="Y315" s="48" t="s">
        <v>1194</v>
      </c>
      <c r="Z315" s="49" t="s">
        <v>1321</v>
      </c>
      <c r="AA315" s="48" t="s">
        <v>1324</v>
      </c>
      <c r="AB315" s="48" t="s">
        <v>1325</v>
      </c>
      <c r="AC315" s="48" t="s">
        <v>1239</v>
      </c>
      <c r="AD315" s="48" t="s">
        <v>1231</v>
      </c>
      <c r="AE315" s="48" t="s">
        <v>1669</v>
      </c>
      <c r="AF315" s="48" t="s">
        <v>1436</v>
      </c>
      <c r="AG315" s="48" t="s">
        <v>1436</v>
      </c>
      <c r="AH315" s="48" t="s">
        <v>208</v>
      </c>
      <c r="AI315" s="50">
        <v>44562</v>
      </c>
      <c r="AJ315" s="50">
        <v>46387</v>
      </c>
      <c r="AK315" s="49" t="s">
        <v>1280</v>
      </c>
      <c r="AL315" s="48" t="s">
        <v>36</v>
      </c>
      <c r="AM315" s="48" t="s">
        <v>36</v>
      </c>
      <c r="AN315" s="51">
        <v>242.133026</v>
      </c>
      <c r="AO315" s="51"/>
      <c r="AP315" s="51"/>
      <c r="AQ315" s="72">
        <v>1600000</v>
      </c>
      <c r="AR315" s="72">
        <v>50000</v>
      </c>
      <c r="AS315" s="50">
        <v>46387</v>
      </c>
      <c r="AT315" s="50" t="s">
        <v>1436</v>
      </c>
      <c r="AU315" s="49" t="s">
        <v>1436</v>
      </c>
      <c r="AV315" s="49" t="s">
        <v>1670</v>
      </c>
      <c r="AW315" s="48" t="s">
        <v>1244</v>
      </c>
    </row>
    <row r="316" spans="1:49" x14ac:dyDescent="0.3">
      <c r="A316" s="48" t="s">
        <v>1320</v>
      </c>
      <c r="B316" s="48" t="s">
        <v>6</v>
      </c>
      <c r="C316" s="48" t="s">
        <v>1322</v>
      </c>
      <c r="D316" s="50">
        <v>45473</v>
      </c>
      <c r="E316" s="48" t="s">
        <v>36</v>
      </c>
      <c r="F316" s="48" t="s">
        <v>1433</v>
      </c>
      <c r="G316" s="48" t="s">
        <v>1434</v>
      </c>
      <c r="H316" s="49" t="s">
        <v>1435</v>
      </c>
      <c r="I316" s="48" t="s">
        <v>1412</v>
      </c>
      <c r="J316" s="48" t="s">
        <v>40</v>
      </c>
      <c r="K316" s="48" t="s">
        <v>52</v>
      </c>
      <c r="L316" s="48" t="s">
        <v>38</v>
      </c>
      <c r="M316" s="48" t="s">
        <v>37</v>
      </c>
      <c r="N316" s="48" t="s">
        <v>1436</v>
      </c>
      <c r="O316" s="48" t="s">
        <v>1436</v>
      </c>
      <c r="P316" s="48" t="s">
        <v>1436</v>
      </c>
      <c r="Q316" s="48" t="s">
        <v>38</v>
      </c>
      <c r="R316" s="48" t="s">
        <v>39</v>
      </c>
      <c r="S316" s="48" t="s">
        <v>40</v>
      </c>
      <c r="T316" s="48" t="s">
        <v>41</v>
      </c>
      <c r="U316" s="48" t="s">
        <v>1436</v>
      </c>
      <c r="V316" s="48" t="s">
        <v>1436</v>
      </c>
      <c r="W316" s="48" t="s">
        <v>1436</v>
      </c>
      <c r="X316" s="49" t="s">
        <v>193</v>
      </c>
      <c r="Y316" s="48" t="s">
        <v>1194</v>
      </c>
      <c r="Z316" s="49" t="s">
        <v>1321</v>
      </c>
      <c r="AA316" s="48" t="s">
        <v>1324</v>
      </c>
      <c r="AB316" s="48" t="s">
        <v>1325</v>
      </c>
      <c r="AC316" s="48" t="s">
        <v>1239</v>
      </c>
      <c r="AD316" s="48" t="s">
        <v>1231</v>
      </c>
      <c r="AE316" s="48" t="s">
        <v>1669</v>
      </c>
      <c r="AF316" s="48" t="s">
        <v>1436</v>
      </c>
      <c r="AG316" s="48" t="s">
        <v>1436</v>
      </c>
      <c r="AH316" s="48" t="s">
        <v>208</v>
      </c>
      <c r="AI316" s="50">
        <v>44562</v>
      </c>
      <c r="AJ316" s="50">
        <v>46387</v>
      </c>
      <c r="AK316" s="49" t="s">
        <v>1280</v>
      </c>
      <c r="AL316" s="48" t="s">
        <v>36</v>
      </c>
      <c r="AM316" s="48" t="s">
        <v>36</v>
      </c>
      <c r="AN316" s="51">
        <v>-42330.49</v>
      </c>
      <c r="AO316" s="51"/>
      <c r="AP316" s="51"/>
      <c r="AQ316" s="72">
        <v>1600000</v>
      </c>
      <c r="AR316" s="72">
        <v>50000</v>
      </c>
      <c r="AS316" s="50">
        <v>46387</v>
      </c>
      <c r="AT316" s="50" t="s">
        <v>1436</v>
      </c>
      <c r="AU316" s="49" t="s">
        <v>1436</v>
      </c>
      <c r="AV316" s="49" t="s">
        <v>1670</v>
      </c>
      <c r="AW316" s="48" t="s">
        <v>1244</v>
      </c>
    </row>
    <row r="317" spans="1:49" x14ac:dyDescent="0.3">
      <c r="A317" s="48" t="s">
        <v>1320</v>
      </c>
      <c r="B317" s="48" t="s">
        <v>6</v>
      </c>
      <c r="C317" s="48" t="s">
        <v>1322</v>
      </c>
      <c r="D317" s="50">
        <v>45473</v>
      </c>
      <c r="E317" s="48" t="s">
        <v>36</v>
      </c>
      <c r="F317" s="48" t="s">
        <v>1433</v>
      </c>
      <c r="G317" s="48" t="s">
        <v>1434</v>
      </c>
      <c r="H317" s="49" t="s">
        <v>1437</v>
      </c>
      <c r="I317" s="48" t="s">
        <v>1410</v>
      </c>
      <c r="J317" s="48" t="s">
        <v>40</v>
      </c>
      <c r="K317" s="48" t="s">
        <v>42</v>
      </c>
      <c r="L317" s="48" t="s">
        <v>38</v>
      </c>
      <c r="M317" s="48" t="s">
        <v>37</v>
      </c>
      <c r="N317" s="48" t="s">
        <v>1436</v>
      </c>
      <c r="O317" s="48" t="s">
        <v>1436</v>
      </c>
      <c r="P317" s="48" t="s">
        <v>1436</v>
      </c>
      <c r="Q317" s="48" t="s">
        <v>38</v>
      </c>
      <c r="R317" s="48" t="s">
        <v>39</v>
      </c>
      <c r="S317" s="48" t="s">
        <v>40</v>
      </c>
      <c r="T317" s="48" t="s">
        <v>41</v>
      </c>
      <c r="U317" s="48" t="s">
        <v>1436</v>
      </c>
      <c r="V317" s="48" t="s">
        <v>1436</v>
      </c>
      <c r="W317" s="48" t="s">
        <v>1436</v>
      </c>
      <c r="X317" s="49" t="s">
        <v>193</v>
      </c>
      <c r="Y317" s="48" t="s">
        <v>1194</v>
      </c>
      <c r="Z317" s="49" t="s">
        <v>1321</v>
      </c>
      <c r="AA317" s="48" t="s">
        <v>1324</v>
      </c>
      <c r="AB317" s="48" t="s">
        <v>1325</v>
      </c>
      <c r="AC317" s="48" t="s">
        <v>1239</v>
      </c>
      <c r="AD317" s="48" t="s">
        <v>1231</v>
      </c>
      <c r="AE317" s="48" t="s">
        <v>1669</v>
      </c>
      <c r="AF317" s="48" t="s">
        <v>1436</v>
      </c>
      <c r="AG317" s="48" t="s">
        <v>1436</v>
      </c>
      <c r="AH317" s="48" t="s">
        <v>208</v>
      </c>
      <c r="AI317" s="50">
        <v>44562</v>
      </c>
      <c r="AJ317" s="50">
        <v>46387</v>
      </c>
      <c r="AK317" s="49" t="s">
        <v>1280</v>
      </c>
      <c r="AL317" s="48" t="s">
        <v>36</v>
      </c>
      <c r="AM317" s="48" t="s">
        <v>36</v>
      </c>
      <c r="AN317" s="51">
        <v>0</v>
      </c>
      <c r="AO317" s="51"/>
      <c r="AP317" s="51"/>
      <c r="AQ317" s="72">
        <v>1600000</v>
      </c>
      <c r="AR317" s="72">
        <v>50000</v>
      </c>
      <c r="AS317" s="50">
        <v>46387</v>
      </c>
      <c r="AT317" s="50" t="s">
        <v>1436</v>
      </c>
      <c r="AU317" s="49" t="s">
        <v>1436</v>
      </c>
      <c r="AV317" s="49" t="s">
        <v>1670</v>
      </c>
      <c r="AW317" s="48" t="s">
        <v>1244</v>
      </c>
    </row>
    <row r="318" spans="1:49" x14ac:dyDescent="0.3">
      <c r="A318" s="48" t="s">
        <v>1320</v>
      </c>
      <c r="B318" s="48" t="s">
        <v>6</v>
      </c>
      <c r="C318" s="48" t="s">
        <v>1322</v>
      </c>
      <c r="D318" s="50">
        <v>45473</v>
      </c>
      <c r="E318" s="48" t="s">
        <v>36</v>
      </c>
      <c r="F318" s="48" t="s">
        <v>1438</v>
      </c>
      <c r="G318" s="48" t="s">
        <v>1439</v>
      </c>
      <c r="H318" s="49" t="s">
        <v>1440</v>
      </c>
      <c r="I318" s="48" t="s">
        <v>1406</v>
      </c>
      <c r="J318" s="48" t="s">
        <v>1194</v>
      </c>
      <c r="K318" s="48" t="s">
        <v>1441</v>
      </c>
      <c r="L318" s="48" t="s">
        <v>38</v>
      </c>
      <c r="M318" s="48" t="s">
        <v>37</v>
      </c>
      <c r="N318" s="48" t="s">
        <v>1436</v>
      </c>
      <c r="O318" s="48" t="s">
        <v>1436</v>
      </c>
      <c r="P318" s="48" t="s">
        <v>1436</v>
      </c>
      <c r="Q318" s="48" t="s">
        <v>38</v>
      </c>
      <c r="R318" s="48" t="s">
        <v>39</v>
      </c>
      <c r="S318" s="48" t="s">
        <v>1194</v>
      </c>
      <c r="T318" s="48" t="s">
        <v>41</v>
      </c>
      <c r="U318" s="48" t="s">
        <v>1436</v>
      </c>
      <c r="V318" s="48" t="s">
        <v>1436</v>
      </c>
      <c r="W318" s="48" t="s">
        <v>1436</v>
      </c>
      <c r="X318" s="49" t="s">
        <v>193</v>
      </c>
      <c r="Y318" s="48" t="s">
        <v>1194</v>
      </c>
      <c r="Z318" s="49" t="s">
        <v>1321</v>
      </c>
      <c r="AA318" s="48" t="s">
        <v>1324</v>
      </c>
      <c r="AB318" s="48" t="s">
        <v>1325</v>
      </c>
      <c r="AC318" s="48" t="s">
        <v>1239</v>
      </c>
      <c r="AD318" s="48" t="s">
        <v>1231</v>
      </c>
      <c r="AE318" s="48" t="s">
        <v>1669</v>
      </c>
      <c r="AF318" s="48" t="s">
        <v>1436</v>
      </c>
      <c r="AG318" s="48" t="s">
        <v>1436</v>
      </c>
      <c r="AH318" s="48" t="s">
        <v>208</v>
      </c>
      <c r="AI318" s="50">
        <v>44562</v>
      </c>
      <c r="AJ318" s="50">
        <v>46387</v>
      </c>
      <c r="AK318" s="49" t="s">
        <v>1280</v>
      </c>
      <c r="AL318" s="48" t="s">
        <v>36</v>
      </c>
      <c r="AM318" s="48" t="s">
        <v>36</v>
      </c>
      <c r="AN318" s="51">
        <v>0</v>
      </c>
      <c r="AO318" s="51"/>
      <c r="AP318" s="51"/>
      <c r="AQ318" s="72">
        <v>1600000</v>
      </c>
      <c r="AR318" s="72">
        <v>50000</v>
      </c>
      <c r="AS318" s="50">
        <v>46387</v>
      </c>
      <c r="AT318" s="50" t="s">
        <v>1436</v>
      </c>
      <c r="AU318" s="49" t="s">
        <v>1436</v>
      </c>
      <c r="AV318" s="49" t="s">
        <v>1670</v>
      </c>
      <c r="AW318" s="48" t="s">
        <v>1244</v>
      </c>
    </row>
    <row r="319" spans="1:49" x14ac:dyDescent="0.3">
      <c r="A319" s="48" t="s">
        <v>1320</v>
      </c>
      <c r="B319" s="48" t="s">
        <v>6</v>
      </c>
      <c r="C319" s="48" t="s">
        <v>1322</v>
      </c>
      <c r="D319" s="50">
        <v>45473</v>
      </c>
      <c r="E319" s="48" t="s">
        <v>36</v>
      </c>
      <c r="F319" s="48" t="s">
        <v>1438</v>
      </c>
      <c r="G319" s="48" t="s">
        <v>1439</v>
      </c>
      <c r="H319" s="49" t="s">
        <v>1442</v>
      </c>
      <c r="I319" s="48" t="s">
        <v>1405</v>
      </c>
      <c r="J319" s="48" t="s">
        <v>1194</v>
      </c>
      <c r="K319" s="48" t="s">
        <v>1443</v>
      </c>
      <c r="L319" s="48" t="s">
        <v>38</v>
      </c>
      <c r="M319" s="48" t="s">
        <v>37</v>
      </c>
      <c r="N319" s="48" t="s">
        <v>1436</v>
      </c>
      <c r="O319" s="48" t="s">
        <v>1436</v>
      </c>
      <c r="P319" s="48" t="s">
        <v>1436</v>
      </c>
      <c r="Q319" s="48" t="s">
        <v>38</v>
      </c>
      <c r="R319" s="48" t="s">
        <v>39</v>
      </c>
      <c r="S319" s="48" t="s">
        <v>1194</v>
      </c>
      <c r="T319" s="48" t="s">
        <v>41</v>
      </c>
      <c r="U319" s="48" t="s">
        <v>1436</v>
      </c>
      <c r="V319" s="48" t="s">
        <v>1436</v>
      </c>
      <c r="W319" s="48" t="s">
        <v>1436</v>
      </c>
      <c r="X319" s="49" t="s">
        <v>193</v>
      </c>
      <c r="Y319" s="48" t="s">
        <v>1194</v>
      </c>
      <c r="Z319" s="49" t="s">
        <v>1321</v>
      </c>
      <c r="AA319" s="48" t="s">
        <v>1324</v>
      </c>
      <c r="AB319" s="48" t="s">
        <v>1325</v>
      </c>
      <c r="AC319" s="48" t="s">
        <v>1239</v>
      </c>
      <c r="AD319" s="48" t="s">
        <v>1231</v>
      </c>
      <c r="AE319" s="48" t="s">
        <v>1669</v>
      </c>
      <c r="AF319" s="48" t="s">
        <v>1436</v>
      </c>
      <c r="AG319" s="48" t="s">
        <v>1436</v>
      </c>
      <c r="AH319" s="48" t="s">
        <v>208</v>
      </c>
      <c r="AI319" s="50">
        <v>44562</v>
      </c>
      <c r="AJ319" s="50">
        <v>46387</v>
      </c>
      <c r="AK319" s="49" t="s">
        <v>1280</v>
      </c>
      <c r="AL319" s="48" t="s">
        <v>36</v>
      </c>
      <c r="AM319" s="48" t="s">
        <v>36</v>
      </c>
      <c r="AN319" s="51">
        <v>0</v>
      </c>
      <c r="AO319" s="51"/>
      <c r="AP319" s="51"/>
      <c r="AQ319" s="72">
        <v>1600000</v>
      </c>
      <c r="AR319" s="72">
        <v>50000</v>
      </c>
      <c r="AS319" s="50">
        <v>46387</v>
      </c>
      <c r="AT319" s="50" t="s">
        <v>1436</v>
      </c>
      <c r="AU319" s="49" t="s">
        <v>1436</v>
      </c>
      <c r="AV319" s="49" t="s">
        <v>1670</v>
      </c>
      <c r="AW319" s="48" t="s">
        <v>1244</v>
      </c>
    </row>
    <row r="320" spans="1:49" x14ac:dyDescent="0.3">
      <c r="A320" s="48" t="s">
        <v>1320</v>
      </c>
      <c r="B320" s="48" t="s">
        <v>6</v>
      </c>
      <c r="C320" s="48" t="s">
        <v>1322</v>
      </c>
      <c r="D320" s="50">
        <v>45473</v>
      </c>
      <c r="E320" s="48" t="s">
        <v>36</v>
      </c>
      <c r="F320" s="48" t="s">
        <v>1438</v>
      </c>
      <c r="G320" s="48" t="s">
        <v>1444</v>
      </c>
      <c r="H320" s="49" t="s">
        <v>1445</v>
      </c>
      <c r="I320" s="48" t="s">
        <v>1411</v>
      </c>
      <c r="J320" s="48" t="s">
        <v>40</v>
      </c>
      <c r="K320" s="48" t="s">
        <v>50</v>
      </c>
      <c r="L320" s="48" t="s">
        <v>38</v>
      </c>
      <c r="M320" s="48" t="s">
        <v>37</v>
      </c>
      <c r="N320" s="48" t="s">
        <v>1436</v>
      </c>
      <c r="O320" s="48" t="s">
        <v>1436</v>
      </c>
      <c r="P320" s="48" t="s">
        <v>1436</v>
      </c>
      <c r="Q320" s="48" t="s">
        <v>38</v>
      </c>
      <c r="R320" s="48" t="s">
        <v>39</v>
      </c>
      <c r="S320" s="48" t="s">
        <v>40</v>
      </c>
      <c r="T320" s="48" t="s">
        <v>41</v>
      </c>
      <c r="U320" s="48" t="s">
        <v>1436</v>
      </c>
      <c r="V320" s="48" t="s">
        <v>1436</v>
      </c>
      <c r="W320" s="48" t="s">
        <v>1436</v>
      </c>
      <c r="X320" s="49" t="s">
        <v>193</v>
      </c>
      <c r="Y320" s="48" t="s">
        <v>1194</v>
      </c>
      <c r="Z320" s="49" t="s">
        <v>1321</v>
      </c>
      <c r="AA320" s="48" t="s">
        <v>1324</v>
      </c>
      <c r="AB320" s="48" t="s">
        <v>1325</v>
      </c>
      <c r="AC320" s="48" t="s">
        <v>1239</v>
      </c>
      <c r="AD320" s="48" t="s">
        <v>1231</v>
      </c>
      <c r="AE320" s="48" t="s">
        <v>1669</v>
      </c>
      <c r="AF320" s="48" t="s">
        <v>1436</v>
      </c>
      <c r="AG320" s="48" t="s">
        <v>1436</v>
      </c>
      <c r="AH320" s="48" t="s">
        <v>208</v>
      </c>
      <c r="AI320" s="50">
        <v>44562</v>
      </c>
      <c r="AJ320" s="50">
        <v>46387</v>
      </c>
      <c r="AK320" s="49" t="s">
        <v>1280</v>
      </c>
      <c r="AL320" s="48" t="s">
        <v>36</v>
      </c>
      <c r="AM320" s="48" t="s">
        <v>36</v>
      </c>
      <c r="AN320" s="51">
        <v>42330.49</v>
      </c>
      <c r="AO320" s="51"/>
      <c r="AP320" s="51"/>
      <c r="AQ320" s="72">
        <v>1600000</v>
      </c>
      <c r="AR320" s="72">
        <v>50000</v>
      </c>
      <c r="AS320" s="50">
        <v>46387</v>
      </c>
      <c r="AT320" s="50" t="s">
        <v>1436</v>
      </c>
      <c r="AU320" s="49" t="s">
        <v>1436</v>
      </c>
      <c r="AV320" s="49" t="s">
        <v>1670</v>
      </c>
      <c r="AW320" s="48" t="s">
        <v>1244</v>
      </c>
    </row>
    <row r="321" spans="1:49" x14ac:dyDescent="0.3">
      <c r="A321" s="48" t="s">
        <v>1320</v>
      </c>
      <c r="B321" s="48" t="s">
        <v>6</v>
      </c>
      <c r="C321" s="48" t="s">
        <v>1322</v>
      </c>
      <c r="D321" s="50">
        <v>45473</v>
      </c>
      <c r="E321" s="48" t="s">
        <v>36</v>
      </c>
      <c r="F321" s="48" t="s">
        <v>1438</v>
      </c>
      <c r="G321" s="48" t="s">
        <v>1444</v>
      </c>
      <c r="H321" s="49" t="s">
        <v>1446</v>
      </c>
      <c r="I321" s="48" t="s">
        <v>1407</v>
      </c>
      <c r="J321" s="48" t="s">
        <v>40</v>
      </c>
      <c r="K321" s="48" t="s">
        <v>47</v>
      </c>
      <c r="L321" s="48" t="s">
        <v>38</v>
      </c>
      <c r="M321" s="48" t="s">
        <v>37</v>
      </c>
      <c r="N321" s="48" t="s">
        <v>1436</v>
      </c>
      <c r="O321" s="48" t="s">
        <v>1436</v>
      </c>
      <c r="P321" s="48" t="s">
        <v>1436</v>
      </c>
      <c r="Q321" s="48" t="s">
        <v>38</v>
      </c>
      <c r="R321" s="48" t="s">
        <v>39</v>
      </c>
      <c r="S321" s="48" t="s">
        <v>40</v>
      </c>
      <c r="T321" s="48" t="s">
        <v>41</v>
      </c>
      <c r="U321" s="48" t="s">
        <v>1436</v>
      </c>
      <c r="V321" s="48" t="s">
        <v>1436</v>
      </c>
      <c r="W321" s="48" t="s">
        <v>1436</v>
      </c>
      <c r="X321" s="49" t="s">
        <v>193</v>
      </c>
      <c r="Y321" s="48" t="s">
        <v>1194</v>
      </c>
      <c r="Z321" s="49" t="s">
        <v>1321</v>
      </c>
      <c r="AA321" s="48" t="s">
        <v>1324</v>
      </c>
      <c r="AB321" s="48" t="s">
        <v>1325</v>
      </c>
      <c r="AC321" s="48" t="s">
        <v>1239</v>
      </c>
      <c r="AD321" s="48" t="s">
        <v>1231</v>
      </c>
      <c r="AE321" s="48" t="s">
        <v>1669</v>
      </c>
      <c r="AF321" s="48" t="s">
        <v>1436</v>
      </c>
      <c r="AG321" s="48" t="s">
        <v>1436</v>
      </c>
      <c r="AH321" s="48" t="s">
        <v>208</v>
      </c>
      <c r="AI321" s="50">
        <v>44562</v>
      </c>
      <c r="AJ321" s="50">
        <v>46387</v>
      </c>
      <c r="AK321" s="49" t="s">
        <v>1280</v>
      </c>
      <c r="AL321" s="48" t="s">
        <v>36</v>
      </c>
      <c r="AM321" s="48" t="s">
        <v>36</v>
      </c>
      <c r="AN321" s="51">
        <v>8005.8028439999998</v>
      </c>
      <c r="AO321" s="51"/>
      <c r="AP321" s="51"/>
      <c r="AQ321" s="72">
        <v>1600000</v>
      </c>
      <c r="AR321" s="72">
        <v>50000</v>
      </c>
      <c r="AS321" s="50">
        <v>46387</v>
      </c>
      <c r="AT321" s="50" t="s">
        <v>1436</v>
      </c>
      <c r="AU321" s="49" t="s">
        <v>1436</v>
      </c>
      <c r="AV321" s="49" t="s">
        <v>1670</v>
      </c>
      <c r="AW321" s="48" t="s">
        <v>1244</v>
      </c>
    </row>
    <row r="322" spans="1:49" x14ac:dyDescent="0.3">
      <c r="A322" s="48" t="s">
        <v>1320</v>
      </c>
      <c r="B322" s="48" t="s">
        <v>6</v>
      </c>
      <c r="C322" s="48" t="s">
        <v>1322</v>
      </c>
      <c r="D322" s="50">
        <v>45473</v>
      </c>
      <c r="E322" s="48" t="s">
        <v>36</v>
      </c>
      <c r="F322" s="48" t="s">
        <v>1433</v>
      </c>
      <c r="G322" s="48" t="s">
        <v>1447</v>
      </c>
      <c r="H322" s="49" t="s">
        <v>1448</v>
      </c>
      <c r="I322" s="48" t="s">
        <v>1413</v>
      </c>
      <c r="J322" s="48" t="s">
        <v>40</v>
      </c>
      <c r="K322" s="48" t="s">
        <v>58</v>
      </c>
      <c r="L322" s="48" t="s">
        <v>38</v>
      </c>
      <c r="M322" s="48" t="s">
        <v>37</v>
      </c>
      <c r="N322" s="48" t="s">
        <v>1436</v>
      </c>
      <c r="O322" s="48" t="s">
        <v>1436</v>
      </c>
      <c r="P322" s="48" t="s">
        <v>1436</v>
      </c>
      <c r="Q322" s="48" t="s">
        <v>38</v>
      </c>
      <c r="R322" s="48" t="s">
        <v>39</v>
      </c>
      <c r="S322" s="48" t="s">
        <v>40</v>
      </c>
      <c r="T322" s="48" t="s">
        <v>41</v>
      </c>
      <c r="U322" s="48" t="s">
        <v>1436</v>
      </c>
      <c r="V322" s="48" t="s">
        <v>1436</v>
      </c>
      <c r="W322" s="48" t="s">
        <v>1436</v>
      </c>
      <c r="X322" s="49" t="s">
        <v>193</v>
      </c>
      <c r="Y322" s="48" t="s">
        <v>1194</v>
      </c>
      <c r="Z322" s="49" t="s">
        <v>1321</v>
      </c>
      <c r="AA322" s="48" t="s">
        <v>1324</v>
      </c>
      <c r="AB322" s="48" t="s">
        <v>1325</v>
      </c>
      <c r="AC322" s="48" t="s">
        <v>1239</v>
      </c>
      <c r="AD322" s="48" t="s">
        <v>1231</v>
      </c>
      <c r="AE322" s="48" t="s">
        <v>1669</v>
      </c>
      <c r="AF322" s="48" t="s">
        <v>1436</v>
      </c>
      <c r="AG322" s="48" t="s">
        <v>1436</v>
      </c>
      <c r="AH322" s="48" t="s">
        <v>208</v>
      </c>
      <c r="AI322" s="50">
        <v>44562</v>
      </c>
      <c r="AJ322" s="50">
        <v>46387</v>
      </c>
      <c r="AK322" s="49" t="s">
        <v>1280</v>
      </c>
      <c r="AL322" s="48" t="s">
        <v>36</v>
      </c>
      <c r="AM322" s="48" t="s">
        <v>36</v>
      </c>
      <c r="AN322" s="51">
        <v>-50000</v>
      </c>
      <c r="AO322" s="51"/>
      <c r="AP322" s="51"/>
      <c r="AQ322" s="72">
        <v>1600000</v>
      </c>
      <c r="AR322" s="72">
        <v>50000</v>
      </c>
      <c r="AS322" s="50">
        <v>46387</v>
      </c>
      <c r="AT322" s="50" t="s">
        <v>1436</v>
      </c>
      <c r="AU322" s="49" t="s">
        <v>1436</v>
      </c>
      <c r="AV322" s="49" t="s">
        <v>1670</v>
      </c>
      <c r="AW322" s="48" t="s">
        <v>1244</v>
      </c>
    </row>
    <row r="323" spans="1:49" x14ac:dyDescent="0.3">
      <c r="A323" s="48" t="s">
        <v>1320</v>
      </c>
      <c r="B323" s="48" t="s">
        <v>6</v>
      </c>
      <c r="C323" s="48" t="s">
        <v>1322</v>
      </c>
      <c r="D323" s="50">
        <v>45473</v>
      </c>
      <c r="E323" s="48" t="s">
        <v>36</v>
      </c>
      <c r="F323" s="48" t="s">
        <v>1433</v>
      </c>
      <c r="G323" s="48" t="s">
        <v>1447</v>
      </c>
      <c r="H323" s="49" t="s">
        <v>1449</v>
      </c>
      <c r="I323" s="48" t="s">
        <v>1409</v>
      </c>
      <c r="J323" s="48" t="s">
        <v>40</v>
      </c>
      <c r="K323" s="48" t="s">
        <v>45</v>
      </c>
      <c r="L323" s="48" t="s">
        <v>38</v>
      </c>
      <c r="M323" s="48" t="s">
        <v>37</v>
      </c>
      <c r="N323" s="48" t="s">
        <v>1436</v>
      </c>
      <c r="O323" s="48" t="s">
        <v>1436</v>
      </c>
      <c r="P323" s="48" t="s">
        <v>1436</v>
      </c>
      <c r="Q323" s="48" t="s">
        <v>38</v>
      </c>
      <c r="R323" s="48" t="s">
        <v>39</v>
      </c>
      <c r="S323" s="48" t="s">
        <v>40</v>
      </c>
      <c r="T323" s="48" t="s">
        <v>41</v>
      </c>
      <c r="U323" s="48" t="s">
        <v>1436</v>
      </c>
      <c r="V323" s="48" t="s">
        <v>1436</v>
      </c>
      <c r="W323" s="48" t="s">
        <v>1436</v>
      </c>
      <c r="X323" s="49" t="s">
        <v>193</v>
      </c>
      <c r="Y323" s="48" t="s">
        <v>1194</v>
      </c>
      <c r="Z323" s="49" t="s">
        <v>1321</v>
      </c>
      <c r="AA323" s="48" t="s">
        <v>1324</v>
      </c>
      <c r="AB323" s="48" t="s">
        <v>1325</v>
      </c>
      <c r="AC323" s="48" t="s">
        <v>1239</v>
      </c>
      <c r="AD323" s="48" t="s">
        <v>1231</v>
      </c>
      <c r="AE323" s="48" t="s">
        <v>1669</v>
      </c>
      <c r="AF323" s="48" t="s">
        <v>1436</v>
      </c>
      <c r="AG323" s="48" t="s">
        <v>1436</v>
      </c>
      <c r="AH323" s="48" t="s">
        <v>208</v>
      </c>
      <c r="AI323" s="50">
        <v>44562</v>
      </c>
      <c r="AJ323" s="50">
        <v>46387</v>
      </c>
      <c r="AK323" s="49" t="s">
        <v>1280</v>
      </c>
      <c r="AL323" s="48" t="s">
        <v>36</v>
      </c>
      <c r="AM323" s="48" t="s">
        <v>36</v>
      </c>
      <c r="AN323" s="51">
        <v>44768.811688000002</v>
      </c>
      <c r="AO323" s="51"/>
      <c r="AP323" s="51"/>
      <c r="AQ323" s="72">
        <v>1600000</v>
      </c>
      <c r="AR323" s="72">
        <v>50000</v>
      </c>
      <c r="AS323" s="50">
        <v>46387</v>
      </c>
      <c r="AT323" s="50" t="s">
        <v>1436</v>
      </c>
      <c r="AU323" s="49" t="s">
        <v>1436</v>
      </c>
      <c r="AV323" s="49" t="s">
        <v>1670</v>
      </c>
      <c r="AW323" s="48" t="s">
        <v>1244</v>
      </c>
    </row>
    <row r="324" spans="1:49" x14ac:dyDescent="0.3">
      <c r="A324" s="48" t="s">
        <v>1320</v>
      </c>
      <c r="B324" s="48" t="s">
        <v>6</v>
      </c>
      <c r="C324" s="48" t="s">
        <v>1322</v>
      </c>
      <c r="D324" s="50">
        <v>45473</v>
      </c>
      <c r="E324" s="48" t="s">
        <v>36</v>
      </c>
      <c r="F324" s="48" t="s">
        <v>1433</v>
      </c>
      <c r="G324" s="48" t="s">
        <v>1447</v>
      </c>
      <c r="H324" s="49" t="s">
        <v>1450</v>
      </c>
      <c r="I324" s="48" t="s">
        <v>1408</v>
      </c>
      <c r="J324" s="48" t="s">
        <v>40</v>
      </c>
      <c r="K324" s="48" t="s">
        <v>54</v>
      </c>
      <c r="L324" s="48" t="s">
        <v>38</v>
      </c>
      <c r="M324" s="48" t="s">
        <v>37</v>
      </c>
      <c r="N324" s="48" t="s">
        <v>1436</v>
      </c>
      <c r="O324" s="48" t="s">
        <v>1436</v>
      </c>
      <c r="P324" s="48" t="s">
        <v>1436</v>
      </c>
      <c r="Q324" s="48" t="s">
        <v>38</v>
      </c>
      <c r="R324" s="48" t="s">
        <v>39</v>
      </c>
      <c r="S324" s="48" t="s">
        <v>40</v>
      </c>
      <c r="T324" s="48" t="s">
        <v>41</v>
      </c>
      <c r="U324" s="48" t="s">
        <v>1436</v>
      </c>
      <c r="V324" s="48" t="s">
        <v>1436</v>
      </c>
      <c r="W324" s="48" t="s">
        <v>1436</v>
      </c>
      <c r="X324" s="49" t="s">
        <v>193</v>
      </c>
      <c r="Y324" s="48" t="s">
        <v>1194</v>
      </c>
      <c r="Z324" s="49" t="s">
        <v>1321</v>
      </c>
      <c r="AA324" s="48" t="s">
        <v>1324</v>
      </c>
      <c r="AB324" s="48" t="s">
        <v>1325</v>
      </c>
      <c r="AC324" s="48" t="s">
        <v>1239</v>
      </c>
      <c r="AD324" s="48" t="s">
        <v>1231</v>
      </c>
      <c r="AE324" s="48" t="s">
        <v>1669</v>
      </c>
      <c r="AF324" s="48" t="s">
        <v>1436</v>
      </c>
      <c r="AG324" s="48" t="s">
        <v>1436</v>
      </c>
      <c r="AH324" s="48" t="s">
        <v>208</v>
      </c>
      <c r="AI324" s="50">
        <v>44562</v>
      </c>
      <c r="AJ324" s="50">
        <v>46387</v>
      </c>
      <c r="AK324" s="49" t="s">
        <v>1280</v>
      </c>
      <c r="AL324" s="48" t="s">
        <v>36</v>
      </c>
      <c r="AM324" s="48" t="s">
        <v>36</v>
      </c>
      <c r="AN324" s="51">
        <v>-3018.16</v>
      </c>
      <c r="AO324" s="51"/>
      <c r="AP324" s="51"/>
      <c r="AQ324" s="72">
        <v>1600000</v>
      </c>
      <c r="AR324" s="72">
        <v>50000</v>
      </c>
      <c r="AS324" s="50">
        <v>46387</v>
      </c>
      <c r="AT324" s="50" t="s">
        <v>1436</v>
      </c>
      <c r="AU324" s="49" t="s">
        <v>1436</v>
      </c>
      <c r="AV324" s="49" t="s">
        <v>1670</v>
      </c>
      <c r="AW324" s="48" t="s">
        <v>1244</v>
      </c>
    </row>
    <row r="325" spans="1:49" x14ac:dyDescent="0.3">
      <c r="A325" s="48" t="s">
        <v>1320</v>
      </c>
      <c r="B325" s="48" t="s">
        <v>6</v>
      </c>
      <c r="C325" s="48" t="s">
        <v>1322</v>
      </c>
      <c r="D325" s="50">
        <v>45473</v>
      </c>
      <c r="E325" s="48" t="s">
        <v>36</v>
      </c>
      <c r="F325" s="48" t="s">
        <v>1433</v>
      </c>
      <c r="G325" s="48" t="s">
        <v>1447</v>
      </c>
      <c r="H325" s="49" t="s">
        <v>1451</v>
      </c>
      <c r="I325" s="48" t="s">
        <v>1404</v>
      </c>
      <c r="J325" s="48" t="s">
        <v>38</v>
      </c>
      <c r="K325" s="48" t="s">
        <v>49</v>
      </c>
      <c r="L325" s="48" t="s">
        <v>38</v>
      </c>
      <c r="M325" s="48" t="s">
        <v>37</v>
      </c>
      <c r="N325" s="48" t="s">
        <v>1436</v>
      </c>
      <c r="O325" s="48" t="s">
        <v>1436</v>
      </c>
      <c r="P325" s="48" t="s">
        <v>1436</v>
      </c>
      <c r="Q325" s="48" t="s">
        <v>38</v>
      </c>
      <c r="R325" s="48" t="s">
        <v>39</v>
      </c>
      <c r="S325" s="48" t="s">
        <v>38</v>
      </c>
      <c r="T325" s="48" t="s">
        <v>41</v>
      </c>
      <c r="U325" s="48" t="s">
        <v>1436</v>
      </c>
      <c r="V325" s="48" t="s">
        <v>1436</v>
      </c>
      <c r="W325" s="48" t="s">
        <v>1436</v>
      </c>
      <c r="X325" s="49" t="s">
        <v>193</v>
      </c>
      <c r="Y325" s="48" t="s">
        <v>1194</v>
      </c>
      <c r="Z325" s="49" t="s">
        <v>1321</v>
      </c>
      <c r="AA325" s="48" t="s">
        <v>1324</v>
      </c>
      <c r="AB325" s="48" t="s">
        <v>1325</v>
      </c>
      <c r="AC325" s="48" t="s">
        <v>1239</v>
      </c>
      <c r="AD325" s="48" t="s">
        <v>1231</v>
      </c>
      <c r="AE325" s="48" t="s">
        <v>1669</v>
      </c>
      <c r="AF325" s="48" t="s">
        <v>1436</v>
      </c>
      <c r="AG325" s="48" t="s">
        <v>1436</v>
      </c>
      <c r="AH325" s="48" t="s">
        <v>208</v>
      </c>
      <c r="AI325" s="50">
        <v>44562</v>
      </c>
      <c r="AJ325" s="50">
        <v>46387</v>
      </c>
      <c r="AK325" s="49" t="s">
        <v>1280</v>
      </c>
      <c r="AL325" s="48" t="s">
        <v>36</v>
      </c>
      <c r="AM325" s="48" t="s">
        <v>36</v>
      </c>
      <c r="AN325" s="51">
        <v>243.545468</v>
      </c>
      <c r="AO325" s="51"/>
      <c r="AP325" s="51"/>
      <c r="AQ325" s="72">
        <v>1600000</v>
      </c>
      <c r="AR325" s="72">
        <v>50000</v>
      </c>
      <c r="AS325" s="50">
        <v>46387</v>
      </c>
      <c r="AT325" s="50" t="s">
        <v>1436</v>
      </c>
      <c r="AU325" s="49" t="s">
        <v>1436</v>
      </c>
      <c r="AV325" s="49" t="s">
        <v>1670</v>
      </c>
      <c r="AW325" s="48" t="s">
        <v>1244</v>
      </c>
    </row>
    <row r="326" spans="1:49" x14ac:dyDescent="0.3">
      <c r="A326" s="48" t="s">
        <v>1320</v>
      </c>
      <c r="B326" s="48" t="s">
        <v>6</v>
      </c>
      <c r="C326" s="48" t="s">
        <v>1322</v>
      </c>
      <c r="D326" s="50">
        <v>45504</v>
      </c>
      <c r="E326" s="48" t="s">
        <v>36</v>
      </c>
      <c r="F326" s="48" t="s">
        <v>1433</v>
      </c>
      <c r="G326" s="48" t="s">
        <v>1434</v>
      </c>
      <c r="H326" s="49" t="s">
        <v>1435</v>
      </c>
      <c r="I326" s="48" t="s">
        <v>1412</v>
      </c>
      <c r="J326" s="48" t="s">
        <v>40</v>
      </c>
      <c r="K326" s="48" t="s">
        <v>52</v>
      </c>
      <c r="L326" s="48" t="s">
        <v>38</v>
      </c>
      <c r="M326" s="48" t="s">
        <v>37</v>
      </c>
      <c r="N326" s="48" t="s">
        <v>1436</v>
      </c>
      <c r="O326" s="48" t="s">
        <v>1436</v>
      </c>
      <c r="P326" s="48" t="s">
        <v>1436</v>
      </c>
      <c r="Q326" s="48" t="s">
        <v>38</v>
      </c>
      <c r="R326" s="48" t="s">
        <v>39</v>
      </c>
      <c r="S326" s="48" t="s">
        <v>40</v>
      </c>
      <c r="T326" s="48" t="s">
        <v>41</v>
      </c>
      <c r="U326" s="48" t="s">
        <v>1436</v>
      </c>
      <c r="V326" s="48" t="s">
        <v>1436</v>
      </c>
      <c r="W326" s="48" t="s">
        <v>1436</v>
      </c>
      <c r="X326" s="49" t="s">
        <v>193</v>
      </c>
      <c r="Y326" s="48" t="s">
        <v>1194</v>
      </c>
      <c r="Z326" s="49" t="s">
        <v>1321</v>
      </c>
      <c r="AA326" s="48" t="s">
        <v>1324</v>
      </c>
      <c r="AB326" s="48" t="s">
        <v>1325</v>
      </c>
      <c r="AC326" s="48" t="s">
        <v>1239</v>
      </c>
      <c r="AD326" s="48" t="s">
        <v>1231</v>
      </c>
      <c r="AE326" s="48" t="s">
        <v>1669</v>
      </c>
      <c r="AF326" s="48" t="s">
        <v>1436</v>
      </c>
      <c r="AG326" s="48" t="s">
        <v>1436</v>
      </c>
      <c r="AH326" s="48" t="s">
        <v>208</v>
      </c>
      <c r="AI326" s="50">
        <v>44562</v>
      </c>
      <c r="AJ326" s="50">
        <v>46387</v>
      </c>
      <c r="AK326" s="49" t="s">
        <v>1280</v>
      </c>
      <c r="AL326" s="48" t="s">
        <v>36</v>
      </c>
      <c r="AM326" s="48" t="s">
        <v>36</v>
      </c>
      <c r="AN326" s="51">
        <v>-42330.49</v>
      </c>
      <c r="AO326" s="51"/>
      <c r="AP326" s="51"/>
      <c r="AQ326" s="72">
        <v>1600000</v>
      </c>
      <c r="AR326" s="72">
        <v>50000</v>
      </c>
      <c r="AS326" s="50">
        <v>46387</v>
      </c>
      <c r="AT326" s="50" t="s">
        <v>1436</v>
      </c>
      <c r="AU326" s="49" t="s">
        <v>1436</v>
      </c>
      <c r="AV326" s="49" t="s">
        <v>1670</v>
      </c>
      <c r="AW326" s="48" t="s">
        <v>1244</v>
      </c>
    </row>
    <row r="327" spans="1:49" x14ac:dyDescent="0.3">
      <c r="A327" s="48" t="s">
        <v>1320</v>
      </c>
      <c r="B327" s="48" t="s">
        <v>6</v>
      </c>
      <c r="C327" s="48" t="s">
        <v>1322</v>
      </c>
      <c r="D327" s="50">
        <v>45504</v>
      </c>
      <c r="E327" s="48" t="s">
        <v>36</v>
      </c>
      <c r="F327" s="48" t="s">
        <v>1433</v>
      </c>
      <c r="G327" s="48" t="s">
        <v>1434</v>
      </c>
      <c r="H327" s="49" t="s">
        <v>1437</v>
      </c>
      <c r="I327" s="48" t="s">
        <v>1410</v>
      </c>
      <c r="J327" s="48" t="s">
        <v>40</v>
      </c>
      <c r="K327" s="48" t="s">
        <v>42</v>
      </c>
      <c r="L327" s="48" t="s">
        <v>38</v>
      </c>
      <c r="M327" s="48" t="s">
        <v>37</v>
      </c>
      <c r="N327" s="48" t="s">
        <v>1436</v>
      </c>
      <c r="O327" s="48" t="s">
        <v>1436</v>
      </c>
      <c r="P327" s="48" t="s">
        <v>1436</v>
      </c>
      <c r="Q327" s="48" t="s">
        <v>38</v>
      </c>
      <c r="R327" s="48" t="s">
        <v>39</v>
      </c>
      <c r="S327" s="48" t="s">
        <v>40</v>
      </c>
      <c r="T327" s="48" t="s">
        <v>41</v>
      </c>
      <c r="U327" s="48" t="s">
        <v>1436</v>
      </c>
      <c r="V327" s="48" t="s">
        <v>1436</v>
      </c>
      <c r="W327" s="48" t="s">
        <v>1436</v>
      </c>
      <c r="X327" s="49" t="s">
        <v>193</v>
      </c>
      <c r="Y327" s="48" t="s">
        <v>1194</v>
      </c>
      <c r="Z327" s="49" t="s">
        <v>1321</v>
      </c>
      <c r="AA327" s="48" t="s">
        <v>1324</v>
      </c>
      <c r="AB327" s="48" t="s">
        <v>1325</v>
      </c>
      <c r="AC327" s="48" t="s">
        <v>1239</v>
      </c>
      <c r="AD327" s="48" t="s">
        <v>1231</v>
      </c>
      <c r="AE327" s="48" t="s">
        <v>1669</v>
      </c>
      <c r="AF327" s="48" t="s">
        <v>1436</v>
      </c>
      <c r="AG327" s="48" t="s">
        <v>1436</v>
      </c>
      <c r="AH327" s="48" t="s">
        <v>208</v>
      </c>
      <c r="AI327" s="50">
        <v>44562</v>
      </c>
      <c r="AJ327" s="50">
        <v>46387</v>
      </c>
      <c r="AK327" s="49" t="s">
        <v>1280</v>
      </c>
      <c r="AL327" s="48" t="s">
        <v>36</v>
      </c>
      <c r="AM327" s="48" t="s">
        <v>36</v>
      </c>
      <c r="AN327" s="51">
        <v>0</v>
      </c>
      <c r="AO327" s="51"/>
      <c r="AP327" s="51"/>
      <c r="AQ327" s="72">
        <v>1600000</v>
      </c>
      <c r="AR327" s="72">
        <v>50000</v>
      </c>
      <c r="AS327" s="50">
        <v>46387</v>
      </c>
      <c r="AT327" s="50" t="s">
        <v>1436</v>
      </c>
      <c r="AU327" s="49" t="s">
        <v>1436</v>
      </c>
      <c r="AV327" s="49" t="s">
        <v>1670</v>
      </c>
      <c r="AW327" s="48" t="s">
        <v>1244</v>
      </c>
    </row>
    <row r="328" spans="1:49" x14ac:dyDescent="0.3">
      <c r="A328" s="48" t="s">
        <v>1320</v>
      </c>
      <c r="B328" s="48" t="s">
        <v>6</v>
      </c>
      <c r="C328" s="48" t="s">
        <v>1322</v>
      </c>
      <c r="D328" s="50">
        <v>45504</v>
      </c>
      <c r="E328" s="48" t="s">
        <v>36</v>
      </c>
      <c r="F328" s="48" t="s">
        <v>1438</v>
      </c>
      <c r="G328" s="48" t="s">
        <v>1439</v>
      </c>
      <c r="H328" s="49" t="s">
        <v>1440</v>
      </c>
      <c r="I328" s="48" t="s">
        <v>1406</v>
      </c>
      <c r="J328" s="48" t="s">
        <v>1194</v>
      </c>
      <c r="K328" s="48" t="s">
        <v>1441</v>
      </c>
      <c r="L328" s="48" t="s">
        <v>38</v>
      </c>
      <c r="M328" s="48" t="s">
        <v>37</v>
      </c>
      <c r="N328" s="48" t="s">
        <v>1436</v>
      </c>
      <c r="O328" s="48" t="s">
        <v>1436</v>
      </c>
      <c r="P328" s="48" t="s">
        <v>1436</v>
      </c>
      <c r="Q328" s="48" t="s">
        <v>38</v>
      </c>
      <c r="R328" s="48" t="s">
        <v>39</v>
      </c>
      <c r="S328" s="48" t="s">
        <v>1194</v>
      </c>
      <c r="T328" s="48" t="s">
        <v>41</v>
      </c>
      <c r="U328" s="48" t="s">
        <v>1436</v>
      </c>
      <c r="V328" s="48" t="s">
        <v>1436</v>
      </c>
      <c r="W328" s="48" t="s">
        <v>1436</v>
      </c>
      <c r="X328" s="49" t="s">
        <v>193</v>
      </c>
      <c r="Y328" s="48" t="s">
        <v>1194</v>
      </c>
      <c r="Z328" s="49" t="s">
        <v>1321</v>
      </c>
      <c r="AA328" s="48" t="s">
        <v>1324</v>
      </c>
      <c r="AB328" s="48" t="s">
        <v>1325</v>
      </c>
      <c r="AC328" s="48" t="s">
        <v>1239</v>
      </c>
      <c r="AD328" s="48" t="s">
        <v>1231</v>
      </c>
      <c r="AE328" s="48" t="s">
        <v>1669</v>
      </c>
      <c r="AF328" s="48" t="s">
        <v>1436</v>
      </c>
      <c r="AG328" s="48" t="s">
        <v>1436</v>
      </c>
      <c r="AH328" s="48" t="s">
        <v>208</v>
      </c>
      <c r="AI328" s="50">
        <v>44562</v>
      </c>
      <c r="AJ328" s="50">
        <v>46387</v>
      </c>
      <c r="AK328" s="49" t="s">
        <v>1280</v>
      </c>
      <c r="AL328" s="48" t="s">
        <v>36</v>
      </c>
      <c r="AM328" s="48" t="s">
        <v>36</v>
      </c>
      <c r="AN328" s="51">
        <v>0</v>
      </c>
      <c r="AO328" s="51"/>
      <c r="AP328" s="51"/>
      <c r="AQ328" s="72">
        <v>1600000</v>
      </c>
      <c r="AR328" s="72">
        <v>50000</v>
      </c>
      <c r="AS328" s="50">
        <v>46387</v>
      </c>
      <c r="AT328" s="50" t="s">
        <v>1436</v>
      </c>
      <c r="AU328" s="49" t="s">
        <v>1436</v>
      </c>
      <c r="AV328" s="49" t="s">
        <v>1670</v>
      </c>
      <c r="AW328" s="48" t="s">
        <v>1244</v>
      </c>
    </row>
    <row r="329" spans="1:49" x14ac:dyDescent="0.3">
      <c r="A329" s="48" t="s">
        <v>1320</v>
      </c>
      <c r="B329" s="48" t="s">
        <v>6</v>
      </c>
      <c r="C329" s="48" t="s">
        <v>1322</v>
      </c>
      <c r="D329" s="50">
        <v>45504</v>
      </c>
      <c r="E329" s="48" t="s">
        <v>36</v>
      </c>
      <c r="F329" s="48" t="s">
        <v>1438</v>
      </c>
      <c r="G329" s="48" t="s">
        <v>1439</v>
      </c>
      <c r="H329" s="49" t="s">
        <v>1442</v>
      </c>
      <c r="I329" s="48" t="s">
        <v>1405</v>
      </c>
      <c r="J329" s="48" t="s">
        <v>1194</v>
      </c>
      <c r="K329" s="48" t="s">
        <v>1443</v>
      </c>
      <c r="L329" s="48" t="s">
        <v>38</v>
      </c>
      <c r="M329" s="48" t="s">
        <v>37</v>
      </c>
      <c r="N329" s="48" t="s">
        <v>1436</v>
      </c>
      <c r="O329" s="48" t="s">
        <v>1436</v>
      </c>
      <c r="P329" s="48" t="s">
        <v>1436</v>
      </c>
      <c r="Q329" s="48" t="s">
        <v>38</v>
      </c>
      <c r="R329" s="48" t="s">
        <v>39</v>
      </c>
      <c r="S329" s="48" t="s">
        <v>1194</v>
      </c>
      <c r="T329" s="48" t="s">
        <v>41</v>
      </c>
      <c r="U329" s="48" t="s">
        <v>1436</v>
      </c>
      <c r="V329" s="48" t="s">
        <v>1436</v>
      </c>
      <c r="W329" s="48" t="s">
        <v>1436</v>
      </c>
      <c r="X329" s="49" t="s">
        <v>193</v>
      </c>
      <c r="Y329" s="48" t="s">
        <v>1194</v>
      </c>
      <c r="Z329" s="49" t="s">
        <v>1321</v>
      </c>
      <c r="AA329" s="48" t="s">
        <v>1324</v>
      </c>
      <c r="AB329" s="48" t="s">
        <v>1325</v>
      </c>
      <c r="AC329" s="48" t="s">
        <v>1239</v>
      </c>
      <c r="AD329" s="48" t="s">
        <v>1231</v>
      </c>
      <c r="AE329" s="48" t="s">
        <v>1669</v>
      </c>
      <c r="AF329" s="48" t="s">
        <v>1436</v>
      </c>
      <c r="AG329" s="48" t="s">
        <v>1436</v>
      </c>
      <c r="AH329" s="48" t="s">
        <v>208</v>
      </c>
      <c r="AI329" s="50">
        <v>44562</v>
      </c>
      <c r="AJ329" s="50">
        <v>46387</v>
      </c>
      <c r="AK329" s="49" t="s">
        <v>1280</v>
      </c>
      <c r="AL329" s="48" t="s">
        <v>36</v>
      </c>
      <c r="AM329" s="48" t="s">
        <v>36</v>
      </c>
      <c r="AN329" s="51">
        <v>0</v>
      </c>
      <c r="AO329" s="51"/>
      <c r="AP329" s="51"/>
      <c r="AQ329" s="72">
        <v>1600000</v>
      </c>
      <c r="AR329" s="72">
        <v>50000</v>
      </c>
      <c r="AS329" s="50">
        <v>46387</v>
      </c>
      <c r="AT329" s="50" t="s">
        <v>1436</v>
      </c>
      <c r="AU329" s="49" t="s">
        <v>1436</v>
      </c>
      <c r="AV329" s="49" t="s">
        <v>1670</v>
      </c>
      <c r="AW329" s="48" t="s">
        <v>1244</v>
      </c>
    </row>
    <row r="330" spans="1:49" x14ac:dyDescent="0.3">
      <c r="A330" s="48" t="s">
        <v>1320</v>
      </c>
      <c r="B330" s="48" t="s">
        <v>6</v>
      </c>
      <c r="C330" s="48" t="s">
        <v>1322</v>
      </c>
      <c r="D330" s="50">
        <v>45504</v>
      </c>
      <c r="E330" s="48" t="s">
        <v>36</v>
      </c>
      <c r="F330" s="48" t="s">
        <v>1438</v>
      </c>
      <c r="G330" s="48" t="s">
        <v>1444</v>
      </c>
      <c r="H330" s="49" t="s">
        <v>1445</v>
      </c>
      <c r="I330" s="48" t="s">
        <v>1411</v>
      </c>
      <c r="J330" s="48" t="s">
        <v>40</v>
      </c>
      <c r="K330" s="48" t="s">
        <v>50</v>
      </c>
      <c r="L330" s="48" t="s">
        <v>38</v>
      </c>
      <c r="M330" s="48" t="s">
        <v>37</v>
      </c>
      <c r="N330" s="48" t="s">
        <v>1436</v>
      </c>
      <c r="O330" s="48" t="s">
        <v>1436</v>
      </c>
      <c r="P330" s="48" t="s">
        <v>1436</v>
      </c>
      <c r="Q330" s="48" t="s">
        <v>38</v>
      </c>
      <c r="R330" s="48" t="s">
        <v>39</v>
      </c>
      <c r="S330" s="48" t="s">
        <v>40</v>
      </c>
      <c r="T330" s="48" t="s">
        <v>41</v>
      </c>
      <c r="U330" s="48" t="s">
        <v>1436</v>
      </c>
      <c r="V330" s="48" t="s">
        <v>1436</v>
      </c>
      <c r="W330" s="48" t="s">
        <v>1436</v>
      </c>
      <c r="X330" s="49" t="s">
        <v>193</v>
      </c>
      <c r="Y330" s="48" t="s">
        <v>1194</v>
      </c>
      <c r="Z330" s="49" t="s">
        <v>1321</v>
      </c>
      <c r="AA330" s="48" t="s">
        <v>1324</v>
      </c>
      <c r="AB330" s="48" t="s">
        <v>1325</v>
      </c>
      <c r="AC330" s="48" t="s">
        <v>1239</v>
      </c>
      <c r="AD330" s="48" t="s">
        <v>1231</v>
      </c>
      <c r="AE330" s="48" t="s">
        <v>1669</v>
      </c>
      <c r="AF330" s="48" t="s">
        <v>1436</v>
      </c>
      <c r="AG330" s="48" t="s">
        <v>1436</v>
      </c>
      <c r="AH330" s="48" t="s">
        <v>208</v>
      </c>
      <c r="AI330" s="50">
        <v>44562</v>
      </c>
      <c r="AJ330" s="50">
        <v>46387</v>
      </c>
      <c r="AK330" s="49" t="s">
        <v>1280</v>
      </c>
      <c r="AL330" s="48" t="s">
        <v>36</v>
      </c>
      <c r="AM330" s="48" t="s">
        <v>36</v>
      </c>
      <c r="AN330" s="51">
        <v>42330.49</v>
      </c>
      <c r="AO330" s="51"/>
      <c r="AP330" s="51"/>
      <c r="AQ330" s="72">
        <v>1600000</v>
      </c>
      <c r="AR330" s="72">
        <v>50000</v>
      </c>
      <c r="AS330" s="50">
        <v>46387</v>
      </c>
      <c r="AT330" s="50" t="s">
        <v>1436</v>
      </c>
      <c r="AU330" s="49" t="s">
        <v>1436</v>
      </c>
      <c r="AV330" s="49" t="s">
        <v>1670</v>
      </c>
      <c r="AW330" s="48" t="s">
        <v>1244</v>
      </c>
    </row>
    <row r="331" spans="1:49" x14ac:dyDescent="0.3">
      <c r="A331" s="48" t="s">
        <v>1320</v>
      </c>
      <c r="B331" s="48" t="s">
        <v>6</v>
      </c>
      <c r="C331" s="48" t="s">
        <v>1322</v>
      </c>
      <c r="D331" s="50">
        <v>45504</v>
      </c>
      <c r="E331" s="48" t="s">
        <v>36</v>
      </c>
      <c r="F331" s="48" t="s">
        <v>1438</v>
      </c>
      <c r="G331" s="48" t="s">
        <v>1444</v>
      </c>
      <c r="H331" s="49" t="s">
        <v>1446</v>
      </c>
      <c r="I331" s="48" t="s">
        <v>1407</v>
      </c>
      <c r="J331" s="48" t="s">
        <v>40</v>
      </c>
      <c r="K331" s="48" t="s">
        <v>47</v>
      </c>
      <c r="L331" s="48" t="s">
        <v>38</v>
      </c>
      <c r="M331" s="48" t="s">
        <v>37</v>
      </c>
      <c r="N331" s="48" t="s">
        <v>1436</v>
      </c>
      <c r="O331" s="48" t="s">
        <v>1436</v>
      </c>
      <c r="P331" s="48" t="s">
        <v>1436</v>
      </c>
      <c r="Q331" s="48" t="s">
        <v>38</v>
      </c>
      <c r="R331" s="48" t="s">
        <v>39</v>
      </c>
      <c r="S331" s="48" t="s">
        <v>40</v>
      </c>
      <c r="T331" s="48" t="s">
        <v>41</v>
      </c>
      <c r="U331" s="48" t="s">
        <v>1436</v>
      </c>
      <c r="V331" s="48" t="s">
        <v>1436</v>
      </c>
      <c r="W331" s="48" t="s">
        <v>1436</v>
      </c>
      <c r="X331" s="49" t="s">
        <v>193</v>
      </c>
      <c r="Y331" s="48" t="s">
        <v>1194</v>
      </c>
      <c r="Z331" s="49" t="s">
        <v>1321</v>
      </c>
      <c r="AA331" s="48" t="s">
        <v>1324</v>
      </c>
      <c r="AB331" s="48" t="s">
        <v>1325</v>
      </c>
      <c r="AC331" s="48" t="s">
        <v>1239</v>
      </c>
      <c r="AD331" s="48" t="s">
        <v>1231</v>
      </c>
      <c r="AE331" s="48" t="s">
        <v>1669</v>
      </c>
      <c r="AF331" s="48" t="s">
        <v>1436</v>
      </c>
      <c r="AG331" s="48" t="s">
        <v>1436</v>
      </c>
      <c r="AH331" s="48" t="s">
        <v>208</v>
      </c>
      <c r="AI331" s="50">
        <v>44562</v>
      </c>
      <c r="AJ331" s="50">
        <v>46387</v>
      </c>
      <c r="AK331" s="49" t="s">
        <v>1280</v>
      </c>
      <c r="AL331" s="48" t="s">
        <v>36</v>
      </c>
      <c r="AM331" s="48" t="s">
        <v>36</v>
      </c>
      <c r="AN331" s="51">
        <v>7760.8366939999996</v>
      </c>
      <c r="AO331" s="51"/>
      <c r="AP331" s="51"/>
      <c r="AQ331" s="72">
        <v>1600000</v>
      </c>
      <c r="AR331" s="72">
        <v>50000</v>
      </c>
      <c r="AS331" s="50">
        <v>46387</v>
      </c>
      <c r="AT331" s="50" t="s">
        <v>1436</v>
      </c>
      <c r="AU331" s="49" t="s">
        <v>1436</v>
      </c>
      <c r="AV331" s="49" t="s">
        <v>1670</v>
      </c>
      <c r="AW331" s="48" t="s">
        <v>1244</v>
      </c>
    </row>
    <row r="332" spans="1:49" x14ac:dyDescent="0.3">
      <c r="A332" s="48" t="s">
        <v>1320</v>
      </c>
      <c r="B332" s="48" t="s">
        <v>6</v>
      </c>
      <c r="C332" s="48" t="s">
        <v>1322</v>
      </c>
      <c r="D332" s="50">
        <v>45504</v>
      </c>
      <c r="E332" s="48" t="s">
        <v>36</v>
      </c>
      <c r="F332" s="48" t="s">
        <v>1433</v>
      </c>
      <c r="G332" s="48" t="s">
        <v>1447</v>
      </c>
      <c r="H332" s="49" t="s">
        <v>1448</v>
      </c>
      <c r="I332" s="48" t="s">
        <v>1413</v>
      </c>
      <c r="J332" s="48" t="s">
        <v>40</v>
      </c>
      <c r="K332" s="48" t="s">
        <v>58</v>
      </c>
      <c r="L332" s="48" t="s">
        <v>38</v>
      </c>
      <c r="M332" s="48" t="s">
        <v>37</v>
      </c>
      <c r="N332" s="48" t="s">
        <v>1436</v>
      </c>
      <c r="O332" s="48" t="s">
        <v>1436</v>
      </c>
      <c r="P332" s="48" t="s">
        <v>1436</v>
      </c>
      <c r="Q332" s="48" t="s">
        <v>38</v>
      </c>
      <c r="R332" s="48" t="s">
        <v>39</v>
      </c>
      <c r="S332" s="48" t="s">
        <v>40</v>
      </c>
      <c r="T332" s="48" t="s">
        <v>41</v>
      </c>
      <c r="U332" s="48" t="s">
        <v>1436</v>
      </c>
      <c r="V332" s="48" t="s">
        <v>1436</v>
      </c>
      <c r="W332" s="48" t="s">
        <v>1436</v>
      </c>
      <c r="X332" s="49" t="s">
        <v>193</v>
      </c>
      <c r="Y332" s="48" t="s">
        <v>1194</v>
      </c>
      <c r="Z332" s="49" t="s">
        <v>1321</v>
      </c>
      <c r="AA332" s="48" t="s">
        <v>1324</v>
      </c>
      <c r="AB332" s="48" t="s">
        <v>1325</v>
      </c>
      <c r="AC332" s="48" t="s">
        <v>1239</v>
      </c>
      <c r="AD332" s="48" t="s">
        <v>1231</v>
      </c>
      <c r="AE332" s="48" t="s">
        <v>1669</v>
      </c>
      <c r="AF332" s="48" t="s">
        <v>1436</v>
      </c>
      <c r="AG332" s="48" t="s">
        <v>1436</v>
      </c>
      <c r="AH332" s="48" t="s">
        <v>208</v>
      </c>
      <c r="AI332" s="50">
        <v>44562</v>
      </c>
      <c r="AJ332" s="50">
        <v>46387</v>
      </c>
      <c r="AK332" s="49" t="s">
        <v>1280</v>
      </c>
      <c r="AL332" s="48" t="s">
        <v>36</v>
      </c>
      <c r="AM332" s="48" t="s">
        <v>36</v>
      </c>
      <c r="AN332" s="51">
        <v>-50000</v>
      </c>
      <c r="AO332" s="51"/>
      <c r="AP332" s="51"/>
      <c r="AQ332" s="72">
        <v>1600000</v>
      </c>
      <c r="AR332" s="72">
        <v>50000</v>
      </c>
      <c r="AS332" s="50">
        <v>46387</v>
      </c>
      <c r="AT332" s="50" t="s">
        <v>1436</v>
      </c>
      <c r="AU332" s="49" t="s">
        <v>1436</v>
      </c>
      <c r="AV332" s="49" t="s">
        <v>1670</v>
      </c>
      <c r="AW332" s="48" t="s">
        <v>1244</v>
      </c>
    </row>
    <row r="333" spans="1:49" x14ac:dyDescent="0.3">
      <c r="A333" s="48" t="s">
        <v>1320</v>
      </c>
      <c r="B333" s="48" t="s">
        <v>6</v>
      </c>
      <c r="C333" s="48" t="s">
        <v>1322</v>
      </c>
      <c r="D333" s="50">
        <v>45504</v>
      </c>
      <c r="E333" s="48" t="s">
        <v>36</v>
      </c>
      <c r="F333" s="48" t="s">
        <v>1433</v>
      </c>
      <c r="G333" s="48" t="s">
        <v>1447</v>
      </c>
      <c r="H333" s="49" t="s">
        <v>1449</v>
      </c>
      <c r="I333" s="48" t="s">
        <v>1409</v>
      </c>
      <c r="J333" s="48" t="s">
        <v>40</v>
      </c>
      <c r="K333" s="48" t="s">
        <v>45</v>
      </c>
      <c r="L333" s="48" t="s">
        <v>38</v>
      </c>
      <c r="M333" s="48" t="s">
        <v>37</v>
      </c>
      <c r="N333" s="48" t="s">
        <v>1436</v>
      </c>
      <c r="O333" s="48" t="s">
        <v>1436</v>
      </c>
      <c r="P333" s="48" t="s">
        <v>1436</v>
      </c>
      <c r="Q333" s="48" t="s">
        <v>38</v>
      </c>
      <c r="R333" s="48" t="s">
        <v>39</v>
      </c>
      <c r="S333" s="48" t="s">
        <v>40</v>
      </c>
      <c r="T333" s="48" t="s">
        <v>41</v>
      </c>
      <c r="U333" s="48" t="s">
        <v>1436</v>
      </c>
      <c r="V333" s="48" t="s">
        <v>1436</v>
      </c>
      <c r="W333" s="48" t="s">
        <v>1436</v>
      </c>
      <c r="X333" s="49" t="s">
        <v>193</v>
      </c>
      <c r="Y333" s="48" t="s">
        <v>1194</v>
      </c>
      <c r="Z333" s="49" t="s">
        <v>1321</v>
      </c>
      <c r="AA333" s="48" t="s">
        <v>1324</v>
      </c>
      <c r="AB333" s="48" t="s">
        <v>1325</v>
      </c>
      <c r="AC333" s="48" t="s">
        <v>1239</v>
      </c>
      <c r="AD333" s="48" t="s">
        <v>1231</v>
      </c>
      <c r="AE333" s="48" t="s">
        <v>1669</v>
      </c>
      <c r="AF333" s="48" t="s">
        <v>1436</v>
      </c>
      <c r="AG333" s="48" t="s">
        <v>1436</v>
      </c>
      <c r="AH333" s="48" t="s">
        <v>208</v>
      </c>
      <c r="AI333" s="50">
        <v>44562</v>
      </c>
      <c r="AJ333" s="50">
        <v>46387</v>
      </c>
      <c r="AK333" s="49" t="s">
        <v>1280</v>
      </c>
      <c r="AL333" s="48" t="s">
        <v>36</v>
      </c>
      <c r="AM333" s="48" t="s">
        <v>36</v>
      </c>
      <c r="AN333" s="51">
        <v>45029.957155999997</v>
      </c>
      <c r="AO333" s="51"/>
      <c r="AP333" s="51"/>
      <c r="AQ333" s="72">
        <v>1600000</v>
      </c>
      <c r="AR333" s="72">
        <v>50000</v>
      </c>
      <c r="AS333" s="50">
        <v>46387</v>
      </c>
      <c r="AT333" s="50" t="s">
        <v>1436</v>
      </c>
      <c r="AU333" s="49" t="s">
        <v>1436</v>
      </c>
      <c r="AV333" s="49" t="s">
        <v>1670</v>
      </c>
      <c r="AW333" s="48" t="s">
        <v>1244</v>
      </c>
    </row>
    <row r="334" spans="1:49" x14ac:dyDescent="0.3">
      <c r="A334" s="48" t="s">
        <v>1320</v>
      </c>
      <c r="B334" s="48" t="s">
        <v>6</v>
      </c>
      <c r="C334" s="48" t="s">
        <v>1322</v>
      </c>
      <c r="D334" s="50">
        <v>45504</v>
      </c>
      <c r="E334" s="48" t="s">
        <v>36</v>
      </c>
      <c r="F334" s="48" t="s">
        <v>1433</v>
      </c>
      <c r="G334" s="48" t="s">
        <v>1447</v>
      </c>
      <c r="H334" s="49" t="s">
        <v>1450</v>
      </c>
      <c r="I334" s="48" t="s">
        <v>1408</v>
      </c>
      <c r="J334" s="48" t="s">
        <v>40</v>
      </c>
      <c r="K334" s="48" t="s">
        <v>54</v>
      </c>
      <c r="L334" s="48" t="s">
        <v>38</v>
      </c>
      <c r="M334" s="48" t="s">
        <v>37</v>
      </c>
      <c r="N334" s="48" t="s">
        <v>1436</v>
      </c>
      <c r="O334" s="48" t="s">
        <v>1436</v>
      </c>
      <c r="P334" s="48" t="s">
        <v>1436</v>
      </c>
      <c r="Q334" s="48" t="s">
        <v>38</v>
      </c>
      <c r="R334" s="48" t="s">
        <v>39</v>
      </c>
      <c r="S334" s="48" t="s">
        <v>40</v>
      </c>
      <c r="T334" s="48" t="s">
        <v>41</v>
      </c>
      <c r="U334" s="48" t="s">
        <v>1436</v>
      </c>
      <c r="V334" s="48" t="s">
        <v>1436</v>
      </c>
      <c r="W334" s="48" t="s">
        <v>1436</v>
      </c>
      <c r="X334" s="49" t="s">
        <v>193</v>
      </c>
      <c r="Y334" s="48" t="s">
        <v>1194</v>
      </c>
      <c r="Z334" s="49" t="s">
        <v>1321</v>
      </c>
      <c r="AA334" s="48" t="s">
        <v>1324</v>
      </c>
      <c r="AB334" s="48" t="s">
        <v>1325</v>
      </c>
      <c r="AC334" s="48" t="s">
        <v>1239</v>
      </c>
      <c r="AD334" s="48" t="s">
        <v>1231</v>
      </c>
      <c r="AE334" s="48" t="s">
        <v>1669</v>
      </c>
      <c r="AF334" s="48" t="s">
        <v>1436</v>
      </c>
      <c r="AG334" s="48" t="s">
        <v>1436</v>
      </c>
      <c r="AH334" s="48" t="s">
        <v>208</v>
      </c>
      <c r="AI334" s="50">
        <v>44562</v>
      </c>
      <c r="AJ334" s="50">
        <v>46387</v>
      </c>
      <c r="AK334" s="49" t="s">
        <v>1280</v>
      </c>
      <c r="AL334" s="48" t="s">
        <v>36</v>
      </c>
      <c r="AM334" s="48" t="s">
        <v>36</v>
      </c>
      <c r="AN334" s="51">
        <v>-3035.76</v>
      </c>
      <c r="AO334" s="51"/>
      <c r="AP334" s="51"/>
      <c r="AQ334" s="72">
        <v>1600000</v>
      </c>
      <c r="AR334" s="72">
        <v>50000</v>
      </c>
      <c r="AS334" s="50">
        <v>46387</v>
      </c>
      <c r="AT334" s="50" t="s">
        <v>1436</v>
      </c>
      <c r="AU334" s="49" t="s">
        <v>1436</v>
      </c>
      <c r="AV334" s="49" t="s">
        <v>1670</v>
      </c>
      <c r="AW334" s="48" t="s">
        <v>1244</v>
      </c>
    </row>
    <row r="335" spans="1:49" x14ac:dyDescent="0.3">
      <c r="A335" s="48" t="s">
        <v>1320</v>
      </c>
      <c r="B335" s="48" t="s">
        <v>6</v>
      </c>
      <c r="C335" s="48" t="s">
        <v>1322</v>
      </c>
      <c r="D335" s="50">
        <v>45504</v>
      </c>
      <c r="E335" s="48" t="s">
        <v>36</v>
      </c>
      <c r="F335" s="48" t="s">
        <v>1433</v>
      </c>
      <c r="G335" s="48" t="s">
        <v>1447</v>
      </c>
      <c r="H335" s="49" t="s">
        <v>1451</v>
      </c>
      <c r="I335" s="48" t="s">
        <v>1404</v>
      </c>
      <c r="J335" s="48" t="s">
        <v>38</v>
      </c>
      <c r="K335" s="48" t="s">
        <v>49</v>
      </c>
      <c r="L335" s="48" t="s">
        <v>38</v>
      </c>
      <c r="M335" s="48" t="s">
        <v>37</v>
      </c>
      <c r="N335" s="48" t="s">
        <v>1436</v>
      </c>
      <c r="O335" s="48" t="s">
        <v>1436</v>
      </c>
      <c r="P335" s="48" t="s">
        <v>1436</v>
      </c>
      <c r="Q335" s="48" t="s">
        <v>38</v>
      </c>
      <c r="R335" s="48" t="s">
        <v>39</v>
      </c>
      <c r="S335" s="48" t="s">
        <v>38</v>
      </c>
      <c r="T335" s="48" t="s">
        <v>41</v>
      </c>
      <c r="U335" s="48" t="s">
        <v>1436</v>
      </c>
      <c r="V335" s="48" t="s">
        <v>1436</v>
      </c>
      <c r="W335" s="48" t="s">
        <v>1436</v>
      </c>
      <c r="X335" s="49" t="s">
        <v>193</v>
      </c>
      <c r="Y335" s="48" t="s">
        <v>1194</v>
      </c>
      <c r="Z335" s="49" t="s">
        <v>1321</v>
      </c>
      <c r="AA335" s="48" t="s">
        <v>1324</v>
      </c>
      <c r="AB335" s="48" t="s">
        <v>1325</v>
      </c>
      <c r="AC335" s="48" t="s">
        <v>1239</v>
      </c>
      <c r="AD335" s="48" t="s">
        <v>1231</v>
      </c>
      <c r="AE335" s="48" t="s">
        <v>1669</v>
      </c>
      <c r="AF335" s="48" t="s">
        <v>1436</v>
      </c>
      <c r="AG335" s="48" t="s">
        <v>1436</v>
      </c>
      <c r="AH335" s="48" t="s">
        <v>208</v>
      </c>
      <c r="AI335" s="50">
        <v>44562</v>
      </c>
      <c r="AJ335" s="50">
        <v>46387</v>
      </c>
      <c r="AK335" s="49" t="s">
        <v>1280</v>
      </c>
      <c r="AL335" s="48" t="s">
        <v>36</v>
      </c>
      <c r="AM335" s="48" t="s">
        <v>36</v>
      </c>
      <c r="AN335" s="51">
        <v>244.96615</v>
      </c>
      <c r="AO335" s="51"/>
      <c r="AP335" s="51"/>
      <c r="AQ335" s="72">
        <v>1600000</v>
      </c>
      <c r="AR335" s="72">
        <v>50000</v>
      </c>
      <c r="AS335" s="50">
        <v>46387</v>
      </c>
      <c r="AT335" s="50" t="s">
        <v>1436</v>
      </c>
      <c r="AU335" s="49" t="s">
        <v>1436</v>
      </c>
      <c r="AV335" s="49" t="s">
        <v>1670</v>
      </c>
      <c r="AW335" s="48" t="s">
        <v>1244</v>
      </c>
    </row>
    <row r="336" spans="1:49" x14ac:dyDescent="0.3">
      <c r="A336" s="48" t="s">
        <v>1320</v>
      </c>
      <c r="B336" s="48" t="s">
        <v>6</v>
      </c>
      <c r="C336" s="48" t="s">
        <v>1322</v>
      </c>
      <c r="D336" s="50">
        <v>45535</v>
      </c>
      <c r="E336" s="48" t="s">
        <v>36</v>
      </c>
      <c r="F336" s="48" t="s">
        <v>1433</v>
      </c>
      <c r="G336" s="48" t="s">
        <v>1434</v>
      </c>
      <c r="H336" s="49" t="s">
        <v>1435</v>
      </c>
      <c r="I336" s="48" t="s">
        <v>1412</v>
      </c>
      <c r="J336" s="48" t="s">
        <v>40</v>
      </c>
      <c r="K336" s="48" t="s">
        <v>52</v>
      </c>
      <c r="L336" s="48" t="s">
        <v>38</v>
      </c>
      <c r="M336" s="48" t="s">
        <v>37</v>
      </c>
      <c r="N336" s="48" t="s">
        <v>1436</v>
      </c>
      <c r="O336" s="48" t="s">
        <v>1436</v>
      </c>
      <c r="P336" s="48" t="s">
        <v>1436</v>
      </c>
      <c r="Q336" s="48" t="s">
        <v>38</v>
      </c>
      <c r="R336" s="48" t="s">
        <v>39</v>
      </c>
      <c r="S336" s="48" t="s">
        <v>40</v>
      </c>
      <c r="T336" s="48" t="s">
        <v>41</v>
      </c>
      <c r="U336" s="48" t="s">
        <v>1436</v>
      </c>
      <c r="V336" s="48" t="s">
        <v>1436</v>
      </c>
      <c r="W336" s="48" t="s">
        <v>1436</v>
      </c>
      <c r="X336" s="49" t="s">
        <v>193</v>
      </c>
      <c r="Y336" s="48" t="s">
        <v>1194</v>
      </c>
      <c r="Z336" s="49" t="s">
        <v>1321</v>
      </c>
      <c r="AA336" s="48" t="s">
        <v>1324</v>
      </c>
      <c r="AB336" s="48" t="s">
        <v>1325</v>
      </c>
      <c r="AC336" s="48" t="s">
        <v>1239</v>
      </c>
      <c r="AD336" s="48" t="s">
        <v>1231</v>
      </c>
      <c r="AE336" s="48" t="s">
        <v>1669</v>
      </c>
      <c r="AF336" s="48" t="s">
        <v>1436</v>
      </c>
      <c r="AG336" s="48" t="s">
        <v>1436</v>
      </c>
      <c r="AH336" s="48" t="s">
        <v>208</v>
      </c>
      <c r="AI336" s="50">
        <v>44562</v>
      </c>
      <c r="AJ336" s="50">
        <v>46387</v>
      </c>
      <c r="AK336" s="49" t="s">
        <v>1280</v>
      </c>
      <c r="AL336" s="48" t="s">
        <v>36</v>
      </c>
      <c r="AM336" s="48" t="s">
        <v>36</v>
      </c>
      <c r="AN336" s="51">
        <v>-42330.49</v>
      </c>
      <c r="AO336" s="51"/>
      <c r="AP336" s="51"/>
      <c r="AQ336" s="72">
        <v>1600000</v>
      </c>
      <c r="AR336" s="72">
        <v>50000</v>
      </c>
      <c r="AS336" s="50">
        <v>46387</v>
      </c>
      <c r="AT336" s="50" t="s">
        <v>1436</v>
      </c>
      <c r="AU336" s="49" t="s">
        <v>1436</v>
      </c>
      <c r="AV336" s="49" t="s">
        <v>1670</v>
      </c>
      <c r="AW336" s="48" t="s">
        <v>1244</v>
      </c>
    </row>
    <row r="337" spans="1:49" x14ac:dyDescent="0.3">
      <c r="A337" s="48" t="s">
        <v>1320</v>
      </c>
      <c r="B337" s="48" t="s">
        <v>6</v>
      </c>
      <c r="C337" s="48" t="s">
        <v>1322</v>
      </c>
      <c r="D337" s="50">
        <v>45535</v>
      </c>
      <c r="E337" s="48" t="s">
        <v>36</v>
      </c>
      <c r="F337" s="48" t="s">
        <v>1433</v>
      </c>
      <c r="G337" s="48" t="s">
        <v>1434</v>
      </c>
      <c r="H337" s="49" t="s">
        <v>1437</v>
      </c>
      <c r="I337" s="48" t="s">
        <v>1410</v>
      </c>
      <c r="J337" s="48" t="s">
        <v>40</v>
      </c>
      <c r="K337" s="48" t="s">
        <v>42</v>
      </c>
      <c r="L337" s="48" t="s">
        <v>38</v>
      </c>
      <c r="M337" s="48" t="s">
        <v>37</v>
      </c>
      <c r="N337" s="48" t="s">
        <v>1436</v>
      </c>
      <c r="O337" s="48" t="s">
        <v>1436</v>
      </c>
      <c r="P337" s="48" t="s">
        <v>1436</v>
      </c>
      <c r="Q337" s="48" t="s">
        <v>38</v>
      </c>
      <c r="R337" s="48" t="s">
        <v>39</v>
      </c>
      <c r="S337" s="48" t="s">
        <v>40</v>
      </c>
      <c r="T337" s="48" t="s">
        <v>41</v>
      </c>
      <c r="U337" s="48" t="s">
        <v>1436</v>
      </c>
      <c r="V337" s="48" t="s">
        <v>1436</v>
      </c>
      <c r="W337" s="48" t="s">
        <v>1436</v>
      </c>
      <c r="X337" s="49" t="s">
        <v>193</v>
      </c>
      <c r="Y337" s="48" t="s">
        <v>1194</v>
      </c>
      <c r="Z337" s="49" t="s">
        <v>1321</v>
      </c>
      <c r="AA337" s="48" t="s">
        <v>1324</v>
      </c>
      <c r="AB337" s="48" t="s">
        <v>1325</v>
      </c>
      <c r="AC337" s="48" t="s">
        <v>1239</v>
      </c>
      <c r="AD337" s="48" t="s">
        <v>1231</v>
      </c>
      <c r="AE337" s="48" t="s">
        <v>1669</v>
      </c>
      <c r="AF337" s="48" t="s">
        <v>1436</v>
      </c>
      <c r="AG337" s="48" t="s">
        <v>1436</v>
      </c>
      <c r="AH337" s="48" t="s">
        <v>208</v>
      </c>
      <c r="AI337" s="50">
        <v>44562</v>
      </c>
      <c r="AJ337" s="50">
        <v>46387</v>
      </c>
      <c r="AK337" s="49" t="s">
        <v>1280</v>
      </c>
      <c r="AL337" s="48" t="s">
        <v>36</v>
      </c>
      <c r="AM337" s="48" t="s">
        <v>36</v>
      </c>
      <c r="AN337" s="51">
        <v>0</v>
      </c>
      <c r="AO337" s="51"/>
      <c r="AP337" s="51"/>
      <c r="AQ337" s="72">
        <v>1600000</v>
      </c>
      <c r="AR337" s="72">
        <v>50000</v>
      </c>
      <c r="AS337" s="50">
        <v>46387</v>
      </c>
      <c r="AT337" s="50" t="s">
        <v>1436</v>
      </c>
      <c r="AU337" s="49" t="s">
        <v>1436</v>
      </c>
      <c r="AV337" s="49" t="s">
        <v>1670</v>
      </c>
      <c r="AW337" s="48" t="s">
        <v>1244</v>
      </c>
    </row>
    <row r="338" spans="1:49" x14ac:dyDescent="0.3">
      <c r="A338" s="48" t="s">
        <v>1320</v>
      </c>
      <c r="B338" s="48" t="s">
        <v>6</v>
      </c>
      <c r="C338" s="48" t="s">
        <v>1322</v>
      </c>
      <c r="D338" s="50">
        <v>45535</v>
      </c>
      <c r="E338" s="48" t="s">
        <v>36</v>
      </c>
      <c r="F338" s="48" t="s">
        <v>1438</v>
      </c>
      <c r="G338" s="48" t="s">
        <v>1439</v>
      </c>
      <c r="H338" s="49" t="s">
        <v>1440</v>
      </c>
      <c r="I338" s="48" t="s">
        <v>1406</v>
      </c>
      <c r="J338" s="48" t="s">
        <v>1194</v>
      </c>
      <c r="K338" s="48" t="s">
        <v>1441</v>
      </c>
      <c r="L338" s="48" t="s">
        <v>38</v>
      </c>
      <c r="M338" s="48" t="s">
        <v>37</v>
      </c>
      <c r="N338" s="48" t="s">
        <v>1436</v>
      </c>
      <c r="O338" s="48" t="s">
        <v>1436</v>
      </c>
      <c r="P338" s="48" t="s">
        <v>1436</v>
      </c>
      <c r="Q338" s="48" t="s">
        <v>38</v>
      </c>
      <c r="R338" s="48" t="s">
        <v>39</v>
      </c>
      <c r="S338" s="48" t="s">
        <v>1194</v>
      </c>
      <c r="T338" s="48" t="s">
        <v>41</v>
      </c>
      <c r="U338" s="48" t="s">
        <v>1436</v>
      </c>
      <c r="V338" s="48" t="s">
        <v>1436</v>
      </c>
      <c r="W338" s="48" t="s">
        <v>1436</v>
      </c>
      <c r="X338" s="49" t="s">
        <v>193</v>
      </c>
      <c r="Y338" s="48" t="s">
        <v>1194</v>
      </c>
      <c r="Z338" s="49" t="s">
        <v>1321</v>
      </c>
      <c r="AA338" s="48" t="s">
        <v>1324</v>
      </c>
      <c r="AB338" s="48" t="s">
        <v>1325</v>
      </c>
      <c r="AC338" s="48" t="s">
        <v>1239</v>
      </c>
      <c r="AD338" s="48" t="s">
        <v>1231</v>
      </c>
      <c r="AE338" s="48" t="s">
        <v>1669</v>
      </c>
      <c r="AF338" s="48" t="s">
        <v>1436</v>
      </c>
      <c r="AG338" s="48" t="s">
        <v>1436</v>
      </c>
      <c r="AH338" s="48" t="s">
        <v>208</v>
      </c>
      <c r="AI338" s="50">
        <v>44562</v>
      </c>
      <c r="AJ338" s="50">
        <v>46387</v>
      </c>
      <c r="AK338" s="49" t="s">
        <v>1280</v>
      </c>
      <c r="AL338" s="48" t="s">
        <v>36</v>
      </c>
      <c r="AM338" s="48" t="s">
        <v>36</v>
      </c>
      <c r="AN338" s="51">
        <v>0</v>
      </c>
      <c r="AO338" s="51"/>
      <c r="AP338" s="51"/>
      <c r="AQ338" s="72">
        <v>1600000</v>
      </c>
      <c r="AR338" s="72">
        <v>50000</v>
      </c>
      <c r="AS338" s="50">
        <v>46387</v>
      </c>
      <c r="AT338" s="50" t="s">
        <v>1436</v>
      </c>
      <c r="AU338" s="49" t="s">
        <v>1436</v>
      </c>
      <c r="AV338" s="49" t="s">
        <v>1670</v>
      </c>
      <c r="AW338" s="48" t="s">
        <v>1244</v>
      </c>
    </row>
    <row r="339" spans="1:49" x14ac:dyDescent="0.3">
      <c r="A339" s="48" t="s">
        <v>1320</v>
      </c>
      <c r="B339" s="48" t="s">
        <v>6</v>
      </c>
      <c r="C339" s="48" t="s">
        <v>1322</v>
      </c>
      <c r="D339" s="50">
        <v>45535</v>
      </c>
      <c r="E339" s="48" t="s">
        <v>36</v>
      </c>
      <c r="F339" s="48" t="s">
        <v>1438</v>
      </c>
      <c r="G339" s="48" t="s">
        <v>1439</v>
      </c>
      <c r="H339" s="49" t="s">
        <v>1442</v>
      </c>
      <c r="I339" s="48" t="s">
        <v>1405</v>
      </c>
      <c r="J339" s="48" t="s">
        <v>1194</v>
      </c>
      <c r="K339" s="48" t="s">
        <v>1443</v>
      </c>
      <c r="L339" s="48" t="s">
        <v>38</v>
      </c>
      <c r="M339" s="48" t="s">
        <v>37</v>
      </c>
      <c r="N339" s="48" t="s">
        <v>1436</v>
      </c>
      <c r="O339" s="48" t="s">
        <v>1436</v>
      </c>
      <c r="P339" s="48" t="s">
        <v>1436</v>
      </c>
      <c r="Q339" s="48" t="s">
        <v>38</v>
      </c>
      <c r="R339" s="48" t="s">
        <v>39</v>
      </c>
      <c r="S339" s="48" t="s">
        <v>1194</v>
      </c>
      <c r="T339" s="48" t="s">
        <v>41</v>
      </c>
      <c r="U339" s="48" t="s">
        <v>1436</v>
      </c>
      <c r="V339" s="48" t="s">
        <v>1436</v>
      </c>
      <c r="W339" s="48" t="s">
        <v>1436</v>
      </c>
      <c r="X339" s="49" t="s">
        <v>193</v>
      </c>
      <c r="Y339" s="48" t="s">
        <v>1194</v>
      </c>
      <c r="Z339" s="49" t="s">
        <v>1321</v>
      </c>
      <c r="AA339" s="48" t="s">
        <v>1324</v>
      </c>
      <c r="AB339" s="48" t="s">
        <v>1325</v>
      </c>
      <c r="AC339" s="48" t="s">
        <v>1239</v>
      </c>
      <c r="AD339" s="48" t="s">
        <v>1231</v>
      </c>
      <c r="AE339" s="48" t="s">
        <v>1669</v>
      </c>
      <c r="AF339" s="48" t="s">
        <v>1436</v>
      </c>
      <c r="AG339" s="48" t="s">
        <v>1436</v>
      </c>
      <c r="AH339" s="48" t="s">
        <v>208</v>
      </c>
      <c r="AI339" s="50">
        <v>44562</v>
      </c>
      <c r="AJ339" s="50">
        <v>46387</v>
      </c>
      <c r="AK339" s="49" t="s">
        <v>1280</v>
      </c>
      <c r="AL339" s="48" t="s">
        <v>36</v>
      </c>
      <c r="AM339" s="48" t="s">
        <v>36</v>
      </c>
      <c r="AN339" s="51">
        <v>0</v>
      </c>
      <c r="AO339" s="51"/>
      <c r="AP339" s="51"/>
      <c r="AQ339" s="72">
        <v>1600000</v>
      </c>
      <c r="AR339" s="72">
        <v>50000</v>
      </c>
      <c r="AS339" s="50">
        <v>46387</v>
      </c>
      <c r="AT339" s="50" t="s">
        <v>1436</v>
      </c>
      <c r="AU339" s="49" t="s">
        <v>1436</v>
      </c>
      <c r="AV339" s="49" t="s">
        <v>1670</v>
      </c>
      <c r="AW339" s="48" t="s">
        <v>1244</v>
      </c>
    </row>
    <row r="340" spans="1:49" x14ac:dyDescent="0.3">
      <c r="A340" s="48" t="s">
        <v>1320</v>
      </c>
      <c r="B340" s="48" t="s">
        <v>6</v>
      </c>
      <c r="C340" s="48" t="s">
        <v>1322</v>
      </c>
      <c r="D340" s="50">
        <v>45535</v>
      </c>
      <c r="E340" s="48" t="s">
        <v>36</v>
      </c>
      <c r="F340" s="48" t="s">
        <v>1438</v>
      </c>
      <c r="G340" s="48" t="s">
        <v>1444</v>
      </c>
      <c r="H340" s="49" t="s">
        <v>1445</v>
      </c>
      <c r="I340" s="48" t="s">
        <v>1411</v>
      </c>
      <c r="J340" s="48" t="s">
        <v>40</v>
      </c>
      <c r="K340" s="48" t="s">
        <v>50</v>
      </c>
      <c r="L340" s="48" t="s">
        <v>38</v>
      </c>
      <c r="M340" s="48" t="s">
        <v>37</v>
      </c>
      <c r="N340" s="48" t="s">
        <v>1436</v>
      </c>
      <c r="O340" s="48" t="s">
        <v>1436</v>
      </c>
      <c r="P340" s="48" t="s">
        <v>1436</v>
      </c>
      <c r="Q340" s="48" t="s">
        <v>38</v>
      </c>
      <c r="R340" s="48" t="s">
        <v>39</v>
      </c>
      <c r="S340" s="48" t="s">
        <v>40</v>
      </c>
      <c r="T340" s="48" t="s">
        <v>41</v>
      </c>
      <c r="U340" s="48" t="s">
        <v>1436</v>
      </c>
      <c r="V340" s="48" t="s">
        <v>1436</v>
      </c>
      <c r="W340" s="48" t="s">
        <v>1436</v>
      </c>
      <c r="X340" s="49" t="s">
        <v>193</v>
      </c>
      <c r="Y340" s="48" t="s">
        <v>1194</v>
      </c>
      <c r="Z340" s="49" t="s">
        <v>1321</v>
      </c>
      <c r="AA340" s="48" t="s">
        <v>1324</v>
      </c>
      <c r="AB340" s="48" t="s">
        <v>1325</v>
      </c>
      <c r="AC340" s="48" t="s">
        <v>1239</v>
      </c>
      <c r="AD340" s="48" t="s">
        <v>1231</v>
      </c>
      <c r="AE340" s="48" t="s">
        <v>1669</v>
      </c>
      <c r="AF340" s="48" t="s">
        <v>1436</v>
      </c>
      <c r="AG340" s="48" t="s">
        <v>1436</v>
      </c>
      <c r="AH340" s="48" t="s">
        <v>208</v>
      </c>
      <c r="AI340" s="50">
        <v>44562</v>
      </c>
      <c r="AJ340" s="50">
        <v>46387</v>
      </c>
      <c r="AK340" s="49" t="s">
        <v>1280</v>
      </c>
      <c r="AL340" s="48" t="s">
        <v>36</v>
      </c>
      <c r="AM340" s="48" t="s">
        <v>36</v>
      </c>
      <c r="AN340" s="51">
        <v>42330.49</v>
      </c>
      <c r="AO340" s="51"/>
      <c r="AP340" s="51"/>
      <c r="AQ340" s="72">
        <v>1600000</v>
      </c>
      <c r="AR340" s="72">
        <v>50000</v>
      </c>
      <c r="AS340" s="50">
        <v>46387</v>
      </c>
      <c r="AT340" s="50" t="s">
        <v>1436</v>
      </c>
      <c r="AU340" s="49" t="s">
        <v>1436</v>
      </c>
      <c r="AV340" s="49" t="s">
        <v>1670</v>
      </c>
      <c r="AW340" s="48" t="s">
        <v>1244</v>
      </c>
    </row>
    <row r="341" spans="1:49" x14ac:dyDescent="0.3">
      <c r="A341" s="48" t="s">
        <v>1320</v>
      </c>
      <c r="B341" s="48" t="s">
        <v>6</v>
      </c>
      <c r="C341" s="48" t="s">
        <v>1322</v>
      </c>
      <c r="D341" s="50">
        <v>45535</v>
      </c>
      <c r="E341" s="48" t="s">
        <v>36</v>
      </c>
      <c r="F341" s="48" t="s">
        <v>1438</v>
      </c>
      <c r="G341" s="48" t="s">
        <v>1444</v>
      </c>
      <c r="H341" s="49" t="s">
        <v>1446</v>
      </c>
      <c r="I341" s="48" t="s">
        <v>1407</v>
      </c>
      <c r="J341" s="48" t="s">
        <v>40</v>
      </c>
      <c r="K341" s="48" t="s">
        <v>47</v>
      </c>
      <c r="L341" s="48" t="s">
        <v>38</v>
      </c>
      <c r="M341" s="48" t="s">
        <v>37</v>
      </c>
      <c r="N341" s="48" t="s">
        <v>1436</v>
      </c>
      <c r="O341" s="48" t="s">
        <v>1436</v>
      </c>
      <c r="P341" s="48" t="s">
        <v>1436</v>
      </c>
      <c r="Q341" s="48" t="s">
        <v>38</v>
      </c>
      <c r="R341" s="48" t="s">
        <v>39</v>
      </c>
      <c r="S341" s="48" t="s">
        <v>40</v>
      </c>
      <c r="T341" s="48" t="s">
        <v>41</v>
      </c>
      <c r="U341" s="48" t="s">
        <v>1436</v>
      </c>
      <c r="V341" s="48" t="s">
        <v>1436</v>
      </c>
      <c r="W341" s="48" t="s">
        <v>1436</v>
      </c>
      <c r="X341" s="49" t="s">
        <v>193</v>
      </c>
      <c r="Y341" s="48" t="s">
        <v>1194</v>
      </c>
      <c r="Z341" s="49" t="s">
        <v>1321</v>
      </c>
      <c r="AA341" s="48" t="s">
        <v>1324</v>
      </c>
      <c r="AB341" s="48" t="s">
        <v>1325</v>
      </c>
      <c r="AC341" s="48" t="s">
        <v>1239</v>
      </c>
      <c r="AD341" s="48" t="s">
        <v>1231</v>
      </c>
      <c r="AE341" s="48" t="s">
        <v>1669</v>
      </c>
      <c r="AF341" s="48" t="s">
        <v>1436</v>
      </c>
      <c r="AG341" s="48" t="s">
        <v>1436</v>
      </c>
      <c r="AH341" s="48" t="s">
        <v>208</v>
      </c>
      <c r="AI341" s="50">
        <v>44562</v>
      </c>
      <c r="AJ341" s="50">
        <v>46387</v>
      </c>
      <c r="AK341" s="49" t="s">
        <v>1280</v>
      </c>
      <c r="AL341" s="48" t="s">
        <v>36</v>
      </c>
      <c r="AM341" s="48" t="s">
        <v>36</v>
      </c>
      <c r="AN341" s="51">
        <v>7514.4415749999998</v>
      </c>
      <c r="AO341" s="51"/>
      <c r="AP341" s="51"/>
      <c r="AQ341" s="72">
        <v>1600000</v>
      </c>
      <c r="AR341" s="72">
        <v>50000</v>
      </c>
      <c r="AS341" s="50">
        <v>46387</v>
      </c>
      <c r="AT341" s="50" t="s">
        <v>1436</v>
      </c>
      <c r="AU341" s="49" t="s">
        <v>1436</v>
      </c>
      <c r="AV341" s="49" t="s">
        <v>1670</v>
      </c>
      <c r="AW341" s="48" t="s">
        <v>1244</v>
      </c>
    </row>
    <row r="342" spans="1:49" x14ac:dyDescent="0.3">
      <c r="A342" s="48" t="s">
        <v>1320</v>
      </c>
      <c r="B342" s="48" t="s">
        <v>6</v>
      </c>
      <c r="C342" s="48" t="s">
        <v>1322</v>
      </c>
      <c r="D342" s="50">
        <v>45535</v>
      </c>
      <c r="E342" s="48" t="s">
        <v>36</v>
      </c>
      <c r="F342" s="48" t="s">
        <v>1433</v>
      </c>
      <c r="G342" s="48" t="s">
        <v>1447</v>
      </c>
      <c r="H342" s="49" t="s">
        <v>1448</v>
      </c>
      <c r="I342" s="48" t="s">
        <v>1413</v>
      </c>
      <c r="J342" s="48" t="s">
        <v>40</v>
      </c>
      <c r="K342" s="48" t="s">
        <v>58</v>
      </c>
      <c r="L342" s="48" t="s">
        <v>38</v>
      </c>
      <c r="M342" s="48" t="s">
        <v>37</v>
      </c>
      <c r="N342" s="48" t="s">
        <v>1436</v>
      </c>
      <c r="O342" s="48" t="s">
        <v>1436</v>
      </c>
      <c r="P342" s="48" t="s">
        <v>1436</v>
      </c>
      <c r="Q342" s="48" t="s">
        <v>38</v>
      </c>
      <c r="R342" s="48" t="s">
        <v>39</v>
      </c>
      <c r="S342" s="48" t="s">
        <v>40</v>
      </c>
      <c r="T342" s="48" t="s">
        <v>41</v>
      </c>
      <c r="U342" s="48" t="s">
        <v>1436</v>
      </c>
      <c r="V342" s="48" t="s">
        <v>1436</v>
      </c>
      <c r="W342" s="48" t="s">
        <v>1436</v>
      </c>
      <c r="X342" s="49" t="s">
        <v>193</v>
      </c>
      <c r="Y342" s="48" t="s">
        <v>1194</v>
      </c>
      <c r="Z342" s="49" t="s">
        <v>1321</v>
      </c>
      <c r="AA342" s="48" t="s">
        <v>1324</v>
      </c>
      <c r="AB342" s="48" t="s">
        <v>1325</v>
      </c>
      <c r="AC342" s="48" t="s">
        <v>1239</v>
      </c>
      <c r="AD342" s="48" t="s">
        <v>1231</v>
      </c>
      <c r="AE342" s="48" t="s">
        <v>1669</v>
      </c>
      <c r="AF342" s="48" t="s">
        <v>1436</v>
      </c>
      <c r="AG342" s="48" t="s">
        <v>1436</v>
      </c>
      <c r="AH342" s="48" t="s">
        <v>208</v>
      </c>
      <c r="AI342" s="50">
        <v>44562</v>
      </c>
      <c r="AJ342" s="50">
        <v>46387</v>
      </c>
      <c r="AK342" s="49" t="s">
        <v>1280</v>
      </c>
      <c r="AL342" s="48" t="s">
        <v>36</v>
      </c>
      <c r="AM342" s="48" t="s">
        <v>36</v>
      </c>
      <c r="AN342" s="51">
        <v>-50000</v>
      </c>
      <c r="AO342" s="51"/>
      <c r="AP342" s="51"/>
      <c r="AQ342" s="72">
        <v>1600000</v>
      </c>
      <c r="AR342" s="72">
        <v>50000</v>
      </c>
      <c r="AS342" s="50">
        <v>46387</v>
      </c>
      <c r="AT342" s="50" t="s">
        <v>1436</v>
      </c>
      <c r="AU342" s="49" t="s">
        <v>1436</v>
      </c>
      <c r="AV342" s="49" t="s">
        <v>1670</v>
      </c>
      <c r="AW342" s="48" t="s">
        <v>1244</v>
      </c>
    </row>
    <row r="343" spans="1:49" x14ac:dyDescent="0.3">
      <c r="A343" s="48" t="s">
        <v>1320</v>
      </c>
      <c r="B343" s="48" t="s">
        <v>6</v>
      </c>
      <c r="C343" s="48" t="s">
        <v>1322</v>
      </c>
      <c r="D343" s="50">
        <v>45535</v>
      </c>
      <c r="E343" s="48" t="s">
        <v>36</v>
      </c>
      <c r="F343" s="48" t="s">
        <v>1433</v>
      </c>
      <c r="G343" s="48" t="s">
        <v>1447</v>
      </c>
      <c r="H343" s="49" t="s">
        <v>1449</v>
      </c>
      <c r="I343" s="48" t="s">
        <v>1409</v>
      </c>
      <c r="J343" s="48" t="s">
        <v>40</v>
      </c>
      <c r="K343" s="48" t="s">
        <v>45</v>
      </c>
      <c r="L343" s="48" t="s">
        <v>38</v>
      </c>
      <c r="M343" s="48" t="s">
        <v>37</v>
      </c>
      <c r="N343" s="48" t="s">
        <v>1436</v>
      </c>
      <c r="O343" s="48" t="s">
        <v>1436</v>
      </c>
      <c r="P343" s="48" t="s">
        <v>1436</v>
      </c>
      <c r="Q343" s="48" t="s">
        <v>38</v>
      </c>
      <c r="R343" s="48" t="s">
        <v>39</v>
      </c>
      <c r="S343" s="48" t="s">
        <v>40</v>
      </c>
      <c r="T343" s="48" t="s">
        <v>41</v>
      </c>
      <c r="U343" s="48" t="s">
        <v>1436</v>
      </c>
      <c r="V343" s="48" t="s">
        <v>1436</v>
      </c>
      <c r="W343" s="48" t="s">
        <v>1436</v>
      </c>
      <c r="X343" s="49" t="s">
        <v>193</v>
      </c>
      <c r="Y343" s="48" t="s">
        <v>1194</v>
      </c>
      <c r="Z343" s="49" t="s">
        <v>1321</v>
      </c>
      <c r="AA343" s="48" t="s">
        <v>1324</v>
      </c>
      <c r="AB343" s="48" t="s">
        <v>1325</v>
      </c>
      <c r="AC343" s="48" t="s">
        <v>1239</v>
      </c>
      <c r="AD343" s="48" t="s">
        <v>1231</v>
      </c>
      <c r="AE343" s="48" t="s">
        <v>1669</v>
      </c>
      <c r="AF343" s="48" t="s">
        <v>1436</v>
      </c>
      <c r="AG343" s="48" t="s">
        <v>1436</v>
      </c>
      <c r="AH343" s="48" t="s">
        <v>208</v>
      </c>
      <c r="AI343" s="50">
        <v>44562</v>
      </c>
      <c r="AJ343" s="50">
        <v>46387</v>
      </c>
      <c r="AK343" s="49" t="s">
        <v>1280</v>
      </c>
      <c r="AL343" s="48" t="s">
        <v>36</v>
      </c>
      <c r="AM343" s="48" t="s">
        <v>36</v>
      </c>
      <c r="AN343" s="51">
        <v>45292.643305999998</v>
      </c>
      <c r="AO343" s="51"/>
      <c r="AP343" s="51"/>
      <c r="AQ343" s="72">
        <v>1600000</v>
      </c>
      <c r="AR343" s="72">
        <v>50000</v>
      </c>
      <c r="AS343" s="50">
        <v>46387</v>
      </c>
      <c r="AT343" s="50" t="s">
        <v>1436</v>
      </c>
      <c r="AU343" s="49" t="s">
        <v>1436</v>
      </c>
      <c r="AV343" s="49" t="s">
        <v>1670</v>
      </c>
      <c r="AW343" s="48" t="s">
        <v>1244</v>
      </c>
    </row>
    <row r="344" spans="1:49" x14ac:dyDescent="0.3">
      <c r="A344" s="48" t="s">
        <v>1320</v>
      </c>
      <c r="B344" s="48" t="s">
        <v>6</v>
      </c>
      <c r="C344" s="48" t="s">
        <v>1322</v>
      </c>
      <c r="D344" s="50">
        <v>45535</v>
      </c>
      <c r="E344" s="48" t="s">
        <v>36</v>
      </c>
      <c r="F344" s="48" t="s">
        <v>1433</v>
      </c>
      <c r="G344" s="48" t="s">
        <v>1447</v>
      </c>
      <c r="H344" s="49" t="s">
        <v>1450</v>
      </c>
      <c r="I344" s="48" t="s">
        <v>1408</v>
      </c>
      <c r="J344" s="48" t="s">
        <v>40</v>
      </c>
      <c r="K344" s="48" t="s">
        <v>54</v>
      </c>
      <c r="L344" s="48" t="s">
        <v>38</v>
      </c>
      <c r="M344" s="48" t="s">
        <v>37</v>
      </c>
      <c r="N344" s="48" t="s">
        <v>1436</v>
      </c>
      <c r="O344" s="48" t="s">
        <v>1436</v>
      </c>
      <c r="P344" s="48" t="s">
        <v>1436</v>
      </c>
      <c r="Q344" s="48" t="s">
        <v>38</v>
      </c>
      <c r="R344" s="48" t="s">
        <v>39</v>
      </c>
      <c r="S344" s="48" t="s">
        <v>40</v>
      </c>
      <c r="T344" s="48" t="s">
        <v>41</v>
      </c>
      <c r="U344" s="48" t="s">
        <v>1436</v>
      </c>
      <c r="V344" s="48" t="s">
        <v>1436</v>
      </c>
      <c r="W344" s="48" t="s">
        <v>1436</v>
      </c>
      <c r="X344" s="49" t="s">
        <v>193</v>
      </c>
      <c r="Y344" s="48" t="s">
        <v>1194</v>
      </c>
      <c r="Z344" s="49" t="s">
        <v>1321</v>
      </c>
      <c r="AA344" s="48" t="s">
        <v>1324</v>
      </c>
      <c r="AB344" s="48" t="s">
        <v>1325</v>
      </c>
      <c r="AC344" s="48" t="s">
        <v>1239</v>
      </c>
      <c r="AD344" s="48" t="s">
        <v>1231</v>
      </c>
      <c r="AE344" s="48" t="s">
        <v>1669</v>
      </c>
      <c r="AF344" s="48" t="s">
        <v>1436</v>
      </c>
      <c r="AG344" s="48" t="s">
        <v>1436</v>
      </c>
      <c r="AH344" s="48" t="s">
        <v>208</v>
      </c>
      <c r="AI344" s="50">
        <v>44562</v>
      </c>
      <c r="AJ344" s="50">
        <v>46387</v>
      </c>
      <c r="AK344" s="49" t="s">
        <v>1280</v>
      </c>
      <c r="AL344" s="48" t="s">
        <v>36</v>
      </c>
      <c r="AM344" s="48" t="s">
        <v>36</v>
      </c>
      <c r="AN344" s="51">
        <v>-3053.48</v>
      </c>
      <c r="AO344" s="51"/>
      <c r="AP344" s="51"/>
      <c r="AQ344" s="72">
        <v>1600000</v>
      </c>
      <c r="AR344" s="72">
        <v>50000</v>
      </c>
      <c r="AS344" s="50">
        <v>46387</v>
      </c>
      <c r="AT344" s="50" t="s">
        <v>1436</v>
      </c>
      <c r="AU344" s="49" t="s">
        <v>1436</v>
      </c>
      <c r="AV344" s="49" t="s">
        <v>1670</v>
      </c>
      <c r="AW344" s="48" t="s">
        <v>1244</v>
      </c>
    </row>
    <row r="345" spans="1:49" x14ac:dyDescent="0.3">
      <c r="A345" s="48" t="s">
        <v>1320</v>
      </c>
      <c r="B345" s="48" t="s">
        <v>6</v>
      </c>
      <c r="C345" s="48" t="s">
        <v>1322</v>
      </c>
      <c r="D345" s="50">
        <v>45535</v>
      </c>
      <c r="E345" s="48" t="s">
        <v>36</v>
      </c>
      <c r="F345" s="48" t="s">
        <v>1433</v>
      </c>
      <c r="G345" s="48" t="s">
        <v>1447</v>
      </c>
      <c r="H345" s="49" t="s">
        <v>1451</v>
      </c>
      <c r="I345" s="48" t="s">
        <v>1404</v>
      </c>
      <c r="J345" s="48" t="s">
        <v>38</v>
      </c>
      <c r="K345" s="48" t="s">
        <v>49</v>
      </c>
      <c r="L345" s="48" t="s">
        <v>38</v>
      </c>
      <c r="M345" s="48" t="s">
        <v>37</v>
      </c>
      <c r="N345" s="48" t="s">
        <v>1436</v>
      </c>
      <c r="O345" s="48" t="s">
        <v>1436</v>
      </c>
      <c r="P345" s="48" t="s">
        <v>1436</v>
      </c>
      <c r="Q345" s="48" t="s">
        <v>38</v>
      </c>
      <c r="R345" s="48" t="s">
        <v>39</v>
      </c>
      <c r="S345" s="48" t="s">
        <v>38</v>
      </c>
      <c r="T345" s="48" t="s">
        <v>41</v>
      </c>
      <c r="U345" s="48" t="s">
        <v>1436</v>
      </c>
      <c r="V345" s="48" t="s">
        <v>1436</v>
      </c>
      <c r="W345" s="48" t="s">
        <v>1436</v>
      </c>
      <c r="X345" s="49" t="s">
        <v>193</v>
      </c>
      <c r="Y345" s="48" t="s">
        <v>1194</v>
      </c>
      <c r="Z345" s="49" t="s">
        <v>1321</v>
      </c>
      <c r="AA345" s="48" t="s">
        <v>1324</v>
      </c>
      <c r="AB345" s="48" t="s">
        <v>1325</v>
      </c>
      <c r="AC345" s="48" t="s">
        <v>1239</v>
      </c>
      <c r="AD345" s="48" t="s">
        <v>1231</v>
      </c>
      <c r="AE345" s="48" t="s">
        <v>1669</v>
      </c>
      <c r="AF345" s="48" t="s">
        <v>1436</v>
      </c>
      <c r="AG345" s="48" t="s">
        <v>1436</v>
      </c>
      <c r="AH345" s="48" t="s">
        <v>208</v>
      </c>
      <c r="AI345" s="50">
        <v>44562</v>
      </c>
      <c r="AJ345" s="50">
        <v>46387</v>
      </c>
      <c r="AK345" s="49" t="s">
        <v>1280</v>
      </c>
      <c r="AL345" s="48" t="s">
        <v>36</v>
      </c>
      <c r="AM345" s="48" t="s">
        <v>36</v>
      </c>
      <c r="AN345" s="51">
        <v>246.39511899999999</v>
      </c>
      <c r="AO345" s="51"/>
      <c r="AP345" s="51"/>
      <c r="AQ345" s="72">
        <v>1600000</v>
      </c>
      <c r="AR345" s="72">
        <v>50000</v>
      </c>
      <c r="AS345" s="50">
        <v>46387</v>
      </c>
      <c r="AT345" s="50" t="s">
        <v>1436</v>
      </c>
      <c r="AU345" s="49" t="s">
        <v>1436</v>
      </c>
      <c r="AV345" s="49" t="s">
        <v>1670</v>
      </c>
      <c r="AW345" s="48" t="s">
        <v>1244</v>
      </c>
    </row>
    <row r="346" spans="1:49" x14ac:dyDescent="0.3">
      <c r="A346" s="48" t="s">
        <v>1320</v>
      </c>
      <c r="B346" s="48" t="s">
        <v>6</v>
      </c>
      <c r="C346" s="48" t="s">
        <v>1322</v>
      </c>
      <c r="D346" s="50">
        <v>45565</v>
      </c>
      <c r="E346" s="48" t="s">
        <v>36</v>
      </c>
      <c r="F346" s="48" t="s">
        <v>1433</v>
      </c>
      <c r="G346" s="48" t="s">
        <v>1434</v>
      </c>
      <c r="H346" s="49" t="s">
        <v>1435</v>
      </c>
      <c r="I346" s="48" t="s">
        <v>1412</v>
      </c>
      <c r="J346" s="48" t="s">
        <v>40</v>
      </c>
      <c r="K346" s="48" t="s">
        <v>52</v>
      </c>
      <c r="L346" s="48" t="s">
        <v>38</v>
      </c>
      <c r="M346" s="48" t="s">
        <v>37</v>
      </c>
      <c r="N346" s="48" t="s">
        <v>1436</v>
      </c>
      <c r="O346" s="48" t="s">
        <v>1436</v>
      </c>
      <c r="P346" s="48" t="s">
        <v>1436</v>
      </c>
      <c r="Q346" s="48" t="s">
        <v>38</v>
      </c>
      <c r="R346" s="48" t="s">
        <v>39</v>
      </c>
      <c r="S346" s="48" t="s">
        <v>40</v>
      </c>
      <c r="T346" s="48" t="s">
        <v>41</v>
      </c>
      <c r="U346" s="48" t="s">
        <v>1436</v>
      </c>
      <c r="V346" s="48" t="s">
        <v>1436</v>
      </c>
      <c r="W346" s="48" t="s">
        <v>1436</v>
      </c>
      <c r="X346" s="49" t="s">
        <v>193</v>
      </c>
      <c r="Y346" s="48" t="s">
        <v>1194</v>
      </c>
      <c r="Z346" s="49" t="s">
        <v>1321</v>
      </c>
      <c r="AA346" s="48" t="s">
        <v>1324</v>
      </c>
      <c r="AB346" s="48" t="s">
        <v>1325</v>
      </c>
      <c r="AC346" s="48" t="s">
        <v>1239</v>
      </c>
      <c r="AD346" s="48" t="s">
        <v>1231</v>
      </c>
      <c r="AE346" s="48" t="s">
        <v>1669</v>
      </c>
      <c r="AF346" s="48" t="s">
        <v>1436</v>
      </c>
      <c r="AG346" s="48" t="s">
        <v>1436</v>
      </c>
      <c r="AH346" s="48" t="s">
        <v>208</v>
      </c>
      <c r="AI346" s="50">
        <v>44562</v>
      </c>
      <c r="AJ346" s="50">
        <v>46387</v>
      </c>
      <c r="AK346" s="49" t="s">
        <v>1280</v>
      </c>
      <c r="AL346" s="48" t="s">
        <v>36</v>
      </c>
      <c r="AM346" s="48" t="s">
        <v>36</v>
      </c>
      <c r="AN346" s="51">
        <v>-42330.49</v>
      </c>
      <c r="AO346" s="51"/>
      <c r="AP346" s="51"/>
      <c r="AQ346" s="72">
        <v>1600000</v>
      </c>
      <c r="AR346" s="72">
        <v>50000</v>
      </c>
      <c r="AS346" s="50">
        <v>46387</v>
      </c>
      <c r="AT346" s="50" t="s">
        <v>1436</v>
      </c>
      <c r="AU346" s="49" t="s">
        <v>1436</v>
      </c>
      <c r="AV346" s="49" t="s">
        <v>1670</v>
      </c>
      <c r="AW346" s="48" t="s">
        <v>1244</v>
      </c>
    </row>
    <row r="347" spans="1:49" x14ac:dyDescent="0.3">
      <c r="A347" s="48" t="s">
        <v>1320</v>
      </c>
      <c r="B347" s="48" t="s">
        <v>6</v>
      </c>
      <c r="C347" s="48" t="s">
        <v>1322</v>
      </c>
      <c r="D347" s="50">
        <v>45565</v>
      </c>
      <c r="E347" s="48" t="s">
        <v>36</v>
      </c>
      <c r="F347" s="48" t="s">
        <v>1433</v>
      </c>
      <c r="G347" s="48" t="s">
        <v>1434</v>
      </c>
      <c r="H347" s="49" t="s">
        <v>1437</v>
      </c>
      <c r="I347" s="48" t="s">
        <v>1410</v>
      </c>
      <c r="J347" s="48" t="s">
        <v>40</v>
      </c>
      <c r="K347" s="48" t="s">
        <v>42</v>
      </c>
      <c r="L347" s="48" t="s">
        <v>38</v>
      </c>
      <c r="M347" s="48" t="s">
        <v>37</v>
      </c>
      <c r="N347" s="48" t="s">
        <v>1436</v>
      </c>
      <c r="O347" s="48" t="s">
        <v>1436</v>
      </c>
      <c r="P347" s="48" t="s">
        <v>1436</v>
      </c>
      <c r="Q347" s="48" t="s">
        <v>38</v>
      </c>
      <c r="R347" s="48" t="s">
        <v>39</v>
      </c>
      <c r="S347" s="48" t="s">
        <v>40</v>
      </c>
      <c r="T347" s="48" t="s">
        <v>41</v>
      </c>
      <c r="U347" s="48" t="s">
        <v>1436</v>
      </c>
      <c r="V347" s="48" t="s">
        <v>1436</v>
      </c>
      <c r="W347" s="48" t="s">
        <v>1436</v>
      </c>
      <c r="X347" s="49" t="s">
        <v>193</v>
      </c>
      <c r="Y347" s="48" t="s">
        <v>1194</v>
      </c>
      <c r="Z347" s="49" t="s">
        <v>1321</v>
      </c>
      <c r="AA347" s="48" t="s">
        <v>1324</v>
      </c>
      <c r="AB347" s="48" t="s">
        <v>1325</v>
      </c>
      <c r="AC347" s="48" t="s">
        <v>1239</v>
      </c>
      <c r="AD347" s="48" t="s">
        <v>1231</v>
      </c>
      <c r="AE347" s="48" t="s">
        <v>1669</v>
      </c>
      <c r="AF347" s="48" t="s">
        <v>1436</v>
      </c>
      <c r="AG347" s="48" t="s">
        <v>1436</v>
      </c>
      <c r="AH347" s="48" t="s">
        <v>208</v>
      </c>
      <c r="AI347" s="50">
        <v>44562</v>
      </c>
      <c r="AJ347" s="50">
        <v>46387</v>
      </c>
      <c r="AK347" s="49" t="s">
        <v>1280</v>
      </c>
      <c r="AL347" s="48" t="s">
        <v>36</v>
      </c>
      <c r="AM347" s="48" t="s">
        <v>36</v>
      </c>
      <c r="AN347" s="51">
        <v>0</v>
      </c>
      <c r="AO347" s="51"/>
      <c r="AP347" s="51"/>
      <c r="AQ347" s="72">
        <v>1600000</v>
      </c>
      <c r="AR347" s="72">
        <v>50000</v>
      </c>
      <c r="AS347" s="50">
        <v>46387</v>
      </c>
      <c r="AT347" s="50" t="s">
        <v>1436</v>
      </c>
      <c r="AU347" s="49" t="s">
        <v>1436</v>
      </c>
      <c r="AV347" s="49" t="s">
        <v>1670</v>
      </c>
      <c r="AW347" s="48" t="s">
        <v>1244</v>
      </c>
    </row>
    <row r="348" spans="1:49" x14ac:dyDescent="0.3">
      <c r="A348" s="48" t="s">
        <v>1320</v>
      </c>
      <c r="B348" s="48" t="s">
        <v>6</v>
      </c>
      <c r="C348" s="48" t="s">
        <v>1322</v>
      </c>
      <c r="D348" s="50">
        <v>45565</v>
      </c>
      <c r="E348" s="48" t="s">
        <v>36</v>
      </c>
      <c r="F348" s="48" t="s">
        <v>1438</v>
      </c>
      <c r="G348" s="48" t="s">
        <v>1439</v>
      </c>
      <c r="H348" s="49" t="s">
        <v>1440</v>
      </c>
      <c r="I348" s="48" t="s">
        <v>1406</v>
      </c>
      <c r="J348" s="48" t="s">
        <v>1194</v>
      </c>
      <c r="K348" s="48" t="s">
        <v>1441</v>
      </c>
      <c r="L348" s="48" t="s">
        <v>38</v>
      </c>
      <c r="M348" s="48" t="s">
        <v>37</v>
      </c>
      <c r="N348" s="48" t="s">
        <v>1436</v>
      </c>
      <c r="O348" s="48" t="s">
        <v>1436</v>
      </c>
      <c r="P348" s="48" t="s">
        <v>1436</v>
      </c>
      <c r="Q348" s="48" t="s">
        <v>38</v>
      </c>
      <c r="R348" s="48" t="s">
        <v>39</v>
      </c>
      <c r="S348" s="48" t="s">
        <v>1194</v>
      </c>
      <c r="T348" s="48" t="s">
        <v>41</v>
      </c>
      <c r="U348" s="48" t="s">
        <v>1436</v>
      </c>
      <c r="V348" s="48" t="s">
        <v>1436</v>
      </c>
      <c r="W348" s="48" t="s">
        <v>1436</v>
      </c>
      <c r="X348" s="49" t="s">
        <v>193</v>
      </c>
      <c r="Y348" s="48" t="s">
        <v>1194</v>
      </c>
      <c r="Z348" s="49" t="s">
        <v>1321</v>
      </c>
      <c r="AA348" s="48" t="s">
        <v>1324</v>
      </c>
      <c r="AB348" s="48" t="s">
        <v>1325</v>
      </c>
      <c r="AC348" s="48" t="s">
        <v>1239</v>
      </c>
      <c r="AD348" s="48" t="s">
        <v>1231</v>
      </c>
      <c r="AE348" s="48" t="s">
        <v>1669</v>
      </c>
      <c r="AF348" s="48" t="s">
        <v>1436</v>
      </c>
      <c r="AG348" s="48" t="s">
        <v>1436</v>
      </c>
      <c r="AH348" s="48" t="s">
        <v>208</v>
      </c>
      <c r="AI348" s="50">
        <v>44562</v>
      </c>
      <c r="AJ348" s="50">
        <v>46387</v>
      </c>
      <c r="AK348" s="49" t="s">
        <v>1280</v>
      </c>
      <c r="AL348" s="48" t="s">
        <v>36</v>
      </c>
      <c r="AM348" s="48" t="s">
        <v>36</v>
      </c>
      <c r="AN348" s="51">
        <v>0</v>
      </c>
      <c r="AO348" s="51"/>
      <c r="AP348" s="51"/>
      <c r="AQ348" s="72">
        <v>1600000</v>
      </c>
      <c r="AR348" s="72">
        <v>50000</v>
      </c>
      <c r="AS348" s="50">
        <v>46387</v>
      </c>
      <c r="AT348" s="50" t="s">
        <v>1436</v>
      </c>
      <c r="AU348" s="49" t="s">
        <v>1436</v>
      </c>
      <c r="AV348" s="49" t="s">
        <v>1670</v>
      </c>
      <c r="AW348" s="48" t="s">
        <v>1244</v>
      </c>
    </row>
    <row r="349" spans="1:49" x14ac:dyDescent="0.3">
      <c r="A349" s="48" t="s">
        <v>1320</v>
      </c>
      <c r="B349" s="48" t="s">
        <v>6</v>
      </c>
      <c r="C349" s="48" t="s">
        <v>1322</v>
      </c>
      <c r="D349" s="50">
        <v>45565</v>
      </c>
      <c r="E349" s="48" t="s">
        <v>36</v>
      </c>
      <c r="F349" s="48" t="s">
        <v>1438</v>
      </c>
      <c r="G349" s="48" t="s">
        <v>1439</v>
      </c>
      <c r="H349" s="49" t="s">
        <v>1442</v>
      </c>
      <c r="I349" s="48" t="s">
        <v>1405</v>
      </c>
      <c r="J349" s="48" t="s">
        <v>1194</v>
      </c>
      <c r="K349" s="48" t="s">
        <v>1443</v>
      </c>
      <c r="L349" s="48" t="s">
        <v>38</v>
      </c>
      <c r="M349" s="48" t="s">
        <v>37</v>
      </c>
      <c r="N349" s="48" t="s">
        <v>1436</v>
      </c>
      <c r="O349" s="48" t="s">
        <v>1436</v>
      </c>
      <c r="P349" s="48" t="s">
        <v>1436</v>
      </c>
      <c r="Q349" s="48" t="s">
        <v>38</v>
      </c>
      <c r="R349" s="48" t="s">
        <v>39</v>
      </c>
      <c r="S349" s="48" t="s">
        <v>1194</v>
      </c>
      <c r="T349" s="48" t="s">
        <v>41</v>
      </c>
      <c r="U349" s="48" t="s">
        <v>1436</v>
      </c>
      <c r="V349" s="48" t="s">
        <v>1436</v>
      </c>
      <c r="W349" s="48" t="s">
        <v>1436</v>
      </c>
      <c r="X349" s="49" t="s">
        <v>193</v>
      </c>
      <c r="Y349" s="48" t="s">
        <v>1194</v>
      </c>
      <c r="Z349" s="49" t="s">
        <v>1321</v>
      </c>
      <c r="AA349" s="48" t="s">
        <v>1324</v>
      </c>
      <c r="AB349" s="48" t="s">
        <v>1325</v>
      </c>
      <c r="AC349" s="48" t="s">
        <v>1239</v>
      </c>
      <c r="AD349" s="48" t="s">
        <v>1231</v>
      </c>
      <c r="AE349" s="48" t="s">
        <v>1669</v>
      </c>
      <c r="AF349" s="48" t="s">
        <v>1436</v>
      </c>
      <c r="AG349" s="48" t="s">
        <v>1436</v>
      </c>
      <c r="AH349" s="48" t="s">
        <v>208</v>
      </c>
      <c r="AI349" s="50">
        <v>44562</v>
      </c>
      <c r="AJ349" s="50">
        <v>46387</v>
      </c>
      <c r="AK349" s="49" t="s">
        <v>1280</v>
      </c>
      <c r="AL349" s="48" t="s">
        <v>36</v>
      </c>
      <c r="AM349" s="48" t="s">
        <v>36</v>
      </c>
      <c r="AN349" s="51">
        <v>0</v>
      </c>
      <c r="AO349" s="51"/>
      <c r="AP349" s="51"/>
      <c r="AQ349" s="72">
        <v>1600000</v>
      </c>
      <c r="AR349" s="72">
        <v>50000</v>
      </c>
      <c r="AS349" s="50">
        <v>46387</v>
      </c>
      <c r="AT349" s="50" t="s">
        <v>1436</v>
      </c>
      <c r="AU349" s="49" t="s">
        <v>1436</v>
      </c>
      <c r="AV349" s="49" t="s">
        <v>1670</v>
      </c>
      <c r="AW349" s="48" t="s">
        <v>1244</v>
      </c>
    </row>
    <row r="350" spans="1:49" x14ac:dyDescent="0.3">
      <c r="A350" s="48" t="s">
        <v>1320</v>
      </c>
      <c r="B350" s="48" t="s">
        <v>6</v>
      </c>
      <c r="C350" s="48" t="s">
        <v>1322</v>
      </c>
      <c r="D350" s="50">
        <v>45565</v>
      </c>
      <c r="E350" s="48" t="s">
        <v>36</v>
      </c>
      <c r="F350" s="48" t="s">
        <v>1438</v>
      </c>
      <c r="G350" s="48" t="s">
        <v>1444</v>
      </c>
      <c r="H350" s="49" t="s">
        <v>1445</v>
      </c>
      <c r="I350" s="48" t="s">
        <v>1411</v>
      </c>
      <c r="J350" s="48" t="s">
        <v>40</v>
      </c>
      <c r="K350" s="48" t="s">
        <v>50</v>
      </c>
      <c r="L350" s="48" t="s">
        <v>38</v>
      </c>
      <c r="M350" s="48" t="s">
        <v>37</v>
      </c>
      <c r="N350" s="48" t="s">
        <v>1436</v>
      </c>
      <c r="O350" s="48" t="s">
        <v>1436</v>
      </c>
      <c r="P350" s="48" t="s">
        <v>1436</v>
      </c>
      <c r="Q350" s="48" t="s">
        <v>38</v>
      </c>
      <c r="R350" s="48" t="s">
        <v>39</v>
      </c>
      <c r="S350" s="48" t="s">
        <v>40</v>
      </c>
      <c r="T350" s="48" t="s">
        <v>41</v>
      </c>
      <c r="U350" s="48" t="s">
        <v>1436</v>
      </c>
      <c r="V350" s="48" t="s">
        <v>1436</v>
      </c>
      <c r="W350" s="48" t="s">
        <v>1436</v>
      </c>
      <c r="X350" s="49" t="s">
        <v>193</v>
      </c>
      <c r="Y350" s="48" t="s">
        <v>1194</v>
      </c>
      <c r="Z350" s="49" t="s">
        <v>1321</v>
      </c>
      <c r="AA350" s="48" t="s">
        <v>1324</v>
      </c>
      <c r="AB350" s="48" t="s">
        <v>1325</v>
      </c>
      <c r="AC350" s="48" t="s">
        <v>1239</v>
      </c>
      <c r="AD350" s="48" t="s">
        <v>1231</v>
      </c>
      <c r="AE350" s="48" t="s">
        <v>1669</v>
      </c>
      <c r="AF350" s="48" t="s">
        <v>1436</v>
      </c>
      <c r="AG350" s="48" t="s">
        <v>1436</v>
      </c>
      <c r="AH350" s="48" t="s">
        <v>208</v>
      </c>
      <c r="AI350" s="50">
        <v>44562</v>
      </c>
      <c r="AJ350" s="50">
        <v>46387</v>
      </c>
      <c r="AK350" s="49" t="s">
        <v>1280</v>
      </c>
      <c r="AL350" s="48" t="s">
        <v>36</v>
      </c>
      <c r="AM350" s="48" t="s">
        <v>36</v>
      </c>
      <c r="AN350" s="51">
        <v>42330.49</v>
      </c>
      <c r="AO350" s="51"/>
      <c r="AP350" s="51"/>
      <c r="AQ350" s="72">
        <v>1600000</v>
      </c>
      <c r="AR350" s="72">
        <v>50000</v>
      </c>
      <c r="AS350" s="50">
        <v>46387</v>
      </c>
      <c r="AT350" s="50" t="s">
        <v>1436</v>
      </c>
      <c r="AU350" s="49" t="s">
        <v>1436</v>
      </c>
      <c r="AV350" s="49" t="s">
        <v>1670</v>
      </c>
      <c r="AW350" s="48" t="s">
        <v>1244</v>
      </c>
    </row>
    <row r="351" spans="1:49" x14ac:dyDescent="0.3">
      <c r="A351" s="48" t="s">
        <v>1320</v>
      </c>
      <c r="B351" s="48" t="s">
        <v>6</v>
      </c>
      <c r="C351" s="48" t="s">
        <v>1322</v>
      </c>
      <c r="D351" s="50">
        <v>45565</v>
      </c>
      <c r="E351" s="48" t="s">
        <v>36</v>
      </c>
      <c r="F351" s="48" t="s">
        <v>1438</v>
      </c>
      <c r="G351" s="48" t="s">
        <v>1444</v>
      </c>
      <c r="H351" s="49" t="s">
        <v>1446</v>
      </c>
      <c r="I351" s="48" t="s">
        <v>1407</v>
      </c>
      <c r="J351" s="48" t="s">
        <v>40</v>
      </c>
      <c r="K351" s="48" t="s">
        <v>47</v>
      </c>
      <c r="L351" s="48" t="s">
        <v>38</v>
      </c>
      <c r="M351" s="48" t="s">
        <v>37</v>
      </c>
      <c r="N351" s="48" t="s">
        <v>1436</v>
      </c>
      <c r="O351" s="48" t="s">
        <v>1436</v>
      </c>
      <c r="P351" s="48" t="s">
        <v>1436</v>
      </c>
      <c r="Q351" s="48" t="s">
        <v>38</v>
      </c>
      <c r="R351" s="48" t="s">
        <v>39</v>
      </c>
      <c r="S351" s="48" t="s">
        <v>40</v>
      </c>
      <c r="T351" s="48" t="s">
        <v>41</v>
      </c>
      <c r="U351" s="48" t="s">
        <v>1436</v>
      </c>
      <c r="V351" s="48" t="s">
        <v>1436</v>
      </c>
      <c r="W351" s="48" t="s">
        <v>1436</v>
      </c>
      <c r="X351" s="49" t="s">
        <v>193</v>
      </c>
      <c r="Y351" s="48" t="s">
        <v>1194</v>
      </c>
      <c r="Z351" s="49" t="s">
        <v>1321</v>
      </c>
      <c r="AA351" s="48" t="s">
        <v>1324</v>
      </c>
      <c r="AB351" s="48" t="s">
        <v>1325</v>
      </c>
      <c r="AC351" s="48" t="s">
        <v>1239</v>
      </c>
      <c r="AD351" s="48" t="s">
        <v>1231</v>
      </c>
      <c r="AE351" s="48" t="s">
        <v>1669</v>
      </c>
      <c r="AF351" s="48" t="s">
        <v>1436</v>
      </c>
      <c r="AG351" s="48" t="s">
        <v>1436</v>
      </c>
      <c r="AH351" s="48" t="s">
        <v>208</v>
      </c>
      <c r="AI351" s="50">
        <v>44562</v>
      </c>
      <c r="AJ351" s="50">
        <v>46387</v>
      </c>
      <c r="AK351" s="49" t="s">
        <v>1280</v>
      </c>
      <c r="AL351" s="48" t="s">
        <v>36</v>
      </c>
      <c r="AM351" s="48" t="s">
        <v>36</v>
      </c>
      <c r="AN351" s="51">
        <v>7266.6091509999997</v>
      </c>
      <c r="AO351" s="51"/>
      <c r="AP351" s="51"/>
      <c r="AQ351" s="72">
        <v>1600000</v>
      </c>
      <c r="AR351" s="72">
        <v>50000</v>
      </c>
      <c r="AS351" s="50">
        <v>46387</v>
      </c>
      <c r="AT351" s="50" t="s">
        <v>1436</v>
      </c>
      <c r="AU351" s="49" t="s">
        <v>1436</v>
      </c>
      <c r="AV351" s="49" t="s">
        <v>1670</v>
      </c>
      <c r="AW351" s="48" t="s">
        <v>1244</v>
      </c>
    </row>
    <row r="352" spans="1:49" x14ac:dyDescent="0.3">
      <c r="A352" s="48" t="s">
        <v>1320</v>
      </c>
      <c r="B352" s="48" t="s">
        <v>6</v>
      </c>
      <c r="C352" s="48" t="s">
        <v>1322</v>
      </c>
      <c r="D352" s="50">
        <v>45565</v>
      </c>
      <c r="E352" s="48" t="s">
        <v>36</v>
      </c>
      <c r="F352" s="48" t="s">
        <v>1433</v>
      </c>
      <c r="G352" s="48" t="s">
        <v>1447</v>
      </c>
      <c r="H352" s="49" t="s">
        <v>1448</v>
      </c>
      <c r="I352" s="48" t="s">
        <v>1413</v>
      </c>
      <c r="J352" s="48" t="s">
        <v>40</v>
      </c>
      <c r="K352" s="48" t="s">
        <v>58</v>
      </c>
      <c r="L352" s="48" t="s">
        <v>38</v>
      </c>
      <c r="M352" s="48" t="s">
        <v>37</v>
      </c>
      <c r="N352" s="48" t="s">
        <v>1436</v>
      </c>
      <c r="O352" s="48" t="s">
        <v>1436</v>
      </c>
      <c r="P352" s="48" t="s">
        <v>1436</v>
      </c>
      <c r="Q352" s="48" t="s">
        <v>38</v>
      </c>
      <c r="R352" s="48" t="s">
        <v>39</v>
      </c>
      <c r="S352" s="48" t="s">
        <v>40</v>
      </c>
      <c r="T352" s="48" t="s">
        <v>41</v>
      </c>
      <c r="U352" s="48" t="s">
        <v>1436</v>
      </c>
      <c r="V352" s="48" t="s">
        <v>1436</v>
      </c>
      <c r="W352" s="48" t="s">
        <v>1436</v>
      </c>
      <c r="X352" s="49" t="s">
        <v>193</v>
      </c>
      <c r="Y352" s="48" t="s">
        <v>1194</v>
      </c>
      <c r="Z352" s="49" t="s">
        <v>1321</v>
      </c>
      <c r="AA352" s="48" t="s">
        <v>1324</v>
      </c>
      <c r="AB352" s="48" t="s">
        <v>1325</v>
      </c>
      <c r="AC352" s="48" t="s">
        <v>1239</v>
      </c>
      <c r="AD352" s="48" t="s">
        <v>1231</v>
      </c>
      <c r="AE352" s="48" t="s">
        <v>1669</v>
      </c>
      <c r="AF352" s="48" t="s">
        <v>1436</v>
      </c>
      <c r="AG352" s="48" t="s">
        <v>1436</v>
      </c>
      <c r="AH352" s="48" t="s">
        <v>208</v>
      </c>
      <c r="AI352" s="50">
        <v>44562</v>
      </c>
      <c r="AJ352" s="50">
        <v>46387</v>
      </c>
      <c r="AK352" s="49" t="s">
        <v>1280</v>
      </c>
      <c r="AL352" s="48" t="s">
        <v>36</v>
      </c>
      <c r="AM352" s="48" t="s">
        <v>36</v>
      </c>
      <c r="AN352" s="51">
        <v>-50000</v>
      </c>
      <c r="AO352" s="51"/>
      <c r="AP352" s="51"/>
      <c r="AQ352" s="72">
        <v>1600000</v>
      </c>
      <c r="AR352" s="72">
        <v>50000</v>
      </c>
      <c r="AS352" s="50">
        <v>46387</v>
      </c>
      <c r="AT352" s="50" t="s">
        <v>1436</v>
      </c>
      <c r="AU352" s="49" t="s">
        <v>1436</v>
      </c>
      <c r="AV352" s="49" t="s">
        <v>1670</v>
      </c>
      <c r="AW352" s="48" t="s">
        <v>1244</v>
      </c>
    </row>
    <row r="353" spans="1:49" x14ac:dyDescent="0.3">
      <c r="A353" s="48" t="s">
        <v>1320</v>
      </c>
      <c r="B353" s="48" t="s">
        <v>6</v>
      </c>
      <c r="C353" s="48" t="s">
        <v>1322</v>
      </c>
      <c r="D353" s="50">
        <v>45565</v>
      </c>
      <c r="E353" s="48" t="s">
        <v>36</v>
      </c>
      <c r="F353" s="48" t="s">
        <v>1433</v>
      </c>
      <c r="G353" s="48" t="s">
        <v>1447</v>
      </c>
      <c r="H353" s="49" t="s">
        <v>1449</v>
      </c>
      <c r="I353" s="48" t="s">
        <v>1409</v>
      </c>
      <c r="J353" s="48" t="s">
        <v>40</v>
      </c>
      <c r="K353" s="48" t="s">
        <v>45</v>
      </c>
      <c r="L353" s="48" t="s">
        <v>38</v>
      </c>
      <c r="M353" s="48" t="s">
        <v>37</v>
      </c>
      <c r="N353" s="48" t="s">
        <v>1436</v>
      </c>
      <c r="O353" s="48" t="s">
        <v>1436</v>
      </c>
      <c r="P353" s="48" t="s">
        <v>1436</v>
      </c>
      <c r="Q353" s="48" t="s">
        <v>38</v>
      </c>
      <c r="R353" s="48" t="s">
        <v>39</v>
      </c>
      <c r="S353" s="48" t="s">
        <v>40</v>
      </c>
      <c r="T353" s="48" t="s">
        <v>41</v>
      </c>
      <c r="U353" s="48" t="s">
        <v>1436</v>
      </c>
      <c r="V353" s="48" t="s">
        <v>1436</v>
      </c>
      <c r="W353" s="48" t="s">
        <v>1436</v>
      </c>
      <c r="X353" s="49" t="s">
        <v>193</v>
      </c>
      <c r="Y353" s="48" t="s">
        <v>1194</v>
      </c>
      <c r="Z353" s="49" t="s">
        <v>1321</v>
      </c>
      <c r="AA353" s="48" t="s">
        <v>1324</v>
      </c>
      <c r="AB353" s="48" t="s">
        <v>1325</v>
      </c>
      <c r="AC353" s="48" t="s">
        <v>1239</v>
      </c>
      <c r="AD353" s="48" t="s">
        <v>1231</v>
      </c>
      <c r="AE353" s="48" t="s">
        <v>1669</v>
      </c>
      <c r="AF353" s="48" t="s">
        <v>1436</v>
      </c>
      <c r="AG353" s="48" t="s">
        <v>1436</v>
      </c>
      <c r="AH353" s="48" t="s">
        <v>208</v>
      </c>
      <c r="AI353" s="50">
        <v>44562</v>
      </c>
      <c r="AJ353" s="50">
        <v>46387</v>
      </c>
      <c r="AK353" s="49" t="s">
        <v>1280</v>
      </c>
      <c r="AL353" s="48" t="s">
        <v>36</v>
      </c>
      <c r="AM353" s="48" t="s">
        <v>36</v>
      </c>
      <c r="AN353" s="51">
        <v>45556.838425000002</v>
      </c>
      <c r="AO353" s="51"/>
      <c r="AP353" s="51"/>
      <c r="AQ353" s="72">
        <v>1600000</v>
      </c>
      <c r="AR353" s="72">
        <v>50000</v>
      </c>
      <c r="AS353" s="50">
        <v>46387</v>
      </c>
      <c r="AT353" s="50" t="s">
        <v>1436</v>
      </c>
      <c r="AU353" s="49" t="s">
        <v>1436</v>
      </c>
      <c r="AV353" s="49" t="s">
        <v>1670</v>
      </c>
      <c r="AW353" s="48" t="s">
        <v>1244</v>
      </c>
    </row>
    <row r="354" spans="1:49" x14ac:dyDescent="0.3">
      <c r="A354" s="48" t="s">
        <v>1320</v>
      </c>
      <c r="B354" s="48" t="s">
        <v>6</v>
      </c>
      <c r="C354" s="48" t="s">
        <v>1322</v>
      </c>
      <c r="D354" s="50">
        <v>45565</v>
      </c>
      <c r="E354" s="48" t="s">
        <v>36</v>
      </c>
      <c r="F354" s="48" t="s">
        <v>1433</v>
      </c>
      <c r="G354" s="48" t="s">
        <v>1447</v>
      </c>
      <c r="H354" s="49" t="s">
        <v>1450</v>
      </c>
      <c r="I354" s="48" t="s">
        <v>1408</v>
      </c>
      <c r="J354" s="48" t="s">
        <v>40</v>
      </c>
      <c r="K354" s="48" t="s">
        <v>54</v>
      </c>
      <c r="L354" s="48" t="s">
        <v>38</v>
      </c>
      <c r="M354" s="48" t="s">
        <v>37</v>
      </c>
      <c r="N354" s="48" t="s">
        <v>1436</v>
      </c>
      <c r="O354" s="48" t="s">
        <v>1436</v>
      </c>
      <c r="P354" s="48" t="s">
        <v>1436</v>
      </c>
      <c r="Q354" s="48" t="s">
        <v>38</v>
      </c>
      <c r="R354" s="48" t="s">
        <v>39</v>
      </c>
      <c r="S354" s="48" t="s">
        <v>40</v>
      </c>
      <c r="T354" s="48" t="s">
        <v>41</v>
      </c>
      <c r="U354" s="48" t="s">
        <v>1436</v>
      </c>
      <c r="V354" s="48" t="s">
        <v>1436</v>
      </c>
      <c r="W354" s="48" t="s">
        <v>1436</v>
      </c>
      <c r="X354" s="49" t="s">
        <v>193</v>
      </c>
      <c r="Y354" s="48" t="s">
        <v>1194</v>
      </c>
      <c r="Z354" s="49" t="s">
        <v>1321</v>
      </c>
      <c r="AA354" s="48" t="s">
        <v>1324</v>
      </c>
      <c r="AB354" s="48" t="s">
        <v>1325</v>
      </c>
      <c r="AC354" s="48" t="s">
        <v>1239</v>
      </c>
      <c r="AD354" s="48" t="s">
        <v>1231</v>
      </c>
      <c r="AE354" s="48" t="s">
        <v>1669</v>
      </c>
      <c r="AF354" s="48" t="s">
        <v>1436</v>
      </c>
      <c r="AG354" s="48" t="s">
        <v>1436</v>
      </c>
      <c r="AH354" s="48" t="s">
        <v>208</v>
      </c>
      <c r="AI354" s="50">
        <v>44562</v>
      </c>
      <c r="AJ354" s="50">
        <v>46387</v>
      </c>
      <c r="AK354" s="49" t="s">
        <v>1280</v>
      </c>
      <c r="AL354" s="48" t="s">
        <v>36</v>
      </c>
      <c r="AM354" s="48" t="s">
        <v>36</v>
      </c>
      <c r="AN354" s="51">
        <v>-3071.28</v>
      </c>
      <c r="AO354" s="51"/>
      <c r="AP354" s="51"/>
      <c r="AQ354" s="72">
        <v>1600000</v>
      </c>
      <c r="AR354" s="72">
        <v>50000</v>
      </c>
      <c r="AS354" s="50">
        <v>46387</v>
      </c>
      <c r="AT354" s="50" t="s">
        <v>1436</v>
      </c>
      <c r="AU354" s="49" t="s">
        <v>1436</v>
      </c>
      <c r="AV354" s="49" t="s">
        <v>1670</v>
      </c>
      <c r="AW354" s="48" t="s">
        <v>1244</v>
      </c>
    </row>
    <row r="355" spans="1:49" x14ac:dyDescent="0.3">
      <c r="A355" s="48" t="s">
        <v>1320</v>
      </c>
      <c r="B355" s="48" t="s">
        <v>6</v>
      </c>
      <c r="C355" s="48" t="s">
        <v>1322</v>
      </c>
      <c r="D355" s="50">
        <v>45565</v>
      </c>
      <c r="E355" s="48" t="s">
        <v>36</v>
      </c>
      <c r="F355" s="48" t="s">
        <v>1433</v>
      </c>
      <c r="G355" s="48" t="s">
        <v>1447</v>
      </c>
      <c r="H355" s="49" t="s">
        <v>1451</v>
      </c>
      <c r="I355" s="48" t="s">
        <v>1404</v>
      </c>
      <c r="J355" s="48" t="s">
        <v>38</v>
      </c>
      <c r="K355" s="48" t="s">
        <v>49</v>
      </c>
      <c r="L355" s="48" t="s">
        <v>38</v>
      </c>
      <c r="M355" s="48" t="s">
        <v>37</v>
      </c>
      <c r="N355" s="48" t="s">
        <v>1436</v>
      </c>
      <c r="O355" s="48" t="s">
        <v>1436</v>
      </c>
      <c r="P355" s="48" t="s">
        <v>1436</v>
      </c>
      <c r="Q355" s="48" t="s">
        <v>38</v>
      </c>
      <c r="R355" s="48" t="s">
        <v>39</v>
      </c>
      <c r="S355" s="48" t="s">
        <v>38</v>
      </c>
      <c r="T355" s="48" t="s">
        <v>41</v>
      </c>
      <c r="U355" s="48" t="s">
        <v>1436</v>
      </c>
      <c r="V355" s="48" t="s">
        <v>1436</v>
      </c>
      <c r="W355" s="48" t="s">
        <v>1436</v>
      </c>
      <c r="X355" s="49" t="s">
        <v>193</v>
      </c>
      <c r="Y355" s="48" t="s">
        <v>1194</v>
      </c>
      <c r="Z355" s="49" t="s">
        <v>1321</v>
      </c>
      <c r="AA355" s="48" t="s">
        <v>1324</v>
      </c>
      <c r="AB355" s="48" t="s">
        <v>1325</v>
      </c>
      <c r="AC355" s="48" t="s">
        <v>1239</v>
      </c>
      <c r="AD355" s="48" t="s">
        <v>1231</v>
      </c>
      <c r="AE355" s="48" t="s">
        <v>1669</v>
      </c>
      <c r="AF355" s="48" t="s">
        <v>1436</v>
      </c>
      <c r="AG355" s="48" t="s">
        <v>1436</v>
      </c>
      <c r="AH355" s="48" t="s">
        <v>208</v>
      </c>
      <c r="AI355" s="50">
        <v>44562</v>
      </c>
      <c r="AJ355" s="50">
        <v>46387</v>
      </c>
      <c r="AK355" s="49" t="s">
        <v>1280</v>
      </c>
      <c r="AL355" s="48" t="s">
        <v>36</v>
      </c>
      <c r="AM355" s="48" t="s">
        <v>36</v>
      </c>
      <c r="AN355" s="51">
        <v>247.832424</v>
      </c>
      <c r="AO355" s="51"/>
      <c r="AP355" s="51"/>
      <c r="AQ355" s="72">
        <v>1600000</v>
      </c>
      <c r="AR355" s="72">
        <v>50000</v>
      </c>
      <c r="AS355" s="50">
        <v>46387</v>
      </c>
      <c r="AT355" s="50" t="s">
        <v>1436</v>
      </c>
      <c r="AU355" s="49" t="s">
        <v>1436</v>
      </c>
      <c r="AV355" s="49" t="s">
        <v>1670</v>
      </c>
      <c r="AW355" s="48" t="s">
        <v>1244</v>
      </c>
    </row>
    <row r="356" spans="1:49" x14ac:dyDescent="0.3">
      <c r="A356" s="48" t="s">
        <v>1320</v>
      </c>
      <c r="B356" s="48" t="s">
        <v>6</v>
      </c>
      <c r="C356" s="48" t="s">
        <v>1322</v>
      </c>
      <c r="D356" s="50">
        <v>45596</v>
      </c>
      <c r="E356" s="48" t="s">
        <v>36</v>
      </c>
      <c r="F356" s="48" t="s">
        <v>1433</v>
      </c>
      <c r="G356" s="48" t="s">
        <v>1434</v>
      </c>
      <c r="H356" s="49" t="s">
        <v>1435</v>
      </c>
      <c r="I356" s="48" t="s">
        <v>1412</v>
      </c>
      <c r="J356" s="48" t="s">
        <v>40</v>
      </c>
      <c r="K356" s="48" t="s">
        <v>52</v>
      </c>
      <c r="L356" s="48" t="s">
        <v>38</v>
      </c>
      <c r="M356" s="48" t="s">
        <v>37</v>
      </c>
      <c r="N356" s="48" t="s">
        <v>1436</v>
      </c>
      <c r="O356" s="48" t="s">
        <v>1436</v>
      </c>
      <c r="P356" s="48" t="s">
        <v>1436</v>
      </c>
      <c r="Q356" s="48" t="s">
        <v>38</v>
      </c>
      <c r="R356" s="48" t="s">
        <v>39</v>
      </c>
      <c r="S356" s="48" t="s">
        <v>40</v>
      </c>
      <c r="T356" s="48" t="s">
        <v>41</v>
      </c>
      <c r="U356" s="48" t="s">
        <v>1436</v>
      </c>
      <c r="V356" s="48" t="s">
        <v>1436</v>
      </c>
      <c r="W356" s="48" t="s">
        <v>1436</v>
      </c>
      <c r="X356" s="49" t="s">
        <v>193</v>
      </c>
      <c r="Y356" s="48" t="s">
        <v>1194</v>
      </c>
      <c r="Z356" s="49" t="s">
        <v>1321</v>
      </c>
      <c r="AA356" s="48" t="s">
        <v>1324</v>
      </c>
      <c r="AB356" s="48" t="s">
        <v>1325</v>
      </c>
      <c r="AC356" s="48" t="s">
        <v>1239</v>
      </c>
      <c r="AD356" s="48" t="s">
        <v>1231</v>
      </c>
      <c r="AE356" s="48" t="s">
        <v>1669</v>
      </c>
      <c r="AF356" s="48" t="s">
        <v>1436</v>
      </c>
      <c r="AG356" s="48" t="s">
        <v>1436</v>
      </c>
      <c r="AH356" s="48" t="s">
        <v>208</v>
      </c>
      <c r="AI356" s="50">
        <v>44562</v>
      </c>
      <c r="AJ356" s="50">
        <v>46387</v>
      </c>
      <c r="AK356" s="49" t="s">
        <v>1280</v>
      </c>
      <c r="AL356" s="48" t="s">
        <v>36</v>
      </c>
      <c r="AM356" s="48" t="s">
        <v>36</v>
      </c>
      <c r="AN356" s="51">
        <v>-42330.49</v>
      </c>
      <c r="AO356" s="51"/>
      <c r="AP356" s="51"/>
      <c r="AQ356" s="72">
        <v>1600000</v>
      </c>
      <c r="AR356" s="72">
        <v>50000</v>
      </c>
      <c r="AS356" s="50">
        <v>46387</v>
      </c>
      <c r="AT356" s="50" t="s">
        <v>1436</v>
      </c>
      <c r="AU356" s="49" t="s">
        <v>1436</v>
      </c>
      <c r="AV356" s="49" t="s">
        <v>1670</v>
      </c>
      <c r="AW356" s="48" t="s">
        <v>1244</v>
      </c>
    </row>
    <row r="357" spans="1:49" x14ac:dyDescent="0.3">
      <c r="A357" s="48" t="s">
        <v>1320</v>
      </c>
      <c r="B357" s="48" t="s">
        <v>6</v>
      </c>
      <c r="C357" s="48" t="s">
        <v>1322</v>
      </c>
      <c r="D357" s="50">
        <v>45596</v>
      </c>
      <c r="E357" s="48" t="s">
        <v>36</v>
      </c>
      <c r="F357" s="48" t="s">
        <v>1433</v>
      </c>
      <c r="G357" s="48" t="s">
        <v>1434</v>
      </c>
      <c r="H357" s="49" t="s">
        <v>1437</v>
      </c>
      <c r="I357" s="48" t="s">
        <v>1410</v>
      </c>
      <c r="J357" s="48" t="s">
        <v>40</v>
      </c>
      <c r="K357" s="48" t="s">
        <v>42</v>
      </c>
      <c r="L357" s="48" t="s">
        <v>38</v>
      </c>
      <c r="M357" s="48" t="s">
        <v>37</v>
      </c>
      <c r="N357" s="48" t="s">
        <v>1436</v>
      </c>
      <c r="O357" s="48" t="s">
        <v>1436</v>
      </c>
      <c r="P357" s="48" t="s">
        <v>1436</v>
      </c>
      <c r="Q357" s="48" t="s">
        <v>38</v>
      </c>
      <c r="R357" s="48" t="s">
        <v>39</v>
      </c>
      <c r="S357" s="48" t="s">
        <v>40</v>
      </c>
      <c r="T357" s="48" t="s">
        <v>41</v>
      </c>
      <c r="U357" s="48" t="s">
        <v>1436</v>
      </c>
      <c r="V357" s="48" t="s">
        <v>1436</v>
      </c>
      <c r="W357" s="48" t="s">
        <v>1436</v>
      </c>
      <c r="X357" s="49" t="s">
        <v>193</v>
      </c>
      <c r="Y357" s="48" t="s">
        <v>1194</v>
      </c>
      <c r="Z357" s="49" t="s">
        <v>1321</v>
      </c>
      <c r="AA357" s="48" t="s">
        <v>1324</v>
      </c>
      <c r="AB357" s="48" t="s">
        <v>1325</v>
      </c>
      <c r="AC357" s="48" t="s">
        <v>1239</v>
      </c>
      <c r="AD357" s="48" t="s">
        <v>1231</v>
      </c>
      <c r="AE357" s="48" t="s">
        <v>1669</v>
      </c>
      <c r="AF357" s="48" t="s">
        <v>1436</v>
      </c>
      <c r="AG357" s="48" t="s">
        <v>1436</v>
      </c>
      <c r="AH357" s="48" t="s">
        <v>208</v>
      </c>
      <c r="AI357" s="50">
        <v>44562</v>
      </c>
      <c r="AJ357" s="50">
        <v>46387</v>
      </c>
      <c r="AK357" s="49" t="s">
        <v>1280</v>
      </c>
      <c r="AL357" s="48" t="s">
        <v>36</v>
      </c>
      <c r="AM357" s="48" t="s">
        <v>36</v>
      </c>
      <c r="AN357" s="51">
        <v>0</v>
      </c>
      <c r="AO357" s="51"/>
      <c r="AP357" s="51"/>
      <c r="AQ357" s="72">
        <v>1600000</v>
      </c>
      <c r="AR357" s="72">
        <v>50000</v>
      </c>
      <c r="AS357" s="50">
        <v>46387</v>
      </c>
      <c r="AT357" s="50" t="s">
        <v>1436</v>
      </c>
      <c r="AU357" s="49" t="s">
        <v>1436</v>
      </c>
      <c r="AV357" s="49" t="s">
        <v>1670</v>
      </c>
      <c r="AW357" s="48" t="s">
        <v>1244</v>
      </c>
    </row>
    <row r="358" spans="1:49" x14ac:dyDescent="0.3">
      <c r="A358" s="48" t="s">
        <v>1320</v>
      </c>
      <c r="B358" s="48" t="s">
        <v>6</v>
      </c>
      <c r="C358" s="48" t="s">
        <v>1322</v>
      </c>
      <c r="D358" s="50">
        <v>45596</v>
      </c>
      <c r="E358" s="48" t="s">
        <v>36</v>
      </c>
      <c r="F358" s="48" t="s">
        <v>1438</v>
      </c>
      <c r="G358" s="48" t="s">
        <v>1439</v>
      </c>
      <c r="H358" s="49" t="s">
        <v>1440</v>
      </c>
      <c r="I358" s="48" t="s">
        <v>1406</v>
      </c>
      <c r="J358" s="48" t="s">
        <v>1194</v>
      </c>
      <c r="K358" s="48" t="s">
        <v>1441</v>
      </c>
      <c r="L358" s="48" t="s">
        <v>38</v>
      </c>
      <c r="M358" s="48" t="s">
        <v>37</v>
      </c>
      <c r="N358" s="48" t="s">
        <v>1436</v>
      </c>
      <c r="O358" s="48" t="s">
        <v>1436</v>
      </c>
      <c r="P358" s="48" t="s">
        <v>1436</v>
      </c>
      <c r="Q358" s="48" t="s">
        <v>38</v>
      </c>
      <c r="R358" s="48" t="s">
        <v>39</v>
      </c>
      <c r="S358" s="48" t="s">
        <v>1194</v>
      </c>
      <c r="T358" s="48" t="s">
        <v>41</v>
      </c>
      <c r="U358" s="48" t="s">
        <v>1436</v>
      </c>
      <c r="V358" s="48" t="s">
        <v>1436</v>
      </c>
      <c r="W358" s="48" t="s">
        <v>1436</v>
      </c>
      <c r="X358" s="49" t="s">
        <v>193</v>
      </c>
      <c r="Y358" s="48" t="s">
        <v>1194</v>
      </c>
      <c r="Z358" s="49" t="s">
        <v>1321</v>
      </c>
      <c r="AA358" s="48" t="s">
        <v>1324</v>
      </c>
      <c r="AB358" s="48" t="s">
        <v>1325</v>
      </c>
      <c r="AC358" s="48" t="s">
        <v>1239</v>
      </c>
      <c r="AD358" s="48" t="s">
        <v>1231</v>
      </c>
      <c r="AE358" s="48" t="s">
        <v>1669</v>
      </c>
      <c r="AF358" s="48" t="s">
        <v>1436</v>
      </c>
      <c r="AG358" s="48" t="s">
        <v>1436</v>
      </c>
      <c r="AH358" s="48" t="s">
        <v>208</v>
      </c>
      <c r="AI358" s="50">
        <v>44562</v>
      </c>
      <c r="AJ358" s="50">
        <v>46387</v>
      </c>
      <c r="AK358" s="49" t="s">
        <v>1280</v>
      </c>
      <c r="AL358" s="48" t="s">
        <v>36</v>
      </c>
      <c r="AM358" s="48" t="s">
        <v>36</v>
      </c>
      <c r="AN358" s="51">
        <v>0</v>
      </c>
      <c r="AO358" s="51"/>
      <c r="AP358" s="51"/>
      <c r="AQ358" s="72">
        <v>1600000</v>
      </c>
      <c r="AR358" s="72">
        <v>50000</v>
      </c>
      <c r="AS358" s="50">
        <v>46387</v>
      </c>
      <c r="AT358" s="50" t="s">
        <v>1436</v>
      </c>
      <c r="AU358" s="49" t="s">
        <v>1436</v>
      </c>
      <c r="AV358" s="49" t="s">
        <v>1670</v>
      </c>
      <c r="AW358" s="48" t="s">
        <v>1244</v>
      </c>
    </row>
    <row r="359" spans="1:49" x14ac:dyDescent="0.3">
      <c r="A359" s="48" t="s">
        <v>1320</v>
      </c>
      <c r="B359" s="48" t="s">
        <v>6</v>
      </c>
      <c r="C359" s="48" t="s">
        <v>1322</v>
      </c>
      <c r="D359" s="50">
        <v>45596</v>
      </c>
      <c r="E359" s="48" t="s">
        <v>36</v>
      </c>
      <c r="F359" s="48" t="s">
        <v>1438</v>
      </c>
      <c r="G359" s="48" t="s">
        <v>1439</v>
      </c>
      <c r="H359" s="49" t="s">
        <v>1442</v>
      </c>
      <c r="I359" s="48" t="s">
        <v>1405</v>
      </c>
      <c r="J359" s="48" t="s">
        <v>1194</v>
      </c>
      <c r="K359" s="48" t="s">
        <v>1443</v>
      </c>
      <c r="L359" s="48" t="s">
        <v>38</v>
      </c>
      <c r="M359" s="48" t="s">
        <v>37</v>
      </c>
      <c r="N359" s="48" t="s">
        <v>1436</v>
      </c>
      <c r="O359" s="48" t="s">
        <v>1436</v>
      </c>
      <c r="P359" s="48" t="s">
        <v>1436</v>
      </c>
      <c r="Q359" s="48" t="s">
        <v>38</v>
      </c>
      <c r="R359" s="48" t="s">
        <v>39</v>
      </c>
      <c r="S359" s="48" t="s">
        <v>1194</v>
      </c>
      <c r="T359" s="48" t="s">
        <v>41</v>
      </c>
      <c r="U359" s="48" t="s">
        <v>1436</v>
      </c>
      <c r="V359" s="48" t="s">
        <v>1436</v>
      </c>
      <c r="W359" s="48" t="s">
        <v>1436</v>
      </c>
      <c r="X359" s="49" t="s">
        <v>193</v>
      </c>
      <c r="Y359" s="48" t="s">
        <v>1194</v>
      </c>
      <c r="Z359" s="49" t="s">
        <v>1321</v>
      </c>
      <c r="AA359" s="48" t="s">
        <v>1324</v>
      </c>
      <c r="AB359" s="48" t="s">
        <v>1325</v>
      </c>
      <c r="AC359" s="48" t="s">
        <v>1239</v>
      </c>
      <c r="AD359" s="48" t="s">
        <v>1231</v>
      </c>
      <c r="AE359" s="48" t="s">
        <v>1669</v>
      </c>
      <c r="AF359" s="48" t="s">
        <v>1436</v>
      </c>
      <c r="AG359" s="48" t="s">
        <v>1436</v>
      </c>
      <c r="AH359" s="48" t="s">
        <v>208</v>
      </c>
      <c r="AI359" s="50">
        <v>44562</v>
      </c>
      <c r="AJ359" s="50">
        <v>46387</v>
      </c>
      <c r="AK359" s="49" t="s">
        <v>1280</v>
      </c>
      <c r="AL359" s="48" t="s">
        <v>36</v>
      </c>
      <c r="AM359" s="48" t="s">
        <v>36</v>
      </c>
      <c r="AN359" s="51">
        <v>0</v>
      </c>
      <c r="AO359" s="51"/>
      <c r="AP359" s="51"/>
      <c r="AQ359" s="72">
        <v>1600000</v>
      </c>
      <c r="AR359" s="72">
        <v>50000</v>
      </c>
      <c r="AS359" s="50">
        <v>46387</v>
      </c>
      <c r="AT359" s="50" t="s">
        <v>1436</v>
      </c>
      <c r="AU359" s="49" t="s">
        <v>1436</v>
      </c>
      <c r="AV359" s="49" t="s">
        <v>1670</v>
      </c>
      <c r="AW359" s="48" t="s">
        <v>1244</v>
      </c>
    </row>
    <row r="360" spans="1:49" x14ac:dyDescent="0.3">
      <c r="A360" s="48" t="s">
        <v>1320</v>
      </c>
      <c r="B360" s="48" t="s">
        <v>6</v>
      </c>
      <c r="C360" s="48" t="s">
        <v>1322</v>
      </c>
      <c r="D360" s="50">
        <v>45596</v>
      </c>
      <c r="E360" s="48" t="s">
        <v>36</v>
      </c>
      <c r="F360" s="48" t="s">
        <v>1438</v>
      </c>
      <c r="G360" s="48" t="s">
        <v>1444</v>
      </c>
      <c r="H360" s="49" t="s">
        <v>1445</v>
      </c>
      <c r="I360" s="48" t="s">
        <v>1411</v>
      </c>
      <c r="J360" s="48" t="s">
        <v>40</v>
      </c>
      <c r="K360" s="48" t="s">
        <v>50</v>
      </c>
      <c r="L360" s="48" t="s">
        <v>38</v>
      </c>
      <c r="M360" s="48" t="s">
        <v>37</v>
      </c>
      <c r="N360" s="48" t="s">
        <v>1436</v>
      </c>
      <c r="O360" s="48" t="s">
        <v>1436</v>
      </c>
      <c r="P360" s="48" t="s">
        <v>1436</v>
      </c>
      <c r="Q360" s="48" t="s">
        <v>38</v>
      </c>
      <c r="R360" s="48" t="s">
        <v>39</v>
      </c>
      <c r="S360" s="48" t="s">
        <v>40</v>
      </c>
      <c r="T360" s="48" t="s">
        <v>41</v>
      </c>
      <c r="U360" s="48" t="s">
        <v>1436</v>
      </c>
      <c r="V360" s="48" t="s">
        <v>1436</v>
      </c>
      <c r="W360" s="48" t="s">
        <v>1436</v>
      </c>
      <c r="X360" s="49" t="s">
        <v>193</v>
      </c>
      <c r="Y360" s="48" t="s">
        <v>1194</v>
      </c>
      <c r="Z360" s="49" t="s">
        <v>1321</v>
      </c>
      <c r="AA360" s="48" t="s">
        <v>1324</v>
      </c>
      <c r="AB360" s="48" t="s">
        <v>1325</v>
      </c>
      <c r="AC360" s="48" t="s">
        <v>1239</v>
      </c>
      <c r="AD360" s="48" t="s">
        <v>1231</v>
      </c>
      <c r="AE360" s="48" t="s">
        <v>1669</v>
      </c>
      <c r="AF360" s="48" t="s">
        <v>1436</v>
      </c>
      <c r="AG360" s="48" t="s">
        <v>1436</v>
      </c>
      <c r="AH360" s="48" t="s">
        <v>208</v>
      </c>
      <c r="AI360" s="50">
        <v>44562</v>
      </c>
      <c r="AJ360" s="50">
        <v>46387</v>
      </c>
      <c r="AK360" s="49" t="s">
        <v>1280</v>
      </c>
      <c r="AL360" s="48" t="s">
        <v>36</v>
      </c>
      <c r="AM360" s="48" t="s">
        <v>36</v>
      </c>
      <c r="AN360" s="51">
        <v>42330.49</v>
      </c>
      <c r="AO360" s="51"/>
      <c r="AP360" s="51"/>
      <c r="AQ360" s="72">
        <v>1600000</v>
      </c>
      <c r="AR360" s="72">
        <v>50000</v>
      </c>
      <c r="AS360" s="50">
        <v>46387</v>
      </c>
      <c r="AT360" s="50" t="s">
        <v>1436</v>
      </c>
      <c r="AU360" s="49" t="s">
        <v>1436</v>
      </c>
      <c r="AV360" s="49" t="s">
        <v>1670</v>
      </c>
      <c r="AW360" s="48" t="s">
        <v>1244</v>
      </c>
    </row>
    <row r="361" spans="1:49" x14ac:dyDescent="0.3">
      <c r="A361" s="48" t="s">
        <v>1320</v>
      </c>
      <c r="B361" s="48" t="s">
        <v>6</v>
      </c>
      <c r="C361" s="48" t="s">
        <v>1322</v>
      </c>
      <c r="D361" s="50">
        <v>45596</v>
      </c>
      <c r="E361" s="48" t="s">
        <v>36</v>
      </c>
      <c r="F361" s="48" t="s">
        <v>1438</v>
      </c>
      <c r="G361" s="48" t="s">
        <v>1444</v>
      </c>
      <c r="H361" s="49" t="s">
        <v>1446</v>
      </c>
      <c r="I361" s="48" t="s">
        <v>1407</v>
      </c>
      <c r="J361" s="48" t="s">
        <v>40</v>
      </c>
      <c r="K361" s="48" t="s">
        <v>47</v>
      </c>
      <c r="L361" s="48" t="s">
        <v>38</v>
      </c>
      <c r="M361" s="48" t="s">
        <v>37</v>
      </c>
      <c r="N361" s="48" t="s">
        <v>1436</v>
      </c>
      <c r="O361" s="48" t="s">
        <v>1436</v>
      </c>
      <c r="P361" s="48" t="s">
        <v>1436</v>
      </c>
      <c r="Q361" s="48" t="s">
        <v>38</v>
      </c>
      <c r="R361" s="48" t="s">
        <v>39</v>
      </c>
      <c r="S361" s="48" t="s">
        <v>40</v>
      </c>
      <c r="T361" s="48" t="s">
        <v>41</v>
      </c>
      <c r="U361" s="48" t="s">
        <v>1436</v>
      </c>
      <c r="V361" s="48" t="s">
        <v>1436</v>
      </c>
      <c r="W361" s="48" t="s">
        <v>1436</v>
      </c>
      <c r="X361" s="49" t="s">
        <v>193</v>
      </c>
      <c r="Y361" s="48" t="s">
        <v>1194</v>
      </c>
      <c r="Z361" s="49" t="s">
        <v>1321</v>
      </c>
      <c r="AA361" s="48" t="s">
        <v>1324</v>
      </c>
      <c r="AB361" s="48" t="s">
        <v>1325</v>
      </c>
      <c r="AC361" s="48" t="s">
        <v>1239</v>
      </c>
      <c r="AD361" s="48" t="s">
        <v>1231</v>
      </c>
      <c r="AE361" s="48" t="s">
        <v>1669</v>
      </c>
      <c r="AF361" s="48" t="s">
        <v>1436</v>
      </c>
      <c r="AG361" s="48" t="s">
        <v>1436</v>
      </c>
      <c r="AH361" s="48" t="s">
        <v>208</v>
      </c>
      <c r="AI361" s="50">
        <v>44562</v>
      </c>
      <c r="AJ361" s="50">
        <v>46387</v>
      </c>
      <c r="AK361" s="49" t="s">
        <v>1280</v>
      </c>
      <c r="AL361" s="48" t="s">
        <v>36</v>
      </c>
      <c r="AM361" s="48" t="s">
        <v>36</v>
      </c>
      <c r="AN361" s="51">
        <v>7017.3310369999999</v>
      </c>
      <c r="AO361" s="51"/>
      <c r="AP361" s="51"/>
      <c r="AQ361" s="72">
        <v>1600000</v>
      </c>
      <c r="AR361" s="72">
        <v>50000</v>
      </c>
      <c r="AS361" s="50">
        <v>46387</v>
      </c>
      <c r="AT361" s="50" t="s">
        <v>1436</v>
      </c>
      <c r="AU361" s="49" t="s">
        <v>1436</v>
      </c>
      <c r="AV361" s="49" t="s">
        <v>1670</v>
      </c>
      <c r="AW361" s="48" t="s">
        <v>1244</v>
      </c>
    </row>
    <row r="362" spans="1:49" x14ac:dyDescent="0.3">
      <c r="A362" s="48" t="s">
        <v>1320</v>
      </c>
      <c r="B362" s="48" t="s">
        <v>6</v>
      </c>
      <c r="C362" s="48" t="s">
        <v>1322</v>
      </c>
      <c r="D362" s="50">
        <v>45596</v>
      </c>
      <c r="E362" s="48" t="s">
        <v>36</v>
      </c>
      <c r="F362" s="48" t="s">
        <v>1433</v>
      </c>
      <c r="G362" s="48" t="s">
        <v>1447</v>
      </c>
      <c r="H362" s="49" t="s">
        <v>1448</v>
      </c>
      <c r="I362" s="48" t="s">
        <v>1413</v>
      </c>
      <c r="J362" s="48" t="s">
        <v>40</v>
      </c>
      <c r="K362" s="48" t="s">
        <v>58</v>
      </c>
      <c r="L362" s="48" t="s">
        <v>38</v>
      </c>
      <c r="M362" s="48" t="s">
        <v>37</v>
      </c>
      <c r="N362" s="48" t="s">
        <v>1436</v>
      </c>
      <c r="O362" s="48" t="s">
        <v>1436</v>
      </c>
      <c r="P362" s="48" t="s">
        <v>1436</v>
      </c>
      <c r="Q362" s="48" t="s">
        <v>38</v>
      </c>
      <c r="R362" s="48" t="s">
        <v>39</v>
      </c>
      <c r="S362" s="48" t="s">
        <v>40</v>
      </c>
      <c r="T362" s="48" t="s">
        <v>41</v>
      </c>
      <c r="U362" s="48" t="s">
        <v>1436</v>
      </c>
      <c r="V362" s="48" t="s">
        <v>1436</v>
      </c>
      <c r="W362" s="48" t="s">
        <v>1436</v>
      </c>
      <c r="X362" s="49" t="s">
        <v>193</v>
      </c>
      <c r="Y362" s="48" t="s">
        <v>1194</v>
      </c>
      <c r="Z362" s="49" t="s">
        <v>1321</v>
      </c>
      <c r="AA362" s="48" t="s">
        <v>1324</v>
      </c>
      <c r="AB362" s="48" t="s">
        <v>1325</v>
      </c>
      <c r="AC362" s="48" t="s">
        <v>1239</v>
      </c>
      <c r="AD362" s="48" t="s">
        <v>1231</v>
      </c>
      <c r="AE362" s="48" t="s">
        <v>1669</v>
      </c>
      <c r="AF362" s="48" t="s">
        <v>1436</v>
      </c>
      <c r="AG362" s="48" t="s">
        <v>1436</v>
      </c>
      <c r="AH362" s="48" t="s">
        <v>208</v>
      </c>
      <c r="AI362" s="50">
        <v>44562</v>
      </c>
      <c r="AJ362" s="50">
        <v>46387</v>
      </c>
      <c r="AK362" s="49" t="s">
        <v>1280</v>
      </c>
      <c r="AL362" s="48" t="s">
        <v>36</v>
      </c>
      <c r="AM362" s="48" t="s">
        <v>36</v>
      </c>
      <c r="AN362" s="51">
        <v>-50000</v>
      </c>
      <c r="AO362" s="51"/>
      <c r="AP362" s="51"/>
      <c r="AQ362" s="72">
        <v>1600000</v>
      </c>
      <c r="AR362" s="72">
        <v>50000</v>
      </c>
      <c r="AS362" s="50">
        <v>46387</v>
      </c>
      <c r="AT362" s="50" t="s">
        <v>1436</v>
      </c>
      <c r="AU362" s="49" t="s">
        <v>1436</v>
      </c>
      <c r="AV362" s="49" t="s">
        <v>1670</v>
      </c>
      <c r="AW362" s="48" t="s">
        <v>1244</v>
      </c>
    </row>
    <row r="363" spans="1:49" x14ac:dyDescent="0.3">
      <c r="A363" s="48" t="s">
        <v>1320</v>
      </c>
      <c r="B363" s="48" t="s">
        <v>6</v>
      </c>
      <c r="C363" s="48" t="s">
        <v>1322</v>
      </c>
      <c r="D363" s="50">
        <v>45596</v>
      </c>
      <c r="E363" s="48" t="s">
        <v>36</v>
      </c>
      <c r="F363" s="48" t="s">
        <v>1433</v>
      </c>
      <c r="G363" s="48" t="s">
        <v>1447</v>
      </c>
      <c r="H363" s="49" t="s">
        <v>1449</v>
      </c>
      <c r="I363" s="48" t="s">
        <v>1409</v>
      </c>
      <c r="J363" s="48" t="s">
        <v>40</v>
      </c>
      <c r="K363" s="48" t="s">
        <v>45</v>
      </c>
      <c r="L363" s="48" t="s">
        <v>38</v>
      </c>
      <c r="M363" s="48" t="s">
        <v>37</v>
      </c>
      <c r="N363" s="48" t="s">
        <v>1436</v>
      </c>
      <c r="O363" s="48" t="s">
        <v>1436</v>
      </c>
      <c r="P363" s="48" t="s">
        <v>1436</v>
      </c>
      <c r="Q363" s="48" t="s">
        <v>38</v>
      </c>
      <c r="R363" s="48" t="s">
        <v>39</v>
      </c>
      <c r="S363" s="48" t="s">
        <v>40</v>
      </c>
      <c r="T363" s="48" t="s">
        <v>41</v>
      </c>
      <c r="U363" s="48" t="s">
        <v>1436</v>
      </c>
      <c r="V363" s="48" t="s">
        <v>1436</v>
      </c>
      <c r="W363" s="48" t="s">
        <v>1436</v>
      </c>
      <c r="X363" s="49" t="s">
        <v>193</v>
      </c>
      <c r="Y363" s="48" t="s">
        <v>1194</v>
      </c>
      <c r="Z363" s="49" t="s">
        <v>1321</v>
      </c>
      <c r="AA363" s="48" t="s">
        <v>1324</v>
      </c>
      <c r="AB363" s="48" t="s">
        <v>1325</v>
      </c>
      <c r="AC363" s="48" t="s">
        <v>1239</v>
      </c>
      <c r="AD363" s="48" t="s">
        <v>1231</v>
      </c>
      <c r="AE363" s="48" t="s">
        <v>1669</v>
      </c>
      <c r="AF363" s="48" t="s">
        <v>1436</v>
      </c>
      <c r="AG363" s="48" t="s">
        <v>1436</v>
      </c>
      <c r="AH363" s="48" t="s">
        <v>208</v>
      </c>
      <c r="AI363" s="50">
        <v>44562</v>
      </c>
      <c r="AJ363" s="50">
        <v>46387</v>
      </c>
      <c r="AK363" s="49" t="s">
        <v>1280</v>
      </c>
      <c r="AL363" s="48" t="s">
        <v>36</v>
      </c>
      <c r="AM363" s="48" t="s">
        <v>36</v>
      </c>
      <c r="AN363" s="51">
        <v>45822.590849</v>
      </c>
      <c r="AO363" s="51"/>
      <c r="AP363" s="51"/>
      <c r="AQ363" s="72">
        <v>1600000</v>
      </c>
      <c r="AR363" s="72">
        <v>50000</v>
      </c>
      <c r="AS363" s="50">
        <v>46387</v>
      </c>
      <c r="AT363" s="50" t="s">
        <v>1436</v>
      </c>
      <c r="AU363" s="49" t="s">
        <v>1436</v>
      </c>
      <c r="AV363" s="49" t="s">
        <v>1670</v>
      </c>
      <c r="AW363" s="48" t="s">
        <v>1244</v>
      </c>
    </row>
    <row r="364" spans="1:49" x14ac:dyDescent="0.3">
      <c r="A364" s="48" t="s">
        <v>1320</v>
      </c>
      <c r="B364" s="48" t="s">
        <v>6</v>
      </c>
      <c r="C364" s="48" t="s">
        <v>1322</v>
      </c>
      <c r="D364" s="50">
        <v>45596</v>
      </c>
      <c r="E364" s="48" t="s">
        <v>36</v>
      </c>
      <c r="F364" s="48" t="s">
        <v>1433</v>
      </c>
      <c r="G364" s="48" t="s">
        <v>1447</v>
      </c>
      <c r="H364" s="49" t="s">
        <v>1450</v>
      </c>
      <c r="I364" s="48" t="s">
        <v>1408</v>
      </c>
      <c r="J364" s="48" t="s">
        <v>40</v>
      </c>
      <c r="K364" s="48" t="s">
        <v>54</v>
      </c>
      <c r="L364" s="48" t="s">
        <v>38</v>
      </c>
      <c r="M364" s="48" t="s">
        <v>37</v>
      </c>
      <c r="N364" s="48" t="s">
        <v>1436</v>
      </c>
      <c r="O364" s="48" t="s">
        <v>1436</v>
      </c>
      <c r="P364" s="48" t="s">
        <v>1436</v>
      </c>
      <c r="Q364" s="48" t="s">
        <v>38</v>
      </c>
      <c r="R364" s="48" t="s">
        <v>39</v>
      </c>
      <c r="S364" s="48" t="s">
        <v>40</v>
      </c>
      <c r="T364" s="48" t="s">
        <v>41</v>
      </c>
      <c r="U364" s="48" t="s">
        <v>1436</v>
      </c>
      <c r="V364" s="48" t="s">
        <v>1436</v>
      </c>
      <c r="W364" s="48" t="s">
        <v>1436</v>
      </c>
      <c r="X364" s="49" t="s">
        <v>193</v>
      </c>
      <c r="Y364" s="48" t="s">
        <v>1194</v>
      </c>
      <c r="Z364" s="49" t="s">
        <v>1321</v>
      </c>
      <c r="AA364" s="48" t="s">
        <v>1324</v>
      </c>
      <c r="AB364" s="48" t="s">
        <v>1325</v>
      </c>
      <c r="AC364" s="48" t="s">
        <v>1239</v>
      </c>
      <c r="AD364" s="48" t="s">
        <v>1231</v>
      </c>
      <c r="AE364" s="48" t="s">
        <v>1669</v>
      </c>
      <c r="AF364" s="48" t="s">
        <v>1436</v>
      </c>
      <c r="AG364" s="48" t="s">
        <v>1436</v>
      </c>
      <c r="AH364" s="48" t="s">
        <v>208</v>
      </c>
      <c r="AI364" s="50">
        <v>44562</v>
      </c>
      <c r="AJ364" s="50">
        <v>46387</v>
      </c>
      <c r="AK364" s="49" t="s">
        <v>1280</v>
      </c>
      <c r="AL364" s="48" t="s">
        <v>36</v>
      </c>
      <c r="AM364" s="48" t="s">
        <v>36</v>
      </c>
      <c r="AN364" s="51">
        <v>-3089.2</v>
      </c>
      <c r="AO364" s="51"/>
      <c r="AP364" s="51"/>
      <c r="AQ364" s="72">
        <v>1600000</v>
      </c>
      <c r="AR364" s="72">
        <v>50000</v>
      </c>
      <c r="AS364" s="50">
        <v>46387</v>
      </c>
      <c r="AT364" s="50" t="s">
        <v>1436</v>
      </c>
      <c r="AU364" s="49" t="s">
        <v>1436</v>
      </c>
      <c r="AV364" s="49" t="s">
        <v>1670</v>
      </c>
      <c r="AW364" s="48" t="s">
        <v>1244</v>
      </c>
    </row>
    <row r="365" spans="1:49" x14ac:dyDescent="0.3">
      <c r="A365" s="48" t="s">
        <v>1320</v>
      </c>
      <c r="B365" s="48" t="s">
        <v>6</v>
      </c>
      <c r="C365" s="48" t="s">
        <v>1322</v>
      </c>
      <c r="D365" s="50">
        <v>45596</v>
      </c>
      <c r="E365" s="48" t="s">
        <v>36</v>
      </c>
      <c r="F365" s="48" t="s">
        <v>1433</v>
      </c>
      <c r="G365" s="48" t="s">
        <v>1447</v>
      </c>
      <c r="H365" s="49" t="s">
        <v>1451</v>
      </c>
      <c r="I365" s="48" t="s">
        <v>1404</v>
      </c>
      <c r="J365" s="48" t="s">
        <v>38</v>
      </c>
      <c r="K365" s="48" t="s">
        <v>49</v>
      </c>
      <c r="L365" s="48" t="s">
        <v>38</v>
      </c>
      <c r="M365" s="48" t="s">
        <v>37</v>
      </c>
      <c r="N365" s="48" t="s">
        <v>1436</v>
      </c>
      <c r="O365" s="48" t="s">
        <v>1436</v>
      </c>
      <c r="P365" s="48" t="s">
        <v>1436</v>
      </c>
      <c r="Q365" s="48" t="s">
        <v>38</v>
      </c>
      <c r="R365" s="48" t="s">
        <v>39</v>
      </c>
      <c r="S365" s="48" t="s">
        <v>38</v>
      </c>
      <c r="T365" s="48" t="s">
        <v>41</v>
      </c>
      <c r="U365" s="48" t="s">
        <v>1436</v>
      </c>
      <c r="V365" s="48" t="s">
        <v>1436</v>
      </c>
      <c r="W365" s="48" t="s">
        <v>1436</v>
      </c>
      <c r="X365" s="49" t="s">
        <v>193</v>
      </c>
      <c r="Y365" s="48" t="s">
        <v>1194</v>
      </c>
      <c r="Z365" s="49" t="s">
        <v>1321</v>
      </c>
      <c r="AA365" s="48" t="s">
        <v>1324</v>
      </c>
      <c r="AB365" s="48" t="s">
        <v>1325</v>
      </c>
      <c r="AC365" s="48" t="s">
        <v>1239</v>
      </c>
      <c r="AD365" s="48" t="s">
        <v>1231</v>
      </c>
      <c r="AE365" s="48" t="s">
        <v>1669</v>
      </c>
      <c r="AF365" s="48" t="s">
        <v>1436</v>
      </c>
      <c r="AG365" s="48" t="s">
        <v>1436</v>
      </c>
      <c r="AH365" s="48" t="s">
        <v>208</v>
      </c>
      <c r="AI365" s="50">
        <v>44562</v>
      </c>
      <c r="AJ365" s="50">
        <v>46387</v>
      </c>
      <c r="AK365" s="49" t="s">
        <v>1280</v>
      </c>
      <c r="AL365" s="48" t="s">
        <v>36</v>
      </c>
      <c r="AM365" s="48" t="s">
        <v>36</v>
      </c>
      <c r="AN365" s="51">
        <v>249.27811399999999</v>
      </c>
      <c r="AO365" s="51"/>
      <c r="AP365" s="51"/>
      <c r="AQ365" s="72">
        <v>1600000</v>
      </c>
      <c r="AR365" s="72">
        <v>50000</v>
      </c>
      <c r="AS365" s="50">
        <v>46387</v>
      </c>
      <c r="AT365" s="50" t="s">
        <v>1436</v>
      </c>
      <c r="AU365" s="49" t="s">
        <v>1436</v>
      </c>
      <c r="AV365" s="49" t="s">
        <v>1670</v>
      </c>
      <c r="AW365" s="48" t="s">
        <v>1244</v>
      </c>
    </row>
    <row r="366" spans="1:49" x14ac:dyDescent="0.3">
      <c r="A366" s="48" t="s">
        <v>1320</v>
      </c>
      <c r="B366" s="48" t="s">
        <v>6</v>
      </c>
      <c r="C366" s="48" t="s">
        <v>1322</v>
      </c>
      <c r="D366" s="50">
        <v>45626</v>
      </c>
      <c r="E366" s="48" t="s">
        <v>36</v>
      </c>
      <c r="F366" s="48" t="s">
        <v>1433</v>
      </c>
      <c r="G366" s="48" t="s">
        <v>1434</v>
      </c>
      <c r="H366" s="49" t="s">
        <v>1435</v>
      </c>
      <c r="I366" s="48" t="s">
        <v>1412</v>
      </c>
      <c r="J366" s="48" t="s">
        <v>40</v>
      </c>
      <c r="K366" s="48" t="s">
        <v>52</v>
      </c>
      <c r="L366" s="48" t="s">
        <v>38</v>
      </c>
      <c r="M366" s="48" t="s">
        <v>37</v>
      </c>
      <c r="N366" s="48" t="s">
        <v>1436</v>
      </c>
      <c r="O366" s="48" t="s">
        <v>1436</v>
      </c>
      <c r="P366" s="48" t="s">
        <v>1436</v>
      </c>
      <c r="Q366" s="48" t="s">
        <v>38</v>
      </c>
      <c r="R366" s="48" t="s">
        <v>39</v>
      </c>
      <c r="S366" s="48" t="s">
        <v>40</v>
      </c>
      <c r="T366" s="48" t="s">
        <v>41</v>
      </c>
      <c r="U366" s="48" t="s">
        <v>1436</v>
      </c>
      <c r="V366" s="48" t="s">
        <v>1436</v>
      </c>
      <c r="W366" s="48" t="s">
        <v>1436</v>
      </c>
      <c r="X366" s="49" t="s">
        <v>193</v>
      </c>
      <c r="Y366" s="48" t="s">
        <v>1194</v>
      </c>
      <c r="Z366" s="49" t="s">
        <v>1321</v>
      </c>
      <c r="AA366" s="48" t="s">
        <v>1324</v>
      </c>
      <c r="AB366" s="48" t="s">
        <v>1325</v>
      </c>
      <c r="AC366" s="48" t="s">
        <v>1239</v>
      </c>
      <c r="AD366" s="48" t="s">
        <v>1231</v>
      </c>
      <c r="AE366" s="48" t="s">
        <v>1669</v>
      </c>
      <c r="AF366" s="48" t="s">
        <v>1436</v>
      </c>
      <c r="AG366" s="48" t="s">
        <v>1436</v>
      </c>
      <c r="AH366" s="48" t="s">
        <v>208</v>
      </c>
      <c r="AI366" s="50">
        <v>44562</v>
      </c>
      <c r="AJ366" s="50">
        <v>46387</v>
      </c>
      <c r="AK366" s="49" t="s">
        <v>1280</v>
      </c>
      <c r="AL366" s="48" t="s">
        <v>36</v>
      </c>
      <c r="AM366" s="48" t="s">
        <v>36</v>
      </c>
      <c r="AN366" s="51">
        <v>-42330.49</v>
      </c>
      <c r="AO366" s="51"/>
      <c r="AP366" s="51"/>
      <c r="AQ366" s="72">
        <v>1600000</v>
      </c>
      <c r="AR366" s="72">
        <v>50000</v>
      </c>
      <c r="AS366" s="50">
        <v>46387</v>
      </c>
      <c r="AT366" s="50" t="s">
        <v>1436</v>
      </c>
      <c r="AU366" s="49" t="s">
        <v>1436</v>
      </c>
      <c r="AV366" s="49" t="s">
        <v>1670</v>
      </c>
      <c r="AW366" s="48" t="s">
        <v>1244</v>
      </c>
    </row>
    <row r="367" spans="1:49" x14ac:dyDescent="0.3">
      <c r="A367" s="48" t="s">
        <v>1320</v>
      </c>
      <c r="B367" s="48" t="s">
        <v>6</v>
      </c>
      <c r="C367" s="48" t="s">
        <v>1322</v>
      </c>
      <c r="D367" s="50">
        <v>45626</v>
      </c>
      <c r="E367" s="48" t="s">
        <v>36</v>
      </c>
      <c r="F367" s="48" t="s">
        <v>1433</v>
      </c>
      <c r="G367" s="48" t="s">
        <v>1434</v>
      </c>
      <c r="H367" s="49" t="s">
        <v>1437</v>
      </c>
      <c r="I367" s="48" t="s">
        <v>1410</v>
      </c>
      <c r="J367" s="48" t="s">
        <v>40</v>
      </c>
      <c r="K367" s="48" t="s">
        <v>42</v>
      </c>
      <c r="L367" s="48" t="s">
        <v>38</v>
      </c>
      <c r="M367" s="48" t="s">
        <v>37</v>
      </c>
      <c r="N367" s="48" t="s">
        <v>1436</v>
      </c>
      <c r="O367" s="48" t="s">
        <v>1436</v>
      </c>
      <c r="P367" s="48" t="s">
        <v>1436</v>
      </c>
      <c r="Q367" s="48" t="s">
        <v>38</v>
      </c>
      <c r="R367" s="48" t="s">
        <v>39</v>
      </c>
      <c r="S367" s="48" t="s">
        <v>40</v>
      </c>
      <c r="T367" s="48" t="s">
        <v>41</v>
      </c>
      <c r="U367" s="48" t="s">
        <v>1436</v>
      </c>
      <c r="V367" s="48" t="s">
        <v>1436</v>
      </c>
      <c r="W367" s="48" t="s">
        <v>1436</v>
      </c>
      <c r="X367" s="49" t="s">
        <v>193</v>
      </c>
      <c r="Y367" s="48" t="s">
        <v>1194</v>
      </c>
      <c r="Z367" s="49" t="s">
        <v>1321</v>
      </c>
      <c r="AA367" s="48" t="s">
        <v>1324</v>
      </c>
      <c r="AB367" s="48" t="s">
        <v>1325</v>
      </c>
      <c r="AC367" s="48" t="s">
        <v>1239</v>
      </c>
      <c r="AD367" s="48" t="s">
        <v>1231</v>
      </c>
      <c r="AE367" s="48" t="s">
        <v>1669</v>
      </c>
      <c r="AF367" s="48" t="s">
        <v>1436</v>
      </c>
      <c r="AG367" s="48" t="s">
        <v>1436</v>
      </c>
      <c r="AH367" s="48" t="s">
        <v>208</v>
      </c>
      <c r="AI367" s="50">
        <v>44562</v>
      </c>
      <c r="AJ367" s="50">
        <v>46387</v>
      </c>
      <c r="AK367" s="49" t="s">
        <v>1280</v>
      </c>
      <c r="AL367" s="48" t="s">
        <v>36</v>
      </c>
      <c r="AM367" s="48" t="s">
        <v>36</v>
      </c>
      <c r="AN367" s="51">
        <v>0</v>
      </c>
      <c r="AO367" s="51"/>
      <c r="AP367" s="51"/>
      <c r="AQ367" s="72">
        <v>1600000</v>
      </c>
      <c r="AR367" s="72">
        <v>50000</v>
      </c>
      <c r="AS367" s="50">
        <v>46387</v>
      </c>
      <c r="AT367" s="50" t="s">
        <v>1436</v>
      </c>
      <c r="AU367" s="49" t="s">
        <v>1436</v>
      </c>
      <c r="AV367" s="49" t="s">
        <v>1670</v>
      </c>
      <c r="AW367" s="48" t="s">
        <v>1244</v>
      </c>
    </row>
    <row r="368" spans="1:49" x14ac:dyDescent="0.3">
      <c r="A368" s="48" t="s">
        <v>1320</v>
      </c>
      <c r="B368" s="48" t="s">
        <v>6</v>
      </c>
      <c r="C368" s="48" t="s">
        <v>1322</v>
      </c>
      <c r="D368" s="50">
        <v>45626</v>
      </c>
      <c r="E368" s="48" t="s">
        <v>36</v>
      </c>
      <c r="F368" s="48" t="s">
        <v>1438</v>
      </c>
      <c r="G368" s="48" t="s">
        <v>1439</v>
      </c>
      <c r="H368" s="49" t="s">
        <v>1440</v>
      </c>
      <c r="I368" s="48" t="s">
        <v>1406</v>
      </c>
      <c r="J368" s="48" t="s">
        <v>1194</v>
      </c>
      <c r="K368" s="48" t="s">
        <v>1441</v>
      </c>
      <c r="L368" s="48" t="s">
        <v>38</v>
      </c>
      <c r="M368" s="48" t="s">
        <v>37</v>
      </c>
      <c r="N368" s="48" t="s">
        <v>1436</v>
      </c>
      <c r="O368" s="48" t="s">
        <v>1436</v>
      </c>
      <c r="P368" s="48" t="s">
        <v>1436</v>
      </c>
      <c r="Q368" s="48" t="s">
        <v>38</v>
      </c>
      <c r="R368" s="48" t="s">
        <v>39</v>
      </c>
      <c r="S368" s="48" t="s">
        <v>1194</v>
      </c>
      <c r="T368" s="48" t="s">
        <v>41</v>
      </c>
      <c r="U368" s="48" t="s">
        <v>1436</v>
      </c>
      <c r="V368" s="48" t="s">
        <v>1436</v>
      </c>
      <c r="W368" s="48" t="s">
        <v>1436</v>
      </c>
      <c r="X368" s="49" t="s">
        <v>193</v>
      </c>
      <c r="Y368" s="48" t="s">
        <v>1194</v>
      </c>
      <c r="Z368" s="49" t="s">
        <v>1321</v>
      </c>
      <c r="AA368" s="48" t="s">
        <v>1324</v>
      </c>
      <c r="AB368" s="48" t="s">
        <v>1325</v>
      </c>
      <c r="AC368" s="48" t="s">
        <v>1239</v>
      </c>
      <c r="AD368" s="48" t="s">
        <v>1231</v>
      </c>
      <c r="AE368" s="48" t="s">
        <v>1669</v>
      </c>
      <c r="AF368" s="48" t="s">
        <v>1436</v>
      </c>
      <c r="AG368" s="48" t="s">
        <v>1436</v>
      </c>
      <c r="AH368" s="48" t="s">
        <v>208</v>
      </c>
      <c r="AI368" s="50">
        <v>44562</v>
      </c>
      <c r="AJ368" s="50">
        <v>46387</v>
      </c>
      <c r="AK368" s="49" t="s">
        <v>1280</v>
      </c>
      <c r="AL368" s="48" t="s">
        <v>36</v>
      </c>
      <c r="AM368" s="48" t="s">
        <v>36</v>
      </c>
      <c r="AN368" s="51">
        <v>0</v>
      </c>
      <c r="AO368" s="51"/>
      <c r="AP368" s="51"/>
      <c r="AQ368" s="72">
        <v>1600000</v>
      </c>
      <c r="AR368" s="72">
        <v>50000</v>
      </c>
      <c r="AS368" s="50">
        <v>46387</v>
      </c>
      <c r="AT368" s="50" t="s">
        <v>1436</v>
      </c>
      <c r="AU368" s="49" t="s">
        <v>1436</v>
      </c>
      <c r="AV368" s="49" t="s">
        <v>1670</v>
      </c>
      <c r="AW368" s="48" t="s">
        <v>1244</v>
      </c>
    </row>
    <row r="369" spans="1:49" x14ac:dyDescent="0.3">
      <c r="A369" s="48" t="s">
        <v>1320</v>
      </c>
      <c r="B369" s="48" t="s">
        <v>6</v>
      </c>
      <c r="C369" s="48" t="s">
        <v>1322</v>
      </c>
      <c r="D369" s="50">
        <v>45626</v>
      </c>
      <c r="E369" s="48" t="s">
        <v>36</v>
      </c>
      <c r="F369" s="48" t="s">
        <v>1438</v>
      </c>
      <c r="G369" s="48" t="s">
        <v>1439</v>
      </c>
      <c r="H369" s="49" t="s">
        <v>1442</v>
      </c>
      <c r="I369" s="48" t="s">
        <v>1405</v>
      </c>
      <c r="J369" s="48" t="s">
        <v>1194</v>
      </c>
      <c r="K369" s="48" t="s">
        <v>1443</v>
      </c>
      <c r="L369" s="48" t="s">
        <v>38</v>
      </c>
      <c r="M369" s="48" t="s">
        <v>37</v>
      </c>
      <c r="N369" s="48" t="s">
        <v>1436</v>
      </c>
      <c r="O369" s="48" t="s">
        <v>1436</v>
      </c>
      <c r="P369" s="48" t="s">
        <v>1436</v>
      </c>
      <c r="Q369" s="48" t="s">
        <v>38</v>
      </c>
      <c r="R369" s="48" t="s">
        <v>39</v>
      </c>
      <c r="S369" s="48" t="s">
        <v>1194</v>
      </c>
      <c r="T369" s="48" t="s">
        <v>41</v>
      </c>
      <c r="U369" s="48" t="s">
        <v>1436</v>
      </c>
      <c r="V369" s="48" t="s">
        <v>1436</v>
      </c>
      <c r="W369" s="48" t="s">
        <v>1436</v>
      </c>
      <c r="X369" s="49" t="s">
        <v>193</v>
      </c>
      <c r="Y369" s="48" t="s">
        <v>1194</v>
      </c>
      <c r="Z369" s="49" t="s">
        <v>1321</v>
      </c>
      <c r="AA369" s="48" t="s">
        <v>1324</v>
      </c>
      <c r="AB369" s="48" t="s">
        <v>1325</v>
      </c>
      <c r="AC369" s="48" t="s">
        <v>1239</v>
      </c>
      <c r="AD369" s="48" t="s">
        <v>1231</v>
      </c>
      <c r="AE369" s="48" t="s">
        <v>1669</v>
      </c>
      <c r="AF369" s="48" t="s">
        <v>1436</v>
      </c>
      <c r="AG369" s="48" t="s">
        <v>1436</v>
      </c>
      <c r="AH369" s="48" t="s">
        <v>208</v>
      </c>
      <c r="AI369" s="50">
        <v>44562</v>
      </c>
      <c r="AJ369" s="50">
        <v>46387</v>
      </c>
      <c r="AK369" s="49" t="s">
        <v>1280</v>
      </c>
      <c r="AL369" s="48" t="s">
        <v>36</v>
      </c>
      <c r="AM369" s="48" t="s">
        <v>36</v>
      </c>
      <c r="AN369" s="51">
        <v>0</v>
      </c>
      <c r="AO369" s="51"/>
      <c r="AP369" s="51"/>
      <c r="AQ369" s="72">
        <v>1600000</v>
      </c>
      <c r="AR369" s="72">
        <v>50000</v>
      </c>
      <c r="AS369" s="50">
        <v>46387</v>
      </c>
      <c r="AT369" s="50" t="s">
        <v>1436</v>
      </c>
      <c r="AU369" s="49" t="s">
        <v>1436</v>
      </c>
      <c r="AV369" s="49" t="s">
        <v>1670</v>
      </c>
      <c r="AW369" s="48" t="s">
        <v>1244</v>
      </c>
    </row>
    <row r="370" spans="1:49" x14ac:dyDescent="0.3">
      <c r="A370" s="48" t="s">
        <v>1320</v>
      </c>
      <c r="B370" s="48" t="s">
        <v>6</v>
      </c>
      <c r="C370" s="48" t="s">
        <v>1322</v>
      </c>
      <c r="D370" s="50">
        <v>45626</v>
      </c>
      <c r="E370" s="48" t="s">
        <v>36</v>
      </c>
      <c r="F370" s="48" t="s">
        <v>1438</v>
      </c>
      <c r="G370" s="48" t="s">
        <v>1444</v>
      </c>
      <c r="H370" s="49" t="s">
        <v>1445</v>
      </c>
      <c r="I370" s="48" t="s">
        <v>1411</v>
      </c>
      <c r="J370" s="48" t="s">
        <v>40</v>
      </c>
      <c r="K370" s="48" t="s">
        <v>50</v>
      </c>
      <c r="L370" s="48" t="s">
        <v>38</v>
      </c>
      <c r="M370" s="48" t="s">
        <v>37</v>
      </c>
      <c r="N370" s="48" t="s">
        <v>1436</v>
      </c>
      <c r="O370" s="48" t="s">
        <v>1436</v>
      </c>
      <c r="P370" s="48" t="s">
        <v>1436</v>
      </c>
      <c r="Q370" s="48" t="s">
        <v>38</v>
      </c>
      <c r="R370" s="48" t="s">
        <v>39</v>
      </c>
      <c r="S370" s="48" t="s">
        <v>40</v>
      </c>
      <c r="T370" s="48" t="s">
        <v>41</v>
      </c>
      <c r="U370" s="48" t="s">
        <v>1436</v>
      </c>
      <c r="V370" s="48" t="s">
        <v>1436</v>
      </c>
      <c r="W370" s="48" t="s">
        <v>1436</v>
      </c>
      <c r="X370" s="49" t="s">
        <v>193</v>
      </c>
      <c r="Y370" s="48" t="s">
        <v>1194</v>
      </c>
      <c r="Z370" s="49" t="s">
        <v>1321</v>
      </c>
      <c r="AA370" s="48" t="s">
        <v>1324</v>
      </c>
      <c r="AB370" s="48" t="s">
        <v>1325</v>
      </c>
      <c r="AC370" s="48" t="s">
        <v>1239</v>
      </c>
      <c r="AD370" s="48" t="s">
        <v>1231</v>
      </c>
      <c r="AE370" s="48" t="s">
        <v>1669</v>
      </c>
      <c r="AF370" s="48" t="s">
        <v>1436</v>
      </c>
      <c r="AG370" s="48" t="s">
        <v>1436</v>
      </c>
      <c r="AH370" s="48" t="s">
        <v>208</v>
      </c>
      <c r="AI370" s="50">
        <v>44562</v>
      </c>
      <c r="AJ370" s="50">
        <v>46387</v>
      </c>
      <c r="AK370" s="49" t="s">
        <v>1280</v>
      </c>
      <c r="AL370" s="48" t="s">
        <v>36</v>
      </c>
      <c r="AM370" s="48" t="s">
        <v>36</v>
      </c>
      <c r="AN370" s="51">
        <v>42330.49</v>
      </c>
      <c r="AO370" s="51"/>
      <c r="AP370" s="51"/>
      <c r="AQ370" s="72">
        <v>1600000</v>
      </c>
      <c r="AR370" s="72">
        <v>50000</v>
      </c>
      <c r="AS370" s="50">
        <v>46387</v>
      </c>
      <c r="AT370" s="50" t="s">
        <v>1436</v>
      </c>
      <c r="AU370" s="49" t="s">
        <v>1436</v>
      </c>
      <c r="AV370" s="49" t="s">
        <v>1670</v>
      </c>
      <c r="AW370" s="48" t="s">
        <v>1244</v>
      </c>
    </row>
    <row r="371" spans="1:49" x14ac:dyDescent="0.3">
      <c r="A371" s="48" t="s">
        <v>1320</v>
      </c>
      <c r="B371" s="48" t="s">
        <v>6</v>
      </c>
      <c r="C371" s="48" t="s">
        <v>1322</v>
      </c>
      <c r="D371" s="50">
        <v>45626</v>
      </c>
      <c r="E371" s="48" t="s">
        <v>36</v>
      </c>
      <c r="F371" s="48" t="s">
        <v>1438</v>
      </c>
      <c r="G371" s="48" t="s">
        <v>1444</v>
      </c>
      <c r="H371" s="49" t="s">
        <v>1446</v>
      </c>
      <c r="I371" s="48" t="s">
        <v>1407</v>
      </c>
      <c r="J371" s="48" t="s">
        <v>40</v>
      </c>
      <c r="K371" s="48" t="s">
        <v>47</v>
      </c>
      <c r="L371" s="48" t="s">
        <v>38</v>
      </c>
      <c r="M371" s="48" t="s">
        <v>37</v>
      </c>
      <c r="N371" s="48" t="s">
        <v>1436</v>
      </c>
      <c r="O371" s="48" t="s">
        <v>1436</v>
      </c>
      <c r="P371" s="48" t="s">
        <v>1436</v>
      </c>
      <c r="Q371" s="48" t="s">
        <v>38</v>
      </c>
      <c r="R371" s="48" t="s">
        <v>39</v>
      </c>
      <c r="S371" s="48" t="s">
        <v>40</v>
      </c>
      <c r="T371" s="48" t="s">
        <v>41</v>
      </c>
      <c r="U371" s="48" t="s">
        <v>1436</v>
      </c>
      <c r="V371" s="48" t="s">
        <v>1436</v>
      </c>
      <c r="W371" s="48" t="s">
        <v>1436</v>
      </c>
      <c r="X371" s="49" t="s">
        <v>193</v>
      </c>
      <c r="Y371" s="48" t="s">
        <v>1194</v>
      </c>
      <c r="Z371" s="49" t="s">
        <v>1321</v>
      </c>
      <c r="AA371" s="48" t="s">
        <v>1324</v>
      </c>
      <c r="AB371" s="48" t="s">
        <v>1325</v>
      </c>
      <c r="AC371" s="48" t="s">
        <v>1239</v>
      </c>
      <c r="AD371" s="48" t="s">
        <v>1231</v>
      </c>
      <c r="AE371" s="48" t="s">
        <v>1669</v>
      </c>
      <c r="AF371" s="48" t="s">
        <v>1436</v>
      </c>
      <c r="AG371" s="48" t="s">
        <v>1436</v>
      </c>
      <c r="AH371" s="48" t="s">
        <v>208</v>
      </c>
      <c r="AI371" s="50">
        <v>44562</v>
      </c>
      <c r="AJ371" s="50">
        <v>46387</v>
      </c>
      <c r="AK371" s="49" t="s">
        <v>1280</v>
      </c>
      <c r="AL371" s="48" t="s">
        <v>36</v>
      </c>
      <c r="AM371" s="48" t="s">
        <v>36</v>
      </c>
      <c r="AN371" s="51">
        <v>6766.5988020000004</v>
      </c>
      <c r="AO371" s="51"/>
      <c r="AP371" s="51"/>
      <c r="AQ371" s="72">
        <v>1600000</v>
      </c>
      <c r="AR371" s="72">
        <v>50000</v>
      </c>
      <c r="AS371" s="50">
        <v>46387</v>
      </c>
      <c r="AT371" s="50" t="s">
        <v>1436</v>
      </c>
      <c r="AU371" s="49" t="s">
        <v>1436</v>
      </c>
      <c r="AV371" s="49" t="s">
        <v>1670</v>
      </c>
      <c r="AW371" s="48" t="s">
        <v>1244</v>
      </c>
    </row>
    <row r="372" spans="1:49" x14ac:dyDescent="0.3">
      <c r="A372" s="48" t="s">
        <v>1320</v>
      </c>
      <c r="B372" s="48" t="s">
        <v>6</v>
      </c>
      <c r="C372" s="48" t="s">
        <v>1322</v>
      </c>
      <c r="D372" s="50">
        <v>45626</v>
      </c>
      <c r="E372" s="48" t="s">
        <v>36</v>
      </c>
      <c r="F372" s="48" t="s">
        <v>1433</v>
      </c>
      <c r="G372" s="48" t="s">
        <v>1447</v>
      </c>
      <c r="H372" s="49" t="s">
        <v>1448</v>
      </c>
      <c r="I372" s="48" t="s">
        <v>1413</v>
      </c>
      <c r="J372" s="48" t="s">
        <v>40</v>
      </c>
      <c r="K372" s="48" t="s">
        <v>58</v>
      </c>
      <c r="L372" s="48" t="s">
        <v>38</v>
      </c>
      <c r="M372" s="48" t="s">
        <v>37</v>
      </c>
      <c r="N372" s="48" t="s">
        <v>1436</v>
      </c>
      <c r="O372" s="48" t="s">
        <v>1436</v>
      </c>
      <c r="P372" s="48" t="s">
        <v>1436</v>
      </c>
      <c r="Q372" s="48" t="s">
        <v>38</v>
      </c>
      <c r="R372" s="48" t="s">
        <v>39</v>
      </c>
      <c r="S372" s="48" t="s">
        <v>40</v>
      </c>
      <c r="T372" s="48" t="s">
        <v>41</v>
      </c>
      <c r="U372" s="48" t="s">
        <v>1436</v>
      </c>
      <c r="V372" s="48" t="s">
        <v>1436</v>
      </c>
      <c r="W372" s="48" t="s">
        <v>1436</v>
      </c>
      <c r="X372" s="49" t="s">
        <v>193</v>
      </c>
      <c r="Y372" s="48" t="s">
        <v>1194</v>
      </c>
      <c r="Z372" s="49" t="s">
        <v>1321</v>
      </c>
      <c r="AA372" s="48" t="s">
        <v>1324</v>
      </c>
      <c r="AB372" s="48" t="s">
        <v>1325</v>
      </c>
      <c r="AC372" s="48" t="s">
        <v>1239</v>
      </c>
      <c r="AD372" s="48" t="s">
        <v>1231</v>
      </c>
      <c r="AE372" s="48" t="s">
        <v>1669</v>
      </c>
      <c r="AF372" s="48" t="s">
        <v>1436</v>
      </c>
      <c r="AG372" s="48" t="s">
        <v>1436</v>
      </c>
      <c r="AH372" s="48" t="s">
        <v>208</v>
      </c>
      <c r="AI372" s="50">
        <v>44562</v>
      </c>
      <c r="AJ372" s="50">
        <v>46387</v>
      </c>
      <c r="AK372" s="49" t="s">
        <v>1280</v>
      </c>
      <c r="AL372" s="48" t="s">
        <v>36</v>
      </c>
      <c r="AM372" s="48" t="s">
        <v>36</v>
      </c>
      <c r="AN372" s="51">
        <v>-50000</v>
      </c>
      <c r="AO372" s="51"/>
      <c r="AP372" s="51"/>
      <c r="AQ372" s="72">
        <v>1600000</v>
      </c>
      <c r="AR372" s="72">
        <v>50000</v>
      </c>
      <c r="AS372" s="50">
        <v>46387</v>
      </c>
      <c r="AT372" s="50" t="s">
        <v>1436</v>
      </c>
      <c r="AU372" s="49" t="s">
        <v>1436</v>
      </c>
      <c r="AV372" s="49" t="s">
        <v>1670</v>
      </c>
      <c r="AW372" s="48" t="s">
        <v>1244</v>
      </c>
    </row>
    <row r="373" spans="1:49" x14ac:dyDescent="0.3">
      <c r="A373" s="48" t="s">
        <v>1320</v>
      </c>
      <c r="B373" s="48" t="s">
        <v>6</v>
      </c>
      <c r="C373" s="48" t="s">
        <v>1322</v>
      </c>
      <c r="D373" s="50">
        <v>45626</v>
      </c>
      <c r="E373" s="48" t="s">
        <v>36</v>
      </c>
      <c r="F373" s="48" t="s">
        <v>1433</v>
      </c>
      <c r="G373" s="48" t="s">
        <v>1447</v>
      </c>
      <c r="H373" s="49" t="s">
        <v>1449</v>
      </c>
      <c r="I373" s="48" t="s">
        <v>1409</v>
      </c>
      <c r="J373" s="48" t="s">
        <v>40</v>
      </c>
      <c r="K373" s="48" t="s">
        <v>45</v>
      </c>
      <c r="L373" s="48" t="s">
        <v>38</v>
      </c>
      <c r="M373" s="48" t="s">
        <v>37</v>
      </c>
      <c r="N373" s="48" t="s">
        <v>1436</v>
      </c>
      <c r="O373" s="48" t="s">
        <v>1436</v>
      </c>
      <c r="P373" s="48" t="s">
        <v>1436</v>
      </c>
      <c r="Q373" s="48" t="s">
        <v>38</v>
      </c>
      <c r="R373" s="48" t="s">
        <v>39</v>
      </c>
      <c r="S373" s="48" t="s">
        <v>40</v>
      </c>
      <c r="T373" s="48" t="s">
        <v>41</v>
      </c>
      <c r="U373" s="48" t="s">
        <v>1436</v>
      </c>
      <c r="V373" s="48" t="s">
        <v>1436</v>
      </c>
      <c r="W373" s="48" t="s">
        <v>1436</v>
      </c>
      <c r="X373" s="49" t="s">
        <v>193</v>
      </c>
      <c r="Y373" s="48" t="s">
        <v>1194</v>
      </c>
      <c r="Z373" s="49" t="s">
        <v>1321</v>
      </c>
      <c r="AA373" s="48" t="s">
        <v>1324</v>
      </c>
      <c r="AB373" s="48" t="s">
        <v>1325</v>
      </c>
      <c r="AC373" s="48" t="s">
        <v>1239</v>
      </c>
      <c r="AD373" s="48" t="s">
        <v>1231</v>
      </c>
      <c r="AE373" s="48" t="s">
        <v>1669</v>
      </c>
      <c r="AF373" s="48" t="s">
        <v>1436</v>
      </c>
      <c r="AG373" s="48" t="s">
        <v>1436</v>
      </c>
      <c r="AH373" s="48" t="s">
        <v>208</v>
      </c>
      <c r="AI373" s="50">
        <v>44562</v>
      </c>
      <c r="AJ373" s="50">
        <v>46387</v>
      </c>
      <c r="AK373" s="49" t="s">
        <v>1280</v>
      </c>
      <c r="AL373" s="48" t="s">
        <v>36</v>
      </c>
      <c r="AM373" s="48" t="s">
        <v>36</v>
      </c>
      <c r="AN373" s="51">
        <v>46089.888962999998</v>
      </c>
      <c r="AO373" s="51"/>
      <c r="AP373" s="51"/>
      <c r="AQ373" s="72">
        <v>1600000</v>
      </c>
      <c r="AR373" s="72">
        <v>50000</v>
      </c>
      <c r="AS373" s="50">
        <v>46387</v>
      </c>
      <c r="AT373" s="50" t="s">
        <v>1436</v>
      </c>
      <c r="AU373" s="49" t="s">
        <v>1436</v>
      </c>
      <c r="AV373" s="49" t="s">
        <v>1670</v>
      </c>
      <c r="AW373" s="48" t="s">
        <v>1244</v>
      </c>
    </row>
    <row r="374" spans="1:49" x14ac:dyDescent="0.3">
      <c r="A374" s="48" t="s">
        <v>1320</v>
      </c>
      <c r="B374" s="48" t="s">
        <v>6</v>
      </c>
      <c r="C374" s="48" t="s">
        <v>1322</v>
      </c>
      <c r="D374" s="50">
        <v>45626</v>
      </c>
      <c r="E374" s="48" t="s">
        <v>36</v>
      </c>
      <c r="F374" s="48" t="s">
        <v>1433</v>
      </c>
      <c r="G374" s="48" t="s">
        <v>1447</v>
      </c>
      <c r="H374" s="49" t="s">
        <v>1450</v>
      </c>
      <c r="I374" s="48" t="s">
        <v>1408</v>
      </c>
      <c r="J374" s="48" t="s">
        <v>40</v>
      </c>
      <c r="K374" s="48" t="s">
        <v>54</v>
      </c>
      <c r="L374" s="48" t="s">
        <v>38</v>
      </c>
      <c r="M374" s="48" t="s">
        <v>37</v>
      </c>
      <c r="N374" s="48" t="s">
        <v>1436</v>
      </c>
      <c r="O374" s="48" t="s">
        <v>1436</v>
      </c>
      <c r="P374" s="48" t="s">
        <v>1436</v>
      </c>
      <c r="Q374" s="48" t="s">
        <v>38</v>
      </c>
      <c r="R374" s="48" t="s">
        <v>39</v>
      </c>
      <c r="S374" s="48" t="s">
        <v>40</v>
      </c>
      <c r="T374" s="48" t="s">
        <v>41</v>
      </c>
      <c r="U374" s="48" t="s">
        <v>1436</v>
      </c>
      <c r="V374" s="48" t="s">
        <v>1436</v>
      </c>
      <c r="W374" s="48" t="s">
        <v>1436</v>
      </c>
      <c r="X374" s="49" t="s">
        <v>193</v>
      </c>
      <c r="Y374" s="48" t="s">
        <v>1194</v>
      </c>
      <c r="Z374" s="49" t="s">
        <v>1321</v>
      </c>
      <c r="AA374" s="48" t="s">
        <v>1324</v>
      </c>
      <c r="AB374" s="48" t="s">
        <v>1325</v>
      </c>
      <c r="AC374" s="48" t="s">
        <v>1239</v>
      </c>
      <c r="AD374" s="48" t="s">
        <v>1231</v>
      </c>
      <c r="AE374" s="48" t="s">
        <v>1669</v>
      </c>
      <c r="AF374" s="48" t="s">
        <v>1436</v>
      </c>
      <c r="AG374" s="48" t="s">
        <v>1436</v>
      </c>
      <c r="AH374" s="48" t="s">
        <v>208</v>
      </c>
      <c r="AI374" s="50">
        <v>44562</v>
      </c>
      <c r="AJ374" s="50">
        <v>46387</v>
      </c>
      <c r="AK374" s="49" t="s">
        <v>1280</v>
      </c>
      <c r="AL374" s="48" t="s">
        <v>36</v>
      </c>
      <c r="AM374" s="48" t="s">
        <v>36</v>
      </c>
      <c r="AN374" s="51">
        <v>-3107.22</v>
      </c>
      <c r="AO374" s="51"/>
      <c r="AP374" s="51"/>
      <c r="AQ374" s="72">
        <v>1600000</v>
      </c>
      <c r="AR374" s="72">
        <v>50000</v>
      </c>
      <c r="AS374" s="50">
        <v>46387</v>
      </c>
      <c r="AT374" s="50" t="s">
        <v>1436</v>
      </c>
      <c r="AU374" s="49" t="s">
        <v>1436</v>
      </c>
      <c r="AV374" s="49" t="s">
        <v>1670</v>
      </c>
      <c r="AW374" s="48" t="s">
        <v>1244</v>
      </c>
    </row>
    <row r="375" spans="1:49" x14ac:dyDescent="0.3">
      <c r="A375" s="48" t="s">
        <v>1320</v>
      </c>
      <c r="B375" s="48" t="s">
        <v>6</v>
      </c>
      <c r="C375" s="48" t="s">
        <v>1322</v>
      </c>
      <c r="D375" s="50">
        <v>45626</v>
      </c>
      <c r="E375" s="48" t="s">
        <v>36</v>
      </c>
      <c r="F375" s="48" t="s">
        <v>1433</v>
      </c>
      <c r="G375" s="48" t="s">
        <v>1447</v>
      </c>
      <c r="H375" s="49" t="s">
        <v>1451</v>
      </c>
      <c r="I375" s="48" t="s">
        <v>1404</v>
      </c>
      <c r="J375" s="48" t="s">
        <v>38</v>
      </c>
      <c r="K375" s="48" t="s">
        <v>49</v>
      </c>
      <c r="L375" s="48" t="s">
        <v>38</v>
      </c>
      <c r="M375" s="48" t="s">
        <v>37</v>
      </c>
      <c r="N375" s="48" t="s">
        <v>1436</v>
      </c>
      <c r="O375" s="48" t="s">
        <v>1436</v>
      </c>
      <c r="P375" s="48" t="s">
        <v>1436</v>
      </c>
      <c r="Q375" s="48" t="s">
        <v>38</v>
      </c>
      <c r="R375" s="48" t="s">
        <v>39</v>
      </c>
      <c r="S375" s="48" t="s">
        <v>38</v>
      </c>
      <c r="T375" s="48" t="s">
        <v>41</v>
      </c>
      <c r="U375" s="48" t="s">
        <v>1436</v>
      </c>
      <c r="V375" s="48" t="s">
        <v>1436</v>
      </c>
      <c r="W375" s="48" t="s">
        <v>1436</v>
      </c>
      <c r="X375" s="49" t="s">
        <v>193</v>
      </c>
      <c r="Y375" s="48" t="s">
        <v>1194</v>
      </c>
      <c r="Z375" s="49" t="s">
        <v>1321</v>
      </c>
      <c r="AA375" s="48" t="s">
        <v>1324</v>
      </c>
      <c r="AB375" s="48" t="s">
        <v>1325</v>
      </c>
      <c r="AC375" s="48" t="s">
        <v>1239</v>
      </c>
      <c r="AD375" s="48" t="s">
        <v>1231</v>
      </c>
      <c r="AE375" s="48" t="s">
        <v>1669</v>
      </c>
      <c r="AF375" s="48" t="s">
        <v>1436</v>
      </c>
      <c r="AG375" s="48" t="s">
        <v>1436</v>
      </c>
      <c r="AH375" s="48" t="s">
        <v>208</v>
      </c>
      <c r="AI375" s="50">
        <v>44562</v>
      </c>
      <c r="AJ375" s="50">
        <v>46387</v>
      </c>
      <c r="AK375" s="49" t="s">
        <v>1280</v>
      </c>
      <c r="AL375" s="48" t="s">
        <v>36</v>
      </c>
      <c r="AM375" s="48" t="s">
        <v>36</v>
      </c>
      <c r="AN375" s="51">
        <v>250.732235</v>
      </c>
      <c r="AO375" s="51"/>
      <c r="AP375" s="51"/>
      <c r="AQ375" s="72">
        <v>1600000</v>
      </c>
      <c r="AR375" s="72">
        <v>50000</v>
      </c>
      <c r="AS375" s="50">
        <v>46387</v>
      </c>
      <c r="AT375" s="50" t="s">
        <v>1436</v>
      </c>
      <c r="AU375" s="49" t="s">
        <v>1436</v>
      </c>
      <c r="AV375" s="49" t="s">
        <v>1670</v>
      </c>
      <c r="AW375" s="48" t="s">
        <v>1244</v>
      </c>
    </row>
    <row r="376" spans="1:49" x14ac:dyDescent="0.3">
      <c r="A376" s="48" t="s">
        <v>1320</v>
      </c>
      <c r="B376" s="48" t="s">
        <v>6</v>
      </c>
      <c r="C376" s="48" t="s">
        <v>1322</v>
      </c>
      <c r="D376" s="50">
        <v>45657</v>
      </c>
      <c r="E376" s="48" t="s">
        <v>36</v>
      </c>
      <c r="F376" s="48" t="s">
        <v>1433</v>
      </c>
      <c r="G376" s="48" t="s">
        <v>1434</v>
      </c>
      <c r="H376" s="49" t="s">
        <v>1435</v>
      </c>
      <c r="I376" s="48" t="s">
        <v>1412</v>
      </c>
      <c r="J376" s="48" t="s">
        <v>40</v>
      </c>
      <c r="K376" s="48" t="s">
        <v>52</v>
      </c>
      <c r="L376" s="48" t="s">
        <v>38</v>
      </c>
      <c r="M376" s="48" t="s">
        <v>37</v>
      </c>
      <c r="N376" s="48" t="s">
        <v>1436</v>
      </c>
      <c r="O376" s="48" t="s">
        <v>1436</v>
      </c>
      <c r="P376" s="48" t="s">
        <v>1436</v>
      </c>
      <c r="Q376" s="48" t="s">
        <v>38</v>
      </c>
      <c r="R376" s="48" t="s">
        <v>39</v>
      </c>
      <c r="S376" s="48" t="s">
        <v>40</v>
      </c>
      <c r="T376" s="48" t="s">
        <v>41</v>
      </c>
      <c r="U376" s="48" t="s">
        <v>1436</v>
      </c>
      <c r="V376" s="48" t="s">
        <v>1436</v>
      </c>
      <c r="W376" s="48" t="s">
        <v>1436</v>
      </c>
      <c r="X376" s="49" t="s">
        <v>193</v>
      </c>
      <c r="Y376" s="48" t="s">
        <v>1194</v>
      </c>
      <c r="Z376" s="49" t="s">
        <v>1321</v>
      </c>
      <c r="AA376" s="48" t="s">
        <v>1324</v>
      </c>
      <c r="AB376" s="48" t="s">
        <v>1325</v>
      </c>
      <c r="AC376" s="48" t="s">
        <v>1239</v>
      </c>
      <c r="AD376" s="48" t="s">
        <v>1231</v>
      </c>
      <c r="AE376" s="48" t="s">
        <v>1669</v>
      </c>
      <c r="AF376" s="48" t="s">
        <v>1436</v>
      </c>
      <c r="AG376" s="48" t="s">
        <v>1436</v>
      </c>
      <c r="AH376" s="48" t="s">
        <v>208</v>
      </c>
      <c r="AI376" s="50">
        <v>44562</v>
      </c>
      <c r="AJ376" s="50">
        <v>46387</v>
      </c>
      <c r="AK376" s="49" t="s">
        <v>1280</v>
      </c>
      <c r="AL376" s="48" t="s">
        <v>36</v>
      </c>
      <c r="AM376" s="48" t="s">
        <v>36</v>
      </c>
      <c r="AN376" s="51">
        <v>-42330.49</v>
      </c>
      <c r="AO376" s="51"/>
      <c r="AP376" s="51"/>
      <c r="AQ376" s="72">
        <v>1600000</v>
      </c>
      <c r="AR376" s="72">
        <v>50000</v>
      </c>
      <c r="AS376" s="50">
        <v>46387</v>
      </c>
      <c r="AT376" s="50" t="s">
        <v>1436</v>
      </c>
      <c r="AU376" s="49" t="s">
        <v>1436</v>
      </c>
      <c r="AV376" s="49" t="s">
        <v>1670</v>
      </c>
      <c r="AW376" s="48" t="s">
        <v>1244</v>
      </c>
    </row>
    <row r="377" spans="1:49" x14ac:dyDescent="0.3">
      <c r="A377" s="48" t="s">
        <v>1320</v>
      </c>
      <c r="B377" s="48" t="s">
        <v>6</v>
      </c>
      <c r="C377" s="48" t="s">
        <v>1322</v>
      </c>
      <c r="D377" s="50">
        <v>45657</v>
      </c>
      <c r="E377" s="48" t="s">
        <v>36</v>
      </c>
      <c r="F377" s="48" t="s">
        <v>1433</v>
      </c>
      <c r="G377" s="48" t="s">
        <v>1434</v>
      </c>
      <c r="H377" s="49" t="s">
        <v>1437</v>
      </c>
      <c r="I377" s="48" t="s">
        <v>1410</v>
      </c>
      <c r="J377" s="48" t="s">
        <v>40</v>
      </c>
      <c r="K377" s="48" t="s">
        <v>42</v>
      </c>
      <c r="L377" s="48" t="s">
        <v>38</v>
      </c>
      <c r="M377" s="48" t="s">
        <v>37</v>
      </c>
      <c r="N377" s="48" t="s">
        <v>1436</v>
      </c>
      <c r="O377" s="48" t="s">
        <v>1436</v>
      </c>
      <c r="P377" s="48" t="s">
        <v>1436</v>
      </c>
      <c r="Q377" s="48" t="s">
        <v>38</v>
      </c>
      <c r="R377" s="48" t="s">
        <v>39</v>
      </c>
      <c r="S377" s="48" t="s">
        <v>40</v>
      </c>
      <c r="T377" s="48" t="s">
        <v>41</v>
      </c>
      <c r="U377" s="48" t="s">
        <v>1436</v>
      </c>
      <c r="V377" s="48" t="s">
        <v>1436</v>
      </c>
      <c r="W377" s="48" t="s">
        <v>1436</v>
      </c>
      <c r="X377" s="49" t="s">
        <v>193</v>
      </c>
      <c r="Y377" s="48" t="s">
        <v>1194</v>
      </c>
      <c r="Z377" s="49" t="s">
        <v>1321</v>
      </c>
      <c r="AA377" s="48" t="s">
        <v>1324</v>
      </c>
      <c r="AB377" s="48" t="s">
        <v>1325</v>
      </c>
      <c r="AC377" s="48" t="s">
        <v>1239</v>
      </c>
      <c r="AD377" s="48" t="s">
        <v>1231</v>
      </c>
      <c r="AE377" s="48" t="s">
        <v>1669</v>
      </c>
      <c r="AF377" s="48" t="s">
        <v>1436</v>
      </c>
      <c r="AG377" s="48" t="s">
        <v>1436</v>
      </c>
      <c r="AH377" s="48" t="s">
        <v>208</v>
      </c>
      <c r="AI377" s="50">
        <v>44562</v>
      </c>
      <c r="AJ377" s="50">
        <v>46387</v>
      </c>
      <c r="AK377" s="49" t="s">
        <v>1280</v>
      </c>
      <c r="AL377" s="48" t="s">
        <v>36</v>
      </c>
      <c r="AM377" s="48" t="s">
        <v>36</v>
      </c>
      <c r="AN377" s="51">
        <v>0</v>
      </c>
      <c r="AO377" s="51"/>
      <c r="AP377" s="51"/>
      <c r="AQ377" s="72">
        <v>1600000</v>
      </c>
      <c r="AR377" s="72">
        <v>50000</v>
      </c>
      <c r="AS377" s="50">
        <v>46387</v>
      </c>
      <c r="AT377" s="50" t="s">
        <v>1436</v>
      </c>
      <c r="AU377" s="49" t="s">
        <v>1436</v>
      </c>
      <c r="AV377" s="49" t="s">
        <v>1670</v>
      </c>
      <c r="AW377" s="48" t="s">
        <v>1244</v>
      </c>
    </row>
    <row r="378" spans="1:49" x14ac:dyDescent="0.3">
      <c r="A378" s="48" t="s">
        <v>1320</v>
      </c>
      <c r="B378" s="48" t="s">
        <v>6</v>
      </c>
      <c r="C378" s="48" t="s">
        <v>1322</v>
      </c>
      <c r="D378" s="50">
        <v>45657</v>
      </c>
      <c r="E378" s="48" t="s">
        <v>36</v>
      </c>
      <c r="F378" s="48" t="s">
        <v>1438</v>
      </c>
      <c r="G378" s="48" t="s">
        <v>1439</v>
      </c>
      <c r="H378" s="49" t="s">
        <v>1440</v>
      </c>
      <c r="I378" s="48" t="s">
        <v>1406</v>
      </c>
      <c r="J378" s="48" t="s">
        <v>1194</v>
      </c>
      <c r="K378" s="48" t="s">
        <v>1441</v>
      </c>
      <c r="L378" s="48" t="s">
        <v>38</v>
      </c>
      <c r="M378" s="48" t="s">
        <v>37</v>
      </c>
      <c r="N378" s="48" t="s">
        <v>1436</v>
      </c>
      <c r="O378" s="48" t="s">
        <v>1436</v>
      </c>
      <c r="P378" s="48" t="s">
        <v>1436</v>
      </c>
      <c r="Q378" s="48" t="s">
        <v>38</v>
      </c>
      <c r="R378" s="48" t="s">
        <v>39</v>
      </c>
      <c r="S378" s="48" t="s">
        <v>1194</v>
      </c>
      <c r="T378" s="48" t="s">
        <v>41</v>
      </c>
      <c r="U378" s="48" t="s">
        <v>1436</v>
      </c>
      <c r="V378" s="48" t="s">
        <v>1436</v>
      </c>
      <c r="W378" s="48" t="s">
        <v>1436</v>
      </c>
      <c r="X378" s="49" t="s">
        <v>193</v>
      </c>
      <c r="Y378" s="48" t="s">
        <v>1194</v>
      </c>
      <c r="Z378" s="49" t="s">
        <v>1321</v>
      </c>
      <c r="AA378" s="48" t="s">
        <v>1324</v>
      </c>
      <c r="AB378" s="48" t="s">
        <v>1325</v>
      </c>
      <c r="AC378" s="48" t="s">
        <v>1239</v>
      </c>
      <c r="AD378" s="48" t="s">
        <v>1231</v>
      </c>
      <c r="AE378" s="48" t="s">
        <v>1669</v>
      </c>
      <c r="AF378" s="48" t="s">
        <v>1436</v>
      </c>
      <c r="AG378" s="48" t="s">
        <v>1436</v>
      </c>
      <c r="AH378" s="48" t="s">
        <v>208</v>
      </c>
      <c r="AI378" s="50">
        <v>44562</v>
      </c>
      <c r="AJ378" s="50">
        <v>46387</v>
      </c>
      <c r="AK378" s="49" t="s">
        <v>1280</v>
      </c>
      <c r="AL378" s="48" t="s">
        <v>36</v>
      </c>
      <c r="AM378" s="48" t="s">
        <v>36</v>
      </c>
      <c r="AN378" s="51">
        <v>0</v>
      </c>
      <c r="AO378" s="51"/>
      <c r="AP378" s="51"/>
      <c r="AQ378" s="72">
        <v>1600000</v>
      </c>
      <c r="AR378" s="72">
        <v>50000</v>
      </c>
      <c r="AS378" s="50">
        <v>46387</v>
      </c>
      <c r="AT378" s="50" t="s">
        <v>1436</v>
      </c>
      <c r="AU378" s="49" t="s">
        <v>1436</v>
      </c>
      <c r="AV378" s="49" t="s">
        <v>1670</v>
      </c>
      <c r="AW378" s="48" t="s">
        <v>1244</v>
      </c>
    </row>
    <row r="379" spans="1:49" x14ac:dyDescent="0.3">
      <c r="A379" s="48" t="s">
        <v>1320</v>
      </c>
      <c r="B379" s="48" t="s">
        <v>6</v>
      </c>
      <c r="C379" s="48" t="s">
        <v>1322</v>
      </c>
      <c r="D379" s="50">
        <v>45657</v>
      </c>
      <c r="E379" s="48" t="s">
        <v>36</v>
      </c>
      <c r="F379" s="48" t="s">
        <v>1438</v>
      </c>
      <c r="G379" s="48" t="s">
        <v>1439</v>
      </c>
      <c r="H379" s="49" t="s">
        <v>1442</v>
      </c>
      <c r="I379" s="48" t="s">
        <v>1405</v>
      </c>
      <c r="J379" s="48" t="s">
        <v>1194</v>
      </c>
      <c r="K379" s="48" t="s">
        <v>1443</v>
      </c>
      <c r="L379" s="48" t="s">
        <v>38</v>
      </c>
      <c r="M379" s="48" t="s">
        <v>37</v>
      </c>
      <c r="N379" s="48" t="s">
        <v>1436</v>
      </c>
      <c r="O379" s="48" t="s">
        <v>1436</v>
      </c>
      <c r="P379" s="48" t="s">
        <v>1436</v>
      </c>
      <c r="Q379" s="48" t="s">
        <v>38</v>
      </c>
      <c r="R379" s="48" t="s">
        <v>39</v>
      </c>
      <c r="S379" s="48" t="s">
        <v>1194</v>
      </c>
      <c r="T379" s="48" t="s">
        <v>41</v>
      </c>
      <c r="U379" s="48" t="s">
        <v>1436</v>
      </c>
      <c r="V379" s="48" t="s">
        <v>1436</v>
      </c>
      <c r="W379" s="48" t="s">
        <v>1436</v>
      </c>
      <c r="X379" s="49" t="s">
        <v>193</v>
      </c>
      <c r="Y379" s="48" t="s">
        <v>1194</v>
      </c>
      <c r="Z379" s="49" t="s">
        <v>1321</v>
      </c>
      <c r="AA379" s="48" t="s">
        <v>1324</v>
      </c>
      <c r="AB379" s="48" t="s">
        <v>1325</v>
      </c>
      <c r="AC379" s="48" t="s">
        <v>1239</v>
      </c>
      <c r="AD379" s="48" t="s">
        <v>1231</v>
      </c>
      <c r="AE379" s="48" t="s">
        <v>1669</v>
      </c>
      <c r="AF379" s="48" t="s">
        <v>1436</v>
      </c>
      <c r="AG379" s="48" t="s">
        <v>1436</v>
      </c>
      <c r="AH379" s="48" t="s">
        <v>208</v>
      </c>
      <c r="AI379" s="50">
        <v>44562</v>
      </c>
      <c r="AJ379" s="50">
        <v>46387</v>
      </c>
      <c r="AK379" s="49" t="s">
        <v>1280</v>
      </c>
      <c r="AL379" s="48" t="s">
        <v>36</v>
      </c>
      <c r="AM379" s="48" t="s">
        <v>36</v>
      </c>
      <c r="AN379" s="51">
        <v>0</v>
      </c>
      <c r="AO379" s="51"/>
      <c r="AP379" s="51"/>
      <c r="AQ379" s="72">
        <v>1600000</v>
      </c>
      <c r="AR379" s="72">
        <v>50000</v>
      </c>
      <c r="AS379" s="50">
        <v>46387</v>
      </c>
      <c r="AT379" s="50" t="s">
        <v>1436</v>
      </c>
      <c r="AU379" s="49" t="s">
        <v>1436</v>
      </c>
      <c r="AV379" s="49" t="s">
        <v>1670</v>
      </c>
      <c r="AW379" s="48" t="s">
        <v>1244</v>
      </c>
    </row>
    <row r="380" spans="1:49" x14ac:dyDescent="0.3">
      <c r="A380" s="48" t="s">
        <v>1320</v>
      </c>
      <c r="B380" s="48" t="s">
        <v>6</v>
      </c>
      <c r="C380" s="48" t="s">
        <v>1322</v>
      </c>
      <c r="D380" s="50">
        <v>45657</v>
      </c>
      <c r="E380" s="48" t="s">
        <v>36</v>
      </c>
      <c r="F380" s="48" t="s">
        <v>1438</v>
      </c>
      <c r="G380" s="48" t="s">
        <v>1444</v>
      </c>
      <c r="H380" s="49" t="s">
        <v>1445</v>
      </c>
      <c r="I380" s="48" t="s">
        <v>1411</v>
      </c>
      <c r="J380" s="48" t="s">
        <v>40</v>
      </c>
      <c r="K380" s="48" t="s">
        <v>50</v>
      </c>
      <c r="L380" s="48" t="s">
        <v>38</v>
      </c>
      <c r="M380" s="48" t="s">
        <v>37</v>
      </c>
      <c r="N380" s="48" t="s">
        <v>1436</v>
      </c>
      <c r="O380" s="48" t="s">
        <v>1436</v>
      </c>
      <c r="P380" s="48" t="s">
        <v>1436</v>
      </c>
      <c r="Q380" s="48" t="s">
        <v>38</v>
      </c>
      <c r="R380" s="48" t="s">
        <v>39</v>
      </c>
      <c r="S380" s="48" t="s">
        <v>40</v>
      </c>
      <c r="T380" s="48" t="s">
        <v>41</v>
      </c>
      <c r="U380" s="48" t="s">
        <v>1436</v>
      </c>
      <c r="V380" s="48" t="s">
        <v>1436</v>
      </c>
      <c r="W380" s="48" t="s">
        <v>1436</v>
      </c>
      <c r="X380" s="49" t="s">
        <v>193</v>
      </c>
      <c r="Y380" s="48" t="s">
        <v>1194</v>
      </c>
      <c r="Z380" s="49" t="s">
        <v>1321</v>
      </c>
      <c r="AA380" s="48" t="s">
        <v>1324</v>
      </c>
      <c r="AB380" s="48" t="s">
        <v>1325</v>
      </c>
      <c r="AC380" s="48" t="s">
        <v>1239</v>
      </c>
      <c r="AD380" s="48" t="s">
        <v>1231</v>
      </c>
      <c r="AE380" s="48" t="s">
        <v>1669</v>
      </c>
      <c r="AF380" s="48" t="s">
        <v>1436</v>
      </c>
      <c r="AG380" s="48" t="s">
        <v>1436</v>
      </c>
      <c r="AH380" s="48" t="s">
        <v>208</v>
      </c>
      <c r="AI380" s="50">
        <v>44562</v>
      </c>
      <c r="AJ380" s="50">
        <v>46387</v>
      </c>
      <c r="AK380" s="49" t="s">
        <v>1280</v>
      </c>
      <c r="AL380" s="48" t="s">
        <v>36</v>
      </c>
      <c r="AM380" s="48" t="s">
        <v>36</v>
      </c>
      <c r="AN380" s="51">
        <v>42330.49</v>
      </c>
      <c r="AO380" s="51"/>
      <c r="AP380" s="51"/>
      <c r="AQ380" s="72">
        <v>1600000</v>
      </c>
      <c r="AR380" s="72">
        <v>50000</v>
      </c>
      <c r="AS380" s="50">
        <v>46387</v>
      </c>
      <c r="AT380" s="50" t="s">
        <v>1436</v>
      </c>
      <c r="AU380" s="49" t="s">
        <v>1436</v>
      </c>
      <c r="AV380" s="49" t="s">
        <v>1670</v>
      </c>
      <c r="AW380" s="48" t="s">
        <v>1244</v>
      </c>
    </row>
    <row r="381" spans="1:49" x14ac:dyDescent="0.3">
      <c r="A381" s="48" t="s">
        <v>1320</v>
      </c>
      <c r="B381" s="48" t="s">
        <v>6</v>
      </c>
      <c r="C381" s="48" t="s">
        <v>1322</v>
      </c>
      <c r="D381" s="50">
        <v>45657</v>
      </c>
      <c r="E381" s="48" t="s">
        <v>36</v>
      </c>
      <c r="F381" s="48" t="s">
        <v>1438</v>
      </c>
      <c r="G381" s="48" t="s">
        <v>1444</v>
      </c>
      <c r="H381" s="49" t="s">
        <v>1446</v>
      </c>
      <c r="I381" s="48" t="s">
        <v>1407</v>
      </c>
      <c r="J381" s="48" t="s">
        <v>40</v>
      </c>
      <c r="K381" s="48" t="s">
        <v>47</v>
      </c>
      <c r="L381" s="48" t="s">
        <v>38</v>
      </c>
      <c r="M381" s="48" t="s">
        <v>37</v>
      </c>
      <c r="N381" s="48" t="s">
        <v>1436</v>
      </c>
      <c r="O381" s="48" t="s">
        <v>1436</v>
      </c>
      <c r="P381" s="48" t="s">
        <v>1436</v>
      </c>
      <c r="Q381" s="48" t="s">
        <v>38</v>
      </c>
      <c r="R381" s="48" t="s">
        <v>39</v>
      </c>
      <c r="S381" s="48" t="s">
        <v>40</v>
      </c>
      <c r="T381" s="48" t="s">
        <v>41</v>
      </c>
      <c r="U381" s="48" t="s">
        <v>1436</v>
      </c>
      <c r="V381" s="48" t="s">
        <v>1436</v>
      </c>
      <c r="W381" s="48" t="s">
        <v>1436</v>
      </c>
      <c r="X381" s="49" t="s">
        <v>193</v>
      </c>
      <c r="Y381" s="48" t="s">
        <v>1194</v>
      </c>
      <c r="Z381" s="49" t="s">
        <v>1321</v>
      </c>
      <c r="AA381" s="48" t="s">
        <v>1324</v>
      </c>
      <c r="AB381" s="48" t="s">
        <v>1325</v>
      </c>
      <c r="AC381" s="48" t="s">
        <v>1239</v>
      </c>
      <c r="AD381" s="48" t="s">
        <v>1231</v>
      </c>
      <c r="AE381" s="48" t="s">
        <v>1669</v>
      </c>
      <c r="AF381" s="48" t="s">
        <v>1436</v>
      </c>
      <c r="AG381" s="48" t="s">
        <v>1436</v>
      </c>
      <c r="AH381" s="48" t="s">
        <v>208</v>
      </c>
      <c r="AI381" s="50">
        <v>44562</v>
      </c>
      <c r="AJ381" s="50">
        <v>46387</v>
      </c>
      <c r="AK381" s="49" t="s">
        <v>1280</v>
      </c>
      <c r="AL381" s="48" t="s">
        <v>36</v>
      </c>
      <c r="AM381" s="48" t="s">
        <v>36</v>
      </c>
      <c r="AN381" s="51">
        <v>6514.403961</v>
      </c>
      <c r="AO381" s="51"/>
      <c r="AP381" s="51"/>
      <c r="AQ381" s="72">
        <v>1600000</v>
      </c>
      <c r="AR381" s="72">
        <v>50000</v>
      </c>
      <c r="AS381" s="50">
        <v>46387</v>
      </c>
      <c r="AT381" s="50" t="s">
        <v>1436</v>
      </c>
      <c r="AU381" s="49" t="s">
        <v>1436</v>
      </c>
      <c r="AV381" s="49" t="s">
        <v>1670</v>
      </c>
      <c r="AW381" s="48" t="s">
        <v>1244</v>
      </c>
    </row>
    <row r="382" spans="1:49" x14ac:dyDescent="0.3">
      <c r="A382" s="48" t="s">
        <v>1320</v>
      </c>
      <c r="B382" s="48" t="s">
        <v>6</v>
      </c>
      <c r="C382" s="48" t="s">
        <v>1322</v>
      </c>
      <c r="D382" s="50">
        <v>45657</v>
      </c>
      <c r="E382" s="48" t="s">
        <v>36</v>
      </c>
      <c r="F382" s="48" t="s">
        <v>1433</v>
      </c>
      <c r="G382" s="48" t="s">
        <v>1447</v>
      </c>
      <c r="H382" s="49" t="s">
        <v>1448</v>
      </c>
      <c r="I382" s="48" t="s">
        <v>1413</v>
      </c>
      <c r="J382" s="48" t="s">
        <v>40</v>
      </c>
      <c r="K382" s="48" t="s">
        <v>58</v>
      </c>
      <c r="L382" s="48" t="s">
        <v>38</v>
      </c>
      <c r="M382" s="48" t="s">
        <v>37</v>
      </c>
      <c r="N382" s="48" t="s">
        <v>1436</v>
      </c>
      <c r="O382" s="48" t="s">
        <v>1436</v>
      </c>
      <c r="P382" s="48" t="s">
        <v>1436</v>
      </c>
      <c r="Q382" s="48" t="s">
        <v>38</v>
      </c>
      <c r="R382" s="48" t="s">
        <v>39</v>
      </c>
      <c r="S382" s="48" t="s">
        <v>40</v>
      </c>
      <c r="T382" s="48" t="s">
        <v>41</v>
      </c>
      <c r="U382" s="48" t="s">
        <v>1436</v>
      </c>
      <c r="V382" s="48" t="s">
        <v>1436</v>
      </c>
      <c r="W382" s="48" t="s">
        <v>1436</v>
      </c>
      <c r="X382" s="49" t="s">
        <v>193</v>
      </c>
      <c r="Y382" s="48" t="s">
        <v>1194</v>
      </c>
      <c r="Z382" s="49" t="s">
        <v>1321</v>
      </c>
      <c r="AA382" s="48" t="s">
        <v>1324</v>
      </c>
      <c r="AB382" s="48" t="s">
        <v>1325</v>
      </c>
      <c r="AC382" s="48" t="s">
        <v>1239</v>
      </c>
      <c r="AD382" s="48" t="s">
        <v>1231</v>
      </c>
      <c r="AE382" s="48" t="s">
        <v>1669</v>
      </c>
      <c r="AF382" s="48" t="s">
        <v>1436</v>
      </c>
      <c r="AG382" s="48" t="s">
        <v>1436</v>
      </c>
      <c r="AH382" s="48" t="s">
        <v>208</v>
      </c>
      <c r="AI382" s="50">
        <v>44562</v>
      </c>
      <c r="AJ382" s="50">
        <v>46387</v>
      </c>
      <c r="AK382" s="49" t="s">
        <v>1280</v>
      </c>
      <c r="AL382" s="48" t="s">
        <v>36</v>
      </c>
      <c r="AM382" s="48" t="s">
        <v>36</v>
      </c>
      <c r="AN382" s="51">
        <v>-50000</v>
      </c>
      <c r="AO382" s="51"/>
      <c r="AP382" s="51"/>
      <c r="AQ382" s="72">
        <v>1600000</v>
      </c>
      <c r="AR382" s="72">
        <v>50000</v>
      </c>
      <c r="AS382" s="50">
        <v>46387</v>
      </c>
      <c r="AT382" s="50" t="s">
        <v>1436</v>
      </c>
      <c r="AU382" s="49" t="s">
        <v>1436</v>
      </c>
      <c r="AV382" s="49" t="s">
        <v>1670</v>
      </c>
      <c r="AW382" s="48" t="s">
        <v>1244</v>
      </c>
    </row>
    <row r="383" spans="1:49" x14ac:dyDescent="0.3">
      <c r="A383" s="48" t="s">
        <v>1320</v>
      </c>
      <c r="B383" s="48" t="s">
        <v>6</v>
      </c>
      <c r="C383" s="48" t="s">
        <v>1322</v>
      </c>
      <c r="D383" s="50">
        <v>45657</v>
      </c>
      <c r="E383" s="48" t="s">
        <v>36</v>
      </c>
      <c r="F383" s="48" t="s">
        <v>1433</v>
      </c>
      <c r="G383" s="48" t="s">
        <v>1447</v>
      </c>
      <c r="H383" s="49" t="s">
        <v>1449</v>
      </c>
      <c r="I383" s="48" t="s">
        <v>1409</v>
      </c>
      <c r="J383" s="48" t="s">
        <v>40</v>
      </c>
      <c r="K383" s="48" t="s">
        <v>45</v>
      </c>
      <c r="L383" s="48" t="s">
        <v>38</v>
      </c>
      <c r="M383" s="48" t="s">
        <v>37</v>
      </c>
      <c r="N383" s="48" t="s">
        <v>1436</v>
      </c>
      <c r="O383" s="48" t="s">
        <v>1436</v>
      </c>
      <c r="P383" s="48" t="s">
        <v>1436</v>
      </c>
      <c r="Q383" s="48" t="s">
        <v>38</v>
      </c>
      <c r="R383" s="48" t="s">
        <v>39</v>
      </c>
      <c r="S383" s="48" t="s">
        <v>40</v>
      </c>
      <c r="T383" s="48" t="s">
        <v>41</v>
      </c>
      <c r="U383" s="48" t="s">
        <v>1436</v>
      </c>
      <c r="V383" s="48" t="s">
        <v>1436</v>
      </c>
      <c r="W383" s="48" t="s">
        <v>1436</v>
      </c>
      <c r="X383" s="49" t="s">
        <v>193</v>
      </c>
      <c r="Y383" s="48" t="s">
        <v>1194</v>
      </c>
      <c r="Z383" s="49" t="s">
        <v>1321</v>
      </c>
      <c r="AA383" s="48" t="s">
        <v>1324</v>
      </c>
      <c r="AB383" s="48" t="s">
        <v>1325</v>
      </c>
      <c r="AC383" s="48" t="s">
        <v>1239</v>
      </c>
      <c r="AD383" s="48" t="s">
        <v>1231</v>
      </c>
      <c r="AE383" s="48" t="s">
        <v>1669</v>
      </c>
      <c r="AF383" s="48" t="s">
        <v>1436</v>
      </c>
      <c r="AG383" s="48" t="s">
        <v>1436</v>
      </c>
      <c r="AH383" s="48" t="s">
        <v>208</v>
      </c>
      <c r="AI383" s="50">
        <v>44562</v>
      </c>
      <c r="AJ383" s="50">
        <v>46387</v>
      </c>
      <c r="AK383" s="49" t="s">
        <v>1280</v>
      </c>
      <c r="AL383" s="48" t="s">
        <v>36</v>
      </c>
      <c r="AM383" s="48" t="s">
        <v>36</v>
      </c>
      <c r="AN383" s="51">
        <v>46358.751197999998</v>
      </c>
      <c r="AO383" s="51"/>
      <c r="AP383" s="51"/>
      <c r="AQ383" s="72">
        <v>1600000</v>
      </c>
      <c r="AR383" s="72">
        <v>50000</v>
      </c>
      <c r="AS383" s="50">
        <v>46387</v>
      </c>
      <c r="AT383" s="50" t="s">
        <v>1436</v>
      </c>
      <c r="AU383" s="49" t="s">
        <v>1436</v>
      </c>
      <c r="AV383" s="49" t="s">
        <v>1670</v>
      </c>
      <c r="AW383" s="48" t="s">
        <v>1244</v>
      </c>
    </row>
    <row r="384" spans="1:49" x14ac:dyDescent="0.3">
      <c r="A384" s="48" t="s">
        <v>1320</v>
      </c>
      <c r="B384" s="48" t="s">
        <v>6</v>
      </c>
      <c r="C384" s="48" t="s">
        <v>1322</v>
      </c>
      <c r="D384" s="50">
        <v>45657</v>
      </c>
      <c r="E384" s="48" t="s">
        <v>36</v>
      </c>
      <c r="F384" s="48" t="s">
        <v>1433</v>
      </c>
      <c r="G384" s="48" t="s">
        <v>1447</v>
      </c>
      <c r="H384" s="49" t="s">
        <v>1450</v>
      </c>
      <c r="I384" s="48" t="s">
        <v>1408</v>
      </c>
      <c r="J384" s="48" t="s">
        <v>40</v>
      </c>
      <c r="K384" s="48" t="s">
        <v>54</v>
      </c>
      <c r="L384" s="48" t="s">
        <v>38</v>
      </c>
      <c r="M384" s="48" t="s">
        <v>37</v>
      </c>
      <c r="N384" s="48" t="s">
        <v>1436</v>
      </c>
      <c r="O384" s="48" t="s">
        <v>1436</v>
      </c>
      <c r="P384" s="48" t="s">
        <v>1436</v>
      </c>
      <c r="Q384" s="48" t="s">
        <v>38</v>
      </c>
      <c r="R384" s="48" t="s">
        <v>39</v>
      </c>
      <c r="S384" s="48" t="s">
        <v>40</v>
      </c>
      <c r="T384" s="48" t="s">
        <v>41</v>
      </c>
      <c r="U384" s="48" t="s">
        <v>1436</v>
      </c>
      <c r="V384" s="48" t="s">
        <v>1436</v>
      </c>
      <c r="W384" s="48" t="s">
        <v>1436</v>
      </c>
      <c r="X384" s="49" t="s">
        <v>193</v>
      </c>
      <c r="Y384" s="48" t="s">
        <v>1194</v>
      </c>
      <c r="Z384" s="49" t="s">
        <v>1321</v>
      </c>
      <c r="AA384" s="48" t="s">
        <v>1324</v>
      </c>
      <c r="AB384" s="48" t="s">
        <v>1325</v>
      </c>
      <c r="AC384" s="48" t="s">
        <v>1239</v>
      </c>
      <c r="AD384" s="48" t="s">
        <v>1231</v>
      </c>
      <c r="AE384" s="48" t="s">
        <v>1669</v>
      </c>
      <c r="AF384" s="48" t="s">
        <v>1436</v>
      </c>
      <c r="AG384" s="48" t="s">
        <v>1436</v>
      </c>
      <c r="AH384" s="48" t="s">
        <v>208</v>
      </c>
      <c r="AI384" s="50">
        <v>44562</v>
      </c>
      <c r="AJ384" s="50">
        <v>46387</v>
      </c>
      <c r="AK384" s="49" t="s">
        <v>1280</v>
      </c>
      <c r="AL384" s="48" t="s">
        <v>36</v>
      </c>
      <c r="AM384" s="48" t="s">
        <v>36</v>
      </c>
      <c r="AN384" s="51">
        <v>-3125.35</v>
      </c>
      <c r="AO384" s="51"/>
      <c r="AP384" s="51"/>
      <c r="AQ384" s="72">
        <v>1600000</v>
      </c>
      <c r="AR384" s="72">
        <v>50000</v>
      </c>
      <c r="AS384" s="50">
        <v>46387</v>
      </c>
      <c r="AT384" s="50" t="s">
        <v>1436</v>
      </c>
      <c r="AU384" s="49" t="s">
        <v>1436</v>
      </c>
      <c r="AV384" s="49" t="s">
        <v>1670</v>
      </c>
      <c r="AW384" s="48" t="s">
        <v>1244</v>
      </c>
    </row>
    <row r="385" spans="1:49" x14ac:dyDescent="0.3">
      <c r="A385" s="48" t="s">
        <v>1320</v>
      </c>
      <c r="B385" s="48" t="s">
        <v>6</v>
      </c>
      <c r="C385" s="48" t="s">
        <v>1322</v>
      </c>
      <c r="D385" s="50">
        <v>45657</v>
      </c>
      <c r="E385" s="48" t="s">
        <v>36</v>
      </c>
      <c r="F385" s="48" t="s">
        <v>1433</v>
      </c>
      <c r="G385" s="48" t="s">
        <v>1447</v>
      </c>
      <c r="H385" s="49" t="s">
        <v>1451</v>
      </c>
      <c r="I385" s="48" t="s">
        <v>1404</v>
      </c>
      <c r="J385" s="48" t="s">
        <v>38</v>
      </c>
      <c r="K385" s="48" t="s">
        <v>49</v>
      </c>
      <c r="L385" s="48" t="s">
        <v>38</v>
      </c>
      <c r="M385" s="48" t="s">
        <v>37</v>
      </c>
      <c r="N385" s="48" t="s">
        <v>1436</v>
      </c>
      <c r="O385" s="48" t="s">
        <v>1436</v>
      </c>
      <c r="P385" s="48" t="s">
        <v>1436</v>
      </c>
      <c r="Q385" s="48" t="s">
        <v>38</v>
      </c>
      <c r="R385" s="48" t="s">
        <v>39</v>
      </c>
      <c r="S385" s="48" t="s">
        <v>38</v>
      </c>
      <c r="T385" s="48" t="s">
        <v>41</v>
      </c>
      <c r="U385" s="48" t="s">
        <v>1436</v>
      </c>
      <c r="V385" s="48" t="s">
        <v>1436</v>
      </c>
      <c r="W385" s="48" t="s">
        <v>1436</v>
      </c>
      <c r="X385" s="49" t="s">
        <v>193</v>
      </c>
      <c r="Y385" s="48" t="s">
        <v>1194</v>
      </c>
      <c r="Z385" s="49" t="s">
        <v>1321</v>
      </c>
      <c r="AA385" s="48" t="s">
        <v>1324</v>
      </c>
      <c r="AB385" s="48" t="s">
        <v>1325</v>
      </c>
      <c r="AC385" s="48" t="s">
        <v>1239</v>
      </c>
      <c r="AD385" s="48" t="s">
        <v>1231</v>
      </c>
      <c r="AE385" s="48" t="s">
        <v>1669</v>
      </c>
      <c r="AF385" s="48" t="s">
        <v>1436</v>
      </c>
      <c r="AG385" s="48" t="s">
        <v>1436</v>
      </c>
      <c r="AH385" s="48" t="s">
        <v>208</v>
      </c>
      <c r="AI385" s="50">
        <v>44562</v>
      </c>
      <c r="AJ385" s="50">
        <v>46387</v>
      </c>
      <c r="AK385" s="49" t="s">
        <v>1280</v>
      </c>
      <c r="AL385" s="48" t="s">
        <v>36</v>
      </c>
      <c r="AM385" s="48" t="s">
        <v>36</v>
      </c>
      <c r="AN385" s="51">
        <v>252.194841</v>
      </c>
      <c r="AO385" s="51"/>
      <c r="AP385" s="51"/>
      <c r="AQ385" s="72">
        <v>1600000</v>
      </c>
      <c r="AR385" s="72">
        <v>50000</v>
      </c>
      <c r="AS385" s="50">
        <v>46387</v>
      </c>
      <c r="AT385" s="50" t="s">
        <v>1436</v>
      </c>
      <c r="AU385" s="49" t="s">
        <v>1436</v>
      </c>
      <c r="AV385" s="49" t="s">
        <v>1670</v>
      </c>
      <c r="AW385" s="48" t="s">
        <v>1244</v>
      </c>
    </row>
    <row r="386" spans="1:49" x14ac:dyDescent="0.3">
      <c r="A386" s="48" t="s">
        <v>1320</v>
      </c>
      <c r="B386" s="48" t="s">
        <v>6</v>
      </c>
      <c r="C386" s="48" t="s">
        <v>1322</v>
      </c>
      <c r="D386" s="50">
        <v>45688</v>
      </c>
      <c r="E386" s="48" t="s">
        <v>36</v>
      </c>
      <c r="F386" s="48" t="s">
        <v>1433</v>
      </c>
      <c r="G386" s="48" t="s">
        <v>1434</v>
      </c>
      <c r="H386" s="49" t="s">
        <v>1435</v>
      </c>
      <c r="I386" s="48" t="s">
        <v>1412</v>
      </c>
      <c r="J386" s="48" t="s">
        <v>40</v>
      </c>
      <c r="K386" s="48" t="s">
        <v>52</v>
      </c>
      <c r="L386" s="48" t="s">
        <v>38</v>
      </c>
      <c r="M386" s="48" t="s">
        <v>37</v>
      </c>
      <c r="N386" s="48" t="s">
        <v>1436</v>
      </c>
      <c r="O386" s="48" t="s">
        <v>1436</v>
      </c>
      <c r="P386" s="48" t="s">
        <v>1436</v>
      </c>
      <c r="Q386" s="48" t="s">
        <v>38</v>
      </c>
      <c r="R386" s="48" t="s">
        <v>39</v>
      </c>
      <c r="S386" s="48" t="s">
        <v>40</v>
      </c>
      <c r="T386" s="48" t="s">
        <v>41</v>
      </c>
      <c r="U386" s="48" t="s">
        <v>1436</v>
      </c>
      <c r="V386" s="48" t="s">
        <v>1436</v>
      </c>
      <c r="W386" s="48" t="s">
        <v>1436</v>
      </c>
      <c r="X386" s="49" t="s">
        <v>193</v>
      </c>
      <c r="Y386" s="48" t="s">
        <v>1194</v>
      </c>
      <c r="Z386" s="49" t="s">
        <v>1321</v>
      </c>
      <c r="AA386" s="48" t="s">
        <v>1324</v>
      </c>
      <c r="AB386" s="48" t="s">
        <v>1325</v>
      </c>
      <c r="AC386" s="48" t="s">
        <v>1239</v>
      </c>
      <c r="AD386" s="48" t="s">
        <v>1231</v>
      </c>
      <c r="AE386" s="48" t="s">
        <v>1669</v>
      </c>
      <c r="AF386" s="48" t="s">
        <v>1436</v>
      </c>
      <c r="AG386" s="48" t="s">
        <v>1436</v>
      </c>
      <c r="AH386" s="48" t="s">
        <v>208</v>
      </c>
      <c r="AI386" s="50">
        <v>44562</v>
      </c>
      <c r="AJ386" s="50">
        <v>46387</v>
      </c>
      <c r="AK386" s="49" t="s">
        <v>1280</v>
      </c>
      <c r="AL386" s="48" t="s">
        <v>36</v>
      </c>
      <c r="AM386" s="48" t="s">
        <v>36</v>
      </c>
      <c r="AN386" s="51">
        <v>-42330.49</v>
      </c>
      <c r="AO386" s="51"/>
      <c r="AP386" s="51"/>
      <c r="AQ386" s="72">
        <v>1600000</v>
      </c>
      <c r="AR386" s="72">
        <v>50000</v>
      </c>
      <c r="AS386" s="50">
        <v>46387</v>
      </c>
      <c r="AT386" s="50" t="s">
        <v>1436</v>
      </c>
      <c r="AU386" s="49" t="s">
        <v>1436</v>
      </c>
      <c r="AV386" s="49" t="s">
        <v>1670</v>
      </c>
      <c r="AW386" s="48" t="s">
        <v>1244</v>
      </c>
    </row>
    <row r="387" spans="1:49" x14ac:dyDescent="0.3">
      <c r="A387" s="48" t="s">
        <v>1320</v>
      </c>
      <c r="B387" s="48" t="s">
        <v>6</v>
      </c>
      <c r="C387" s="48" t="s">
        <v>1322</v>
      </c>
      <c r="D387" s="50">
        <v>45688</v>
      </c>
      <c r="E387" s="48" t="s">
        <v>36</v>
      </c>
      <c r="F387" s="48" t="s">
        <v>1433</v>
      </c>
      <c r="G387" s="48" t="s">
        <v>1434</v>
      </c>
      <c r="H387" s="49" t="s">
        <v>1437</v>
      </c>
      <c r="I387" s="48" t="s">
        <v>1410</v>
      </c>
      <c r="J387" s="48" t="s">
        <v>40</v>
      </c>
      <c r="K387" s="48" t="s">
        <v>42</v>
      </c>
      <c r="L387" s="48" t="s">
        <v>38</v>
      </c>
      <c r="M387" s="48" t="s">
        <v>37</v>
      </c>
      <c r="N387" s="48" t="s">
        <v>1436</v>
      </c>
      <c r="O387" s="48" t="s">
        <v>1436</v>
      </c>
      <c r="P387" s="48" t="s">
        <v>1436</v>
      </c>
      <c r="Q387" s="48" t="s">
        <v>38</v>
      </c>
      <c r="R387" s="48" t="s">
        <v>39</v>
      </c>
      <c r="S387" s="48" t="s">
        <v>40</v>
      </c>
      <c r="T387" s="48" t="s">
        <v>41</v>
      </c>
      <c r="U387" s="48" t="s">
        <v>1436</v>
      </c>
      <c r="V387" s="48" t="s">
        <v>1436</v>
      </c>
      <c r="W387" s="48" t="s">
        <v>1436</v>
      </c>
      <c r="X387" s="49" t="s">
        <v>193</v>
      </c>
      <c r="Y387" s="48" t="s">
        <v>1194</v>
      </c>
      <c r="Z387" s="49" t="s">
        <v>1321</v>
      </c>
      <c r="AA387" s="48" t="s">
        <v>1324</v>
      </c>
      <c r="AB387" s="48" t="s">
        <v>1325</v>
      </c>
      <c r="AC387" s="48" t="s">
        <v>1239</v>
      </c>
      <c r="AD387" s="48" t="s">
        <v>1231</v>
      </c>
      <c r="AE387" s="48" t="s">
        <v>1669</v>
      </c>
      <c r="AF387" s="48" t="s">
        <v>1436</v>
      </c>
      <c r="AG387" s="48" t="s">
        <v>1436</v>
      </c>
      <c r="AH387" s="48" t="s">
        <v>208</v>
      </c>
      <c r="AI387" s="50">
        <v>44562</v>
      </c>
      <c r="AJ387" s="50">
        <v>46387</v>
      </c>
      <c r="AK387" s="49" t="s">
        <v>1280</v>
      </c>
      <c r="AL387" s="48" t="s">
        <v>36</v>
      </c>
      <c r="AM387" s="48" t="s">
        <v>36</v>
      </c>
      <c r="AN387" s="51">
        <v>0</v>
      </c>
      <c r="AO387" s="51"/>
      <c r="AP387" s="51"/>
      <c r="AQ387" s="72">
        <v>1600000</v>
      </c>
      <c r="AR387" s="72">
        <v>50000</v>
      </c>
      <c r="AS387" s="50">
        <v>46387</v>
      </c>
      <c r="AT387" s="50" t="s">
        <v>1436</v>
      </c>
      <c r="AU387" s="49" t="s">
        <v>1436</v>
      </c>
      <c r="AV387" s="49" t="s">
        <v>1670</v>
      </c>
      <c r="AW387" s="48" t="s">
        <v>1244</v>
      </c>
    </row>
    <row r="388" spans="1:49" x14ac:dyDescent="0.3">
      <c r="A388" s="48" t="s">
        <v>1320</v>
      </c>
      <c r="B388" s="48" t="s">
        <v>6</v>
      </c>
      <c r="C388" s="48" t="s">
        <v>1322</v>
      </c>
      <c r="D388" s="50">
        <v>45688</v>
      </c>
      <c r="E388" s="48" t="s">
        <v>36</v>
      </c>
      <c r="F388" s="48" t="s">
        <v>1438</v>
      </c>
      <c r="G388" s="48" t="s">
        <v>1439</v>
      </c>
      <c r="H388" s="49" t="s">
        <v>1440</v>
      </c>
      <c r="I388" s="48" t="s">
        <v>1406</v>
      </c>
      <c r="J388" s="48" t="s">
        <v>1194</v>
      </c>
      <c r="K388" s="48" t="s">
        <v>1441</v>
      </c>
      <c r="L388" s="48" t="s">
        <v>38</v>
      </c>
      <c r="M388" s="48" t="s">
        <v>37</v>
      </c>
      <c r="N388" s="48" t="s">
        <v>1436</v>
      </c>
      <c r="O388" s="48" t="s">
        <v>1436</v>
      </c>
      <c r="P388" s="48" t="s">
        <v>1436</v>
      </c>
      <c r="Q388" s="48" t="s">
        <v>38</v>
      </c>
      <c r="R388" s="48" t="s">
        <v>39</v>
      </c>
      <c r="S388" s="48" t="s">
        <v>1194</v>
      </c>
      <c r="T388" s="48" t="s">
        <v>41</v>
      </c>
      <c r="U388" s="48" t="s">
        <v>1436</v>
      </c>
      <c r="V388" s="48" t="s">
        <v>1436</v>
      </c>
      <c r="W388" s="48" t="s">
        <v>1436</v>
      </c>
      <c r="X388" s="49" t="s">
        <v>193</v>
      </c>
      <c r="Y388" s="48" t="s">
        <v>1194</v>
      </c>
      <c r="Z388" s="49" t="s">
        <v>1321</v>
      </c>
      <c r="AA388" s="48" t="s">
        <v>1324</v>
      </c>
      <c r="AB388" s="48" t="s">
        <v>1325</v>
      </c>
      <c r="AC388" s="48" t="s">
        <v>1239</v>
      </c>
      <c r="AD388" s="48" t="s">
        <v>1231</v>
      </c>
      <c r="AE388" s="48" t="s">
        <v>1669</v>
      </c>
      <c r="AF388" s="48" t="s">
        <v>1436</v>
      </c>
      <c r="AG388" s="48" t="s">
        <v>1436</v>
      </c>
      <c r="AH388" s="48" t="s">
        <v>208</v>
      </c>
      <c r="AI388" s="50">
        <v>44562</v>
      </c>
      <c r="AJ388" s="50">
        <v>46387</v>
      </c>
      <c r="AK388" s="49" t="s">
        <v>1280</v>
      </c>
      <c r="AL388" s="48" t="s">
        <v>36</v>
      </c>
      <c r="AM388" s="48" t="s">
        <v>36</v>
      </c>
      <c r="AN388" s="51">
        <v>0</v>
      </c>
      <c r="AO388" s="51"/>
      <c r="AP388" s="51"/>
      <c r="AQ388" s="72">
        <v>1600000</v>
      </c>
      <c r="AR388" s="72">
        <v>50000</v>
      </c>
      <c r="AS388" s="50">
        <v>46387</v>
      </c>
      <c r="AT388" s="50" t="s">
        <v>1436</v>
      </c>
      <c r="AU388" s="49" t="s">
        <v>1436</v>
      </c>
      <c r="AV388" s="49" t="s">
        <v>1670</v>
      </c>
      <c r="AW388" s="48" t="s">
        <v>1244</v>
      </c>
    </row>
    <row r="389" spans="1:49" x14ac:dyDescent="0.3">
      <c r="A389" s="48" t="s">
        <v>1320</v>
      </c>
      <c r="B389" s="48" t="s">
        <v>6</v>
      </c>
      <c r="C389" s="48" t="s">
        <v>1322</v>
      </c>
      <c r="D389" s="50">
        <v>45688</v>
      </c>
      <c r="E389" s="48" t="s">
        <v>36</v>
      </c>
      <c r="F389" s="48" t="s">
        <v>1438</v>
      </c>
      <c r="G389" s="48" t="s">
        <v>1439</v>
      </c>
      <c r="H389" s="49" t="s">
        <v>1442</v>
      </c>
      <c r="I389" s="48" t="s">
        <v>1405</v>
      </c>
      <c r="J389" s="48" t="s">
        <v>1194</v>
      </c>
      <c r="K389" s="48" t="s">
        <v>1443</v>
      </c>
      <c r="L389" s="48" t="s">
        <v>38</v>
      </c>
      <c r="M389" s="48" t="s">
        <v>37</v>
      </c>
      <c r="N389" s="48" t="s">
        <v>1436</v>
      </c>
      <c r="O389" s="48" t="s">
        <v>1436</v>
      </c>
      <c r="P389" s="48" t="s">
        <v>1436</v>
      </c>
      <c r="Q389" s="48" t="s">
        <v>38</v>
      </c>
      <c r="R389" s="48" t="s">
        <v>39</v>
      </c>
      <c r="S389" s="48" t="s">
        <v>1194</v>
      </c>
      <c r="T389" s="48" t="s">
        <v>41</v>
      </c>
      <c r="U389" s="48" t="s">
        <v>1436</v>
      </c>
      <c r="V389" s="48" t="s">
        <v>1436</v>
      </c>
      <c r="W389" s="48" t="s">
        <v>1436</v>
      </c>
      <c r="X389" s="49" t="s">
        <v>193</v>
      </c>
      <c r="Y389" s="48" t="s">
        <v>1194</v>
      </c>
      <c r="Z389" s="49" t="s">
        <v>1321</v>
      </c>
      <c r="AA389" s="48" t="s">
        <v>1324</v>
      </c>
      <c r="AB389" s="48" t="s">
        <v>1325</v>
      </c>
      <c r="AC389" s="48" t="s">
        <v>1239</v>
      </c>
      <c r="AD389" s="48" t="s">
        <v>1231</v>
      </c>
      <c r="AE389" s="48" t="s">
        <v>1669</v>
      </c>
      <c r="AF389" s="48" t="s">
        <v>1436</v>
      </c>
      <c r="AG389" s="48" t="s">
        <v>1436</v>
      </c>
      <c r="AH389" s="48" t="s">
        <v>208</v>
      </c>
      <c r="AI389" s="50">
        <v>44562</v>
      </c>
      <c r="AJ389" s="50">
        <v>46387</v>
      </c>
      <c r="AK389" s="49" t="s">
        <v>1280</v>
      </c>
      <c r="AL389" s="48" t="s">
        <v>36</v>
      </c>
      <c r="AM389" s="48" t="s">
        <v>36</v>
      </c>
      <c r="AN389" s="51">
        <v>0</v>
      </c>
      <c r="AO389" s="51"/>
      <c r="AP389" s="51"/>
      <c r="AQ389" s="72">
        <v>1600000</v>
      </c>
      <c r="AR389" s="72">
        <v>50000</v>
      </c>
      <c r="AS389" s="50">
        <v>46387</v>
      </c>
      <c r="AT389" s="50" t="s">
        <v>1436</v>
      </c>
      <c r="AU389" s="49" t="s">
        <v>1436</v>
      </c>
      <c r="AV389" s="49" t="s">
        <v>1670</v>
      </c>
      <c r="AW389" s="48" t="s">
        <v>1244</v>
      </c>
    </row>
    <row r="390" spans="1:49" x14ac:dyDescent="0.3">
      <c r="A390" s="48" t="s">
        <v>1320</v>
      </c>
      <c r="B390" s="48" t="s">
        <v>6</v>
      </c>
      <c r="C390" s="48" t="s">
        <v>1322</v>
      </c>
      <c r="D390" s="50">
        <v>45688</v>
      </c>
      <c r="E390" s="48" t="s">
        <v>36</v>
      </c>
      <c r="F390" s="48" t="s">
        <v>1438</v>
      </c>
      <c r="G390" s="48" t="s">
        <v>1444</v>
      </c>
      <c r="H390" s="49" t="s">
        <v>1445</v>
      </c>
      <c r="I390" s="48" t="s">
        <v>1411</v>
      </c>
      <c r="J390" s="48" t="s">
        <v>40</v>
      </c>
      <c r="K390" s="48" t="s">
        <v>50</v>
      </c>
      <c r="L390" s="48" t="s">
        <v>38</v>
      </c>
      <c r="M390" s="48" t="s">
        <v>37</v>
      </c>
      <c r="N390" s="48" t="s">
        <v>1436</v>
      </c>
      <c r="O390" s="48" t="s">
        <v>1436</v>
      </c>
      <c r="P390" s="48" t="s">
        <v>1436</v>
      </c>
      <c r="Q390" s="48" t="s">
        <v>38</v>
      </c>
      <c r="R390" s="48" t="s">
        <v>39</v>
      </c>
      <c r="S390" s="48" t="s">
        <v>40</v>
      </c>
      <c r="T390" s="48" t="s">
        <v>41</v>
      </c>
      <c r="U390" s="48" t="s">
        <v>1436</v>
      </c>
      <c r="V390" s="48" t="s">
        <v>1436</v>
      </c>
      <c r="W390" s="48" t="s">
        <v>1436</v>
      </c>
      <c r="X390" s="49" t="s">
        <v>193</v>
      </c>
      <c r="Y390" s="48" t="s">
        <v>1194</v>
      </c>
      <c r="Z390" s="49" t="s">
        <v>1321</v>
      </c>
      <c r="AA390" s="48" t="s">
        <v>1324</v>
      </c>
      <c r="AB390" s="48" t="s">
        <v>1325</v>
      </c>
      <c r="AC390" s="48" t="s">
        <v>1239</v>
      </c>
      <c r="AD390" s="48" t="s">
        <v>1231</v>
      </c>
      <c r="AE390" s="48" t="s">
        <v>1669</v>
      </c>
      <c r="AF390" s="48" t="s">
        <v>1436</v>
      </c>
      <c r="AG390" s="48" t="s">
        <v>1436</v>
      </c>
      <c r="AH390" s="48" t="s">
        <v>208</v>
      </c>
      <c r="AI390" s="50">
        <v>44562</v>
      </c>
      <c r="AJ390" s="50">
        <v>46387</v>
      </c>
      <c r="AK390" s="49" t="s">
        <v>1280</v>
      </c>
      <c r="AL390" s="48" t="s">
        <v>36</v>
      </c>
      <c r="AM390" s="48" t="s">
        <v>36</v>
      </c>
      <c r="AN390" s="51">
        <v>42330.49</v>
      </c>
      <c r="AO390" s="51"/>
      <c r="AP390" s="51"/>
      <c r="AQ390" s="72">
        <v>1600000</v>
      </c>
      <c r="AR390" s="72">
        <v>50000</v>
      </c>
      <c r="AS390" s="50">
        <v>46387</v>
      </c>
      <c r="AT390" s="50" t="s">
        <v>1436</v>
      </c>
      <c r="AU390" s="49" t="s">
        <v>1436</v>
      </c>
      <c r="AV390" s="49" t="s">
        <v>1670</v>
      </c>
      <c r="AW390" s="48" t="s">
        <v>1244</v>
      </c>
    </row>
    <row r="391" spans="1:49" x14ac:dyDescent="0.3">
      <c r="A391" s="48" t="s">
        <v>1320</v>
      </c>
      <c r="B391" s="48" t="s">
        <v>6</v>
      </c>
      <c r="C391" s="48" t="s">
        <v>1322</v>
      </c>
      <c r="D391" s="50">
        <v>45688</v>
      </c>
      <c r="E391" s="48" t="s">
        <v>36</v>
      </c>
      <c r="F391" s="48" t="s">
        <v>1438</v>
      </c>
      <c r="G391" s="48" t="s">
        <v>1444</v>
      </c>
      <c r="H391" s="49" t="s">
        <v>1446</v>
      </c>
      <c r="I391" s="48" t="s">
        <v>1407</v>
      </c>
      <c r="J391" s="48" t="s">
        <v>40</v>
      </c>
      <c r="K391" s="48" t="s">
        <v>47</v>
      </c>
      <c r="L391" s="48" t="s">
        <v>38</v>
      </c>
      <c r="M391" s="48" t="s">
        <v>37</v>
      </c>
      <c r="N391" s="48" t="s">
        <v>1436</v>
      </c>
      <c r="O391" s="48" t="s">
        <v>1436</v>
      </c>
      <c r="P391" s="48" t="s">
        <v>1436</v>
      </c>
      <c r="Q391" s="48" t="s">
        <v>38</v>
      </c>
      <c r="R391" s="48" t="s">
        <v>39</v>
      </c>
      <c r="S391" s="48" t="s">
        <v>40</v>
      </c>
      <c r="T391" s="48" t="s">
        <v>41</v>
      </c>
      <c r="U391" s="48" t="s">
        <v>1436</v>
      </c>
      <c r="V391" s="48" t="s">
        <v>1436</v>
      </c>
      <c r="W391" s="48" t="s">
        <v>1436</v>
      </c>
      <c r="X391" s="49" t="s">
        <v>193</v>
      </c>
      <c r="Y391" s="48" t="s">
        <v>1194</v>
      </c>
      <c r="Z391" s="49" t="s">
        <v>1321</v>
      </c>
      <c r="AA391" s="48" t="s">
        <v>1324</v>
      </c>
      <c r="AB391" s="48" t="s">
        <v>1325</v>
      </c>
      <c r="AC391" s="48" t="s">
        <v>1239</v>
      </c>
      <c r="AD391" s="48" t="s">
        <v>1231</v>
      </c>
      <c r="AE391" s="48" t="s">
        <v>1669</v>
      </c>
      <c r="AF391" s="48" t="s">
        <v>1436</v>
      </c>
      <c r="AG391" s="48" t="s">
        <v>1436</v>
      </c>
      <c r="AH391" s="48" t="s">
        <v>208</v>
      </c>
      <c r="AI391" s="50">
        <v>44562</v>
      </c>
      <c r="AJ391" s="50">
        <v>46387</v>
      </c>
      <c r="AK391" s="49" t="s">
        <v>1280</v>
      </c>
      <c r="AL391" s="48" t="s">
        <v>36</v>
      </c>
      <c r="AM391" s="48" t="s">
        <v>36</v>
      </c>
      <c r="AN391" s="51">
        <v>6260.7379840000003</v>
      </c>
      <c r="AO391" s="51"/>
      <c r="AP391" s="51"/>
      <c r="AQ391" s="72">
        <v>1600000</v>
      </c>
      <c r="AR391" s="72">
        <v>50000</v>
      </c>
      <c r="AS391" s="50">
        <v>46387</v>
      </c>
      <c r="AT391" s="50" t="s">
        <v>1436</v>
      </c>
      <c r="AU391" s="49" t="s">
        <v>1436</v>
      </c>
      <c r="AV391" s="49" t="s">
        <v>1670</v>
      </c>
      <c r="AW391" s="48" t="s">
        <v>1244</v>
      </c>
    </row>
    <row r="392" spans="1:49" x14ac:dyDescent="0.3">
      <c r="A392" s="48" t="s">
        <v>1320</v>
      </c>
      <c r="B392" s="48" t="s">
        <v>6</v>
      </c>
      <c r="C392" s="48" t="s">
        <v>1322</v>
      </c>
      <c r="D392" s="50">
        <v>45688</v>
      </c>
      <c r="E392" s="48" t="s">
        <v>36</v>
      </c>
      <c r="F392" s="48" t="s">
        <v>1433</v>
      </c>
      <c r="G392" s="48" t="s">
        <v>1447</v>
      </c>
      <c r="H392" s="49" t="s">
        <v>1448</v>
      </c>
      <c r="I392" s="48" t="s">
        <v>1413</v>
      </c>
      <c r="J392" s="48" t="s">
        <v>40</v>
      </c>
      <c r="K392" s="48" t="s">
        <v>58</v>
      </c>
      <c r="L392" s="48" t="s">
        <v>38</v>
      </c>
      <c r="M392" s="48" t="s">
        <v>37</v>
      </c>
      <c r="N392" s="48" t="s">
        <v>1436</v>
      </c>
      <c r="O392" s="48" t="s">
        <v>1436</v>
      </c>
      <c r="P392" s="48" t="s">
        <v>1436</v>
      </c>
      <c r="Q392" s="48" t="s">
        <v>38</v>
      </c>
      <c r="R392" s="48" t="s">
        <v>39</v>
      </c>
      <c r="S392" s="48" t="s">
        <v>40</v>
      </c>
      <c r="T392" s="48" t="s">
        <v>41</v>
      </c>
      <c r="U392" s="48" t="s">
        <v>1436</v>
      </c>
      <c r="V392" s="48" t="s">
        <v>1436</v>
      </c>
      <c r="W392" s="48" t="s">
        <v>1436</v>
      </c>
      <c r="X392" s="49" t="s">
        <v>193</v>
      </c>
      <c r="Y392" s="48" t="s">
        <v>1194</v>
      </c>
      <c r="Z392" s="49" t="s">
        <v>1321</v>
      </c>
      <c r="AA392" s="48" t="s">
        <v>1324</v>
      </c>
      <c r="AB392" s="48" t="s">
        <v>1325</v>
      </c>
      <c r="AC392" s="48" t="s">
        <v>1239</v>
      </c>
      <c r="AD392" s="48" t="s">
        <v>1231</v>
      </c>
      <c r="AE392" s="48" t="s">
        <v>1669</v>
      </c>
      <c r="AF392" s="48" t="s">
        <v>1436</v>
      </c>
      <c r="AG392" s="48" t="s">
        <v>1436</v>
      </c>
      <c r="AH392" s="48" t="s">
        <v>208</v>
      </c>
      <c r="AI392" s="50">
        <v>44562</v>
      </c>
      <c r="AJ392" s="50">
        <v>46387</v>
      </c>
      <c r="AK392" s="49" t="s">
        <v>1280</v>
      </c>
      <c r="AL392" s="48" t="s">
        <v>36</v>
      </c>
      <c r="AM392" s="48" t="s">
        <v>36</v>
      </c>
      <c r="AN392" s="51">
        <v>-50000</v>
      </c>
      <c r="AO392" s="51"/>
      <c r="AP392" s="51"/>
      <c r="AQ392" s="72">
        <v>1600000</v>
      </c>
      <c r="AR392" s="72">
        <v>50000</v>
      </c>
      <c r="AS392" s="50">
        <v>46387</v>
      </c>
      <c r="AT392" s="50" t="s">
        <v>1436</v>
      </c>
      <c r="AU392" s="49" t="s">
        <v>1436</v>
      </c>
      <c r="AV392" s="49" t="s">
        <v>1670</v>
      </c>
      <c r="AW392" s="48" t="s">
        <v>1244</v>
      </c>
    </row>
    <row r="393" spans="1:49" x14ac:dyDescent="0.3">
      <c r="A393" s="48" t="s">
        <v>1320</v>
      </c>
      <c r="B393" s="48" t="s">
        <v>6</v>
      </c>
      <c r="C393" s="48" t="s">
        <v>1322</v>
      </c>
      <c r="D393" s="50">
        <v>45688</v>
      </c>
      <c r="E393" s="48" t="s">
        <v>36</v>
      </c>
      <c r="F393" s="48" t="s">
        <v>1433</v>
      </c>
      <c r="G393" s="48" t="s">
        <v>1447</v>
      </c>
      <c r="H393" s="49" t="s">
        <v>1449</v>
      </c>
      <c r="I393" s="48" t="s">
        <v>1409</v>
      </c>
      <c r="J393" s="48" t="s">
        <v>40</v>
      </c>
      <c r="K393" s="48" t="s">
        <v>45</v>
      </c>
      <c r="L393" s="48" t="s">
        <v>38</v>
      </c>
      <c r="M393" s="48" t="s">
        <v>37</v>
      </c>
      <c r="N393" s="48" t="s">
        <v>1436</v>
      </c>
      <c r="O393" s="48" t="s">
        <v>1436</v>
      </c>
      <c r="P393" s="48" t="s">
        <v>1436</v>
      </c>
      <c r="Q393" s="48" t="s">
        <v>38</v>
      </c>
      <c r="R393" s="48" t="s">
        <v>39</v>
      </c>
      <c r="S393" s="48" t="s">
        <v>40</v>
      </c>
      <c r="T393" s="48" t="s">
        <v>41</v>
      </c>
      <c r="U393" s="48" t="s">
        <v>1436</v>
      </c>
      <c r="V393" s="48" t="s">
        <v>1436</v>
      </c>
      <c r="W393" s="48" t="s">
        <v>1436</v>
      </c>
      <c r="X393" s="49" t="s">
        <v>193</v>
      </c>
      <c r="Y393" s="48" t="s">
        <v>1194</v>
      </c>
      <c r="Z393" s="49" t="s">
        <v>1321</v>
      </c>
      <c r="AA393" s="48" t="s">
        <v>1324</v>
      </c>
      <c r="AB393" s="48" t="s">
        <v>1325</v>
      </c>
      <c r="AC393" s="48" t="s">
        <v>1239</v>
      </c>
      <c r="AD393" s="48" t="s">
        <v>1231</v>
      </c>
      <c r="AE393" s="48" t="s">
        <v>1669</v>
      </c>
      <c r="AF393" s="48" t="s">
        <v>1436</v>
      </c>
      <c r="AG393" s="48" t="s">
        <v>1436</v>
      </c>
      <c r="AH393" s="48" t="s">
        <v>208</v>
      </c>
      <c r="AI393" s="50">
        <v>44562</v>
      </c>
      <c r="AJ393" s="50">
        <v>46387</v>
      </c>
      <c r="AK393" s="49" t="s">
        <v>1280</v>
      </c>
      <c r="AL393" s="48" t="s">
        <v>36</v>
      </c>
      <c r="AM393" s="48" t="s">
        <v>36</v>
      </c>
      <c r="AN393" s="51">
        <v>46629.176038999998</v>
      </c>
      <c r="AO393" s="51"/>
      <c r="AP393" s="51"/>
      <c r="AQ393" s="72">
        <v>1600000</v>
      </c>
      <c r="AR393" s="72">
        <v>50000</v>
      </c>
      <c r="AS393" s="50">
        <v>46387</v>
      </c>
      <c r="AT393" s="50" t="s">
        <v>1436</v>
      </c>
      <c r="AU393" s="49" t="s">
        <v>1436</v>
      </c>
      <c r="AV393" s="49" t="s">
        <v>1670</v>
      </c>
      <c r="AW393" s="48" t="s">
        <v>1244</v>
      </c>
    </row>
    <row r="394" spans="1:49" x14ac:dyDescent="0.3">
      <c r="A394" s="48" t="s">
        <v>1320</v>
      </c>
      <c r="B394" s="48" t="s">
        <v>6</v>
      </c>
      <c r="C394" s="48" t="s">
        <v>1322</v>
      </c>
      <c r="D394" s="50">
        <v>45688</v>
      </c>
      <c r="E394" s="48" t="s">
        <v>36</v>
      </c>
      <c r="F394" s="48" t="s">
        <v>1433</v>
      </c>
      <c r="G394" s="48" t="s">
        <v>1447</v>
      </c>
      <c r="H394" s="49" t="s">
        <v>1450</v>
      </c>
      <c r="I394" s="48" t="s">
        <v>1408</v>
      </c>
      <c r="J394" s="48" t="s">
        <v>40</v>
      </c>
      <c r="K394" s="48" t="s">
        <v>54</v>
      </c>
      <c r="L394" s="48" t="s">
        <v>38</v>
      </c>
      <c r="M394" s="48" t="s">
        <v>37</v>
      </c>
      <c r="N394" s="48" t="s">
        <v>1436</v>
      </c>
      <c r="O394" s="48" t="s">
        <v>1436</v>
      </c>
      <c r="P394" s="48" t="s">
        <v>1436</v>
      </c>
      <c r="Q394" s="48" t="s">
        <v>38</v>
      </c>
      <c r="R394" s="48" t="s">
        <v>39</v>
      </c>
      <c r="S394" s="48" t="s">
        <v>40</v>
      </c>
      <c r="T394" s="48" t="s">
        <v>41</v>
      </c>
      <c r="U394" s="48" t="s">
        <v>1436</v>
      </c>
      <c r="V394" s="48" t="s">
        <v>1436</v>
      </c>
      <c r="W394" s="48" t="s">
        <v>1436</v>
      </c>
      <c r="X394" s="49" t="s">
        <v>193</v>
      </c>
      <c r="Y394" s="48" t="s">
        <v>1194</v>
      </c>
      <c r="Z394" s="49" t="s">
        <v>1321</v>
      </c>
      <c r="AA394" s="48" t="s">
        <v>1324</v>
      </c>
      <c r="AB394" s="48" t="s">
        <v>1325</v>
      </c>
      <c r="AC394" s="48" t="s">
        <v>1239</v>
      </c>
      <c r="AD394" s="48" t="s">
        <v>1231</v>
      </c>
      <c r="AE394" s="48" t="s">
        <v>1669</v>
      </c>
      <c r="AF394" s="48" t="s">
        <v>1436</v>
      </c>
      <c r="AG394" s="48" t="s">
        <v>1436</v>
      </c>
      <c r="AH394" s="48" t="s">
        <v>208</v>
      </c>
      <c r="AI394" s="50">
        <v>44562</v>
      </c>
      <c r="AJ394" s="50">
        <v>46387</v>
      </c>
      <c r="AK394" s="49" t="s">
        <v>1280</v>
      </c>
      <c r="AL394" s="48" t="s">
        <v>36</v>
      </c>
      <c r="AM394" s="48" t="s">
        <v>36</v>
      </c>
      <c r="AN394" s="51">
        <v>-3143.58</v>
      </c>
      <c r="AO394" s="51"/>
      <c r="AP394" s="51"/>
      <c r="AQ394" s="72">
        <v>1600000</v>
      </c>
      <c r="AR394" s="72">
        <v>50000</v>
      </c>
      <c r="AS394" s="50">
        <v>46387</v>
      </c>
      <c r="AT394" s="50" t="s">
        <v>1436</v>
      </c>
      <c r="AU394" s="49" t="s">
        <v>1436</v>
      </c>
      <c r="AV394" s="49" t="s">
        <v>1670</v>
      </c>
      <c r="AW394" s="48" t="s">
        <v>1244</v>
      </c>
    </row>
    <row r="395" spans="1:49" x14ac:dyDescent="0.3">
      <c r="A395" s="48" t="s">
        <v>1320</v>
      </c>
      <c r="B395" s="48" t="s">
        <v>6</v>
      </c>
      <c r="C395" s="48" t="s">
        <v>1322</v>
      </c>
      <c r="D395" s="50">
        <v>45688</v>
      </c>
      <c r="E395" s="48" t="s">
        <v>36</v>
      </c>
      <c r="F395" s="48" t="s">
        <v>1433</v>
      </c>
      <c r="G395" s="48" t="s">
        <v>1447</v>
      </c>
      <c r="H395" s="49" t="s">
        <v>1451</v>
      </c>
      <c r="I395" s="48" t="s">
        <v>1404</v>
      </c>
      <c r="J395" s="48" t="s">
        <v>38</v>
      </c>
      <c r="K395" s="48" t="s">
        <v>49</v>
      </c>
      <c r="L395" s="48" t="s">
        <v>38</v>
      </c>
      <c r="M395" s="48" t="s">
        <v>37</v>
      </c>
      <c r="N395" s="48" t="s">
        <v>1436</v>
      </c>
      <c r="O395" s="48" t="s">
        <v>1436</v>
      </c>
      <c r="P395" s="48" t="s">
        <v>1436</v>
      </c>
      <c r="Q395" s="48" t="s">
        <v>38</v>
      </c>
      <c r="R395" s="48" t="s">
        <v>39</v>
      </c>
      <c r="S395" s="48" t="s">
        <v>38</v>
      </c>
      <c r="T395" s="48" t="s">
        <v>41</v>
      </c>
      <c r="U395" s="48" t="s">
        <v>1436</v>
      </c>
      <c r="V395" s="48" t="s">
        <v>1436</v>
      </c>
      <c r="W395" s="48" t="s">
        <v>1436</v>
      </c>
      <c r="X395" s="49" t="s">
        <v>193</v>
      </c>
      <c r="Y395" s="48" t="s">
        <v>1194</v>
      </c>
      <c r="Z395" s="49" t="s">
        <v>1321</v>
      </c>
      <c r="AA395" s="48" t="s">
        <v>1324</v>
      </c>
      <c r="AB395" s="48" t="s">
        <v>1325</v>
      </c>
      <c r="AC395" s="48" t="s">
        <v>1239</v>
      </c>
      <c r="AD395" s="48" t="s">
        <v>1231</v>
      </c>
      <c r="AE395" s="48" t="s">
        <v>1669</v>
      </c>
      <c r="AF395" s="48" t="s">
        <v>1436</v>
      </c>
      <c r="AG395" s="48" t="s">
        <v>1436</v>
      </c>
      <c r="AH395" s="48" t="s">
        <v>208</v>
      </c>
      <c r="AI395" s="50">
        <v>44562</v>
      </c>
      <c r="AJ395" s="50">
        <v>46387</v>
      </c>
      <c r="AK395" s="49" t="s">
        <v>1280</v>
      </c>
      <c r="AL395" s="48" t="s">
        <v>36</v>
      </c>
      <c r="AM395" s="48" t="s">
        <v>36</v>
      </c>
      <c r="AN395" s="51">
        <v>253.665977</v>
      </c>
      <c r="AO395" s="51"/>
      <c r="AP395" s="51"/>
      <c r="AQ395" s="72">
        <v>1600000</v>
      </c>
      <c r="AR395" s="72">
        <v>50000</v>
      </c>
      <c r="AS395" s="50">
        <v>46387</v>
      </c>
      <c r="AT395" s="50" t="s">
        <v>1436</v>
      </c>
      <c r="AU395" s="49" t="s">
        <v>1436</v>
      </c>
      <c r="AV395" s="49" t="s">
        <v>1670</v>
      </c>
      <c r="AW395" s="48" t="s">
        <v>1244</v>
      </c>
    </row>
    <row r="396" spans="1:49" x14ac:dyDescent="0.3">
      <c r="A396" s="48" t="s">
        <v>1320</v>
      </c>
      <c r="B396" s="48" t="s">
        <v>6</v>
      </c>
      <c r="C396" s="48" t="s">
        <v>1322</v>
      </c>
      <c r="D396" s="50">
        <v>45716</v>
      </c>
      <c r="E396" s="48" t="s">
        <v>36</v>
      </c>
      <c r="F396" s="48" t="s">
        <v>1433</v>
      </c>
      <c r="G396" s="48" t="s">
        <v>1434</v>
      </c>
      <c r="H396" s="49" t="s">
        <v>1435</v>
      </c>
      <c r="I396" s="48" t="s">
        <v>1412</v>
      </c>
      <c r="J396" s="48" t="s">
        <v>40</v>
      </c>
      <c r="K396" s="48" t="s">
        <v>52</v>
      </c>
      <c r="L396" s="48" t="s">
        <v>38</v>
      </c>
      <c r="M396" s="48" t="s">
        <v>37</v>
      </c>
      <c r="N396" s="48" t="s">
        <v>1436</v>
      </c>
      <c r="O396" s="48" t="s">
        <v>1436</v>
      </c>
      <c r="P396" s="48" t="s">
        <v>1436</v>
      </c>
      <c r="Q396" s="48" t="s">
        <v>38</v>
      </c>
      <c r="R396" s="48" t="s">
        <v>39</v>
      </c>
      <c r="S396" s="48" t="s">
        <v>40</v>
      </c>
      <c r="T396" s="48" t="s">
        <v>41</v>
      </c>
      <c r="U396" s="48" t="s">
        <v>1436</v>
      </c>
      <c r="V396" s="48" t="s">
        <v>1436</v>
      </c>
      <c r="W396" s="48" t="s">
        <v>1436</v>
      </c>
      <c r="X396" s="49" t="s">
        <v>193</v>
      </c>
      <c r="Y396" s="48" t="s">
        <v>1194</v>
      </c>
      <c r="Z396" s="49" t="s">
        <v>1321</v>
      </c>
      <c r="AA396" s="48" t="s">
        <v>1324</v>
      </c>
      <c r="AB396" s="48" t="s">
        <v>1325</v>
      </c>
      <c r="AC396" s="48" t="s">
        <v>1239</v>
      </c>
      <c r="AD396" s="48" t="s">
        <v>1231</v>
      </c>
      <c r="AE396" s="48" t="s">
        <v>1669</v>
      </c>
      <c r="AF396" s="48" t="s">
        <v>1436</v>
      </c>
      <c r="AG396" s="48" t="s">
        <v>1436</v>
      </c>
      <c r="AH396" s="48" t="s">
        <v>208</v>
      </c>
      <c r="AI396" s="50">
        <v>44562</v>
      </c>
      <c r="AJ396" s="50">
        <v>46387</v>
      </c>
      <c r="AK396" s="49" t="s">
        <v>1280</v>
      </c>
      <c r="AL396" s="48" t="s">
        <v>36</v>
      </c>
      <c r="AM396" s="48" t="s">
        <v>36</v>
      </c>
      <c r="AN396" s="51">
        <v>-42330.49</v>
      </c>
      <c r="AO396" s="51"/>
      <c r="AP396" s="51"/>
      <c r="AQ396" s="72">
        <v>1600000</v>
      </c>
      <c r="AR396" s="72">
        <v>50000</v>
      </c>
      <c r="AS396" s="50">
        <v>46387</v>
      </c>
      <c r="AT396" s="50" t="s">
        <v>1436</v>
      </c>
      <c r="AU396" s="49" t="s">
        <v>1436</v>
      </c>
      <c r="AV396" s="49" t="s">
        <v>1670</v>
      </c>
      <c r="AW396" s="48" t="s">
        <v>1244</v>
      </c>
    </row>
    <row r="397" spans="1:49" x14ac:dyDescent="0.3">
      <c r="A397" s="48" t="s">
        <v>1320</v>
      </c>
      <c r="B397" s="48" t="s">
        <v>6</v>
      </c>
      <c r="C397" s="48" t="s">
        <v>1322</v>
      </c>
      <c r="D397" s="50">
        <v>45716</v>
      </c>
      <c r="E397" s="48" t="s">
        <v>36</v>
      </c>
      <c r="F397" s="48" t="s">
        <v>1433</v>
      </c>
      <c r="G397" s="48" t="s">
        <v>1434</v>
      </c>
      <c r="H397" s="49" t="s">
        <v>1437</v>
      </c>
      <c r="I397" s="48" t="s">
        <v>1410</v>
      </c>
      <c r="J397" s="48" t="s">
        <v>40</v>
      </c>
      <c r="K397" s="48" t="s">
        <v>42</v>
      </c>
      <c r="L397" s="48" t="s">
        <v>38</v>
      </c>
      <c r="M397" s="48" t="s">
        <v>37</v>
      </c>
      <c r="N397" s="48" t="s">
        <v>1436</v>
      </c>
      <c r="O397" s="48" t="s">
        <v>1436</v>
      </c>
      <c r="P397" s="48" t="s">
        <v>1436</v>
      </c>
      <c r="Q397" s="48" t="s">
        <v>38</v>
      </c>
      <c r="R397" s="48" t="s">
        <v>39</v>
      </c>
      <c r="S397" s="48" t="s">
        <v>40</v>
      </c>
      <c r="T397" s="48" t="s">
        <v>41</v>
      </c>
      <c r="U397" s="48" t="s">
        <v>1436</v>
      </c>
      <c r="V397" s="48" t="s">
        <v>1436</v>
      </c>
      <c r="W397" s="48" t="s">
        <v>1436</v>
      </c>
      <c r="X397" s="49" t="s">
        <v>193</v>
      </c>
      <c r="Y397" s="48" t="s">
        <v>1194</v>
      </c>
      <c r="Z397" s="49" t="s">
        <v>1321</v>
      </c>
      <c r="AA397" s="48" t="s">
        <v>1324</v>
      </c>
      <c r="AB397" s="48" t="s">
        <v>1325</v>
      </c>
      <c r="AC397" s="48" t="s">
        <v>1239</v>
      </c>
      <c r="AD397" s="48" t="s">
        <v>1231</v>
      </c>
      <c r="AE397" s="48" t="s">
        <v>1669</v>
      </c>
      <c r="AF397" s="48" t="s">
        <v>1436</v>
      </c>
      <c r="AG397" s="48" t="s">
        <v>1436</v>
      </c>
      <c r="AH397" s="48" t="s">
        <v>208</v>
      </c>
      <c r="AI397" s="50">
        <v>44562</v>
      </c>
      <c r="AJ397" s="50">
        <v>46387</v>
      </c>
      <c r="AK397" s="49" t="s">
        <v>1280</v>
      </c>
      <c r="AL397" s="48" t="s">
        <v>36</v>
      </c>
      <c r="AM397" s="48" t="s">
        <v>36</v>
      </c>
      <c r="AN397" s="51">
        <v>0</v>
      </c>
      <c r="AO397" s="51"/>
      <c r="AP397" s="51"/>
      <c r="AQ397" s="72">
        <v>1600000</v>
      </c>
      <c r="AR397" s="72">
        <v>50000</v>
      </c>
      <c r="AS397" s="50">
        <v>46387</v>
      </c>
      <c r="AT397" s="50" t="s">
        <v>1436</v>
      </c>
      <c r="AU397" s="49" t="s">
        <v>1436</v>
      </c>
      <c r="AV397" s="49" t="s">
        <v>1670</v>
      </c>
      <c r="AW397" s="48" t="s">
        <v>1244</v>
      </c>
    </row>
    <row r="398" spans="1:49" x14ac:dyDescent="0.3">
      <c r="A398" s="48" t="s">
        <v>1320</v>
      </c>
      <c r="B398" s="48" t="s">
        <v>6</v>
      </c>
      <c r="C398" s="48" t="s">
        <v>1322</v>
      </c>
      <c r="D398" s="50">
        <v>45716</v>
      </c>
      <c r="E398" s="48" t="s">
        <v>36</v>
      </c>
      <c r="F398" s="48" t="s">
        <v>1438</v>
      </c>
      <c r="G398" s="48" t="s">
        <v>1439</v>
      </c>
      <c r="H398" s="49" t="s">
        <v>1440</v>
      </c>
      <c r="I398" s="48" t="s">
        <v>1406</v>
      </c>
      <c r="J398" s="48" t="s">
        <v>1194</v>
      </c>
      <c r="K398" s="48" t="s">
        <v>1441</v>
      </c>
      <c r="L398" s="48" t="s">
        <v>38</v>
      </c>
      <c r="M398" s="48" t="s">
        <v>37</v>
      </c>
      <c r="N398" s="48" t="s">
        <v>1436</v>
      </c>
      <c r="O398" s="48" t="s">
        <v>1436</v>
      </c>
      <c r="P398" s="48" t="s">
        <v>1436</v>
      </c>
      <c r="Q398" s="48" t="s">
        <v>38</v>
      </c>
      <c r="R398" s="48" t="s">
        <v>39</v>
      </c>
      <c r="S398" s="48" t="s">
        <v>1194</v>
      </c>
      <c r="T398" s="48" t="s">
        <v>41</v>
      </c>
      <c r="U398" s="48" t="s">
        <v>1436</v>
      </c>
      <c r="V398" s="48" t="s">
        <v>1436</v>
      </c>
      <c r="W398" s="48" t="s">
        <v>1436</v>
      </c>
      <c r="X398" s="49" t="s">
        <v>193</v>
      </c>
      <c r="Y398" s="48" t="s">
        <v>1194</v>
      </c>
      <c r="Z398" s="49" t="s">
        <v>1321</v>
      </c>
      <c r="AA398" s="48" t="s">
        <v>1324</v>
      </c>
      <c r="AB398" s="48" t="s">
        <v>1325</v>
      </c>
      <c r="AC398" s="48" t="s">
        <v>1239</v>
      </c>
      <c r="AD398" s="48" t="s">
        <v>1231</v>
      </c>
      <c r="AE398" s="48" t="s">
        <v>1669</v>
      </c>
      <c r="AF398" s="48" t="s">
        <v>1436</v>
      </c>
      <c r="AG398" s="48" t="s">
        <v>1436</v>
      </c>
      <c r="AH398" s="48" t="s">
        <v>208</v>
      </c>
      <c r="AI398" s="50">
        <v>44562</v>
      </c>
      <c r="AJ398" s="50">
        <v>46387</v>
      </c>
      <c r="AK398" s="49" t="s">
        <v>1280</v>
      </c>
      <c r="AL398" s="48" t="s">
        <v>36</v>
      </c>
      <c r="AM398" s="48" t="s">
        <v>36</v>
      </c>
      <c r="AN398" s="51">
        <v>0</v>
      </c>
      <c r="AO398" s="51"/>
      <c r="AP398" s="51"/>
      <c r="AQ398" s="72">
        <v>1600000</v>
      </c>
      <c r="AR398" s="72">
        <v>50000</v>
      </c>
      <c r="AS398" s="50">
        <v>46387</v>
      </c>
      <c r="AT398" s="50" t="s">
        <v>1436</v>
      </c>
      <c r="AU398" s="49" t="s">
        <v>1436</v>
      </c>
      <c r="AV398" s="49" t="s">
        <v>1670</v>
      </c>
      <c r="AW398" s="48" t="s">
        <v>1244</v>
      </c>
    </row>
    <row r="399" spans="1:49" x14ac:dyDescent="0.3">
      <c r="A399" s="48" t="s">
        <v>1320</v>
      </c>
      <c r="B399" s="48" t="s">
        <v>6</v>
      </c>
      <c r="C399" s="48" t="s">
        <v>1322</v>
      </c>
      <c r="D399" s="50">
        <v>45716</v>
      </c>
      <c r="E399" s="48" t="s">
        <v>36</v>
      </c>
      <c r="F399" s="48" t="s">
        <v>1438</v>
      </c>
      <c r="G399" s="48" t="s">
        <v>1439</v>
      </c>
      <c r="H399" s="49" t="s">
        <v>1442</v>
      </c>
      <c r="I399" s="48" t="s">
        <v>1405</v>
      </c>
      <c r="J399" s="48" t="s">
        <v>1194</v>
      </c>
      <c r="K399" s="48" t="s">
        <v>1443</v>
      </c>
      <c r="L399" s="48" t="s">
        <v>38</v>
      </c>
      <c r="M399" s="48" t="s">
        <v>37</v>
      </c>
      <c r="N399" s="48" t="s">
        <v>1436</v>
      </c>
      <c r="O399" s="48" t="s">
        <v>1436</v>
      </c>
      <c r="P399" s="48" t="s">
        <v>1436</v>
      </c>
      <c r="Q399" s="48" t="s">
        <v>38</v>
      </c>
      <c r="R399" s="48" t="s">
        <v>39</v>
      </c>
      <c r="S399" s="48" t="s">
        <v>1194</v>
      </c>
      <c r="T399" s="48" t="s">
        <v>41</v>
      </c>
      <c r="U399" s="48" t="s">
        <v>1436</v>
      </c>
      <c r="V399" s="48" t="s">
        <v>1436</v>
      </c>
      <c r="W399" s="48" t="s">
        <v>1436</v>
      </c>
      <c r="X399" s="49" t="s">
        <v>193</v>
      </c>
      <c r="Y399" s="48" t="s">
        <v>1194</v>
      </c>
      <c r="Z399" s="49" t="s">
        <v>1321</v>
      </c>
      <c r="AA399" s="48" t="s">
        <v>1324</v>
      </c>
      <c r="AB399" s="48" t="s">
        <v>1325</v>
      </c>
      <c r="AC399" s="48" t="s">
        <v>1239</v>
      </c>
      <c r="AD399" s="48" t="s">
        <v>1231</v>
      </c>
      <c r="AE399" s="48" t="s">
        <v>1669</v>
      </c>
      <c r="AF399" s="48" t="s">
        <v>1436</v>
      </c>
      <c r="AG399" s="48" t="s">
        <v>1436</v>
      </c>
      <c r="AH399" s="48" t="s">
        <v>208</v>
      </c>
      <c r="AI399" s="50">
        <v>44562</v>
      </c>
      <c r="AJ399" s="50">
        <v>46387</v>
      </c>
      <c r="AK399" s="49" t="s">
        <v>1280</v>
      </c>
      <c r="AL399" s="48" t="s">
        <v>36</v>
      </c>
      <c r="AM399" s="48" t="s">
        <v>36</v>
      </c>
      <c r="AN399" s="51">
        <v>0</v>
      </c>
      <c r="AO399" s="51"/>
      <c r="AP399" s="51"/>
      <c r="AQ399" s="72">
        <v>1600000</v>
      </c>
      <c r="AR399" s="72">
        <v>50000</v>
      </c>
      <c r="AS399" s="50">
        <v>46387</v>
      </c>
      <c r="AT399" s="50" t="s">
        <v>1436</v>
      </c>
      <c r="AU399" s="49" t="s">
        <v>1436</v>
      </c>
      <c r="AV399" s="49" t="s">
        <v>1670</v>
      </c>
      <c r="AW399" s="48" t="s">
        <v>1244</v>
      </c>
    </row>
    <row r="400" spans="1:49" x14ac:dyDescent="0.3">
      <c r="A400" s="48" t="s">
        <v>1320</v>
      </c>
      <c r="B400" s="48" t="s">
        <v>6</v>
      </c>
      <c r="C400" s="48" t="s">
        <v>1322</v>
      </c>
      <c r="D400" s="50">
        <v>45716</v>
      </c>
      <c r="E400" s="48" t="s">
        <v>36</v>
      </c>
      <c r="F400" s="48" t="s">
        <v>1438</v>
      </c>
      <c r="G400" s="48" t="s">
        <v>1444</v>
      </c>
      <c r="H400" s="49" t="s">
        <v>1445</v>
      </c>
      <c r="I400" s="48" t="s">
        <v>1411</v>
      </c>
      <c r="J400" s="48" t="s">
        <v>40</v>
      </c>
      <c r="K400" s="48" t="s">
        <v>50</v>
      </c>
      <c r="L400" s="48" t="s">
        <v>38</v>
      </c>
      <c r="M400" s="48" t="s">
        <v>37</v>
      </c>
      <c r="N400" s="48" t="s">
        <v>1436</v>
      </c>
      <c r="O400" s="48" t="s">
        <v>1436</v>
      </c>
      <c r="P400" s="48" t="s">
        <v>1436</v>
      </c>
      <c r="Q400" s="48" t="s">
        <v>38</v>
      </c>
      <c r="R400" s="48" t="s">
        <v>39</v>
      </c>
      <c r="S400" s="48" t="s">
        <v>40</v>
      </c>
      <c r="T400" s="48" t="s">
        <v>41</v>
      </c>
      <c r="U400" s="48" t="s">
        <v>1436</v>
      </c>
      <c r="V400" s="48" t="s">
        <v>1436</v>
      </c>
      <c r="W400" s="48" t="s">
        <v>1436</v>
      </c>
      <c r="X400" s="49" t="s">
        <v>193</v>
      </c>
      <c r="Y400" s="48" t="s">
        <v>1194</v>
      </c>
      <c r="Z400" s="49" t="s">
        <v>1321</v>
      </c>
      <c r="AA400" s="48" t="s">
        <v>1324</v>
      </c>
      <c r="AB400" s="48" t="s">
        <v>1325</v>
      </c>
      <c r="AC400" s="48" t="s">
        <v>1239</v>
      </c>
      <c r="AD400" s="48" t="s">
        <v>1231</v>
      </c>
      <c r="AE400" s="48" t="s">
        <v>1669</v>
      </c>
      <c r="AF400" s="48" t="s">
        <v>1436</v>
      </c>
      <c r="AG400" s="48" t="s">
        <v>1436</v>
      </c>
      <c r="AH400" s="48" t="s">
        <v>208</v>
      </c>
      <c r="AI400" s="50">
        <v>44562</v>
      </c>
      <c r="AJ400" s="50">
        <v>46387</v>
      </c>
      <c r="AK400" s="49" t="s">
        <v>1280</v>
      </c>
      <c r="AL400" s="48" t="s">
        <v>36</v>
      </c>
      <c r="AM400" s="48" t="s">
        <v>36</v>
      </c>
      <c r="AN400" s="51">
        <v>42330.49</v>
      </c>
      <c r="AO400" s="51"/>
      <c r="AP400" s="51"/>
      <c r="AQ400" s="72">
        <v>1600000</v>
      </c>
      <c r="AR400" s="72">
        <v>50000</v>
      </c>
      <c r="AS400" s="50">
        <v>46387</v>
      </c>
      <c r="AT400" s="50" t="s">
        <v>1436</v>
      </c>
      <c r="AU400" s="49" t="s">
        <v>1436</v>
      </c>
      <c r="AV400" s="49" t="s">
        <v>1670</v>
      </c>
      <c r="AW400" s="48" t="s">
        <v>1244</v>
      </c>
    </row>
    <row r="401" spans="1:49" x14ac:dyDescent="0.3">
      <c r="A401" s="48" t="s">
        <v>1320</v>
      </c>
      <c r="B401" s="48" t="s">
        <v>6</v>
      </c>
      <c r="C401" s="48" t="s">
        <v>1322</v>
      </c>
      <c r="D401" s="50">
        <v>45716</v>
      </c>
      <c r="E401" s="48" t="s">
        <v>36</v>
      </c>
      <c r="F401" s="48" t="s">
        <v>1438</v>
      </c>
      <c r="G401" s="48" t="s">
        <v>1444</v>
      </c>
      <c r="H401" s="49" t="s">
        <v>1446</v>
      </c>
      <c r="I401" s="48" t="s">
        <v>1407</v>
      </c>
      <c r="J401" s="48" t="s">
        <v>40</v>
      </c>
      <c r="K401" s="48" t="s">
        <v>47</v>
      </c>
      <c r="L401" s="48" t="s">
        <v>38</v>
      </c>
      <c r="M401" s="48" t="s">
        <v>37</v>
      </c>
      <c r="N401" s="48" t="s">
        <v>1436</v>
      </c>
      <c r="O401" s="48" t="s">
        <v>1436</v>
      </c>
      <c r="P401" s="48" t="s">
        <v>1436</v>
      </c>
      <c r="Q401" s="48" t="s">
        <v>38</v>
      </c>
      <c r="R401" s="48" t="s">
        <v>39</v>
      </c>
      <c r="S401" s="48" t="s">
        <v>40</v>
      </c>
      <c r="T401" s="48" t="s">
        <v>41</v>
      </c>
      <c r="U401" s="48" t="s">
        <v>1436</v>
      </c>
      <c r="V401" s="48" t="s">
        <v>1436</v>
      </c>
      <c r="W401" s="48" t="s">
        <v>1436</v>
      </c>
      <c r="X401" s="49" t="s">
        <v>193</v>
      </c>
      <c r="Y401" s="48" t="s">
        <v>1194</v>
      </c>
      <c r="Z401" s="49" t="s">
        <v>1321</v>
      </c>
      <c r="AA401" s="48" t="s">
        <v>1324</v>
      </c>
      <c r="AB401" s="48" t="s">
        <v>1325</v>
      </c>
      <c r="AC401" s="48" t="s">
        <v>1239</v>
      </c>
      <c r="AD401" s="48" t="s">
        <v>1231</v>
      </c>
      <c r="AE401" s="48" t="s">
        <v>1669</v>
      </c>
      <c r="AF401" s="48" t="s">
        <v>1436</v>
      </c>
      <c r="AG401" s="48" t="s">
        <v>1436</v>
      </c>
      <c r="AH401" s="48" t="s">
        <v>208</v>
      </c>
      <c r="AI401" s="50">
        <v>44562</v>
      </c>
      <c r="AJ401" s="50">
        <v>46387</v>
      </c>
      <c r="AK401" s="49" t="s">
        <v>1280</v>
      </c>
      <c r="AL401" s="48" t="s">
        <v>36</v>
      </c>
      <c r="AM401" s="48" t="s">
        <v>36</v>
      </c>
      <c r="AN401" s="51">
        <v>6005.5922890000002</v>
      </c>
      <c r="AO401" s="51"/>
      <c r="AP401" s="51"/>
      <c r="AQ401" s="72">
        <v>1600000</v>
      </c>
      <c r="AR401" s="72">
        <v>50000</v>
      </c>
      <c r="AS401" s="50">
        <v>46387</v>
      </c>
      <c r="AT401" s="50" t="s">
        <v>1436</v>
      </c>
      <c r="AU401" s="49" t="s">
        <v>1436</v>
      </c>
      <c r="AV401" s="49" t="s">
        <v>1670</v>
      </c>
      <c r="AW401" s="48" t="s">
        <v>1244</v>
      </c>
    </row>
    <row r="402" spans="1:49" x14ac:dyDescent="0.3">
      <c r="A402" s="48" t="s">
        <v>1320</v>
      </c>
      <c r="B402" s="48" t="s">
        <v>6</v>
      </c>
      <c r="C402" s="48" t="s">
        <v>1322</v>
      </c>
      <c r="D402" s="50">
        <v>45716</v>
      </c>
      <c r="E402" s="48" t="s">
        <v>36</v>
      </c>
      <c r="F402" s="48" t="s">
        <v>1433</v>
      </c>
      <c r="G402" s="48" t="s">
        <v>1447</v>
      </c>
      <c r="H402" s="49" t="s">
        <v>1448</v>
      </c>
      <c r="I402" s="48" t="s">
        <v>1413</v>
      </c>
      <c r="J402" s="48" t="s">
        <v>40</v>
      </c>
      <c r="K402" s="48" t="s">
        <v>58</v>
      </c>
      <c r="L402" s="48" t="s">
        <v>38</v>
      </c>
      <c r="M402" s="48" t="s">
        <v>37</v>
      </c>
      <c r="N402" s="48" t="s">
        <v>1436</v>
      </c>
      <c r="O402" s="48" t="s">
        <v>1436</v>
      </c>
      <c r="P402" s="48" t="s">
        <v>1436</v>
      </c>
      <c r="Q402" s="48" t="s">
        <v>38</v>
      </c>
      <c r="R402" s="48" t="s">
        <v>39</v>
      </c>
      <c r="S402" s="48" t="s">
        <v>40</v>
      </c>
      <c r="T402" s="48" t="s">
        <v>41</v>
      </c>
      <c r="U402" s="48" t="s">
        <v>1436</v>
      </c>
      <c r="V402" s="48" t="s">
        <v>1436</v>
      </c>
      <c r="W402" s="48" t="s">
        <v>1436</v>
      </c>
      <c r="X402" s="49" t="s">
        <v>193</v>
      </c>
      <c r="Y402" s="48" t="s">
        <v>1194</v>
      </c>
      <c r="Z402" s="49" t="s">
        <v>1321</v>
      </c>
      <c r="AA402" s="48" t="s">
        <v>1324</v>
      </c>
      <c r="AB402" s="48" t="s">
        <v>1325</v>
      </c>
      <c r="AC402" s="48" t="s">
        <v>1239</v>
      </c>
      <c r="AD402" s="48" t="s">
        <v>1231</v>
      </c>
      <c r="AE402" s="48" t="s">
        <v>1669</v>
      </c>
      <c r="AF402" s="48" t="s">
        <v>1436</v>
      </c>
      <c r="AG402" s="48" t="s">
        <v>1436</v>
      </c>
      <c r="AH402" s="48" t="s">
        <v>208</v>
      </c>
      <c r="AI402" s="50">
        <v>44562</v>
      </c>
      <c r="AJ402" s="50">
        <v>46387</v>
      </c>
      <c r="AK402" s="49" t="s">
        <v>1280</v>
      </c>
      <c r="AL402" s="48" t="s">
        <v>36</v>
      </c>
      <c r="AM402" s="48" t="s">
        <v>36</v>
      </c>
      <c r="AN402" s="51">
        <v>-50000</v>
      </c>
      <c r="AO402" s="51"/>
      <c r="AP402" s="51"/>
      <c r="AQ402" s="72">
        <v>1600000</v>
      </c>
      <c r="AR402" s="72">
        <v>50000</v>
      </c>
      <c r="AS402" s="50">
        <v>46387</v>
      </c>
      <c r="AT402" s="50" t="s">
        <v>1436</v>
      </c>
      <c r="AU402" s="49" t="s">
        <v>1436</v>
      </c>
      <c r="AV402" s="49" t="s">
        <v>1670</v>
      </c>
      <c r="AW402" s="48" t="s">
        <v>1244</v>
      </c>
    </row>
    <row r="403" spans="1:49" x14ac:dyDescent="0.3">
      <c r="A403" s="48" t="s">
        <v>1320</v>
      </c>
      <c r="B403" s="48" t="s">
        <v>6</v>
      </c>
      <c r="C403" s="48" t="s">
        <v>1322</v>
      </c>
      <c r="D403" s="50">
        <v>45716</v>
      </c>
      <c r="E403" s="48" t="s">
        <v>36</v>
      </c>
      <c r="F403" s="48" t="s">
        <v>1433</v>
      </c>
      <c r="G403" s="48" t="s">
        <v>1447</v>
      </c>
      <c r="H403" s="49" t="s">
        <v>1449</v>
      </c>
      <c r="I403" s="48" t="s">
        <v>1409</v>
      </c>
      <c r="J403" s="48" t="s">
        <v>40</v>
      </c>
      <c r="K403" s="48" t="s">
        <v>45</v>
      </c>
      <c r="L403" s="48" t="s">
        <v>38</v>
      </c>
      <c r="M403" s="48" t="s">
        <v>37</v>
      </c>
      <c r="N403" s="48" t="s">
        <v>1436</v>
      </c>
      <c r="O403" s="48" t="s">
        <v>1436</v>
      </c>
      <c r="P403" s="48" t="s">
        <v>1436</v>
      </c>
      <c r="Q403" s="48" t="s">
        <v>38</v>
      </c>
      <c r="R403" s="48" t="s">
        <v>39</v>
      </c>
      <c r="S403" s="48" t="s">
        <v>40</v>
      </c>
      <c r="T403" s="48" t="s">
        <v>41</v>
      </c>
      <c r="U403" s="48" t="s">
        <v>1436</v>
      </c>
      <c r="V403" s="48" t="s">
        <v>1436</v>
      </c>
      <c r="W403" s="48" t="s">
        <v>1436</v>
      </c>
      <c r="X403" s="49" t="s">
        <v>193</v>
      </c>
      <c r="Y403" s="48" t="s">
        <v>1194</v>
      </c>
      <c r="Z403" s="49" t="s">
        <v>1321</v>
      </c>
      <c r="AA403" s="48" t="s">
        <v>1324</v>
      </c>
      <c r="AB403" s="48" t="s">
        <v>1325</v>
      </c>
      <c r="AC403" s="48" t="s">
        <v>1239</v>
      </c>
      <c r="AD403" s="48" t="s">
        <v>1231</v>
      </c>
      <c r="AE403" s="48" t="s">
        <v>1669</v>
      </c>
      <c r="AF403" s="48" t="s">
        <v>1436</v>
      </c>
      <c r="AG403" s="48" t="s">
        <v>1436</v>
      </c>
      <c r="AH403" s="48" t="s">
        <v>208</v>
      </c>
      <c r="AI403" s="50">
        <v>44562</v>
      </c>
      <c r="AJ403" s="50">
        <v>46387</v>
      </c>
      <c r="AK403" s="49" t="s">
        <v>1280</v>
      </c>
      <c r="AL403" s="48" t="s">
        <v>36</v>
      </c>
      <c r="AM403" s="48" t="s">
        <v>36</v>
      </c>
      <c r="AN403" s="51">
        <v>46901.172015999997</v>
      </c>
      <c r="AO403" s="51"/>
      <c r="AP403" s="51"/>
      <c r="AQ403" s="72">
        <v>1600000</v>
      </c>
      <c r="AR403" s="72">
        <v>50000</v>
      </c>
      <c r="AS403" s="50">
        <v>46387</v>
      </c>
      <c r="AT403" s="50" t="s">
        <v>1436</v>
      </c>
      <c r="AU403" s="49" t="s">
        <v>1436</v>
      </c>
      <c r="AV403" s="49" t="s">
        <v>1670</v>
      </c>
      <c r="AW403" s="48" t="s">
        <v>1244</v>
      </c>
    </row>
    <row r="404" spans="1:49" x14ac:dyDescent="0.3">
      <c r="A404" s="48" t="s">
        <v>1320</v>
      </c>
      <c r="B404" s="48" t="s">
        <v>6</v>
      </c>
      <c r="C404" s="48" t="s">
        <v>1322</v>
      </c>
      <c r="D404" s="50">
        <v>45716</v>
      </c>
      <c r="E404" s="48" t="s">
        <v>36</v>
      </c>
      <c r="F404" s="48" t="s">
        <v>1433</v>
      </c>
      <c r="G404" s="48" t="s">
        <v>1447</v>
      </c>
      <c r="H404" s="49" t="s">
        <v>1450</v>
      </c>
      <c r="I404" s="48" t="s">
        <v>1408</v>
      </c>
      <c r="J404" s="48" t="s">
        <v>40</v>
      </c>
      <c r="K404" s="48" t="s">
        <v>54</v>
      </c>
      <c r="L404" s="48" t="s">
        <v>38</v>
      </c>
      <c r="M404" s="48" t="s">
        <v>37</v>
      </c>
      <c r="N404" s="48" t="s">
        <v>1436</v>
      </c>
      <c r="O404" s="48" t="s">
        <v>1436</v>
      </c>
      <c r="P404" s="48" t="s">
        <v>1436</v>
      </c>
      <c r="Q404" s="48" t="s">
        <v>38</v>
      </c>
      <c r="R404" s="48" t="s">
        <v>39</v>
      </c>
      <c r="S404" s="48" t="s">
        <v>40</v>
      </c>
      <c r="T404" s="48" t="s">
        <v>41</v>
      </c>
      <c r="U404" s="48" t="s">
        <v>1436</v>
      </c>
      <c r="V404" s="48" t="s">
        <v>1436</v>
      </c>
      <c r="W404" s="48" t="s">
        <v>1436</v>
      </c>
      <c r="X404" s="49" t="s">
        <v>193</v>
      </c>
      <c r="Y404" s="48" t="s">
        <v>1194</v>
      </c>
      <c r="Z404" s="49" t="s">
        <v>1321</v>
      </c>
      <c r="AA404" s="48" t="s">
        <v>1324</v>
      </c>
      <c r="AB404" s="48" t="s">
        <v>1325</v>
      </c>
      <c r="AC404" s="48" t="s">
        <v>1239</v>
      </c>
      <c r="AD404" s="48" t="s">
        <v>1231</v>
      </c>
      <c r="AE404" s="48" t="s">
        <v>1669</v>
      </c>
      <c r="AF404" s="48" t="s">
        <v>1436</v>
      </c>
      <c r="AG404" s="48" t="s">
        <v>1436</v>
      </c>
      <c r="AH404" s="48" t="s">
        <v>208</v>
      </c>
      <c r="AI404" s="50">
        <v>44562</v>
      </c>
      <c r="AJ404" s="50">
        <v>46387</v>
      </c>
      <c r="AK404" s="49" t="s">
        <v>1280</v>
      </c>
      <c r="AL404" s="48" t="s">
        <v>36</v>
      </c>
      <c r="AM404" s="48" t="s">
        <v>36</v>
      </c>
      <c r="AN404" s="51">
        <v>-3161.91</v>
      </c>
      <c r="AO404" s="51"/>
      <c r="AP404" s="51"/>
      <c r="AQ404" s="72">
        <v>1600000</v>
      </c>
      <c r="AR404" s="72">
        <v>50000</v>
      </c>
      <c r="AS404" s="50">
        <v>46387</v>
      </c>
      <c r="AT404" s="50" t="s">
        <v>1436</v>
      </c>
      <c r="AU404" s="49" t="s">
        <v>1436</v>
      </c>
      <c r="AV404" s="49" t="s">
        <v>1670</v>
      </c>
      <c r="AW404" s="48" t="s">
        <v>1244</v>
      </c>
    </row>
    <row r="405" spans="1:49" x14ac:dyDescent="0.3">
      <c r="A405" s="48" t="s">
        <v>1320</v>
      </c>
      <c r="B405" s="48" t="s">
        <v>6</v>
      </c>
      <c r="C405" s="48" t="s">
        <v>1322</v>
      </c>
      <c r="D405" s="50">
        <v>45716</v>
      </c>
      <c r="E405" s="48" t="s">
        <v>36</v>
      </c>
      <c r="F405" s="48" t="s">
        <v>1433</v>
      </c>
      <c r="G405" s="48" t="s">
        <v>1447</v>
      </c>
      <c r="H405" s="49" t="s">
        <v>1451</v>
      </c>
      <c r="I405" s="48" t="s">
        <v>1404</v>
      </c>
      <c r="J405" s="48" t="s">
        <v>38</v>
      </c>
      <c r="K405" s="48" t="s">
        <v>49</v>
      </c>
      <c r="L405" s="48" t="s">
        <v>38</v>
      </c>
      <c r="M405" s="48" t="s">
        <v>37</v>
      </c>
      <c r="N405" s="48" t="s">
        <v>1436</v>
      </c>
      <c r="O405" s="48" t="s">
        <v>1436</v>
      </c>
      <c r="P405" s="48" t="s">
        <v>1436</v>
      </c>
      <c r="Q405" s="48" t="s">
        <v>38</v>
      </c>
      <c r="R405" s="48" t="s">
        <v>39</v>
      </c>
      <c r="S405" s="48" t="s">
        <v>38</v>
      </c>
      <c r="T405" s="48" t="s">
        <v>41</v>
      </c>
      <c r="U405" s="48" t="s">
        <v>1436</v>
      </c>
      <c r="V405" s="48" t="s">
        <v>1436</v>
      </c>
      <c r="W405" s="48" t="s">
        <v>1436</v>
      </c>
      <c r="X405" s="49" t="s">
        <v>193</v>
      </c>
      <c r="Y405" s="48" t="s">
        <v>1194</v>
      </c>
      <c r="Z405" s="49" t="s">
        <v>1321</v>
      </c>
      <c r="AA405" s="48" t="s">
        <v>1324</v>
      </c>
      <c r="AB405" s="48" t="s">
        <v>1325</v>
      </c>
      <c r="AC405" s="48" t="s">
        <v>1239</v>
      </c>
      <c r="AD405" s="48" t="s">
        <v>1231</v>
      </c>
      <c r="AE405" s="48" t="s">
        <v>1669</v>
      </c>
      <c r="AF405" s="48" t="s">
        <v>1436</v>
      </c>
      <c r="AG405" s="48" t="s">
        <v>1436</v>
      </c>
      <c r="AH405" s="48" t="s">
        <v>208</v>
      </c>
      <c r="AI405" s="50">
        <v>44562</v>
      </c>
      <c r="AJ405" s="50">
        <v>46387</v>
      </c>
      <c r="AK405" s="49" t="s">
        <v>1280</v>
      </c>
      <c r="AL405" s="48" t="s">
        <v>36</v>
      </c>
      <c r="AM405" s="48" t="s">
        <v>36</v>
      </c>
      <c r="AN405" s="51">
        <v>255.14569499999999</v>
      </c>
      <c r="AO405" s="51"/>
      <c r="AP405" s="51"/>
      <c r="AQ405" s="72">
        <v>1600000</v>
      </c>
      <c r="AR405" s="72">
        <v>50000</v>
      </c>
      <c r="AS405" s="50">
        <v>46387</v>
      </c>
      <c r="AT405" s="50" t="s">
        <v>1436</v>
      </c>
      <c r="AU405" s="49" t="s">
        <v>1436</v>
      </c>
      <c r="AV405" s="49" t="s">
        <v>1670</v>
      </c>
      <c r="AW405" s="48" t="s">
        <v>1244</v>
      </c>
    </row>
    <row r="406" spans="1:49" x14ac:dyDescent="0.3">
      <c r="A406" s="48" t="s">
        <v>1320</v>
      </c>
      <c r="B406" s="48" t="s">
        <v>6</v>
      </c>
      <c r="C406" s="48" t="s">
        <v>1322</v>
      </c>
      <c r="D406" s="50">
        <v>45747</v>
      </c>
      <c r="E406" s="48" t="s">
        <v>36</v>
      </c>
      <c r="F406" s="48" t="s">
        <v>1433</v>
      </c>
      <c r="G406" s="48" t="s">
        <v>1434</v>
      </c>
      <c r="H406" s="49" t="s">
        <v>1435</v>
      </c>
      <c r="I406" s="48" t="s">
        <v>1412</v>
      </c>
      <c r="J406" s="48" t="s">
        <v>40</v>
      </c>
      <c r="K406" s="48" t="s">
        <v>52</v>
      </c>
      <c r="L406" s="48" t="s">
        <v>38</v>
      </c>
      <c r="M406" s="48" t="s">
        <v>37</v>
      </c>
      <c r="N406" s="48" t="s">
        <v>1436</v>
      </c>
      <c r="O406" s="48" t="s">
        <v>1436</v>
      </c>
      <c r="P406" s="48" t="s">
        <v>1436</v>
      </c>
      <c r="Q406" s="48" t="s">
        <v>38</v>
      </c>
      <c r="R406" s="48" t="s">
        <v>39</v>
      </c>
      <c r="S406" s="48" t="s">
        <v>40</v>
      </c>
      <c r="T406" s="48" t="s">
        <v>41</v>
      </c>
      <c r="U406" s="48" t="s">
        <v>1436</v>
      </c>
      <c r="V406" s="48" t="s">
        <v>1436</v>
      </c>
      <c r="W406" s="48" t="s">
        <v>1436</v>
      </c>
      <c r="X406" s="49" t="s">
        <v>193</v>
      </c>
      <c r="Y406" s="48" t="s">
        <v>1194</v>
      </c>
      <c r="Z406" s="49" t="s">
        <v>1321</v>
      </c>
      <c r="AA406" s="48" t="s">
        <v>1324</v>
      </c>
      <c r="AB406" s="48" t="s">
        <v>1325</v>
      </c>
      <c r="AC406" s="48" t="s">
        <v>1239</v>
      </c>
      <c r="AD406" s="48" t="s">
        <v>1231</v>
      </c>
      <c r="AE406" s="48" t="s">
        <v>1669</v>
      </c>
      <c r="AF406" s="48" t="s">
        <v>1436</v>
      </c>
      <c r="AG406" s="48" t="s">
        <v>1436</v>
      </c>
      <c r="AH406" s="48" t="s">
        <v>208</v>
      </c>
      <c r="AI406" s="50">
        <v>44562</v>
      </c>
      <c r="AJ406" s="50">
        <v>46387</v>
      </c>
      <c r="AK406" s="49" t="s">
        <v>1280</v>
      </c>
      <c r="AL406" s="48" t="s">
        <v>36</v>
      </c>
      <c r="AM406" s="48" t="s">
        <v>36</v>
      </c>
      <c r="AN406" s="51">
        <v>-42330.5</v>
      </c>
      <c r="AO406" s="51"/>
      <c r="AP406" s="51"/>
      <c r="AQ406" s="72">
        <v>1600000</v>
      </c>
      <c r="AR406" s="72">
        <v>50000</v>
      </c>
      <c r="AS406" s="50">
        <v>46387</v>
      </c>
      <c r="AT406" s="50" t="s">
        <v>1436</v>
      </c>
      <c r="AU406" s="49" t="s">
        <v>1436</v>
      </c>
      <c r="AV406" s="49" t="s">
        <v>1670</v>
      </c>
      <c r="AW406" s="48" t="s">
        <v>1244</v>
      </c>
    </row>
    <row r="407" spans="1:49" x14ac:dyDescent="0.3">
      <c r="A407" s="48" t="s">
        <v>1320</v>
      </c>
      <c r="B407" s="48" t="s">
        <v>6</v>
      </c>
      <c r="C407" s="48" t="s">
        <v>1322</v>
      </c>
      <c r="D407" s="50">
        <v>45747</v>
      </c>
      <c r="E407" s="48" t="s">
        <v>36</v>
      </c>
      <c r="F407" s="48" t="s">
        <v>1433</v>
      </c>
      <c r="G407" s="48" t="s">
        <v>1434</v>
      </c>
      <c r="H407" s="49" t="s">
        <v>1437</v>
      </c>
      <c r="I407" s="48" t="s">
        <v>1410</v>
      </c>
      <c r="J407" s="48" t="s">
        <v>40</v>
      </c>
      <c r="K407" s="48" t="s">
        <v>42</v>
      </c>
      <c r="L407" s="48" t="s">
        <v>38</v>
      </c>
      <c r="M407" s="48" t="s">
        <v>37</v>
      </c>
      <c r="N407" s="48" t="s">
        <v>1436</v>
      </c>
      <c r="O407" s="48" t="s">
        <v>1436</v>
      </c>
      <c r="P407" s="48" t="s">
        <v>1436</v>
      </c>
      <c r="Q407" s="48" t="s">
        <v>38</v>
      </c>
      <c r="R407" s="48" t="s">
        <v>39</v>
      </c>
      <c r="S407" s="48" t="s">
        <v>40</v>
      </c>
      <c r="T407" s="48" t="s">
        <v>41</v>
      </c>
      <c r="U407" s="48" t="s">
        <v>1436</v>
      </c>
      <c r="V407" s="48" t="s">
        <v>1436</v>
      </c>
      <c r="W407" s="48" t="s">
        <v>1436</v>
      </c>
      <c r="X407" s="49" t="s">
        <v>193</v>
      </c>
      <c r="Y407" s="48" t="s">
        <v>1194</v>
      </c>
      <c r="Z407" s="49" t="s">
        <v>1321</v>
      </c>
      <c r="AA407" s="48" t="s">
        <v>1324</v>
      </c>
      <c r="AB407" s="48" t="s">
        <v>1325</v>
      </c>
      <c r="AC407" s="48" t="s">
        <v>1239</v>
      </c>
      <c r="AD407" s="48" t="s">
        <v>1231</v>
      </c>
      <c r="AE407" s="48" t="s">
        <v>1669</v>
      </c>
      <c r="AF407" s="48" t="s">
        <v>1436</v>
      </c>
      <c r="AG407" s="48" t="s">
        <v>1436</v>
      </c>
      <c r="AH407" s="48" t="s">
        <v>208</v>
      </c>
      <c r="AI407" s="50">
        <v>44562</v>
      </c>
      <c r="AJ407" s="50">
        <v>46387</v>
      </c>
      <c r="AK407" s="49" t="s">
        <v>1280</v>
      </c>
      <c r="AL407" s="48" t="s">
        <v>36</v>
      </c>
      <c r="AM407" s="48" t="s">
        <v>36</v>
      </c>
      <c r="AN407" s="51">
        <v>0</v>
      </c>
      <c r="AO407" s="51"/>
      <c r="AP407" s="51"/>
      <c r="AQ407" s="72">
        <v>1600000</v>
      </c>
      <c r="AR407" s="72">
        <v>50000</v>
      </c>
      <c r="AS407" s="50">
        <v>46387</v>
      </c>
      <c r="AT407" s="50" t="s">
        <v>1436</v>
      </c>
      <c r="AU407" s="49" t="s">
        <v>1436</v>
      </c>
      <c r="AV407" s="49" t="s">
        <v>1670</v>
      </c>
      <c r="AW407" s="48" t="s">
        <v>1244</v>
      </c>
    </row>
    <row r="408" spans="1:49" x14ac:dyDescent="0.3">
      <c r="A408" s="48" t="s">
        <v>1320</v>
      </c>
      <c r="B408" s="48" t="s">
        <v>6</v>
      </c>
      <c r="C408" s="48" t="s">
        <v>1322</v>
      </c>
      <c r="D408" s="50">
        <v>45747</v>
      </c>
      <c r="E408" s="48" t="s">
        <v>36</v>
      </c>
      <c r="F408" s="48" t="s">
        <v>1438</v>
      </c>
      <c r="G408" s="48" t="s">
        <v>1439</v>
      </c>
      <c r="H408" s="49" t="s">
        <v>1440</v>
      </c>
      <c r="I408" s="48" t="s">
        <v>1406</v>
      </c>
      <c r="J408" s="48" t="s">
        <v>1194</v>
      </c>
      <c r="K408" s="48" t="s">
        <v>1441</v>
      </c>
      <c r="L408" s="48" t="s">
        <v>38</v>
      </c>
      <c r="M408" s="48" t="s">
        <v>37</v>
      </c>
      <c r="N408" s="48" t="s">
        <v>1436</v>
      </c>
      <c r="O408" s="48" t="s">
        <v>1436</v>
      </c>
      <c r="P408" s="48" t="s">
        <v>1436</v>
      </c>
      <c r="Q408" s="48" t="s">
        <v>38</v>
      </c>
      <c r="R408" s="48" t="s">
        <v>39</v>
      </c>
      <c r="S408" s="48" t="s">
        <v>1194</v>
      </c>
      <c r="T408" s="48" t="s">
        <v>41</v>
      </c>
      <c r="U408" s="48" t="s">
        <v>1436</v>
      </c>
      <c r="V408" s="48" t="s">
        <v>1436</v>
      </c>
      <c r="W408" s="48" t="s">
        <v>1436</v>
      </c>
      <c r="X408" s="49" t="s">
        <v>193</v>
      </c>
      <c r="Y408" s="48" t="s">
        <v>1194</v>
      </c>
      <c r="Z408" s="49" t="s">
        <v>1321</v>
      </c>
      <c r="AA408" s="48" t="s">
        <v>1324</v>
      </c>
      <c r="AB408" s="48" t="s">
        <v>1325</v>
      </c>
      <c r="AC408" s="48" t="s">
        <v>1239</v>
      </c>
      <c r="AD408" s="48" t="s">
        <v>1231</v>
      </c>
      <c r="AE408" s="48" t="s">
        <v>1669</v>
      </c>
      <c r="AF408" s="48" t="s">
        <v>1436</v>
      </c>
      <c r="AG408" s="48" t="s">
        <v>1436</v>
      </c>
      <c r="AH408" s="48" t="s">
        <v>208</v>
      </c>
      <c r="AI408" s="50">
        <v>44562</v>
      </c>
      <c r="AJ408" s="50">
        <v>46387</v>
      </c>
      <c r="AK408" s="49" t="s">
        <v>1280</v>
      </c>
      <c r="AL408" s="48" t="s">
        <v>36</v>
      </c>
      <c r="AM408" s="48" t="s">
        <v>36</v>
      </c>
      <c r="AN408" s="51">
        <v>0</v>
      </c>
      <c r="AO408" s="51"/>
      <c r="AP408" s="51"/>
      <c r="AQ408" s="72">
        <v>1600000</v>
      </c>
      <c r="AR408" s="72">
        <v>50000</v>
      </c>
      <c r="AS408" s="50">
        <v>46387</v>
      </c>
      <c r="AT408" s="50" t="s">
        <v>1436</v>
      </c>
      <c r="AU408" s="49" t="s">
        <v>1436</v>
      </c>
      <c r="AV408" s="49" t="s">
        <v>1670</v>
      </c>
      <c r="AW408" s="48" t="s">
        <v>1244</v>
      </c>
    </row>
    <row r="409" spans="1:49" x14ac:dyDescent="0.3">
      <c r="A409" s="48" t="s">
        <v>1320</v>
      </c>
      <c r="B409" s="48" t="s">
        <v>6</v>
      </c>
      <c r="C409" s="48" t="s">
        <v>1322</v>
      </c>
      <c r="D409" s="50">
        <v>45747</v>
      </c>
      <c r="E409" s="48" t="s">
        <v>36</v>
      </c>
      <c r="F409" s="48" t="s">
        <v>1438</v>
      </c>
      <c r="G409" s="48" t="s">
        <v>1439</v>
      </c>
      <c r="H409" s="49" t="s">
        <v>1442</v>
      </c>
      <c r="I409" s="48" t="s">
        <v>1405</v>
      </c>
      <c r="J409" s="48" t="s">
        <v>1194</v>
      </c>
      <c r="K409" s="48" t="s">
        <v>1443</v>
      </c>
      <c r="L409" s="48" t="s">
        <v>38</v>
      </c>
      <c r="M409" s="48" t="s">
        <v>37</v>
      </c>
      <c r="N409" s="48" t="s">
        <v>1436</v>
      </c>
      <c r="O409" s="48" t="s">
        <v>1436</v>
      </c>
      <c r="P409" s="48" t="s">
        <v>1436</v>
      </c>
      <c r="Q409" s="48" t="s">
        <v>38</v>
      </c>
      <c r="R409" s="48" t="s">
        <v>39</v>
      </c>
      <c r="S409" s="48" t="s">
        <v>1194</v>
      </c>
      <c r="T409" s="48" t="s">
        <v>41</v>
      </c>
      <c r="U409" s="48" t="s">
        <v>1436</v>
      </c>
      <c r="V409" s="48" t="s">
        <v>1436</v>
      </c>
      <c r="W409" s="48" t="s">
        <v>1436</v>
      </c>
      <c r="X409" s="49" t="s">
        <v>193</v>
      </c>
      <c r="Y409" s="48" t="s">
        <v>1194</v>
      </c>
      <c r="Z409" s="49" t="s">
        <v>1321</v>
      </c>
      <c r="AA409" s="48" t="s">
        <v>1324</v>
      </c>
      <c r="AB409" s="48" t="s">
        <v>1325</v>
      </c>
      <c r="AC409" s="48" t="s">
        <v>1239</v>
      </c>
      <c r="AD409" s="48" t="s">
        <v>1231</v>
      </c>
      <c r="AE409" s="48" t="s">
        <v>1669</v>
      </c>
      <c r="AF409" s="48" t="s">
        <v>1436</v>
      </c>
      <c r="AG409" s="48" t="s">
        <v>1436</v>
      </c>
      <c r="AH409" s="48" t="s">
        <v>208</v>
      </c>
      <c r="AI409" s="50">
        <v>44562</v>
      </c>
      <c r="AJ409" s="50">
        <v>46387</v>
      </c>
      <c r="AK409" s="49" t="s">
        <v>1280</v>
      </c>
      <c r="AL409" s="48" t="s">
        <v>36</v>
      </c>
      <c r="AM409" s="48" t="s">
        <v>36</v>
      </c>
      <c r="AN409" s="51">
        <v>0</v>
      </c>
      <c r="AO409" s="51"/>
      <c r="AP409" s="51"/>
      <c r="AQ409" s="72">
        <v>1600000</v>
      </c>
      <c r="AR409" s="72">
        <v>50000</v>
      </c>
      <c r="AS409" s="50">
        <v>46387</v>
      </c>
      <c r="AT409" s="50" t="s">
        <v>1436</v>
      </c>
      <c r="AU409" s="49" t="s">
        <v>1436</v>
      </c>
      <c r="AV409" s="49" t="s">
        <v>1670</v>
      </c>
      <c r="AW409" s="48" t="s">
        <v>1244</v>
      </c>
    </row>
    <row r="410" spans="1:49" x14ac:dyDescent="0.3">
      <c r="A410" s="48" t="s">
        <v>1320</v>
      </c>
      <c r="B410" s="48" t="s">
        <v>6</v>
      </c>
      <c r="C410" s="48" t="s">
        <v>1322</v>
      </c>
      <c r="D410" s="50">
        <v>45747</v>
      </c>
      <c r="E410" s="48" t="s">
        <v>36</v>
      </c>
      <c r="F410" s="48" t="s">
        <v>1438</v>
      </c>
      <c r="G410" s="48" t="s">
        <v>1444</v>
      </c>
      <c r="H410" s="49" t="s">
        <v>1445</v>
      </c>
      <c r="I410" s="48" t="s">
        <v>1411</v>
      </c>
      <c r="J410" s="48" t="s">
        <v>40</v>
      </c>
      <c r="K410" s="48" t="s">
        <v>50</v>
      </c>
      <c r="L410" s="48" t="s">
        <v>38</v>
      </c>
      <c r="M410" s="48" t="s">
        <v>37</v>
      </c>
      <c r="N410" s="48" t="s">
        <v>1436</v>
      </c>
      <c r="O410" s="48" t="s">
        <v>1436</v>
      </c>
      <c r="P410" s="48" t="s">
        <v>1436</v>
      </c>
      <c r="Q410" s="48" t="s">
        <v>38</v>
      </c>
      <c r="R410" s="48" t="s">
        <v>39</v>
      </c>
      <c r="S410" s="48" t="s">
        <v>40</v>
      </c>
      <c r="T410" s="48" t="s">
        <v>41</v>
      </c>
      <c r="U410" s="48" t="s">
        <v>1436</v>
      </c>
      <c r="V410" s="48" t="s">
        <v>1436</v>
      </c>
      <c r="W410" s="48" t="s">
        <v>1436</v>
      </c>
      <c r="X410" s="49" t="s">
        <v>193</v>
      </c>
      <c r="Y410" s="48" t="s">
        <v>1194</v>
      </c>
      <c r="Z410" s="49" t="s">
        <v>1321</v>
      </c>
      <c r="AA410" s="48" t="s">
        <v>1324</v>
      </c>
      <c r="AB410" s="48" t="s">
        <v>1325</v>
      </c>
      <c r="AC410" s="48" t="s">
        <v>1239</v>
      </c>
      <c r="AD410" s="48" t="s">
        <v>1231</v>
      </c>
      <c r="AE410" s="48" t="s">
        <v>1669</v>
      </c>
      <c r="AF410" s="48" t="s">
        <v>1436</v>
      </c>
      <c r="AG410" s="48" t="s">
        <v>1436</v>
      </c>
      <c r="AH410" s="48" t="s">
        <v>208</v>
      </c>
      <c r="AI410" s="50">
        <v>44562</v>
      </c>
      <c r="AJ410" s="50">
        <v>46387</v>
      </c>
      <c r="AK410" s="49" t="s">
        <v>1280</v>
      </c>
      <c r="AL410" s="48" t="s">
        <v>36</v>
      </c>
      <c r="AM410" s="48" t="s">
        <v>36</v>
      </c>
      <c r="AN410" s="51">
        <v>42330.5</v>
      </c>
      <c r="AO410" s="51"/>
      <c r="AP410" s="51"/>
      <c r="AQ410" s="72">
        <v>1600000</v>
      </c>
      <c r="AR410" s="72">
        <v>50000</v>
      </c>
      <c r="AS410" s="50">
        <v>46387</v>
      </c>
      <c r="AT410" s="50" t="s">
        <v>1436</v>
      </c>
      <c r="AU410" s="49" t="s">
        <v>1436</v>
      </c>
      <c r="AV410" s="49" t="s">
        <v>1670</v>
      </c>
      <c r="AW410" s="48" t="s">
        <v>1244</v>
      </c>
    </row>
    <row r="411" spans="1:49" x14ac:dyDescent="0.3">
      <c r="A411" s="48" t="s">
        <v>1320</v>
      </c>
      <c r="B411" s="48" t="s">
        <v>6</v>
      </c>
      <c r="C411" s="48" t="s">
        <v>1322</v>
      </c>
      <c r="D411" s="50">
        <v>45747</v>
      </c>
      <c r="E411" s="48" t="s">
        <v>36</v>
      </c>
      <c r="F411" s="48" t="s">
        <v>1438</v>
      </c>
      <c r="G411" s="48" t="s">
        <v>1444</v>
      </c>
      <c r="H411" s="49" t="s">
        <v>1446</v>
      </c>
      <c r="I411" s="48" t="s">
        <v>1407</v>
      </c>
      <c r="J411" s="48" t="s">
        <v>40</v>
      </c>
      <c r="K411" s="48" t="s">
        <v>47</v>
      </c>
      <c r="L411" s="48" t="s">
        <v>38</v>
      </c>
      <c r="M411" s="48" t="s">
        <v>37</v>
      </c>
      <c r="N411" s="48" t="s">
        <v>1436</v>
      </c>
      <c r="O411" s="48" t="s">
        <v>1436</v>
      </c>
      <c r="P411" s="48" t="s">
        <v>1436</v>
      </c>
      <c r="Q411" s="48" t="s">
        <v>38</v>
      </c>
      <c r="R411" s="48" t="s">
        <v>39</v>
      </c>
      <c r="S411" s="48" t="s">
        <v>40</v>
      </c>
      <c r="T411" s="48" t="s">
        <v>41</v>
      </c>
      <c r="U411" s="48" t="s">
        <v>1436</v>
      </c>
      <c r="V411" s="48" t="s">
        <v>1436</v>
      </c>
      <c r="W411" s="48" t="s">
        <v>1436</v>
      </c>
      <c r="X411" s="49" t="s">
        <v>193</v>
      </c>
      <c r="Y411" s="48" t="s">
        <v>1194</v>
      </c>
      <c r="Z411" s="49" t="s">
        <v>1321</v>
      </c>
      <c r="AA411" s="48" t="s">
        <v>1324</v>
      </c>
      <c r="AB411" s="48" t="s">
        <v>1325</v>
      </c>
      <c r="AC411" s="48" t="s">
        <v>1239</v>
      </c>
      <c r="AD411" s="48" t="s">
        <v>1231</v>
      </c>
      <c r="AE411" s="48" t="s">
        <v>1669</v>
      </c>
      <c r="AF411" s="48" t="s">
        <v>1436</v>
      </c>
      <c r="AG411" s="48" t="s">
        <v>1436</v>
      </c>
      <c r="AH411" s="48" t="s">
        <v>208</v>
      </c>
      <c r="AI411" s="50">
        <v>44562</v>
      </c>
      <c r="AJ411" s="50">
        <v>46387</v>
      </c>
      <c r="AK411" s="49" t="s">
        <v>1280</v>
      </c>
      <c r="AL411" s="48" t="s">
        <v>36</v>
      </c>
      <c r="AM411" s="48" t="s">
        <v>36</v>
      </c>
      <c r="AN411" s="51">
        <v>5748.9582440000004</v>
      </c>
      <c r="AO411" s="51"/>
      <c r="AP411" s="51"/>
      <c r="AQ411" s="72">
        <v>1600000</v>
      </c>
      <c r="AR411" s="72">
        <v>50000</v>
      </c>
      <c r="AS411" s="50">
        <v>46387</v>
      </c>
      <c r="AT411" s="50" t="s">
        <v>1436</v>
      </c>
      <c r="AU411" s="49" t="s">
        <v>1436</v>
      </c>
      <c r="AV411" s="49" t="s">
        <v>1670</v>
      </c>
      <c r="AW411" s="48" t="s">
        <v>1244</v>
      </c>
    </row>
    <row r="412" spans="1:49" x14ac:dyDescent="0.3">
      <c r="A412" s="48" t="s">
        <v>1320</v>
      </c>
      <c r="B412" s="48" t="s">
        <v>6</v>
      </c>
      <c r="C412" s="48" t="s">
        <v>1322</v>
      </c>
      <c r="D412" s="50">
        <v>45747</v>
      </c>
      <c r="E412" s="48" t="s">
        <v>36</v>
      </c>
      <c r="F412" s="48" t="s">
        <v>1433</v>
      </c>
      <c r="G412" s="48" t="s">
        <v>1447</v>
      </c>
      <c r="H412" s="49" t="s">
        <v>1448</v>
      </c>
      <c r="I412" s="48" t="s">
        <v>1413</v>
      </c>
      <c r="J412" s="48" t="s">
        <v>40</v>
      </c>
      <c r="K412" s="48" t="s">
        <v>58</v>
      </c>
      <c r="L412" s="48" t="s">
        <v>38</v>
      </c>
      <c r="M412" s="48" t="s">
        <v>37</v>
      </c>
      <c r="N412" s="48" t="s">
        <v>1436</v>
      </c>
      <c r="O412" s="48" t="s">
        <v>1436</v>
      </c>
      <c r="P412" s="48" t="s">
        <v>1436</v>
      </c>
      <c r="Q412" s="48" t="s">
        <v>38</v>
      </c>
      <c r="R412" s="48" t="s">
        <v>39</v>
      </c>
      <c r="S412" s="48" t="s">
        <v>40</v>
      </c>
      <c r="T412" s="48" t="s">
        <v>41</v>
      </c>
      <c r="U412" s="48" t="s">
        <v>1436</v>
      </c>
      <c r="V412" s="48" t="s">
        <v>1436</v>
      </c>
      <c r="W412" s="48" t="s">
        <v>1436</v>
      </c>
      <c r="X412" s="49" t="s">
        <v>193</v>
      </c>
      <c r="Y412" s="48" t="s">
        <v>1194</v>
      </c>
      <c r="Z412" s="49" t="s">
        <v>1321</v>
      </c>
      <c r="AA412" s="48" t="s">
        <v>1324</v>
      </c>
      <c r="AB412" s="48" t="s">
        <v>1325</v>
      </c>
      <c r="AC412" s="48" t="s">
        <v>1239</v>
      </c>
      <c r="AD412" s="48" t="s">
        <v>1231</v>
      </c>
      <c r="AE412" s="48" t="s">
        <v>1669</v>
      </c>
      <c r="AF412" s="48" t="s">
        <v>1436</v>
      </c>
      <c r="AG412" s="48" t="s">
        <v>1436</v>
      </c>
      <c r="AH412" s="48" t="s">
        <v>208</v>
      </c>
      <c r="AI412" s="50">
        <v>44562</v>
      </c>
      <c r="AJ412" s="50">
        <v>46387</v>
      </c>
      <c r="AK412" s="49" t="s">
        <v>1280</v>
      </c>
      <c r="AL412" s="48" t="s">
        <v>36</v>
      </c>
      <c r="AM412" s="48" t="s">
        <v>36</v>
      </c>
      <c r="AN412" s="51">
        <v>-50000</v>
      </c>
      <c r="AO412" s="51"/>
      <c r="AP412" s="51"/>
      <c r="AQ412" s="72">
        <v>1600000</v>
      </c>
      <c r="AR412" s="72">
        <v>50000</v>
      </c>
      <c r="AS412" s="50">
        <v>46387</v>
      </c>
      <c r="AT412" s="50" t="s">
        <v>1436</v>
      </c>
      <c r="AU412" s="49" t="s">
        <v>1436</v>
      </c>
      <c r="AV412" s="49" t="s">
        <v>1670</v>
      </c>
      <c r="AW412" s="48" t="s">
        <v>1244</v>
      </c>
    </row>
    <row r="413" spans="1:49" x14ac:dyDescent="0.3">
      <c r="A413" s="48" t="s">
        <v>1320</v>
      </c>
      <c r="B413" s="48" t="s">
        <v>6</v>
      </c>
      <c r="C413" s="48" t="s">
        <v>1322</v>
      </c>
      <c r="D413" s="50">
        <v>45747</v>
      </c>
      <c r="E413" s="48" t="s">
        <v>36</v>
      </c>
      <c r="F413" s="48" t="s">
        <v>1433</v>
      </c>
      <c r="G413" s="48" t="s">
        <v>1447</v>
      </c>
      <c r="H413" s="49" t="s">
        <v>1449</v>
      </c>
      <c r="I413" s="48" t="s">
        <v>1409</v>
      </c>
      <c r="J413" s="48" t="s">
        <v>40</v>
      </c>
      <c r="K413" s="48" t="s">
        <v>45</v>
      </c>
      <c r="L413" s="48" t="s">
        <v>38</v>
      </c>
      <c r="M413" s="48" t="s">
        <v>37</v>
      </c>
      <c r="N413" s="48" t="s">
        <v>1436</v>
      </c>
      <c r="O413" s="48" t="s">
        <v>1436</v>
      </c>
      <c r="P413" s="48" t="s">
        <v>1436</v>
      </c>
      <c r="Q413" s="48" t="s">
        <v>38</v>
      </c>
      <c r="R413" s="48" t="s">
        <v>39</v>
      </c>
      <c r="S413" s="48" t="s">
        <v>40</v>
      </c>
      <c r="T413" s="48" t="s">
        <v>41</v>
      </c>
      <c r="U413" s="48" t="s">
        <v>1436</v>
      </c>
      <c r="V413" s="48" t="s">
        <v>1436</v>
      </c>
      <c r="W413" s="48" t="s">
        <v>1436</v>
      </c>
      <c r="X413" s="49" t="s">
        <v>193</v>
      </c>
      <c r="Y413" s="48" t="s">
        <v>1194</v>
      </c>
      <c r="Z413" s="49" t="s">
        <v>1321</v>
      </c>
      <c r="AA413" s="48" t="s">
        <v>1324</v>
      </c>
      <c r="AB413" s="48" t="s">
        <v>1325</v>
      </c>
      <c r="AC413" s="48" t="s">
        <v>1239</v>
      </c>
      <c r="AD413" s="48" t="s">
        <v>1231</v>
      </c>
      <c r="AE413" s="48" t="s">
        <v>1669</v>
      </c>
      <c r="AF413" s="48" t="s">
        <v>1436</v>
      </c>
      <c r="AG413" s="48" t="s">
        <v>1436</v>
      </c>
      <c r="AH413" s="48" t="s">
        <v>208</v>
      </c>
      <c r="AI413" s="50">
        <v>44562</v>
      </c>
      <c r="AJ413" s="50">
        <v>46387</v>
      </c>
      <c r="AK413" s="49" t="s">
        <v>1280</v>
      </c>
      <c r="AL413" s="48" t="s">
        <v>36</v>
      </c>
      <c r="AM413" s="48" t="s">
        <v>36</v>
      </c>
      <c r="AN413" s="51">
        <v>47174.767711</v>
      </c>
      <c r="AO413" s="51"/>
      <c r="AP413" s="51"/>
      <c r="AQ413" s="72">
        <v>1600000</v>
      </c>
      <c r="AR413" s="72">
        <v>50000</v>
      </c>
      <c r="AS413" s="50">
        <v>46387</v>
      </c>
      <c r="AT413" s="50" t="s">
        <v>1436</v>
      </c>
      <c r="AU413" s="49" t="s">
        <v>1436</v>
      </c>
      <c r="AV413" s="49" t="s">
        <v>1670</v>
      </c>
      <c r="AW413" s="48" t="s">
        <v>1244</v>
      </c>
    </row>
    <row r="414" spans="1:49" x14ac:dyDescent="0.3">
      <c r="A414" s="48" t="s">
        <v>1320</v>
      </c>
      <c r="B414" s="48" t="s">
        <v>6</v>
      </c>
      <c r="C414" s="48" t="s">
        <v>1322</v>
      </c>
      <c r="D414" s="50">
        <v>45747</v>
      </c>
      <c r="E414" s="48" t="s">
        <v>36</v>
      </c>
      <c r="F414" s="48" t="s">
        <v>1433</v>
      </c>
      <c r="G414" s="48" t="s">
        <v>1447</v>
      </c>
      <c r="H414" s="49" t="s">
        <v>1450</v>
      </c>
      <c r="I414" s="48" t="s">
        <v>1408</v>
      </c>
      <c r="J414" s="48" t="s">
        <v>40</v>
      </c>
      <c r="K414" s="48" t="s">
        <v>54</v>
      </c>
      <c r="L414" s="48" t="s">
        <v>38</v>
      </c>
      <c r="M414" s="48" t="s">
        <v>37</v>
      </c>
      <c r="N414" s="48" t="s">
        <v>1436</v>
      </c>
      <c r="O414" s="48" t="s">
        <v>1436</v>
      </c>
      <c r="P414" s="48" t="s">
        <v>1436</v>
      </c>
      <c r="Q414" s="48" t="s">
        <v>38</v>
      </c>
      <c r="R414" s="48" t="s">
        <v>39</v>
      </c>
      <c r="S414" s="48" t="s">
        <v>40</v>
      </c>
      <c r="T414" s="48" t="s">
        <v>41</v>
      </c>
      <c r="U414" s="48" t="s">
        <v>1436</v>
      </c>
      <c r="V414" s="48" t="s">
        <v>1436</v>
      </c>
      <c r="W414" s="48" t="s">
        <v>1436</v>
      </c>
      <c r="X414" s="49" t="s">
        <v>193</v>
      </c>
      <c r="Y414" s="48" t="s">
        <v>1194</v>
      </c>
      <c r="Z414" s="49" t="s">
        <v>1321</v>
      </c>
      <c r="AA414" s="48" t="s">
        <v>1324</v>
      </c>
      <c r="AB414" s="48" t="s">
        <v>1325</v>
      </c>
      <c r="AC414" s="48" t="s">
        <v>1239</v>
      </c>
      <c r="AD414" s="48" t="s">
        <v>1231</v>
      </c>
      <c r="AE414" s="48" t="s">
        <v>1669</v>
      </c>
      <c r="AF414" s="48" t="s">
        <v>1436</v>
      </c>
      <c r="AG414" s="48" t="s">
        <v>1436</v>
      </c>
      <c r="AH414" s="48" t="s">
        <v>208</v>
      </c>
      <c r="AI414" s="50">
        <v>44562</v>
      </c>
      <c r="AJ414" s="50">
        <v>46387</v>
      </c>
      <c r="AK414" s="49" t="s">
        <v>1280</v>
      </c>
      <c r="AL414" s="48" t="s">
        <v>36</v>
      </c>
      <c r="AM414" s="48" t="s">
        <v>36</v>
      </c>
      <c r="AN414" s="51">
        <v>-3180.36</v>
      </c>
      <c r="AO414" s="51"/>
      <c r="AP414" s="51"/>
      <c r="AQ414" s="72">
        <v>1600000</v>
      </c>
      <c r="AR414" s="72">
        <v>50000</v>
      </c>
      <c r="AS414" s="50">
        <v>46387</v>
      </c>
      <c r="AT414" s="50" t="s">
        <v>1436</v>
      </c>
      <c r="AU414" s="49" t="s">
        <v>1436</v>
      </c>
      <c r="AV414" s="49" t="s">
        <v>1670</v>
      </c>
      <c r="AW414" s="48" t="s">
        <v>1244</v>
      </c>
    </row>
    <row r="415" spans="1:49" x14ac:dyDescent="0.3">
      <c r="A415" s="48" t="s">
        <v>1320</v>
      </c>
      <c r="B415" s="48" t="s">
        <v>6</v>
      </c>
      <c r="C415" s="48" t="s">
        <v>1322</v>
      </c>
      <c r="D415" s="50">
        <v>45747</v>
      </c>
      <c r="E415" s="48" t="s">
        <v>36</v>
      </c>
      <c r="F415" s="48" t="s">
        <v>1433</v>
      </c>
      <c r="G415" s="48" t="s">
        <v>1447</v>
      </c>
      <c r="H415" s="49" t="s">
        <v>1451</v>
      </c>
      <c r="I415" s="48" t="s">
        <v>1404</v>
      </c>
      <c r="J415" s="48" t="s">
        <v>38</v>
      </c>
      <c r="K415" s="48" t="s">
        <v>49</v>
      </c>
      <c r="L415" s="48" t="s">
        <v>38</v>
      </c>
      <c r="M415" s="48" t="s">
        <v>37</v>
      </c>
      <c r="N415" s="48" t="s">
        <v>1436</v>
      </c>
      <c r="O415" s="48" t="s">
        <v>1436</v>
      </c>
      <c r="P415" s="48" t="s">
        <v>1436</v>
      </c>
      <c r="Q415" s="48" t="s">
        <v>38</v>
      </c>
      <c r="R415" s="48" t="s">
        <v>39</v>
      </c>
      <c r="S415" s="48" t="s">
        <v>38</v>
      </c>
      <c r="T415" s="48" t="s">
        <v>41</v>
      </c>
      <c r="U415" s="48" t="s">
        <v>1436</v>
      </c>
      <c r="V415" s="48" t="s">
        <v>1436</v>
      </c>
      <c r="W415" s="48" t="s">
        <v>1436</v>
      </c>
      <c r="X415" s="49" t="s">
        <v>193</v>
      </c>
      <c r="Y415" s="48" t="s">
        <v>1194</v>
      </c>
      <c r="Z415" s="49" t="s">
        <v>1321</v>
      </c>
      <c r="AA415" s="48" t="s">
        <v>1324</v>
      </c>
      <c r="AB415" s="48" t="s">
        <v>1325</v>
      </c>
      <c r="AC415" s="48" t="s">
        <v>1239</v>
      </c>
      <c r="AD415" s="48" t="s">
        <v>1231</v>
      </c>
      <c r="AE415" s="48" t="s">
        <v>1669</v>
      </c>
      <c r="AF415" s="48" t="s">
        <v>1436</v>
      </c>
      <c r="AG415" s="48" t="s">
        <v>1436</v>
      </c>
      <c r="AH415" s="48" t="s">
        <v>208</v>
      </c>
      <c r="AI415" s="50">
        <v>44562</v>
      </c>
      <c r="AJ415" s="50">
        <v>46387</v>
      </c>
      <c r="AK415" s="49" t="s">
        <v>1280</v>
      </c>
      <c r="AL415" s="48" t="s">
        <v>36</v>
      </c>
      <c r="AM415" s="48" t="s">
        <v>36</v>
      </c>
      <c r="AN415" s="51">
        <v>256.63404500000001</v>
      </c>
      <c r="AO415" s="51"/>
      <c r="AP415" s="51"/>
      <c r="AQ415" s="72">
        <v>1600000</v>
      </c>
      <c r="AR415" s="72">
        <v>50000</v>
      </c>
      <c r="AS415" s="50">
        <v>46387</v>
      </c>
      <c r="AT415" s="50" t="s">
        <v>1436</v>
      </c>
      <c r="AU415" s="49" t="s">
        <v>1436</v>
      </c>
      <c r="AV415" s="49" t="s">
        <v>1670</v>
      </c>
      <c r="AW415" s="48" t="s">
        <v>1244</v>
      </c>
    </row>
    <row r="416" spans="1:49" x14ac:dyDescent="0.3">
      <c r="A416" s="48" t="s">
        <v>1320</v>
      </c>
      <c r="B416" s="48" t="s">
        <v>6</v>
      </c>
      <c r="C416" s="48" t="s">
        <v>1322</v>
      </c>
      <c r="D416" s="50">
        <v>45777</v>
      </c>
      <c r="E416" s="48" t="s">
        <v>36</v>
      </c>
      <c r="F416" s="48" t="s">
        <v>1433</v>
      </c>
      <c r="G416" s="48" t="s">
        <v>1434</v>
      </c>
      <c r="H416" s="49" t="s">
        <v>1435</v>
      </c>
      <c r="I416" s="48" t="s">
        <v>1412</v>
      </c>
      <c r="J416" s="48" t="s">
        <v>40</v>
      </c>
      <c r="K416" s="48" t="s">
        <v>52</v>
      </c>
      <c r="L416" s="48" t="s">
        <v>38</v>
      </c>
      <c r="M416" s="48" t="s">
        <v>37</v>
      </c>
      <c r="N416" s="48" t="s">
        <v>1436</v>
      </c>
      <c r="O416" s="48" t="s">
        <v>1436</v>
      </c>
      <c r="P416" s="48" t="s">
        <v>1436</v>
      </c>
      <c r="Q416" s="48" t="s">
        <v>38</v>
      </c>
      <c r="R416" s="48" t="s">
        <v>39</v>
      </c>
      <c r="S416" s="48" t="s">
        <v>40</v>
      </c>
      <c r="T416" s="48" t="s">
        <v>41</v>
      </c>
      <c r="U416" s="48" t="s">
        <v>1436</v>
      </c>
      <c r="V416" s="48" t="s">
        <v>1436</v>
      </c>
      <c r="W416" s="48" t="s">
        <v>1436</v>
      </c>
      <c r="X416" s="49" t="s">
        <v>193</v>
      </c>
      <c r="Y416" s="48" t="s">
        <v>1194</v>
      </c>
      <c r="Z416" s="49" t="s">
        <v>1321</v>
      </c>
      <c r="AA416" s="48" t="s">
        <v>1324</v>
      </c>
      <c r="AB416" s="48" t="s">
        <v>1325</v>
      </c>
      <c r="AC416" s="48" t="s">
        <v>1239</v>
      </c>
      <c r="AD416" s="48" t="s">
        <v>1231</v>
      </c>
      <c r="AE416" s="48" t="s">
        <v>1669</v>
      </c>
      <c r="AF416" s="48" t="s">
        <v>1436</v>
      </c>
      <c r="AG416" s="48" t="s">
        <v>1436</v>
      </c>
      <c r="AH416" s="48" t="s">
        <v>208</v>
      </c>
      <c r="AI416" s="50">
        <v>44562</v>
      </c>
      <c r="AJ416" s="50">
        <v>46387</v>
      </c>
      <c r="AK416" s="49" t="s">
        <v>1280</v>
      </c>
      <c r="AL416" s="48" t="s">
        <v>36</v>
      </c>
      <c r="AM416" s="48" t="s">
        <v>36</v>
      </c>
      <c r="AN416" s="51">
        <v>-42330.49</v>
      </c>
      <c r="AO416" s="51"/>
      <c r="AP416" s="51"/>
      <c r="AQ416" s="72">
        <v>1600000</v>
      </c>
      <c r="AR416" s="72">
        <v>50000</v>
      </c>
      <c r="AS416" s="50">
        <v>46387</v>
      </c>
      <c r="AT416" s="50" t="s">
        <v>1436</v>
      </c>
      <c r="AU416" s="49" t="s">
        <v>1436</v>
      </c>
      <c r="AV416" s="49" t="s">
        <v>1670</v>
      </c>
      <c r="AW416" s="48" t="s">
        <v>1244</v>
      </c>
    </row>
    <row r="417" spans="1:49" x14ac:dyDescent="0.3">
      <c r="A417" s="48" t="s">
        <v>1320</v>
      </c>
      <c r="B417" s="48" t="s">
        <v>6</v>
      </c>
      <c r="C417" s="48" t="s">
        <v>1322</v>
      </c>
      <c r="D417" s="50">
        <v>45777</v>
      </c>
      <c r="E417" s="48" t="s">
        <v>36</v>
      </c>
      <c r="F417" s="48" t="s">
        <v>1433</v>
      </c>
      <c r="G417" s="48" t="s">
        <v>1434</v>
      </c>
      <c r="H417" s="49" t="s">
        <v>1437</v>
      </c>
      <c r="I417" s="48" t="s">
        <v>1410</v>
      </c>
      <c r="J417" s="48" t="s">
        <v>40</v>
      </c>
      <c r="K417" s="48" t="s">
        <v>42</v>
      </c>
      <c r="L417" s="48" t="s">
        <v>38</v>
      </c>
      <c r="M417" s="48" t="s">
        <v>37</v>
      </c>
      <c r="N417" s="48" t="s">
        <v>1436</v>
      </c>
      <c r="O417" s="48" t="s">
        <v>1436</v>
      </c>
      <c r="P417" s="48" t="s">
        <v>1436</v>
      </c>
      <c r="Q417" s="48" t="s">
        <v>38</v>
      </c>
      <c r="R417" s="48" t="s">
        <v>39</v>
      </c>
      <c r="S417" s="48" t="s">
        <v>40</v>
      </c>
      <c r="T417" s="48" t="s">
        <v>41</v>
      </c>
      <c r="U417" s="48" t="s">
        <v>1436</v>
      </c>
      <c r="V417" s="48" t="s">
        <v>1436</v>
      </c>
      <c r="W417" s="48" t="s">
        <v>1436</v>
      </c>
      <c r="X417" s="49" t="s">
        <v>193</v>
      </c>
      <c r="Y417" s="48" t="s">
        <v>1194</v>
      </c>
      <c r="Z417" s="49" t="s">
        <v>1321</v>
      </c>
      <c r="AA417" s="48" t="s">
        <v>1324</v>
      </c>
      <c r="AB417" s="48" t="s">
        <v>1325</v>
      </c>
      <c r="AC417" s="48" t="s">
        <v>1239</v>
      </c>
      <c r="AD417" s="48" t="s">
        <v>1231</v>
      </c>
      <c r="AE417" s="48" t="s">
        <v>1669</v>
      </c>
      <c r="AF417" s="48" t="s">
        <v>1436</v>
      </c>
      <c r="AG417" s="48" t="s">
        <v>1436</v>
      </c>
      <c r="AH417" s="48" t="s">
        <v>208</v>
      </c>
      <c r="AI417" s="50">
        <v>44562</v>
      </c>
      <c r="AJ417" s="50">
        <v>46387</v>
      </c>
      <c r="AK417" s="49" t="s">
        <v>1280</v>
      </c>
      <c r="AL417" s="48" t="s">
        <v>36</v>
      </c>
      <c r="AM417" s="48" t="s">
        <v>36</v>
      </c>
      <c r="AN417" s="51">
        <v>0</v>
      </c>
      <c r="AO417" s="51"/>
      <c r="AP417" s="51"/>
      <c r="AQ417" s="72">
        <v>1600000</v>
      </c>
      <c r="AR417" s="72">
        <v>50000</v>
      </c>
      <c r="AS417" s="50">
        <v>46387</v>
      </c>
      <c r="AT417" s="50" t="s">
        <v>1436</v>
      </c>
      <c r="AU417" s="49" t="s">
        <v>1436</v>
      </c>
      <c r="AV417" s="49" t="s">
        <v>1670</v>
      </c>
      <c r="AW417" s="48" t="s">
        <v>1244</v>
      </c>
    </row>
    <row r="418" spans="1:49" x14ac:dyDescent="0.3">
      <c r="A418" s="48" t="s">
        <v>1320</v>
      </c>
      <c r="B418" s="48" t="s">
        <v>6</v>
      </c>
      <c r="C418" s="48" t="s">
        <v>1322</v>
      </c>
      <c r="D418" s="50">
        <v>45777</v>
      </c>
      <c r="E418" s="48" t="s">
        <v>36</v>
      </c>
      <c r="F418" s="48" t="s">
        <v>1438</v>
      </c>
      <c r="G418" s="48" t="s">
        <v>1439</v>
      </c>
      <c r="H418" s="49" t="s">
        <v>1440</v>
      </c>
      <c r="I418" s="48" t="s">
        <v>1406</v>
      </c>
      <c r="J418" s="48" t="s">
        <v>1194</v>
      </c>
      <c r="K418" s="48" t="s">
        <v>1441</v>
      </c>
      <c r="L418" s="48" t="s">
        <v>38</v>
      </c>
      <c r="M418" s="48" t="s">
        <v>37</v>
      </c>
      <c r="N418" s="48" t="s">
        <v>1436</v>
      </c>
      <c r="O418" s="48" t="s">
        <v>1436</v>
      </c>
      <c r="P418" s="48" t="s">
        <v>1436</v>
      </c>
      <c r="Q418" s="48" t="s">
        <v>38</v>
      </c>
      <c r="R418" s="48" t="s">
        <v>39</v>
      </c>
      <c r="S418" s="48" t="s">
        <v>1194</v>
      </c>
      <c r="T418" s="48" t="s">
        <v>41</v>
      </c>
      <c r="U418" s="48" t="s">
        <v>1436</v>
      </c>
      <c r="V418" s="48" t="s">
        <v>1436</v>
      </c>
      <c r="W418" s="48" t="s">
        <v>1436</v>
      </c>
      <c r="X418" s="49" t="s">
        <v>193</v>
      </c>
      <c r="Y418" s="48" t="s">
        <v>1194</v>
      </c>
      <c r="Z418" s="49" t="s">
        <v>1321</v>
      </c>
      <c r="AA418" s="48" t="s">
        <v>1324</v>
      </c>
      <c r="AB418" s="48" t="s">
        <v>1325</v>
      </c>
      <c r="AC418" s="48" t="s">
        <v>1239</v>
      </c>
      <c r="AD418" s="48" t="s">
        <v>1231</v>
      </c>
      <c r="AE418" s="48" t="s">
        <v>1669</v>
      </c>
      <c r="AF418" s="48" t="s">
        <v>1436</v>
      </c>
      <c r="AG418" s="48" t="s">
        <v>1436</v>
      </c>
      <c r="AH418" s="48" t="s">
        <v>208</v>
      </c>
      <c r="AI418" s="50">
        <v>44562</v>
      </c>
      <c r="AJ418" s="50">
        <v>46387</v>
      </c>
      <c r="AK418" s="49" t="s">
        <v>1280</v>
      </c>
      <c r="AL418" s="48" t="s">
        <v>36</v>
      </c>
      <c r="AM418" s="48" t="s">
        <v>36</v>
      </c>
      <c r="AN418" s="51">
        <v>0</v>
      </c>
      <c r="AO418" s="51"/>
      <c r="AP418" s="51"/>
      <c r="AQ418" s="72">
        <v>1600000</v>
      </c>
      <c r="AR418" s="72">
        <v>50000</v>
      </c>
      <c r="AS418" s="50">
        <v>46387</v>
      </c>
      <c r="AT418" s="50" t="s">
        <v>1436</v>
      </c>
      <c r="AU418" s="49" t="s">
        <v>1436</v>
      </c>
      <c r="AV418" s="49" t="s">
        <v>1670</v>
      </c>
      <c r="AW418" s="48" t="s">
        <v>1244</v>
      </c>
    </row>
    <row r="419" spans="1:49" x14ac:dyDescent="0.3">
      <c r="A419" s="48" t="s">
        <v>1320</v>
      </c>
      <c r="B419" s="48" t="s">
        <v>6</v>
      </c>
      <c r="C419" s="48" t="s">
        <v>1322</v>
      </c>
      <c r="D419" s="50">
        <v>45777</v>
      </c>
      <c r="E419" s="48" t="s">
        <v>36</v>
      </c>
      <c r="F419" s="48" t="s">
        <v>1438</v>
      </c>
      <c r="G419" s="48" t="s">
        <v>1439</v>
      </c>
      <c r="H419" s="49" t="s">
        <v>1442</v>
      </c>
      <c r="I419" s="48" t="s">
        <v>1405</v>
      </c>
      <c r="J419" s="48" t="s">
        <v>1194</v>
      </c>
      <c r="K419" s="48" t="s">
        <v>1443</v>
      </c>
      <c r="L419" s="48" t="s">
        <v>38</v>
      </c>
      <c r="M419" s="48" t="s">
        <v>37</v>
      </c>
      <c r="N419" s="48" t="s">
        <v>1436</v>
      </c>
      <c r="O419" s="48" t="s">
        <v>1436</v>
      </c>
      <c r="P419" s="48" t="s">
        <v>1436</v>
      </c>
      <c r="Q419" s="48" t="s">
        <v>38</v>
      </c>
      <c r="R419" s="48" t="s">
        <v>39</v>
      </c>
      <c r="S419" s="48" t="s">
        <v>1194</v>
      </c>
      <c r="T419" s="48" t="s">
        <v>41</v>
      </c>
      <c r="U419" s="48" t="s">
        <v>1436</v>
      </c>
      <c r="V419" s="48" t="s">
        <v>1436</v>
      </c>
      <c r="W419" s="48" t="s">
        <v>1436</v>
      </c>
      <c r="X419" s="49" t="s">
        <v>193</v>
      </c>
      <c r="Y419" s="48" t="s">
        <v>1194</v>
      </c>
      <c r="Z419" s="49" t="s">
        <v>1321</v>
      </c>
      <c r="AA419" s="48" t="s">
        <v>1324</v>
      </c>
      <c r="AB419" s="48" t="s">
        <v>1325</v>
      </c>
      <c r="AC419" s="48" t="s">
        <v>1239</v>
      </c>
      <c r="AD419" s="48" t="s">
        <v>1231</v>
      </c>
      <c r="AE419" s="48" t="s">
        <v>1669</v>
      </c>
      <c r="AF419" s="48" t="s">
        <v>1436</v>
      </c>
      <c r="AG419" s="48" t="s">
        <v>1436</v>
      </c>
      <c r="AH419" s="48" t="s">
        <v>208</v>
      </c>
      <c r="AI419" s="50">
        <v>44562</v>
      </c>
      <c r="AJ419" s="50">
        <v>46387</v>
      </c>
      <c r="AK419" s="49" t="s">
        <v>1280</v>
      </c>
      <c r="AL419" s="48" t="s">
        <v>36</v>
      </c>
      <c r="AM419" s="48" t="s">
        <v>36</v>
      </c>
      <c r="AN419" s="51">
        <v>0</v>
      </c>
      <c r="AO419" s="51"/>
      <c r="AP419" s="51"/>
      <c r="AQ419" s="72">
        <v>1600000</v>
      </c>
      <c r="AR419" s="72">
        <v>50000</v>
      </c>
      <c r="AS419" s="50">
        <v>46387</v>
      </c>
      <c r="AT419" s="50" t="s">
        <v>1436</v>
      </c>
      <c r="AU419" s="49" t="s">
        <v>1436</v>
      </c>
      <c r="AV419" s="49" t="s">
        <v>1670</v>
      </c>
      <c r="AW419" s="48" t="s">
        <v>1244</v>
      </c>
    </row>
    <row r="420" spans="1:49" x14ac:dyDescent="0.3">
      <c r="A420" s="48" t="s">
        <v>1320</v>
      </c>
      <c r="B420" s="48" t="s">
        <v>6</v>
      </c>
      <c r="C420" s="48" t="s">
        <v>1322</v>
      </c>
      <c r="D420" s="50">
        <v>45777</v>
      </c>
      <c r="E420" s="48" t="s">
        <v>36</v>
      </c>
      <c r="F420" s="48" t="s">
        <v>1438</v>
      </c>
      <c r="G420" s="48" t="s">
        <v>1444</v>
      </c>
      <c r="H420" s="49" t="s">
        <v>1445</v>
      </c>
      <c r="I420" s="48" t="s">
        <v>1411</v>
      </c>
      <c r="J420" s="48" t="s">
        <v>40</v>
      </c>
      <c r="K420" s="48" t="s">
        <v>50</v>
      </c>
      <c r="L420" s="48" t="s">
        <v>38</v>
      </c>
      <c r="M420" s="48" t="s">
        <v>37</v>
      </c>
      <c r="N420" s="48" t="s">
        <v>1436</v>
      </c>
      <c r="O420" s="48" t="s">
        <v>1436</v>
      </c>
      <c r="P420" s="48" t="s">
        <v>1436</v>
      </c>
      <c r="Q420" s="48" t="s">
        <v>38</v>
      </c>
      <c r="R420" s="48" t="s">
        <v>39</v>
      </c>
      <c r="S420" s="48" t="s">
        <v>40</v>
      </c>
      <c r="T420" s="48" t="s">
        <v>41</v>
      </c>
      <c r="U420" s="48" t="s">
        <v>1436</v>
      </c>
      <c r="V420" s="48" t="s">
        <v>1436</v>
      </c>
      <c r="W420" s="48" t="s">
        <v>1436</v>
      </c>
      <c r="X420" s="49" t="s">
        <v>193</v>
      </c>
      <c r="Y420" s="48" t="s">
        <v>1194</v>
      </c>
      <c r="Z420" s="49" t="s">
        <v>1321</v>
      </c>
      <c r="AA420" s="48" t="s">
        <v>1324</v>
      </c>
      <c r="AB420" s="48" t="s">
        <v>1325</v>
      </c>
      <c r="AC420" s="48" t="s">
        <v>1239</v>
      </c>
      <c r="AD420" s="48" t="s">
        <v>1231</v>
      </c>
      <c r="AE420" s="48" t="s">
        <v>1669</v>
      </c>
      <c r="AF420" s="48" t="s">
        <v>1436</v>
      </c>
      <c r="AG420" s="48" t="s">
        <v>1436</v>
      </c>
      <c r="AH420" s="48" t="s">
        <v>208</v>
      </c>
      <c r="AI420" s="50">
        <v>44562</v>
      </c>
      <c r="AJ420" s="50">
        <v>46387</v>
      </c>
      <c r="AK420" s="49" t="s">
        <v>1280</v>
      </c>
      <c r="AL420" s="48" t="s">
        <v>36</v>
      </c>
      <c r="AM420" s="48" t="s">
        <v>36</v>
      </c>
      <c r="AN420" s="51">
        <v>42330.49</v>
      </c>
      <c r="AO420" s="51"/>
      <c r="AP420" s="51"/>
      <c r="AQ420" s="72">
        <v>1600000</v>
      </c>
      <c r="AR420" s="72">
        <v>50000</v>
      </c>
      <c r="AS420" s="50">
        <v>46387</v>
      </c>
      <c r="AT420" s="50" t="s">
        <v>1436</v>
      </c>
      <c r="AU420" s="49" t="s">
        <v>1436</v>
      </c>
      <c r="AV420" s="49" t="s">
        <v>1670</v>
      </c>
      <c r="AW420" s="48" t="s">
        <v>1244</v>
      </c>
    </row>
    <row r="421" spans="1:49" x14ac:dyDescent="0.3">
      <c r="A421" s="48" t="s">
        <v>1320</v>
      </c>
      <c r="B421" s="48" t="s">
        <v>6</v>
      </c>
      <c r="C421" s="48" t="s">
        <v>1322</v>
      </c>
      <c r="D421" s="50">
        <v>45777</v>
      </c>
      <c r="E421" s="48" t="s">
        <v>36</v>
      </c>
      <c r="F421" s="48" t="s">
        <v>1438</v>
      </c>
      <c r="G421" s="48" t="s">
        <v>1444</v>
      </c>
      <c r="H421" s="49" t="s">
        <v>1446</v>
      </c>
      <c r="I421" s="48" t="s">
        <v>1407</v>
      </c>
      <c r="J421" s="48" t="s">
        <v>40</v>
      </c>
      <c r="K421" s="48" t="s">
        <v>47</v>
      </c>
      <c r="L421" s="48" t="s">
        <v>38</v>
      </c>
      <c r="M421" s="48" t="s">
        <v>37</v>
      </c>
      <c r="N421" s="48" t="s">
        <v>1436</v>
      </c>
      <c r="O421" s="48" t="s">
        <v>1436</v>
      </c>
      <c r="P421" s="48" t="s">
        <v>1436</v>
      </c>
      <c r="Q421" s="48" t="s">
        <v>38</v>
      </c>
      <c r="R421" s="48" t="s">
        <v>39</v>
      </c>
      <c r="S421" s="48" t="s">
        <v>40</v>
      </c>
      <c r="T421" s="48" t="s">
        <v>41</v>
      </c>
      <c r="U421" s="48" t="s">
        <v>1436</v>
      </c>
      <c r="V421" s="48" t="s">
        <v>1436</v>
      </c>
      <c r="W421" s="48" t="s">
        <v>1436</v>
      </c>
      <c r="X421" s="49" t="s">
        <v>193</v>
      </c>
      <c r="Y421" s="48" t="s">
        <v>1194</v>
      </c>
      <c r="Z421" s="49" t="s">
        <v>1321</v>
      </c>
      <c r="AA421" s="48" t="s">
        <v>1324</v>
      </c>
      <c r="AB421" s="48" t="s">
        <v>1325</v>
      </c>
      <c r="AC421" s="48" t="s">
        <v>1239</v>
      </c>
      <c r="AD421" s="48" t="s">
        <v>1231</v>
      </c>
      <c r="AE421" s="48" t="s">
        <v>1669</v>
      </c>
      <c r="AF421" s="48" t="s">
        <v>1436</v>
      </c>
      <c r="AG421" s="48" t="s">
        <v>1436</v>
      </c>
      <c r="AH421" s="48" t="s">
        <v>208</v>
      </c>
      <c r="AI421" s="50">
        <v>44562</v>
      </c>
      <c r="AJ421" s="50">
        <v>46387</v>
      </c>
      <c r="AK421" s="49" t="s">
        <v>1280</v>
      </c>
      <c r="AL421" s="48" t="s">
        <v>36</v>
      </c>
      <c r="AM421" s="48" t="s">
        <v>36</v>
      </c>
      <c r="AN421" s="51">
        <v>5490.8271670000004</v>
      </c>
      <c r="AO421" s="51"/>
      <c r="AP421" s="51"/>
      <c r="AQ421" s="72">
        <v>1600000</v>
      </c>
      <c r="AR421" s="72">
        <v>50000</v>
      </c>
      <c r="AS421" s="50">
        <v>46387</v>
      </c>
      <c r="AT421" s="50" t="s">
        <v>1436</v>
      </c>
      <c r="AU421" s="49" t="s">
        <v>1436</v>
      </c>
      <c r="AV421" s="49" t="s">
        <v>1670</v>
      </c>
      <c r="AW421" s="48" t="s">
        <v>1244</v>
      </c>
    </row>
    <row r="422" spans="1:49" x14ac:dyDescent="0.3">
      <c r="A422" s="48" t="s">
        <v>1320</v>
      </c>
      <c r="B422" s="48" t="s">
        <v>6</v>
      </c>
      <c r="C422" s="48" t="s">
        <v>1322</v>
      </c>
      <c r="D422" s="50">
        <v>45777</v>
      </c>
      <c r="E422" s="48" t="s">
        <v>36</v>
      </c>
      <c r="F422" s="48" t="s">
        <v>1433</v>
      </c>
      <c r="G422" s="48" t="s">
        <v>1447</v>
      </c>
      <c r="H422" s="49" t="s">
        <v>1448</v>
      </c>
      <c r="I422" s="48" t="s">
        <v>1413</v>
      </c>
      <c r="J422" s="48" t="s">
        <v>40</v>
      </c>
      <c r="K422" s="48" t="s">
        <v>58</v>
      </c>
      <c r="L422" s="48" t="s">
        <v>38</v>
      </c>
      <c r="M422" s="48" t="s">
        <v>37</v>
      </c>
      <c r="N422" s="48" t="s">
        <v>1436</v>
      </c>
      <c r="O422" s="48" t="s">
        <v>1436</v>
      </c>
      <c r="P422" s="48" t="s">
        <v>1436</v>
      </c>
      <c r="Q422" s="48" t="s">
        <v>38</v>
      </c>
      <c r="R422" s="48" t="s">
        <v>39</v>
      </c>
      <c r="S422" s="48" t="s">
        <v>40</v>
      </c>
      <c r="T422" s="48" t="s">
        <v>41</v>
      </c>
      <c r="U422" s="48" t="s">
        <v>1436</v>
      </c>
      <c r="V422" s="48" t="s">
        <v>1436</v>
      </c>
      <c r="W422" s="48" t="s">
        <v>1436</v>
      </c>
      <c r="X422" s="49" t="s">
        <v>193</v>
      </c>
      <c r="Y422" s="48" t="s">
        <v>1194</v>
      </c>
      <c r="Z422" s="49" t="s">
        <v>1321</v>
      </c>
      <c r="AA422" s="48" t="s">
        <v>1324</v>
      </c>
      <c r="AB422" s="48" t="s">
        <v>1325</v>
      </c>
      <c r="AC422" s="48" t="s">
        <v>1239</v>
      </c>
      <c r="AD422" s="48" t="s">
        <v>1231</v>
      </c>
      <c r="AE422" s="48" t="s">
        <v>1669</v>
      </c>
      <c r="AF422" s="48" t="s">
        <v>1436</v>
      </c>
      <c r="AG422" s="48" t="s">
        <v>1436</v>
      </c>
      <c r="AH422" s="48" t="s">
        <v>208</v>
      </c>
      <c r="AI422" s="50">
        <v>44562</v>
      </c>
      <c r="AJ422" s="50">
        <v>46387</v>
      </c>
      <c r="AK422" s="49" t="s">
        <v>1280</v>
      </c>
      <c r="AL422" s="48" t="s">
        <v>36</v>
      </c>
      <c r="AM422" s="48" t="s">
        <v>36</v>
      </c>
      <c r="AN422" s="51">
        <v>-50000</v>
      </c>
      <c r="AO422" s="51"/>
      <c r="AP422" s="51"/>
      <c r="AQ422" s="72">
        <v>1600000</v>
      </c>
      <c r="AR422" s="72">
        <v>50000</v>
      </c>
      <c r="AS422" s="50">
        <v>46387</v>
      </c>
      <c r="AT422" s="50" t="s">
        <v>1436</v>
      </c>
      <c r="AU422" s="49" t="s">
        <v>1436</v>
      </c>
      <c r="AV422" s="49" t="s">
        <v>1670</v>
      </c>
      <c r="AW422" s="48" t="s">
        <v>1244</v>
      </c>
    </row>
    <row r="423" spans="1:49" x14ac:dyDescent="0.3">
      <c r="A423" s="48" t="s">
        <v>1320</v>
      </c>
      <c r="B423" s="48" t="s">
        <v>6</v>
      </c>
      <c r="C423" s="48" t="s">
        <v>1322</v>
      </c>
      <c r="D423" s="50">
        <v>45777</v>
      </c>
      <c r="E423" s="48" t="s">
        <v>36</v>
      </c>
      <c r="F423" s="48" t="s">
        <v>1433</v>
      </c>
      <c r="G423" s="48" t="s">
        <v>1447</v>
      </c>
      <c r="H423" s="49" t="s">
        <v>1449</v>
      </c>
      <c r="I423" s="48" t="s">
        <v>1409</v>
      </c>
      <c r="J423" s="48" t="s">
        <v>40</v>
      </c>
      <c r="K423" s="48" t="s">
        <v>45</v>
      </c>
      <c r="L423" s="48" t="s">
        <v>38</v>
      </c>
      <c r="M423" s="48" t="s">
        <v>37</v>
      </c>
      <c r="N423" s="48" t="s">
        <v>1436</v>
      </c>
      <c r="O423" s="48" t="s">
        <v>1436</v>
      </c>
      <c r="P423" s="48" t="s">
        <v>1436</v>
      </c>
      <c r="Q423" s="48" t="s">
        <v>38</v>
      </c>
      <c r="R423" s="48" t="s">
        <v>39</v>
      </c>
      <c r="S423" s="48" t="s">
        <v>40</v>
      </c>
      <c r="T423" s="48" t="s">
        <v>41</v>
      </c>
      <c r="U423" s="48" t="s">
        <v>1436</v>
      </c>
      <c r="V423" s="48" t="s">
        <v>1436</v>
      </c>
      <c r="W423" s="48" t="s">
        <v>1436</v>
      </c>
      <c r="X423" s="49" t="s">
        <v>193</v>
      </c>
      <c r="Y423" s="48" t="s">
        <v>1194</v>
      </c>
      <c r="Z423" s="49" t="s">
        <v>1321</v>
      </c>
      <c r="AA423" s="48" t="s">
        <v>1324</v>
      </c>
      <c r="AB423" s="48" t="s">
        <v>1325</v>
      </c>
      <c r="AC423" s="48" t="s">
        <v>1239</v>
      </c>
      <c r="AD423" s="48" t="s">
        <v>1231</v>
      </c>
      <c r="AE423" s="48" t="s">
        <v>1669</v>
      </c>
      <c r="AF423" s="48" t="s">
        <v>1436</v>
      </c>
      <c r="AG423" s="48" t="s">
        <v>1436</v>
      </c>
      <c r="AH423" s="48" t="s">
        <v>208</v>
      </c>
      <c r="AI423" s="50">
        <v>44562</v>
      </c>
      <c r="AJ423" s="50">
        <v>46387</v>
      </c>
      <c r="AK423" s="49" t="s">
        <v>1280</v>
      </c>
      <c r="AL423" s="48" t="s">
        <v>36</v>
      </c>
      <c r="AM423" s="48" t="s">
        <v>36</v>
      </c>
      <c r="AN423" s="51">
        <v>47449.951756000002</v>
      </c>
      <c r="AO423" s="51"/>
      <c r="AP423" s="51"/>
      <c r="AQ423" s="72">
        <v>1600000</v>
      </c>
      <c r="AR423" s="72">
        <v>50000</v>
      </c>
      <c r="AS423" s="50">
        <v>46387</v>
      </c>
      <c r="AT423" s="50" t="s">
        <v>1436</v>
      </c>
      <c r="AU423" s="49" t="s">
        <v>1436</v>
      </c>
      <c r="AV423" s="49" t="s">
        <v>1670</v>
      </c>
      <c r="AW423" s="48" t="s">
        <v>1244</v>
      </c>
    </row>
    <row r="424" spans="1:49" x14ac:dyDescent="0.3">
      <c r="A424" s="48" t="s">
        <v>1320</v>
      </c>
      <c r="B424" s="48" t="s">
        <v>6</v>
      </c>
      <c r="C424" s="48" t="s">
        <v>1322</v>
      </c>
      <c r="D424" s="50">
        <v>45777</v>
      </c>
      <c r="E424" s="48" t="s">
        <v>36</v>
      </c>
      <c r="F424" s="48" t="s">
        <v>1433</v>
      </c>
      <c r="G424" s="48" t="s">
        <v>1447</v>
      </c>
      <c r="H424" s="49" t="s">
        <v>1450</v>
      </c>
      <c r="I424" s="48" t="s">
        <v>1408</v>
      </c>
      <c r="J424" s="48" t="s">
        <v>40</v>
      </c>
      <c r="K424" s="48" t="s">
        <v>54</v>
      </c>
      <c r="L424" s="48" t="s">
        <v>38</v>
      </c>
      <c r="M424" s="48" t="s">
        <v>37</v>
      </c>
      <c r="N424" s="48" t="s">
        <v>1436</v>
      </c>
      <c r="O424" s="48" t="s">
        <v>1436</v>
      </c>
      <c r="P424" s="48" t="s">
        <v>1436</v>
      </c>
      <c r="Q424" s="48" t="s">
        <v>38</v>
      </c>
      <c r="R424" s="48" t="s">
        <v>39</v>
      </c>
      <c r="S424" s="48" t="s">
        <v>40</v>
      </c>
      <c r="T424" s="48" t="s">
        <v>41</v>
      </c>
      <c r="U424" s="48" t="s">
        <v>1436</v>
      </c>
      <c r="V424" s="48" t="s">
        <v>1436</v>
      </c>
      <c r="W424" s="48" t="s">
        <v>1436</v>
      </c>
      <c r="X424" s="49" t="s">
        <v>193</v>
      </c>
      <c r="Y424" s="48" t="s">
        <v>1194</v>
      </c>
      <c r="Z424" s="49" t="s">
        <v>1321</v>
      </c>
      <c r="AA424" s="48" t="s">
        <v>1324</v>
      </c>
      <c r="AB424" s="48" t="s">
        <v>1325</v>
      </c>
      <c r="AC424" s="48" t="s">
        <v>1239</v>
      </c>
      <c r="AD424" s="48" t="s">
        <v>1231</v>
      </c>
      <c r="AE424" s="48" t="s">
        <v>1669</v>
      </c>
      <c r="AF424" s="48" t="s">
        <v>1436</v>
      </c>
      <c r="AG424" s="48" t="s">
        <v>1436</v>
      </c>
      <c r="AH424" s="48" t="s">
        <v>208</v>
      </c>
      <c r="AI424" s="50">
        <v>44562</v>
      </c>
      <c r="AJ424" s="50">
        <v>46387</v>
      </c>
      <c r="AK424" s="49" t="s">
        <v>1280</v>
      </c>
      <c r="AL424" s="48" t="s">
        <v>36</v>
      </c>
      <c r="AM424" s="48" t="s">
        <v>36</v>
      </c>
      <c r="AN424" s="51">
        <v>-3198.91</v>
      </c>
      <c r="AO424" s="51"/>
      <c r="AP424" s="51"/>
      <c r="AQ424" s="72">
        <v>1600000</v>
      </c>
      <c r="AR424" s="72">
        <v>50000</v>
      </c>
      <c r="AS424" s="50">
        <v>46387</v>
      </c>
      <c r="AT424" s="50" t="s">
        <v>1436</v>
      </c>
      <c r="AU424" s="49" t="s">
        <v>1436</v>
      </c>
      <c r="AV424" s="49" t="s">
        <v>1670</v>
      </c>
      <c r="AW424" s="48" t="s">
        <v>1244</v>
      </c>
    </row>
    <row r="425" spans="1:49" x14ac:dyDescent="0.3">
      <c r="A425" s="48" t="s">
        <v>1320</v>
      </c>
      <c r="B425" s="48" t="s">
        <v>6</v>
      </c>
      <c r="C425" s="48" t="s">
        <v>1322</v>
      </c>
      <c r="D425" s="50">
        <v>45777</v>
      </c>
      <c r="E425" s="48" t="s">
        <v>36</v>
      </c>
      <c r="F425" s="48" t="s">
        <v>1433</v>
      </c>
      <c r="G425" s="48" t="s">
        <v>1447</v>
      </c>
      <c r="H425" s="49" t="s">
        <v>1451</v>
      </c>
      <c r="I425" s="48" t="s">
        <v>1404</v>
      </c>
      <c r="J425" s="48" t="s">
        <v>38</v>
      </c>
      <c r="K425" s="48" t="s">
        <v>49</v>
      </c>
      <c r="L425" s="48" t="s">
        <v>38</v>
      </c>
      <c r="M425" s="48" t="s">
        <v>37</v>
      </c>
      <c r="N425" s="48" t="s">
        <v>1436</v>
      </c>
      <c r="O425" s="48" t="s">
        <v>1436</v>
      </c>
      <c r="P425" s="48" t="s">
        <v>1436</v>
      </c>
      <c r="Q425" s="48" t="s">
        <v>38</v>
      </c>
      <c r="R425" s="48" t="s">
        <v>39</v>
      </c>
      <c r="S425" s="48" t="s">
        <v>38</v>
      </c>
      <c r="T425" s="48" t="s">
        <v>41</v>
      </c>
      <c r="U425" s="48" t="s">
        <v>1436</v>
      </c>
      <c r="V425" s="48" t="s">
        <v>1436</v>
      </c>
      <c r="W425" s="48" t="s">
        <v>1436</v>
      </c>
      <c r="X425" s="49" t="s">
        <v>193</v>
      </c>
      <c r="Y425" s="48" t="s">
        <v>1194</v>
      </c>
      <c r="Z425" s="49" t="s">
        <v>1321</v>
      </c>
      <c r="AA425" s="48" t="s">
        <v>1324</v>
      </c>
      <c r="AB425" s="48" t="s">
        <v>1325</v>
      </c>
      <c r="AC425" s="48" t="s">
        <v>1239</v>
      </c>
      <c r="AD425" s="48" t="s">
        <v>1231</v>
      </c>
      <c r="AE425" s="48" t="s">
        <v>1669</v>
      </c>
      <c r="AF425" s="48" t="s">
        <v>1436</v>
      </c>
      <c r="AG425" s="48" t="s">
        <v>1436</v>
      </c>
      <c r="AH425" s="48" t="s">
        <v>208</v>
      </c>
      <c r="AI425" s="50">
        <v>44562</v>
      </c>
      <c r="AJ425" s="50">
        <v>46387</v>
      </c>
      <c r="AK425" s="49" t="s">
        <v>1280</v>
      </c>
      <c r="AL425" s="48" t="s">
        <v>36</v>
      </c>
      <c r="AM425" s="48" t="s">
        <v>36</v>
      </c>
      <c r="AN425" s="51">
        <v>258.131077</v>
      </c>
      <c r="AO425" s="51"/>
      <c r="AP425" s="51"/>
      <c r="AQ425" s="72">
        <v>1600000</v>
      </c>
      <c r="AR425" s="72">
        <v>50000</v>
      </c>
      <c r="AS425" s="50">
        <v>46387</v>
      </c>
      <c r="AT425" s="50" t="s">
        <v>1436</v>
      </c>
      <c r="AU425" s="49" t="s">
        <v>1436</v>
      </c>
      <c r="AV425" s="49" t="s">
        <v>1670</v>
      </c>
      <c r="AW425" s="48" t="s">
        <v>1244</v>
      </c>
    </row>
    <row r="426" spans="1:49" x14ac:dyDescent="0.3">
      <c r="A426" s="48" t="s">
        <v>1320</v>
      </c>
      <c r="B426" s="48" t="s">
        <v>6</v>
      </c>
      <c r="C426" s="48" t="s">
        <v>1322</v>
      </c>
      <c r="D426" s="50">
        <v>45808</v>
      </c>
      <c r="E426" s="48" t="s">
        <v>36</v>
      </c>
      <c r="F426" s="48" t="s">
        <v>1433</v>
      </c>
      <c r="G426" s="48" t="s">
        <v>1434</v>
      </c>
      <c r="H426" s="49" t="s">
        <v>1435</v>
      </c>
      <c r="I426" s="48" t="s">
        <v>1412</v>
      </c>
      <c r="J426" s="48" t="s">
        <v>40</v>
      </c>
      <c r="K426" s="48" t="s">
        <v>52</v>
      </c>
      <c r="L426" s="48" t="s">
        <v>38</v>
      </c>
      <c r="M426" s="48" t="s">
        <v>37</v>
      </c>
      <c r="N426" s="48" t="s">
        <v>1436</v>
      </c>
      <c r="O426" s="48" t="s">
        <v>1436</v>
      </c>
      <c r="P426" s="48" t="s">
        <v>1436</v>
      </c>
      <c r="Q426" s="48" t="s">
        <v>38</v>
      </c>
      <c r="R426" s="48" t="s">
        <v>39</v>
      </c>
      <c r="S426" s="48" t="s">
        <v>40</v>
      </c>
      <c r="T426" s="48" t="s">
        <v>41</v>
      </c>
      <c r="U426" s="48" t="s">
        <v>1436</v>
      </c>
      <c r="V426" s="48" t="s">
        <v>1436</v>
      </c>
      <c r="W426" s="48" t="s">
        <v>1436</v>
      </c>
      <c r="X426" s="49" t="s">
        <v>193</v>
      </c>
      <c r="Y426" s="48" t="s">
        <v>1194</v>
      </c>
      <c r="Z426" s="49" t="s">
        <v>1321</v>
      </c>
      <c r="AA426" s="48" t="s">
        <v>1324</v>
      </c>
      <c r="AB426" s="48" t="s">
        <v>1325</v>
      </c>
      <c r="AC426" s="48" t="s">
        <v>1239</v>
      </c>
      <c r="AD426" s="48" t="s">
        <v>1231</v>
      </c>
      <c r="AE426" s="48" t="s">
        <v>1669</v>
      </c>
      <c r="AF426" s="48" t="s">
        <v>1436</v>
      </c>
      <c r="AG426" s="48" t="s">
        <v>1436</v>
      </c>
      <c r="AH426" s="48" t="s">
        <v>208</v>
      </c>
      <c r="AI426" s="50">
        <v>44562</v>
      </c>
      <c r="AJ426" s="50">
        <v>46387</v>
      </c>
      <c r="AK426" s="49" t="s">
        <v>1280</v>
      </c>
      <c r="AL426" s="48" t="s">
        <v>36</v>
      </c>
      <c r="AM426" s="48" t="s">
        <v>36</v>
      </c>
      <c r="AN426" s="51">
        <v>-42330.49</v>
      </c>
      <c r="AO426" s="51"/>
      <c r="AP426" s="51"/>
      <c r="AQ426" s="72">
        <v>1600000</v>
      </c>
      <c r="AR426" s="72">
        <v>50000</v>
      </c>
      <c r="AS426" s="50">
        <v>46387</v>
      </c>
      <c r="AT426" s="50" t="s">
        <v>1436</v>
      </c>
      <c r="AU426" s="49" t="s">
        <v>1436</v>
      </c>
      <c r="AV426" s="49" t="s">
        <v>1670</v>
      </c>
      <c r="AW426" s="48" t="s">
        <v>1244</v>
      </c>
    </row>
    <row r="427" spans="1:49" x14ac:dyDescent="0.3">
      <c r="A427" s="48" t="s">
        <v>1320</v>
      </c>
      <c r="B427" s="48" t="s">
        <v>6</v>
      </c>
      <c r="C427" s="48" t="s">
        <v>1322</v>
      </c>
      <c r="D427" s="50">
        <v>45808</v>
      </c>
      <c r="E427" s="48" t="s">
        <v>36</v>
      </c>
      <c r="F427" s="48" t="s">
        <v>1433</v>
      </c>
      <c r="G427" s="48" t="s">
        <v>1434</v>
      </c>
      <c r="H427" s="49" t="s">
        <v>1437</v>
      </c>
      <c r="I427" s="48" t="s">
        <v>1410</v>
      </c>
      <c r="J427" s="48" t="s">
        <v>40</v>
      </c>
      <c r="K427" s="48" t="s">
        <v>42</v>
      </c>
      <c r="L427" s="48" t="s">
        <v>38</v>
      </c>
      <c r="M427" s="48" t="s">
        <v>37</v>
      </c>
      <c r="N427" s="48" t="s">
        <v>1436</v>
      </c>
      <c r="O427" s="48" t="s">
        <v>1436</v>
      </c>
      <c r="P427" s="48" t="s">
        <v>1436</v>
      </c>
      <c r="Q427" s="48" t="s">
        <v>38</v>
      </c>
      <c r="R427" s="48" t="s">
        <v>39</v>
      </c>
      <c r="S427" s="48" t="s">
        <v>40</v>
      </c>
      <c r="T427" s="48" t="s">
        <v>41</v>
      </c>
      <c r="U427" s="48" t="s">
        <v>1436</v>
      </c>
      <c r="V427" s="48" t="s">
        <v>1436</v>
      </c>
      <c r="W427" s="48" t="s">
        <v>1436</v>
      </c>
      <c r="X427" s="49" t="s">
        <v>193</v>
      </c>
      <c r="Y427" s="48" t="s">
        <v>1194</v>
      </c>
      <c r="Z427" s="49" t="s">
        <v>1321</v>
      </c>
      <c r="AA427" s="48" t="s">
        <v>1324</v>
      </c>
      <c r="AB427" s="48" t="s">
        <v>1325</v>
      </c>
      <c r="AC427" s="48" t="s">
        <v>1239</v>
      </c>
      <c r="AD427" s="48" t="s">
        <v>1231</v>
      </c>
      <c r="AE427" s="48" t="s">
        <v>1669</v>
      </c>
      <c r="AF427" s="48" t="s">
        <v>1436</v>
      </c>
      <c r="AG427" s="48" t="s">
        <v>1436</v>
      </c>
      <c r="AH427" s="48" t="s">
        <v>208</v>
      </c>
      <c r="AI427" s="50">
        <v>44562</v>
      </c>
      <c r="AJ427" s="50">
        <v>46387</v>
      </c>
      <c r="AK427" s="49" t="s">
        <v>1280</v>
      </c>
      <c r="AL427" s="48" t="s">
        <v>36</v>
      </c>
      <c r="AM427" s="48" t="s">
        <v>36</v>
      </c>
      <c r="AN427" s="51">
        <v>0</v>
      </c>
      <c r="AO427" s="51"/>
      <c r="AP427" s="51"/>
      <c r="AQ427" s="72">
        <v>1600000</v>
      </c>
      <c r="AR427" s="72">
        <v>50000</v>
      </c>
      <c r="AS427" s="50">
        <v>46387</v>
      </c>
      <c r="AT427" s="50" t="s">
        <v>1436</v>
      </c>
      <c r="AU427" s="49" t="s">
        <v>1436</v>
      </c>
      <c r="AV427" s="49" t="s">
        <v>1670</v>
      </c>
      <c r="AW427" s="48" t="s">
        <v>1244</v>
      </c>
    </row>
    <row r="428" spans="1:49" x14ac:dyDescent="0.3">
      <c r="A428" s="48" t="s">
        <v>1320</v>
      </c>
      <c r="B428" s="48" t="s">
        <v>6</v>
      </c>
      <c r="C428" s="48" t="s">
        <v>1322</v>
      </c>
      <c r="D428" s="50">
        <v>45808</v>
      </c>
      <c r="E428" s="48" t="s">
        <v>36</v>
      </c>
      <c r="F428" s="48" t="s">
        <v>1438</v>
      </c>
      <c r="G428" s="48" t="s">
        <v>1439</v>
      </c>
      <c r="H428" s="49" t="s">
        <v>1440</v>
      </c>
      <c r="I428" s="48" t="s">
        <v>1406</v>
      </c>
      <c r="J428" s="48" t="s">
        <v>1194</v>
      </c>
      <c r="K428" s="48" t="s">
        <v>1441</v>
      </c>
      <c r="L428" s="48" t="s">
        <v>38</v>
      </c>
      <c r="M428" s="48" t="s">
        <v>37</v>
      </c>
      <c r="N428" s="48" t="s">
        <v>1436</v>
      </c>
      <c r="O428" s="48" t="s">
        <v>1436</v>
      </c>
      <c r="P428" s="48" t="s">
        <v>1436</v>
      </c>
      <c r="Q428" s="48" t="s">
        <v>38</v>
      </c>
      <c r="R428" s="48" t="s">
        <v>39</v>
      </c>
      <c r="S428" s="48" t="s">
        <v>1194</v>
      </c>
      <c r="T428" s="48" t="s">
        <v>41</v>
      </c>
      <c r="U428" s="48" t="s">
        <v>1436</v>
      </c>
      <c r="V428" s="48" t="s">
        <v>1436</v>
      </c>
      <c r="W428" s="48" t="s">
        <v>1436</v>
      </c>
      <c r="X428" s="49" t="s">
        <v>193</v>
      </c>
      <c r="Y428" s="48" t="s">
        <v>1194</v>
      </c>
      <c r="Z428" s="49" t="s">
        <v>1321</v>
      </c>
      <c r="AA428" s="48" t="s">
        <v>1324</v>
      </c>
      <c r="AB428" s="48" t="s">
        <v>1325</v>
      </c>
      <c r="AC428" s="48" t="s">
        <v>1239</v>
      </c>
      <c r="AD428" s="48" t="s">
        <v>1231</v>
      </c>
      <c r="AE428" s="48" t="s">
        <v>1669</v>
      </c>
      <c r="AF428" s="48" t="s">
        <v>1436</v>
      </c>
      <c r="AG428" s="48" t="s">
        <v>1436</v>
      </c>
      <c r="AH428" s="48" t="s">
        <v>208</v>
      </c>
      <c r="AI428" s="50">
        <v>44562</v>
      </c>
      <c r="AJ428" s="50">
        <v>46387</v>
      </c>
      <c r="AK428" s="49" t="s">
        <v>1280</v>
      </c>
      <c r="AL428" s="48" t="s">
        <v>36</v>
      </c>
      <c r="AM428" s="48" t="s">
        <v>36</v>
      </c>
      <c r="AN428" s="51">
        <v>0</v>
      </c>
      <c r="AO428" s="51"/>
      <c r="AP428" s="51"/>
      <c r="AQ428" s="72">
        <v>1600000</v>
      </c>
      <c r="AR428" s="72">
        <v>50000</v>
      </c>
      <c r="AS428" s="50">
        <v>46387</v>
      </c>
      <c r="AT428" s="50" t="s">
        <v>1436</v>
      </c>
      <c r="AU428" s="49" t="s">
        <v>1436</v>
      </c>
      <c r="AV428" s="49" t="s">
        <v>1670</v>
      </c>
      <c r="AW428" s="48" t="s">
        <v>1244</v>
      </c>
    </row>
    <row r="429" spans="1:49" x14ac:dyDescent="0.3">
      <c r="A429" s="48" t="s">
        <v>1320</v>
      </c>
      <c r="B429" s="48" t="s">
        <v>6</v>
      </c>
      <c r="C429" s="48" t="s">
        <v>1322</v>
      </c>
      <c r="D429" s="50">
        <v>45808</v>
      </c>
      <c r="E429" s="48" t="s">
        <v>36</v>
      </c>
      <c r="F429" s="48" t="s">
        <v>1438</v>
      </c>
      <c r="G429" s="48" t="s">
        <v>1439</v>
      </c>
      <c r="H429" s="49" t="s">
        <v>1442</v>
      </c>
      <c r="I429" s="48" t="s">
        <v>1405</v>
      </c>
      <c r="J429" s="48" t="s">
        <v>1194</v>
      </c>
      <c r="K429" s="48" t="s">
        <v>1443</v>
      </c>
      <c r="L429" s="48" t="s">
        <v>38</v>
      </c>
      <c r="M429" s="48" t="s">
        <v>37</v>
      </c>
      <c r="N429" s="48" t="s">
        <v>1436</v>
      </c>
      <c r="O429" s="48" t="s">
        <v>1436</v>
      </c>
      <c r="P429" s="48" t="s">
        <v>1436</v>
      </c>
      <c r="Q429" s="48" t="s">
        <v>38</v>
      </c>
      <c r="R429" s="48" t="s">
        <v>39</v>
      </c>
      <c r="S429" s="48" t="s">
        <v>1194</v>
      </c>
      <c r="T429" s="48" t="s">
        <v>41</v>
      </c>
      <c r="U429" s="48" t="s">
        <v>1436</v>
      </c>
      <c r="V429" s="48" t="s">
        <v>1436</v>
      </c>
      <c r="W429" s="48" t="s">
        <v>1436</v>
      </c>
      <c r="X429" s="49" t="s">
        <v>193</v>
      </c>
      <c r="Y429" s="48" t="s">
        <v>1194</v>
      </c>
      <c r="Z429" s="49" t="s">
        <v>1321</v>
      </c>
      <c r="AA429" s="48" t="s">
        <v>1324</v>
      </c>
      <c r="AB429" s="48" t="s">
        <v>1325</v>
      </c>
      <c r="AC429" s="48" t="s">
        <v>1239</v>
      </c>
      <c r="AD429" s="48" t="s">
        <v>1231</v>
      </c>
      <c r="AE429" s="48" t="s">
        <v>1669</v>
      </c>
      <c r="AF429" s="48" t="s">
        <v>1436</v>
      </c>
      <c r="AG429" s="48" t="s">
        <v>1436</v>
      </c>
      <c r="AH429" s="48" t="s">
        <v>208</v>
      </c>
      <c r="AI429" s="50">
        <v>44562</v>
      </c>
      <c r="AJ429" s="50">
        <v>46387</v>
      </c>
      <c r="AK429" s="49" t="s">
        <v>1280</v>
      </c>
      <c r="AL429" s="48" t="s">
        <v>36</v>
      </c>
      <c r="AM429" s="48" t="s">
        <v>36</v>
      </c>
      <c r="AN429" s="51">
        <v>0</v>
      </c>
      <c r="AO429" s="51"/>
      <c r="AP429" s="51"/>
      <c r="AQ429" s="72">
        <v>1600000</v>
      </c>
      <c r="AR429" s="72">
        <v>50000</v>
      </c>
      <c r="AS429" s="50">
        <v>46387</v>
      </c>
      <c r="AT429" s="50" t="s">
        <v>1436</v>
      </c>
      <c r="AU429" s="49" t="s">
        <v>1436</v>
      </c>
      <c r="AV429" s="49" t="s">
        <v>1670</v>
      </c>
      <c r="AW429" s="48" t="s">
        <v>1244</v>
      </c>
    </row>
    <row r="430" spans="1:49" x14ac:dyDescent="0.3">
      <c r="A430" s="48" t="s">
        <v>1320</v>
      </c>
      <c r="B430" s="48" t="s">
        <v>6</v>
      </c>
      <c r="C430" s="48" t="s">
        <v>1322</v>
      </c>
      <c r="D430" s="50">
        <v>45808</v>
      </c>
      <c r="E430" s="48" t="s">
        <v>36</v>
      </c>
      <c r="F430" s="48" t="s">
        <v>1438</v>
      </c>
      <c r="G430" s="48" t="s">
        <v>1444</v>
      </c>
      <c r="H430" s="49" t="s">
        <v>1445</v>
      </c>
      <c r="I430" s="48" t="s">
        <v>1411</v>
      </c>
      <c r="J430" s="48" t="s">
        <v>40</v>
      </c>
      <c r="K430" s="48" t="s">
        <v>50</v>
      </c>
      <c r="L430" s="48" t="s">
        <v>38</v>
      </c>
      <c r="M430" s="48" t="s">
        <v>37</v>
      </c>
      <c r="N430" s="48" t="s">
        <v>1436</v>
      </c>
      <c r="O430" s="48" t="s">
        <v>1436</v>
      </c>
      <c r="P430" s="48" t="s">
        <v>1436</v>
      </c>
      <c r="Q430" s="48" t="s">
        <v>38</v>
      </c>
      <c r="R430" s="48" t="s">
        <v>39</v>
      </c>
      <c r="S430" s="48" t="s">
        <v>40</v>
      </c>
      <c r="T430" s="48" t="s">
        <v>41</v>
      </c>
      <c r="U430" s="48" t="s">
        <v>1436</v>
      </c>
      <c r="V430" s="48" t="s">
        <v>1436</v>
      </c>
      <c r="W430" s="48" t="s">
        <v>1436</v>
      </c>
      <c r="X430" s="49" t="s">
        <v>193</v>
      </c>
      <c r="Y430" s="48" t="s">
        <v>1194</v>
      </c>
      <c r="Z430" s="49" t="s">
        <v>1321</v>
      </c>
      <c r="AA430" s="48" t="s">
        <v>1324</v>
      </c>
      <c r="AB430" s="48" t="s">
        <v>1325</v>
      </c>
      <c r="AC430" s="48" t="s">
        <v>1239</v>
      </c>
      <c r="AD430" s="48" t="s">
        <v>1231</v>
      </c>
      <c r="AE430" s="48" t="s">
        <v>1669</v>
      </c>
      <c r="AF430" s="48" t="s">
        <v>1436</v>
      </c>
      <c r="AG430" s="48" t="s">
        <v>1436</v>
      </c>
      <c r="AH430" s="48" t="s">
        <v>208</v>
      </c>
      <c r="AI430" s="50">
        <v>44562</v>
      </c>
      <c r="AJ430" s="50">
        <v>46387</v>
      </c>
      <c r="AK430" s="49" t="s">
        <v>1280</v>
      </c>
      <c r="AL430" s="48" t="s">
        <v>36</v>
      </c>
      <c r="AM430" s="48" t="s">
        <v>36</v>
      </c>
      <c r="AN430" s="51">
        <v>42330.49</v>
      </c>
      <c r="AO430" s="51"/>
      <c r="AP430" s="51"/>
      <c r="AQ430" s="72">
        <v>1600000</v>
      </c>
      <c r="AR430" s="72">
        <v>50000</v>
      </c>
      <c r="AS430" s="50">
        <v>46387</v>
      </c>
      <c r="AT430" s="50" t="s">
        <v>1436</v>
      </c>
      <c r="AU430" s="49" t="s">
        <v>1436</v>
      </c>
      <c r="AV430" s="49" t="s">
        <v>1670</v>
      </c>
      <c r="AW430" s="48" t="s">
        <v>1244</v>
      </c>
    </row>
    <row r="431" spans="1:49" x14ac:dyDescent="0.3">
      <c r="A431" s="48" t="s">
        <v>1320</v>
      </c>
      <c r="B431" s="48" t="s">
        <v>6</v>
      </c>
      <c r="C431" s="48" t="s">
        <v>1322</v>
      </c>
      <c r="D431" s="50">
        <v>45808</v>
      </c>
      <c r="E431" s="48" t="s">
        <v>36</v>
      </c>
      <c r="F431" s="48" t="s">
        <v>1438</v>
      </c>
      <c r="G431" s="48" t="s">
        <v>1444</v>
      </c>
      <c r="H431" s="49" t="s">
        <v>1446</v>
      </c>
      <c r="I431" s="48" t="s">
        <v>1407</v>
      </c>
      <c r="J431" s="48" t="s">
        <v>40</v>
      </c>
      <c r="K431" s="48" t="s">
        <v>47</v>
      </c>
      <c r="L431" s="48" t="s">
        <v>38</v>
      </c>
      <c r="M431" s="48" t="s">
        <v>37</v>
      </c>
      <c r="N431" s="48" t="s">
        <v>1436</v>
      </c>
      <c r="O431" s="48" t="s">
        <v>1436</v>
      </c>
      <c r="P431" s="48" t="s">
        <v>1436</v>
      </c>
      <c r="Q431" s="48" t="s">
        <v>38</v>
      </c>
      <c r="R431" s="48" t="s">
        <v>39</v>
      </c>
      <c r="S431" s="48" t="s">
        <v>40</v>
      </c>
      <c r="T431" s="48" t="s">
        <v>41</v>
      </c>
      <c r="U431" s="48" t="s">
        <v>1436</v>
      </c>
      <c r="V431" s="48" t="s">
        <v>1436</v>
      </c>
      <c r="W431" s="48" t="s">
        <v>1436</v>
      </c>
      <c r="X431" s="49" t="s">
        <v>193</v>
      </c>
      <c r="Y431" s="48" t="s">
        <v>1194</v>
      </c>
      <c r="Z431" s="49" t="s">
        <v>1321</v>
      </c>
      <c r="AA431" s="48" t="s">
        <v>1324</v>
      </c>
      <c r="AB431" s="48" t="s">
        <v>1325</v>
      </c>
      <c r="AC431" s="48" t="s">
        <v>1239</v>
      </c>
      <c r="AD431" s="48" t="s">
        <v>1231</v>
      </c>
      <c r="AE431" s="48" t="s">
        <v>1669</v>
      </c>
      <c r="AF431" s="48" t="s">
        <v>1436</v>
      </c>
      <c r="AG431" s="48" t="s">
        <v>1436</v>
      </c>
      <c r="AH431" s="48" t="s">
        <v>208</v>
      </c>
      <c r="AI431" s="50">
        <v>44562</v>
      </c>
      <c r="AJ431" s="50">
        <v>46387</v>
      </c>
      <c r="AK431" s="49" t="s">
        <v>1280</v>
      </c>
      <c r="AL431" s="48" t="s">
        <v>36</v>
      </c>
      <c r="AM431" s="48" t="s">
        <v>36</v>
      </c>
      <c r="AN431" s="51">
        <v>5231.1903259999999</v>
      </c>
      <c r="AO431" s="51"/>
      <c r="AP431" s="51"/>
      <c r="AQ431" s="72">
        <v>1600000</v>
      </c>
      <c r="AR431" s="72">
        <v>50000</v>
      </c>
      <c r="AS431" s="50">
        <v>46387</v>
      </c>
      <c r="AT431" s="50" t="s">
        <v>1436</v>
      </c>
      <c r="AU431" s="49" t="s">
        <v>1436</v>
      </c>
      <c r="AV431" s="49" t="s">
        <v>1670</v>
      </c>
      <c r="AW431" s="48" t="s">
        <v>1244</v>
      </c>
    </row>
    <row r="432" spans="1:49" x14ac:dyDescent="0.3">
      <c r="A432" s="48" t="s">
        <v>1320</v>
      </c>
      <c r="B432" s="48" t="s">
        <v>6</v>
      </c>
      <c r="C432" s="48" t="s">
        <v>1322</v>
      </c>
      <c r="D432" s="50">
        <v>45808</v>
      </c>
      <c r="E432" s="48" t="s">
        <v>36</v>
      </c>
      <c r="F432" s="48" t="s">
        <v>1433</v>
      </c>
      <c r="G432" s="48" t="s">
        <v>1447</v>
      </c>
      <c r="H432" s="49" t="s">
        <v>1448</v>
      </c>
      <c r="I432" s="48" t="s">
        <v>1413</v>
      </c>
      <c r="J432" s="48" t="s">
        <v>40</v>
      </c>
      <c r="K432" s="48" t="s">
        <v>58</v>
      </c>
      <c r="L432" s="48" t="s">
        <v>38</v>
      </c>
      <c r="M432" s="48" t="s">
        <v>37</v>
      </c>
      <c r="N432" s="48" t="s">
        <v>1436</v>
      </c>
      <c r="O432" s="48" t="s">
        <v>1436</v>
      </c>
      <c r="P432" s="48" t="s">
        <v>1436</v>
      </c>
      <c r="Q432" s="48" t="s">
        <v>38</v>
      </c>
      <c r="R432" s="48" t="s">
        <v>39</v>
      </c>
      <c r="S432" s="48" t="s">
        <v>40</v>
      </c>
      <c r="T432" s="48" t="s">
        <v>41</v>
      </c>
      <c r="U432" s="48" t="s">
        <v>1436</v>
      </c>
      <c r="V432" s="48" t="s">
        <v>1436</v>
      </c>
      <c r="W432" s="48" t="s">
        <v>1436</v>
      </c>
      <c r="X432" s="49" t="s">
        <v>193</v>
      </c>
      <c r="Y432" s="48" t="s">
        <v>1194</v>
      </c>
      <c r="Z432" s="49" t="s">
        <v>1321</v>
      </c>
      <c r="AA432" s="48" t="s">
        <v>1324</v>
      </c>
      <c r="AB432" s="48" t="s">
        <v>1325</v>
      </c>
      <c r="AC432" s="48" t="s">
        <v>1239</v>
      </c>
      <c r="AD432" s="48" t="s">
        <v>1231</v>
      </c>
      <c r="AE432" s="48" t="s">
        <v>1669</v>
      </c>
      <c r="AF432" s="48" t="s">
        <v>1436</v>
      </c>
      <c r="AG432" s="48" t="s">
        <v>1436</v>
      </c>
      <c r="AH432" s="48" t="s">
        <v>208</v>
      </c>
      <c r="AI432" s="50">
        <v>44562</v>
      </c>
      <c r="AJ432" s="50">
        <v>46387</v>
      </c>
      <c r="AK432" s="49" t="s">
        <v>1280</v>
      </c>
      <c r="AL432" s="48" t="s">
        <v>36</v>
      </c>
      <c r="AM432" s="48" t="s">
        <v>36</v>
      </c>
      <c r="AN432" s="51">
        <v>-50000</v>
      </c>
      <c r="AO432" s="51"/>
      <c r="AP432" s="51"/>
      <c r="AQ432" s="72">
        <v>1600000</v>
      </c>
      <c r="AR432" s="72">
        <v>50000</v>
      </c>
      <c r="AS432" s="50">
        <v>46387</v>
      </c>
      <c r="AT432" s="50" t="s">
        <v>1436</v>
      </c>
      <c r="AU432" s="49" t="s">
        <v>1436</v>
      </c>
      <c r="AV432" s="49" t="s">
        <v>1670</v>
      </c>
      <c r="AW432" s="48" t="s">
        <v>1244</v>
      </c>
    </row>
    <row r="433" spans="1:49" x14ac:dyDescent="0.3">
      <c r="A433" s="48" t="s">
        <v>1320</v>
      </c>
      <c r="B433" s="48" t="s">
        <v>6</v>
      </c>
      <c r="C433" s="48" t="s">
        <v>1322</v>
      </c>
      <c r="D433" s="50">
        <v>45808</v>
      </c>
      <c r="E433" s="48" t="s">
        <v>36</v>
      </c>
      <c r="F433" s="48" t="s">
        <v>1433</v>
      </c>
      <c r="G433" s="48" t="s">
        <v>1447</v>
      </c>
      <c r="H433" s="49" t="s">
        <v>1449</v>
      </c>
      <c r="I433" s="48" t="s">
        <v>1409</v>
      </c>
      <c r="J433" s="48" t="s">
        <v>40</v>
      </c>
      <c r="K433" s="48" t="s">
        <v>45</v>
      </c>
      <c r="L433" s="48" t="s">
        <v>38</v>
      </c>
      <c r="M433" s="48" t="s">
        <v>37</v>
      </c>
      <c r="N433" s="48" t="s">
        <v>1436</v>
      </c>
      <c r="O433" s="48" t="s">
        <v>1436</v>
      </c>
      <c r="P433" s="48" t="s">
        <v>1436</v>
      </c>
      <c r="Q433" s="48" t="s">
        <v>38</v>
      </c>
      <c r="R433" s="48" t="s">
        <v>39</v>
      </c>
      <c r="S433" s="48" t="s">
        <v>40</v>
      </c>
      <c r="T433" s="48" t="s">
        <v>41</v>
      </c>
      <c r="U433" s="48" t="s">
        <v>1436</v>
      </c>
      <c r="V433" s="48" t="s">
        <v>1436</v>
      </c>
      <c r="W433" s="48" t="s">
        <v>1436</v>
      </c>
      <c r="X433" s="49" t="s">
        <v>193</v>
      </c>
      <c r="Y433" s="48" t="s">
        <v>1194</v>
      </c>
      <c r="Z433" s="49" t="s">
        <v>1321</v>
      </c>
      <c r="AA433" s="48" t="s">
        <v>1324</v>
      </c>
      <c r="AB433" s="48" t="s">
        <v>1325</v>
      </c>
      <c r="AC433" s="48" t="s">
        <v>1239</v>
      </c>
      <c r="AD433" s="48" t="s">
        <v>1231</v>
      </c>
      <c r="AE433" s="48" t="s">
        <v>1669</v>
      </c>
      <c r="AF433" s="48" t="s">
        <v>1436</v>
      </c>
      <c r="AG433" s="48" t="s">
        <v>1436</v>
      </c>
      <c r="AH433" s="48" t="s">
        <v>208</v>
      </c>
      <c r="AI433" s="50">
        <v>44562</v>
      </c>
      <c r="AJ433" s="50">
        <v>46387</v>
      </c>
      <c r="AK433" s="49" t="s">
        <v>1280</v>
      </c>
      <c r="AL433" s="48" t="s">
        <v>36</v>
      </c>
      <c r="AM433" s="48" t="s">
        <v>36</v>
      </c>
      <c r="AN433" s="51">
        <v>47726.742832999997</v>
      </c>
      <c r="AO433" s="51"/>
      <c r="AP433" s="51"/>
      <c r="AQ433" s="72">
        <v>1600000</v>
      </c>
      <c r="AR433" s="72">
        <v>50000</v>
      </c>
      <c r="AS433" s="50">
        <v>46387</v>
      </c>
      <c r="AT433" s="50" t="s">
        <v>1436</v>
      </c>
      <c r="AU433" s="49" t="s">
        <v>1436</v>
      </c>
      <c r="AV433" s="49" t="s">
        <v>1670</v>
      </c>
      <c r="AW433" s="48" t="s">
        <v>1244</v>
      </c>
    </row>
    <row r="434" spans="1:49" x14ac:dyDescent="0.3">
      <c r="A434" s="48" t="s">
        <v>1320</v>
      </c>
      <c r="B434" s="48" t="s">
        <v>6</v>
      </c>
      <c r="C434" s="48" t="s">
        <v>1322</v>
      </c>
      <c r="D434" s="50">
        <v>45808</v>
      </c>
      <c r="E434" s="48" t="s">
        <v>36</v>
      </c>
      <c r="F434" s="48" t="s">
        <v>1433</v>
      </c>
      <c r="G434" s="48" t="s">
        <v>1447</v>
      </c>
      <c r="H434" s="49" t="s">
        <v>1450</v>
      </c>
      <c r="I434" s="48" t="s">
        <v>1408</v>
      </c>
      <c r="J434" s="48" t="s">
        <v>40</v>
      </c>
      <c r="K434" s="48" t="s">
        <v>54</v>
      </c>
      <c r="L434" s="48" t="s">
        <v>38</v>
      </c>
      <c r="M434" s="48" t="s">
        <v>37</v>
      </c>
      <c r="N434" s="48" t="s">
        <v>1436</v>
      </c>
      <c r="O434" s="48" t="s">
        <v>1436</v>
      </c>
      <c r="P434" s="48" t="s">
        <v>1436</v>
      </c>
      <c r="Q434" s="48" t="s">
        <v>38</v>
      </c>
      <c r="R434" s="48" t="s">
        <v>39</v>
      </c>
      <c r="S434" s="48" t="s">
        <v>40</v>
      </c>
      <c r="T434" s="48" t="s">
        <v>41</v>
      </c>
      <c r="U434" s="48" t="s">
        <v>1436</v>
      </c>
      <c r="V434" s="48" t="s">
        <v>1436</v>
      </c>
      <c r="W434" s="48" t="s">
        <v>1436</v>
      </c>
      <c r="X434" s="49" t="s">
        <v>193</v>
      </c>
      <c r="Y434" s="48" t="s">
        <v>1194</v>
      </c>
      <c r="Z434" s="49" t="s">
        <v>1321</v>
      </c>
      <c r="AA434" s="48" t="s">
        <v>1324</v>
      </c>
      <c r="AB434" s="48" t="s">
        <v>1325</v>
      </c>
      <c r="AC434" s="48" t="s">
        <v>1239</v>
      </c>
      <c r="AD434" s="48" t="s">
        <v>1231</v>
      </c>
      <c r="AE434" s="48" t="s">
        <v>1669</v>
      </c>
      <c r="AF434" s="48" t="s">
        <v>1436</v>
      </c>
      <c r="AG434" s="48" t="s">
        <v>1436</v>
      </c>
      <c r="AH434" s="48" t="s">
        <v>208</v>
      </c>
      <c r="AI434" s="50">
        <v>44562</v>
      </c>
      <c r="AJ434" s="50">
        <v>46387</v>
      </c>
      <c r="AK434" s="49" t="s">
        <v>1280</v>
      </c>
      <c r="AL434" s="48" t="s">
        <v>36</v>
      </c>
      <c r="AM434" s="48" t="s">
        <v>36</v>
      </c>
      <c r="AN434" s="51">
        <v>-3217.57</v>
      </c>
      <c r="AO434" s="51"/>
      <c r="AP434" s="51"/>
      <c r="AQ434" s="72">
        <v>1600000</v>
      </c>
      <c r="AR434" s="72">
        <v>50000</v>
      </c>
      <c r="AS434" s="50">
        <v>46387</v>
      </c>
      <c r="AT434" s="50" t="s">
        <v>1436</v>
      </c>
      <c r="AU434" s="49" t="s">
        <v>1436</v>
      </c>
      <c r="AV434" s="49" t="s">
        <v>1670</v>
      </c>
      <c r="AW434" s="48" t="s">
        <v>1244</v>
      </c>
    </row>
    <row r="435" spans="1:49" x14ac:dyDescent="0.3">
      <c r="A435" s="48" t="s">
        <v>1320</v>
      </c>
      <c r="B435" s="48" t="s">
        <v>6</v>
      </c>
      <c r="C435" s="48" t="s">
        <v>1322</v>
      </c>
      <c r="D435" s="50">
        <v>45808</v>
      </c>
      <c r="E435" s="48" t="s">
        <v>36</v>
      </c>
      <c r="F435" s="48" t="s">
        <v>1433</v>
      </c>
      <c r="G435" s="48" t="s">
        <v>1447</v>
      </c>
      <c r="H435" s="49" t="s">
        <v>1451</v>
      </c>
      <c r="I435" s="48" t="s">
        <v>1404</v>
      </c>
      <c r="J435" s="48" t="s">
        <v>38</v>
      </c>
      <c r="K435" s="48" t="s">
        <v>49</v>
      </c>
      <c r="L435" s="48" t="s">
        <v>38</v>
      </c>
      <c r="M435" s="48" t="s">
        <v>37</v>
      </c>
      <c r="N435" s="48" t="s">
        <v>1436</v>
      </c>
      <c r="O435" s="48" t="s">
        <v>1436</v>
      </c>
      <c r="P435" s="48" t="s">
        <v>1436</v>
      </c>
      <c r="Q435" s="48" t="s">
        <v>38</v>
      </c>
      <c r="R435" s="48" t="s">
        <v>39</v>
      </c>
      <c r="S435" s="48" t="s">
        <v>38</v>
      </c>
      <c r="T435" s="48" t="s">
        <v>41</v>
      </c>
      <c r="U435" s="48" t="s">
        <v>1436</v>
      </c>
      <c r="V435" s="48" t="s">
        <v>1436</v>
      </c>
      <c r="W435" s="48" t="s">
        <v>1436</v>
      </c>
      <c r="X435" s="49" t="s">
        <v>193</v>
      </c>
      <c r="Y435" s="48" t="s">
        <v>1194</v>
      </c>
      <c r="Z435" s="49" t="s">
        <v>1321</v>
      </c>
      <c r="AA435" s="48" t="s">
        <v>1324</v>
      </c>
      <c r="AB435" s="48" t="s">
        <v>1325</v>
      </c>
      <c r="AC435" s="48" t="s">
        <v>1239</v>
      </c>
      <c r="AD435" s="48" t="s">
        <v>1231</v>
      </c>
      <c r="AE435" s="48" t="s">
        <v>1669</v>
      </c>
      <c r="AF435" s="48" t="s">
        <v>1436</v>
      </c>
      <c r="AG435" s="48" t="s">
        <v>1436</v>
      </c>
      <c r="AH435" s="48" t="s">
        <v>208</v>
      </c>
      <c r="AI435" s="50">
        <v>44562</v>
      </c>
      <c r="AJ435" s="50">
        <v>46387</v>
      </c>
      <c r="AK435" s="49" t="s">
        <v>1280</v>
      </c>
      <c r="AL435" s="48" t="s">
        <v>36</v>
      </c>
      <c r="AM435" s="48" t="s">
        <v>36</v>
      </c>
      <c r="AN435" s="51">
        <v>259.636841</v>
      </c>
      <c r="AO435" s="51"/>
      <c r="AP435" s="51"/>
      <c r="AQ435" s="72">
        <v>1600000</v>
      </c>
      <c r="AR435" s="72">
        <v>50000</v>
      </c>
      <c r="AS435" s="50">
        <v>46387</v>
      </c>
      <c r="AT435" s="50" t="s">
        <v>1436</v>
      </c>
      <c r="AU435" s="49" t="s">
        <v>1436</v>
      </c>
      <c r="AV435" s="49" t="s">
        <v>1670</v>
      </c>
      <c r="AW435" s="48" t="s">
        <v>1244</v>
      </c>
    </row>
    <row r="436" spans="1:49" x14ac:dyDescent="0.3">
      <c r="A436" s="48" t="s">
        <v>1320</v>
      </c>
      <c r="B436" s="48" t="s">
        <v>6</v>
      </c>
      <c r="C436" s="48" t="s">
        <v>1322</v>
      </c>
      <c r="D436" s="50">
        <v>45838</v>
      </c>
      <c r="E436" s="48" t="s">
        <v>36</v>
      </c>
      <c r="F436" s="48" t="s">
        <v>1433</v>
      </c>
      <c r="G436" s="48" t="s">
        <v>1434</v>
      </c>
      <c r="H436" s="49" t="s">
        <v>1435</v>
      </c>
      <c r="I436" s="48" t="s">
        <v>1412</v>
      </c>
      <c r="J436" s="48" t="s">
        <v>40</v>
      </c>
      <c r="K436" s="48" t="s">
        <v>52</v>
      </c>
      <c r="L436" s="48" t="s">
        <v>38</v>
      </c>
      <c r="M436" s="48" t="s">
        <v>37</v>
      </c>
      <c r="N436" s="48" t="s">
        <v>1436</v>
      </c>
      <c r="O436" s="48" t="s">
        <v>1436</v>
      </c>
      <c r="P436" s="48" t="s">
        <v>1436</v>
      </c>
      <c r="Q436" s="48" t="s">
        <v>38</v>
      </c>
      <c r="R436" s="48" t="s">
        <v>39</v>
      </c>
      <c r="S436" s="48" t="s">
        <v>40</v>
      </c>
      <c r="T436" s="48" t="s">
        <v>41</v>
      </c>
      <c r="U436" s="48" t="s">
        <v>1436</v>
      </c>
      <c r="V436" s="48" t="s">
        <v>1436</v>
      </c>
      <c r="W436" s="48" t="s">
        <v>1436</v>
      </c>
      <c r="X436" s="49" t="s">
        <v>193</v>
      </c>
      <c r="Y436" s="48" t="s">
        <v>1194</v>
      </c>
      <c r="Z436" s="49" t="s">
        <v>1321</v>
      </c>
      <c r="AA436" s="48" t="s">
        <v>1324</v>
      </c>
      <c r="AB436" s="48" t="s">
        <v>1325</v>
      </c>
      <c r="AC436" s="48" t="s">
        <v>1239</v>
      </c>
      <c r="AD436" s="48" t="s">
        <v>1231</v>
      </c>
      <c r="AE436" s="48" t="s">
        <v>1669</v>
      </c>
      <c r="AF436" s="48" t="s">
        <v>1436</v>
      </c>
      <c r="AG436" s="48" t="s">
        <v>1436</v>
      </c>
      <c r="AH436" s="48" t="s">
        <v>208</v>
      </c>
      <c r="AI436" s="50">
        <v>44562</v>
      </c>
      <c r="AJ436" s="50">
        <v>46387</v>
      </c>
      <c r="AK436" s="49" t="s">
        <v>1280</v>
      </c>
      <c r="AL436" s="48" t="s">
        <v>36</v>
      </c>
      <c r="AM436" s="48" t="s">
        <v>36</v>
      </c>
      <c r="AN436" s="51">
        <v>-42330.49</v>
      </c>
      <c r="AO436" s="51"/>
      <c r="AP436" s="51"/>
      <c r="AQ436" s="72">
        <v>1600000</v>
      </c>
      <c r="AR436" s="72">
        <v>50000</v>
      </c>
      <c r="AS436" s="50">
        <v>46387</v>
      </c>
      <c r="AT436" s="50" t="s">
        <v>1436</v>
      </c>
      <c r="AU436" s="49" t="s">
        <v>1436</v>
      </c>
      <c r="AV436" s="49" t="s">
        <v>1670</v>
      </c>
      <c r="AW436" s="48" t="s">
        <v>1244</v>
      </c>
    </row>
    <row r="437" spans="1:49" x14ac:dyDescent="0.3">
      <c r="A437" s="48" t="s">
        <v>1320</v>
      </c>
      <c r="B437" s="48" t="s">
        <v>6</v>
      </c>
      <c r="C437" s="48" t="s">
        <v>1322</v>
      </c>
      <c r="D437" s="50">
        <v>45838</v>
      </c>
      <c r="E437" s="48" t="s">
        <v>36</v>
      </c>
      <c r="F437" s="48" t="s">
        <v>1433</v>
      </c>
      <c r="G437" s="48" t="s">
        <v>1434</v>
      </c>
      <c r="H437" s="49" t="s">
        <v>1437</v>
      </c>
      <c r="I437" s="48" t="s">
        <v>1410</v>
      </c>
      <c r="J437" s="48" t="s">
        <v>40</v>
      </c>
      <c r="K437" s="48" t="s">
        <v>42</v>
      </c>
      <c r="L437" s="48" t="s">
        <v>38</v>
      </c>
      <c r="M437" s="48" t="s">
        <v>37</v>
      </c>
      <c r="N437" s="48" t="s">
        <v>1436</v>
      </c>
      <c r="O437" s="48" t="s">
        <v>1436</v>
      </c>
      <c r="P437" s="48" t="s">
        <v>1436</v>
      </c>
      <c r="Q437" s="48" t="s">
        <v>38</v>
      </c>
      <c r="R437" s="48" t="s">
        <v>39</v>
      </c>
      <c r="S437" s="48" t="s">
        <v>40</v>
      </c>
      <c r="T437" s="48" t="s">
        <v>41</v>
      </c>
      <c r="U437" s="48" t="s">
        <v>1436</v>
      </c>
      <c r="V437" s="48" t="s">
        <v>1436</v>
      </c>
      <c r="W437" s="48" t="s">
        <v>1436</v>
      </c>
      <c r="X437" s="49" t="s">
        <v>193</v>
      </c>
      <c r="Y437" s="48" t="s">
        <v>1194</v>
      </c>
      <c r="Z437" s="49" t="s">
        <v>1321</v>
      </c>
      <c r="AA437" s="48" t="s">
        <v>1324</v>
      </c>
      <c r="AB437" s="48" t="s">
        <v>1325</v>
      </c>
      <c r="AC437" s="48" t="s">
        <v>1239</v>
      </c>
      <c r="AD437" s="48" t="s">
        <v>1231</v>
      </c>
      <c r="AE437" s="48" t="s">
        <v>1669</v>
      </c>
      <c r="AF437" s="48" t="s">
        <v>1436</v>
      </c>
      <c r="AG437" s="48" t="s">
        <v>1436</v>
      </c>
      <c r="AH437" s="48" t="s">
        <v>208</v>
      </c>
      <c r="AI437" s="50">
        <v>44562</v>
      </c>
      <c r="AJ437" s="50">
        <v>46387</v>
      </c>
      <c r="AK437" s="49" t="s">
        <v>1280</v>
      </c>
      <c r="AL437" s="48" t="s">
        <v>36</v>
      </c>
      <c r="AM437" s="48" t="s">
        <v>36</v>
      </c>
      <c r="AN437" s="51">
        <v>0</v>
      </c>
      <c r="AO437" s="51"/>
      <c r="AP437" s="51"/>
      <c r="AQ437" s="72">
        <v>1600000</v>
      </c>
      <c r="AR437" s="72">
        <v>50000</v>
      </c>
      <c r="AS437" s="50">
        <v>46387</v>
      </c>
      <c r="AT437" s="50" t="s">
        <v>1436</v>
      </c>
      <c r="AU437" s="49" t="s">
        <v>1436</v>
      </c>
      <c r="AV437" s="49" t="s">
        <v>1670</v>
      </c>
      <c r="AW437" s="48" t="s">
        <v>1244</v>
      </c>
    </row>
    <row r="438" spans="1:49" x14ac:dyDescent="0.3">
      <c r="A438" s="48" t="s">
        <v>1320</v>
      </c>
      <c r="B438" s="48" t="s">
        <v>6</v>
      </c>
      <c r="C438" s="48" t="s">
        <v>1322</v>
      </c>
      <c r="D438" s="50">
        <v>45838</v>
      </c>
      <c r="E438" s="48" t="s">
        <v>36</v>
      </c>
      <c r="F438" s="48" t="s">
        <v>1438</v>
      </c>
      <c r="G438" s="48" t="s">
        <v>1439</v>
      </c>
      <c r="H438" s="49" t="s">
        <v>1440</v>
      </c>
      <c r="I438" s="48" t="s">
        <v>1406</v>
      </c>
      <c r="J438" s="48" t="s">
        <v>1194</v>
      </c>
      <c r="K438" s="48" t="s">
        <v>1441</v>
      </c>
      <c r="L438" s="48" t="s">
        <v>38</v>
      </c>
      <c r="M438" s="48" t="s">
        <v>37</v>
      </c>
      <c r="N438" s="48" t="s">
        <v>1436</v>
      </c>
      <c r="O438" s="48" t="s">
        <v>1436</v>
      </c>
      <c r="P438" s="48" t="s">
        <v>1436</v>
      </c>
      <c r="Q438" s="48" t="s">
        <v>38</v>
      </c>
      <c r="R438" s="48" t="s">
        <v>39</v>
      </c>
      <c r="S438" s="48" t="s">
        <v>1194</v>
      </c>
      <c r="T438" s="48" t="s">
        <v>41</v>
      </c>
      <c r="U438" s="48" t="s">
        <v>1436</v>
      </c>
      <c r="V438" s="48" t="s">
        <v>1436</v>
      </c>
      <c r="W438" s="48" t="s">
        <v>1436</v>
      </c>
      <c r="X438" s="49" t="s">
        <v>193</v>
      </c>
      <c r="Y438" s="48" t="s">
        <v>1194</v>
      </c>
      <c r="Z438" s="49" t="s">
        <v>1321</v>
      </c>
      <c r="AA438" s="48" t="s">
        <v>1324</v>
      </c>
      <c r="AB438" s="48" t="s">
        <v>1325</v>
      </c>
      <c r="AC438" s="48" t="s">
        <v>1239</v>
      </c>
      <c r="AD438" s="48" t="s">
        <v>1231</v>
      </c>
      <c r="AE438" s="48" t="s">
        <v>1669</v>
      </c>
      <c r="AF438" s="48" t="s">
        <v>1436</v>
      </c>
      <c r="AG438" s="48" t="s">
        <v>1436</v>
      </c>
      <c r="AH438" s="48" t="s">
        <v>208</v>
      </c>
      <c r="AI438" s="50">
        <v>44562</v>
      </c>
      <c r="AJ438" s="50">
        <v>46387</v>
      </c>
      <c r="AK438" s="49" t="s">
        <v>1280</v>
      </c>
      <c r="AL438" s="48" t="s">
        <v>36</v>
      </c>
      <c r="AM438" s="48" t="s">
        <v>36</v>
      </c>
      <c r="AN438" s="51">
        <v>0</v>
      </c>
      <c r="AO438" s="51"/>
      <c r="AP438" s="51"/>
      <c r="AQ438" s="72">
        <v>1600000</v>
      </c>
      <c r="AR438" s="72">
        <v>50000</v>
      </c>
      <c r="AS438" s="50">
        <v>46387</v>
      </c>
      <c r="AT438" s="50" t="s">
        <v>1436</v>
      </c>
      <c r="AU438" s="49" t="s">
        <v>1436</v>
      </c>
      <c r="AV438" s="49" t="s">
        <v>1670</v>
      </c>
      <c r="AW438" s="48" t="s">
        <v>1244</v>
      </c>
    </row>
    <row r="439" spans="1:49" x14ac:dyDescent="0.3">
      <c r="A439" s="48" t="s">
        <v>1320</v>
      </c>
      <c r="B439" s="48" t="s">
        <v>6</v>
      </c>
      <c r="C439" s="48" t="s">
        <v>1322</v>
      </c>
      <c r="D439" s="50">
        <v>45838</v>
      </c>
      <c r="E439" s="48" t="s">
        <v>36</v>
      </c>
      <c r="F439" s="48" t="s">
        <v>1438</v>
      </c>
      <c r="G439" s="48" t="s">
        <v>1439</v>
      </c>
      <c r="H439" s="49" t="s">
        <v>1442</v>
      </c>
      <c r="I439" s="48" t="s">
        <v>1405</v>
      </c>
      <c r="J439" s="48" t="s">
        <v>1194</v>
      </c>
      <c r="K439" s="48" t="s">
        <v>1443</v>
      </c>
      <c r="L439" s="48" t="s">
        <v>38</v>
      </c>
      <c r="M439" s="48" t="s">
        <v>37</v>
      </c>
      <c r="N439" s="48" t="s">
        <v>1436</v>
      </c>
      <c r="O439" s="48" t="s">
        <v>1436</v>
      </c>
      <c r="P439" s="48" t="s">
        <v>1436</v>
      </c>
      <c r="Q439" s="48" t="s">
        <v>38</v>
      </c>
      <c r="R439" s="48" t="s">
        <v>39</v>
      </c>
      <c r="S439" s="48" t="s">
        <v>1194</v>
      </c>
      <c r="T439" s="48" t="s">
        <v>41</v>
      </c>
      <c r="U439" s="48" t="s">
        <v>1436</v>
      </c>
      <c r="V439" s="48" t="s">
        <v>1436</v>
      </c>
      <c r="W439" s="48" t="s">
        <v>1436</v>
      </c>
      <c r="X439" s="49" t="s">
        <v>193</v>
      </c>
      <c r="Y439" s="48" t="s">
        <v>1194</v>
      </c>
      <c r="Z439" s="49" t="s">
        <v>1321</v>
      </c>
      <c r="AA439" s="48" t="s">
        <v>1324</v>
      </c>
      <c r="AB439" s="48" t="s">
        <v>1325</v>
      </c>
      <c r="AC439" s="48" t="s">
        <v>1239</v>
      </c>
      <c r="AD439" s="48" t="s">
        <v>1231</v>
      </c>
      <c r="AE439" s="48" t="s">
        <v>1669</v>
      </c>
      <c r="AF439" s="48" t="s">
        <v>1436</v>
      </c>
      <c r="AG439" s="48" t="s">
        <v>1436</v>
      </c>
      <c r="AH439" s="48" t="s">
        <v>208</v>
      </c>
      <c r="AI439" s="50">
        <v>44562</v>
      </c>
      <c r="AJ439" s="50">
        <v>46387</v>
      </c>
      <c r="AK439" s="49" t="s">
        <v>1280</v>
      </c>
      <c r="AL439" s="48" t="s">
        <v>36</v>
      </c>
      <c r="AM439" s="48" t="s">
        <v>36</v>
      </c>
      <c r="AN439" s="51">
        <v>0</v>
      </c>
      <c r="AO439" s="51"/>
      <c r="AP439" s="51"/>
      <c r="AQ439" s="72">
        <v>1600000</v>
      </c>
      <c r="AR439" s="72">
        <v>50000</v>
      </c>
      <c r="AS439" s="50">
        <v>46387</v>
      </c>
      <c r="AT439" s="50" t="s">
        <v>1436</v>
      </c>
      <c r="AU439" s="49" t="s">
        <v>1436</v>
      </c>
      <c r="AV439" s="49" t="s">
        <v>1670</v>
      </c>
      <c r="AW439" s="48" t="s">
        <v>1244</v>
      </c>
    </row>
    <row r="440" spans="1:49" x14ac:dyDescent="0.3">
      <c r="A440" s="48" t="s">
        <v>1320</v>
      </c>
      <c r="B440" s="48" t="s">
        <v>6</v>
      </c>
      <c r="C440" s="48" t="s">
        <v>1322</v>
      </c>
      <c r="D440" s="50">
        <v>45838</v>
      </c>
      <c r="E440" s="48" t="s">
        <v>36</v>
      </c>
      <c r="F440" s="48" t="s">
        <v>1438</v>
      </c>
      <c r="G440" s="48" t="s">
        <v>1444</v>
      </c>
      <c r="H440" s="49" t="s">
        <v>1445</v>
      </c>
      <c r="I440" s="48" t="s">
        <v>1411</v>
      </c>
      <c r="J440" s="48" t="s">
        <v>40</v>
      </c>
      <c r="K440" s="48" t="s">
        <v>50</v>
      </c>
      <c r="L440" s="48" t="s">
        <v>38</v>
      </c>
      <c r="M440" s="48" t="s">
        <v>37</v>
      </c>
      <c r="N440" s="48" t="s">
        <v>1436</v>
      </c>
      <c r="O440" s="48" t="s">
        <v>1436</v>
      </c>
      <c r="P440" s="48" t="s">
        <v>1436</v>
      </c>
      <c r="Q440" s="48" t="s">
        <v>38</v>
      </c>
      <c r="R440" s="48" t="s">
        <v>39</v>
      </c>
      <c r="S440" s="48" t="s">
        <v>40</v>
      </c>
      <c r="T440" s="48" t="s">
        <v>41</v>
      </c>
      <c r="U440" s="48" t="s">
        <v>1436</v>
      </c>
      <c r="V440" s="48" t="s">
        <v>1436</v>
      </c>
      <c r="W440" s="48" t="s">
        <v>1436</v>
      </c>
      <c r="X440" s="49" t="s">
        <v>193</v>
      </c>
      <c r="Y440" s="48" t="s">
        <v>1194</v>
      </c>
      <c r="Z440" s="49" t="s">
        <v>1321</v>
      </c>
      <c r="AA440" s="48" t="s">
        <v>1324</v>
      </c>
      <c r="AB440" s="48" t="s">
        <v>1325</v>
      </c>
      <c r="AC440" s="48" t="s">
        <v>1239</v>
      </c>
      <c r="AD440" s="48" t="s">
        <v>1231</v>
      </c>
      <c r="AE440" s="48" t="s">
        <v>1669</v>
      </c>
      <c r="AF440" s="48" t="s">
        <v>1436</v>
      </c>
      <c r="AG440" s="48" t="s">
        <v>1436</v>
      </c>
      <c r="AH440" s="48" t="s">
        <v>208</v>
      </c>
      <c r="AI440" s="50">
        <v>44562</v>
      </c>
      <c r="AJ440" s="50">
        <v>46387</v>
      </c>
      <c r="AK440" s="49" t="s">
        <v>1280</v>
      </c>
      <c r="AL440" s="48" t="s">
        <v>36</v>
      </c>
      <c r="AM440" s="48" t="s">
        <v>36</v>
      </c>
      <c r="AN440" s="51">
        <v>42330.49</v>
      </c>
      <c r="AO440" s="51"/>
      <c r="AP440" s="51"/>
      <c r="AQ440" s="72">
        <v>1600000</v>
      </c>
      <c r="AR440" s="72">
        <v>50000</v>
      </c>
      <c r="AS440" s="50">
        <v>46387</v>
      </c>
      <c r="AT440" s="50" t="s">
        <v>1436</v>
      </c>
      <c r="AU440" s="49" t="s">
        <v>1436</v>
      </c>
      <c r="AV440" s="49" t="s">
        <v>1670</v>
      </c>
      <c r="AW440" s="48" t="s">
        <v>1244</v>
      </c>
    </row>
    <row r="441" spans="1:49" x14ac:dyDescent="0.3">
      <c r="A441" s="48" t="s">
        <v>1320</v>
      </c>
      <c r="B441" s="48" t="s">
        <v>6</v>
      </c>
      <c r="C441" s="48" t="s">
        <v>1322</v>
      </c>
      <c r="D441" s="50">
        <v>45838</v>
      </c>
      <c r="E441" s="48" t="s">
        <v>36</v>
      </c>
      <c r="F441" s="48" t="s">
        <v>1438</v>
      </c>
      <c r="G441" s="48" t="s">
        <v>1444</v>
      </c>
      <c r="H441" s="49" t="s">
        <v>1446</v>
      </c>
      <c r="I441" s="48" t="s">
        <v>1407</v>
      </c>
      <c r="J441" s="48" t="s">
        <v>40</v>
      </c>
      <c r="K441" s="48" t="s">
        <v>47</v>
      </c>
      <c r="L441" s="48" t="s">
        <v>38</v>
      </c>
      <c r="M441" s="48" t="s">
        <v>37</v>
      </c>
      <c r="N441" s="48" t="s">
        <v>1436</v>
      </c>
      <c r="O441" s="48" t="s">
        <v>1436</v>
      </c>
      <c r="P441" s="48" t="s">
        <v>1436</v>
      </c>
      <c r="Q441" s="48" t="s">
        <v>38</v>
      </c>
      <c r="R441" s="48" t="s">
        <v>39</v>
      </c>
      <c r="S441" s="48" t="s">
        <v>40</v>
      </c>
      <c r="T441" s="48" t="s">
        <v>41</v>
      </c>
      <c r="U441" s="48" t="s">
        <v>1436</v>
      </c>
      <c r="V441" s="48" t="s">
        <v>1436</v>
      </c>
      <c r="W441" s="48" t="s">
        <v>1436</v>
      </c>
      <c r="X441" s="49" t="s">
        <v>193</v>
      </c>
      <c r="Y441" s="48" t="s">
        <v>1194</v>
      </c>
      <c r="Z441" s="49" t="s">
        <v>1321</v>
      </c>
      <c r="AA441" s="48" t="s">
        <v>1324</v>
      </c>
      <c r="AB441" s="48" t="s">
        <v>1325</v>
      </c>
      <c r="AC441" s="48" t="s">
        <v>1239</v>
      </c>
      <c r="AD441" s="48" t="s">
        <v>1231</v>
      </c>
      <c r="AE441" s="48" t="s">
        <v>1669</v>
      </c>
      <c r="AF441" s="48" t="s">
        <v>1436</v>
      </c>
      <c r="AG441" s="48" t="s">
        <v>1436</v>
      </c>
      <c r="AH441" s="48" t="s">
        <v>208</v>
      </c>
      <c r="AI441" s="50">
        <v>44562</v>
      </c>
      <c r="AJ441" s="50">
        <v>46387</v>
      </c>
      <c r="AK441" s="49" t="s">
        <v>1280</v>
      </c>
      <c r="AL441" s="48" t="s">
        <v>36</v>
      </c>
      <c r="AM441" s="48" t="s">
        <v>36</v>
      </c>
      <c r="AN441" s="51">
        <v>4970.0389359999999</v>
      </c>
      <c r="AO441" s="51"/>
      <c r="AP441" s="51"/>
      <c r="AQ441" s="72">
        <v>1600000</v>
      </c>
      <c r="AR441" s="72">
        <v>50000</v>
      </c>
      <c r="AS441" s="50">
        <v>46387</v>
      </c>
      <c r="AT441" s="50" t="s">
        <v>1436</v>
      </c>
      <c r="AU441" s="49" t="s">
        <v>1436</v>
      </c>
      <c r="AV441" s="49" t="s">
        <v>1670</v>
      </c>
      <c r="AW441" s="48" t="s">
        <v>1244</v>
      </c>
    </row>
    <row r="442" spans="1:49" x14ac:dyDescent="0.3">
      <c r="A442" s="48" t="s">
        <v>1320</v>
      </c>
      <c r="B442" s="48" t="s">
        <v>6</v>
      </c>
      <c r="C442" s="48" t="s">
        <v>1322</v>
      </c>
      <c r="D442" s="50">
        <v>45838</v>
      </c>
      <c r="E442" s="48" t="s">
        <v>36</v>
      </c>
      <c r="F442" s="48" t="s">
        <v>1433</v>
      </c>
      <c r="G442" s="48" t="s">
        <v>1447</v>
      </c>
      <c r="H442" s="49" t="s">
        <v>1448</v>
      </c>
      <c r="I442" s="48" t="s">
        <v>1413</v>
      </c>
      <c r="J442" s="48" t="s">
        <v>40</v>
      </c>
      <c r="K442" s="48" t="s">
        <v>58</v>
      </c>
      <c r="L442" s="48" t="s">
        <v>38</v>
      </c>
      <c r="M442" s="48" t="s">
        <v>37</v>
      </c>
      <c r="N442" s="48" t="s">
        <v>1436</v>
      </c>
      <c r="O442" s="48" t="s">
        <v>1436</v>
      </c>
      <c r="P442" s="48" t="s">
        <v>1436</v>
      </c>
      <c r="Q442" s="48" t="s">
        <v>38</v>
      </c>
      <c r="R442" s="48" t="s">
        <v>39</v>
      </c>
      <c r="S442" s="48" t="s">
        <v>40</v>
      </c>
      <c r="T442" s="48" t="s">
        <v>41</v>
      </c>
      <c r="U442" s="48" t="s">
        <v>1436</v>
      </c>
      <c r="V442" s="48" t="s">
        <v>1436</v>
      </c>
      <c r="W442" s="48" t="s">
        <v>1436</v>
      </c>
      <c r="X442" s="49" t="s">
        <v>193</v>
      </c>
      <c r="Y442" s="48" t="s">
        <v>1194</v>
      </c>
      <c r="Z442" s="49" t="s">
        <v>1321</v>
      </c>
      <c r="AA442" s="48" t="s">
        <v>1324</v>
      </c>
      <c r="AB442" s="48" t="s">
        <v>1325</v>
      </c>
      <c r="AC442" s="48" t="s">
        <v>1239</v>
      </c>
      <c r="AD442" s="48" t="s">
        <v>1231</v>
      </c>
      <c r="AE442" s="48" t="s">
        <v>1669</v>
      </c>
      <c r="AF442" s="48" t="s">
        <v>1436</v>
      </c>
      <c r="AG442" s="48" t="s">
        <v>1436</v>
      </c>
      <c r="AH442" s="48" t="s">
        <v>208</v>
      </c>
      <c r="AI442" s="50">
        <v>44562</v>
      </c>
      <c r="AJ442" s="50">
        <v>46387</v>
      </c>
      <c r="AK442" s="49" t="s">
        <v>1280</v>
      </c>
      <c r="AL442" s="48" t="s">
        <v>36</v>
      </c>
      <c r="AM442" s="48" t="s">
        <v>36</v>
      </c>
      <c r="AN442" s="51">
        <v>-50000</v>
      </c>
      <c r="AO442" s="51"/>
      <c r="AP442" s="51"/>
      <c r="AQ442" s="72">
        <v>1600000</v>
      </c>
      <c r="AR442" s="72">
        <v>50000</v>
      </c>
      <c r="AS442" s="50">
        <v>46387</v>
      </c>
      <c r="AT442" s="50" t="s">
        <v>1436</v>
      </c>
      <c r="AU442" s="49" t="s">
        <v>1436</v>
      </c>
      <c r="AV442" s="49" t="s">
        <v>1670</v>
      </c>
      <c r="AW442" s="48" t="s">
        <v>1244</v>
      </c>
    </row>
    <row r="443" spans="1:49" x14ac:dyDescent="0.3">
      <c r="A443" s="48" t="s">
        <v>1320</v>
      </c>
      <c r="B443" s="48" t="s">
        <v>6</v>
      </c>
      <c r="C443" s="48" t="s">
        <v>1322</v>
      </c>
      <c r="D443" s="50">
        <v>45838</v>
      </c>
      <c r="E443" s="48" t="s">
        <v>36</v>
      </c>
      <c r="F443" s="48" t="s">
        <v>1433</v>
      </c>
      <c r="G443" s="48" t="s">
        <v>1447</v>
      </c>
      <c r="H443" s="49" t="s">
        <v>1449</v>
      </c>
      <c r="I443" s="48" t="s">
        <v>1409</v>
      </c>
      <c r="J443" s="48" t="s">
        <v>40</v>
      </c>
      <c r="K443" s="48" t="s">
        <v>45</v>
      </c>
      <c r="L443" s="48" t="s">
        <v>38</v>
      </c>
      <c r="M443" s="48" t="s">
        <v>37</v>
      </c>
      <c r="N443" s="48" t="s">
        <v>1436</v>
      </c>
      <c r="O443" s="48" t="s">
        <v>1436</v>
      </c>
      <c r="P443" s="48" t="s">
        <v>1436</v>
      </c>
      <c r="Q443" s="48" t="s">
        <v>38</v>
      </c>
      <c r="R443" s="48" t="s">
        <v>39</v>
      </c>
      <c r="S443" s="48" t="s">
        <v>40</v>
      </c>
      <c r="T443" s="48" t="s">
        <v>41</v>
      </c>
      <c r="U443" s="48" t="s">
        <v>1436</v>
      </c>
      <c r="V443" s="48" t="s">
        <v>1436</v>
      </c>
      <c r="W443" s="48" t="s">
        <v>1436</v>
      </c>
      <c r="X443" s="49" t="s">
        <v>193</v>
      </c>
      <c r="Y443" s="48" t="s">
        <v>1194</v>
      </c>
      <c r="Z443" s="49" t="s">
        <v>1321</v>
      </c>
      <c r="AA443" s="48" t="s">
        <v>1324</v>
      </c>
      <c r="AB443" s="48" t="s">
        <v>1325</v>
      </c>
      <c r="AC443" s="48" t="s">
        <v>1239</v>
      </c>
      <c r="AD443" s="48" t="s">
        <v>1231</v>
      </c>
      <c r="AE443" s="48" t="s">
        <v>1669</v>
      </c>
      <c r="AF443" s="48" t="s">
        <v>1436</v>
      </c>
      <c r="AG443" s="48" t="s">
        <v>1436</v>
      </c>
      <c r="AH443" s="48" t="s">
        <v>208</v>
      </c>
      <c r="AI443" s="50">
        <v>44562</v>
      </c>
      <c r="AJ443" s="50">
        <v>46387</v>
      </c>
      <c r="AK443" s="49" t="s">
        <v>1280</v>
      </c>
      <c r="AL443" s="48" t="s">
        <v>36</v>
      </c>
      <c r="AM443" s="48" t="s">
        <v>36</v>
      </c>
      <c r="AN443" s="51">
        <v>48005.149674</v>
      </c>
      <c r="AO443" s="51"/>
      <c r="AP443" s="51"/>
      <c r="AQ443" s="72">
        <v>1600000</v>
      </c>
      <c r="AR443" s="72">
        <v>50000</v>
      </c>
      <c r="AS443" s="50">
        <v>46387</v>
      </c>
      <c r="AT443" s="50" t="s">
        <v>1436</v>
      </c>
      <c r="AU443" s="49" t="s">
        <v>1436</v>
      </c>
      <c r="AV443" s="49" t="s">
        <v>1670</v>
      </c>
      <c r="AW443" s="48" t="s">
        <v>1244</v>
      </c>
    </row>
    <row r="444" spans="1:49" x14ac:dyDescent="0.3">
      <c r="A444" s="48" t="s">
        <v>1320</v>
      </c>
      <c r="B444" s="48" t="s">
        <v>6</v>
      </c>
      <c r="C444" s="48" t="s">
        <v>1322</v>
      </c>
      <c r="D444" s="50">
        <v>45838</v>
      </c>
      <c r="E444" s="48" t="s">
        <v>36</v>
      </c>
      <c r="F444" s="48" t="s">
        <v>1433</v>
      </c>
      <c r="G444" s="48" t="s">
        <v>1447</v>
      </c>
      <c r="H444" s="49" t="s">
        <v>1450</v>
      </c>
      <c r="I444" s="48" t="s">
        <v>1408</v>
      </c>
      <c r="J444" s="48" t="s">
        <v>40</v>
      </c>
      <c r="K444" s="48" t="s">
        <v>54</v>
      </c>
      <c r="L444" s="48" t="s">
        <v>38</v>
      </c>
      <c r="M444" s="48" t="s">
        <v>37</v>
      </c>
      <c r="N444" s="48" t="s">
        <v>1436</v>
      </c>
      <c r="O444" s="48" t="s">
        <v>1436</v>
      </c>
      <c r="P444" s="48" t="s">
        <v>1436</v>
      </c>
      <c r="Q444" s="48" t="s">
        <v>38</v>
      </c>
      <c r="R444" s="48" t="s">
        <v>39</v>
      </c>
      <c r="S444" s="48" t="s">
        <v>40</v>
      </c>
      <c r="T444" s="48" t="s">
        <v>41</v>
      </c>
      <c r="U444" s="48" t="s">
        <v>1436</v>
      </c>
      <c r="V444" s="48" t="s">
        <v>1436</v>
      </c>
      <c r="W444" s="48" t="s">
        <v>1436</v>
      </c>
      <c r="X444" s="49" t="s">
        <v>193</v>
      </c>
      <c r="Y444" s="48" t="s">
        <v>1194</v>
      </c>
      <c r="Z444" s="49" t="s">
        <v>1321</v>
      </c>
      <c r="AA444" s="48" t="s">
        <v>1324</v>
      </c>
      <c r="AB444" s="48" t="s">
        <v>1325</v>
      </c>
      <c r="AC444" s="48" t="s">
        <v>1239</v>
      </c>
      <c r="AD444" s="48" t="s">
        <v>1231</v>
      </c>
      <c r="AE444" s="48" t="s">
        <v>1669</v>
      </c>
      <c r="AF444" s="48" t="s">
        <v>1436</v>
      </c>
      <c r="AG444" s="48" t="s">
        <v>1436</v>
      </c>
      <c r="AH444" s="48" t="s">
        <v>208</v>
      </c>
      <c r="AI444" s="50">
        <v>44562</v>
      </c>
      <c r="AJ444" s="50">
        <v>46387</v>
      </c>
      <c r="AK444" s="49" t="s">
        <v>1280</v>
      </c>
      <c r="AL444" s="48" t="s">
        <v>36</v>
      </c>
      <c r="AM444" s="48" t="s">
        <v>36</v>
      </c>
      <c r="AN444" s="51">
        <v>-3236.34</v>
      </c>
      <c r="AO444" s="51"/>
      <c r="AP444" s="51"/>
      <c r="AQ444" s="72">
        <v>1600000</v>
      </c>
      <c r="AR444" s="72">
        <v>50000</v>
      </c>
      <c r="AS444" s="50">
        <v>46387</v>
      </c>
      <c r="AT444" s="50" t="s">
        <v>1436</v>
      </c>
      <c r="AU444" s="49" t="s">
        <v>1436</v>
      </c>
      <c r="AV444" s="49" t="s">
        <v>1670</v>
      </c>
      <c r="AW444" s="48" t="s">
        <v>1244</v>
      </c>
    </row>
    <row r="445" spans="1:49" x14ac:dyDescent="0.3">
      <c r="A445" s="48" t="s">
        <v>1320</v>
      </c>
      <c r="B445" s="48" t="s">
        <v>6</v>
      </c>
      <c r="C445" s="48" t="s">
        <v>1322</v>
      </c>
      <c r="D445" s="50">
        <v>45838</v>
      </c>
      <c r="E445" s="48" t="s">
        <v>36</v>
      </c>
      <c r="F445" s="48" t="s">
        <v>1433</v>
      </c>
      <c r="G445" s="48" t="s">
        <v>1447</v>
      </c>
      <c r="H445" s="49" t="s">
        <v>1451</v>
      </c>
      <c r="I445" s="48" t="s">
        <v>1404</v>
      </c>
      <c r="J445" s="48" t="s">
        <v>38</v>
      </c>
      <c r="K445" s="48" t="s">
        <v>49</v>
      </c>
      <c r="L445" s="48" t="s">
        <v>38</v>
      </c>
      <c r="M445" s="48" t="s">
        <v>37</v>
      </c>
      <c r="N445" s="48" t="s">
        <v>1436</v>
      </c>
      <c r="O445" s="48" t="s">
        <v>1436</v>
      </c>
      <c r="P445" s="48" t="s">
        <v>1436</v>
      </c>
      <c r="Q445" s="48" t="s">
        <v>38</v>
      </c>
      <c r="R445" s="48" t="s">
        <v>39</v>
      </c>
      <c r="S445" s="48" t="s">
        <v>38</v>
      </c>
      <c r="T445" s="48" t="s">
        <v>41</v>
      </c>
      <c r="U445" s="48" t="s">
        <v>1436</v>
      </c>
      <c r="V445" s="48" t="s">
        <v>1436</v>
      </c>
      <c r="W445" s="48" t="s">
        <v>1436</v>
      </c>
      <c r="X445" s="49" t="s">
        <v>193</v>
      </c>
      <c r="Y445" s="48" t="s">
        <v>1194</v>
      </c>
      <c r="Z445" s="49" t="s">
        <v>1321</v>
      </c>
      <c r="AA445" s="48" t="s">
        <v>1324</v>
      </c>
      <c r="AB445" s="48" t="s">
        <v>1325</v>
      </c>
      <c r="AC445" s="48" t="s">
        <v>1239</v>
      </c>
      <c r="AD445" s="48" t="s">
        <v>1231</v>
      </c>
      <c r="AE445" s="48" t="s">
        <v>1669</v>
      </c>
      <c r="AF445" s="48" t="s">
        <v>1436</v>
      </c>
      <c r="AG445" s="48" t="s">
        <v>1436</v>
      </c>
      <c r="AH445" s="48" t="s">
        <v>208</v>
      </c>
      <c r="AI445" s="50">
        <v>44562</v>
      </c>
      <c r="AJ445" s="50">
        <v>46387</v>
      </c>
      <c r="AK445" s="49" t="s">
        <v>1280</v>
      </c>
      <c r="AL445" s="48" t="s">
        <v>36</v>
      </c>
      <c r="AM445" s="48" t="s">
        <v>36</v>
      </c>
      <c r="AN445" s="51">
        <v>261.15138999999999</v>
      </c>
      <c r="AO445" s="51"/>
      <c r="AP445" s="51"/>
      <c r="AQ445" s="72">
        <v>1600000</v>
      </c>
      <c r="AR445" s="72">
        <v>50000</v>
      </c>
      <c r="AS445" s="50">
        <v>46387</v>
      </c>
      <c r="AT445" s="50" t="s">
        <v>1436</v>
      </c>
      <c r="AU445" s="49" t="s">
        <v>1436</v>
      </c>
      <c r="AV445" s="49" t="s">
        <v>1670</v>
      </c>
      <c r="AW445" s="48" t="s">
        <v>1244</v>
      </c>
    </row>
    <row r="446" spans="1:49" x14ac:dyDescent="0.3">
      <c r="A446" s="48" t="s">
        <v>1320</v>
      </c>
      <c r="B446" s="48" t="s">
        <v>6</v>
      </c>
      <c r="C446" s="48" t="s">
        <v>1322</v>
      </c>
      <c r="D446" s="50">
        <v>45869</v>
      </c>
      <c r="E446" s="48" t="s">
        <v>36</v>
      </c>
      <c r="F446" s="48" t="s">
        <v>1433</v>
      </c>
      <c r="G446" s="48" t="s">
        <v>1434</v>
      </c>
      <c r="H446" s="49" t="s">
        <v>1435</v>
      </c>
      <c r="I446" s="48" t="s">
        <v>1412</v>
      </c>
      <c r="J446" s="48" t="s">
        <v>40</v>
      </c>
      <c r="K446" s="48" t="s">
        <v>52</v>
      </c>
      <c r="L446" s="48" t="s">
        <v>38</v>
      </c>
      <c r="M446" s="48" t="s">
        <v>37</v>
      </c>
      <c r="N446" s="48" t="s">
        <v>1436</v>
      </c>
      <c r="O446" s="48" t="s">
        <v>1436</v>
      </c>
      <c r="P446" s="48" t="s">
        <v>1436</v>
      </c>
      <c r="Q446" s="48" t="s">
        <v>38</v>
      </c>
      <c r="R446" s="48" t="s">
        <v>39</v>
      </c>
      <c r="S446" s="48" t="s">
        <v>40</v>
      </c>
      <c r="T446" s="48" t="s">
        <v>41</v>
      </c>
      <c r="U446" s="48" t="s">
        <v>1436</v>
      </c>
      <c r="V446" s="48" t="s">
        <v>1436</v>
      </c>
      <c r="W446" s="48" t="s">
        <v>1436</v>
      </c>
      <c r="X446" s="49" t="s">
        <v>193</v>
      </c>
      <c r="Y446" s="48" t="s">
        <v>1194</v>
      </c>
      <c r="Z446" s="49" t="s">
        <v>1321</v>
      </c>
      <c r="AA446" s="48" t="s">
        <v>1324</v>
      </c>
      <c r="AB446" s="48" t="s">
        <v>1325</v>
      </c>
      <c r="AC446" s="48" t="s">
        <v>1239</v>
      </c>
      <c r="AD446" s="48" t="s">
        <v>1231</v>
      </c>
      <c r="AE446" s="48" t="s">
        <v>1669</v>
      </c>
      <c r="AF446" s="48" t="s">
        <v>1436</v>
      </c>
      <c r="AG446" s="48" t="s">
        <v>1436</v>
      </c>
      <c r="AH446" s="48" t="s">
        <v>208</v>
      </c>
      <c r="AI446" s="50">
        <v>44562</v>
      </c>
      <c r="AJ446" s="50">
        <v>46387</v>
      </c>
      <c r="AK446" s="49" t="s">
        <v>1280</v>
      </c>
      <c r="AL446" s="48" t="s">
        <v>36</v>
      </c>
      <c r="AM446" s="48" t="s">
        <v>36</v>
      </c>
      <c r="AN446" s="51">
        <v>-42330.49</v>
      </c>
      <c r="AO446" s="51"/>
      <c r="AP446" s="51"/>
      <c r="AQ446" s="72">
        <v>1600000</v>
      </c>
      <c r="AR446" s="72">
        <v>50000</v>
      </c>
      <c r="AS446" s="50">
        <v>46387</v>
      </c>
      <c r="AT446" s="50" t="s">
        <v>1436</v>
      </c>
      <c r="AU446" s="49" t="s">
        <v>1436</v>
      </c>
      <c r="AV446" s="49" t="s">
        <v>1670</v>
      </c>
      <c r="AW446" s="48" t="s">
        <v>1244</v>
      </c>
    </row>
    <row r="447" spans="1:49" x14ac:dyDescent="0.3">
      <c r="A447" s="48" t="s">
        <v>1320</v>
      </c>
      <c r="B447" s="48" t="s">
        <v>6</v>
      </c>
      <c r="C447" s="48" t="s">
        <v>1322</v>
      </c>
      <c r="D447" s="50">
        <v>45869</v>
      </c>
      <c r="E447" s="48" t="s">
        <v>36</v>
      </c>
      <c r="F447" s="48" t="s">
        <v>1433</v>
      </c>
      <c r="G447" s="48" t="s">
        <v>1434</v>
      </c>
      <c r="H447" s="49" t="s">
        <v>1437</v>
      </c>
      <c r="I447" s="48" t="s">
        <v>1410</v>
      </c>
      <c r="J447" s="48" t="s">
        <v>40</v>
      </c>
      <c r="K447" s="48" t="s">
        <v>42</v>
      </c>
      <c r="L447" s="48" t="s">
        <v>38</v>
      </c>
      <c r="M447" s="48" t="s">
        <v>37</v>
      </c>
      <c r="N447" s="48" t="s">
        <v>1436</v>
      </c>
      <c r="O447" s="48" t="s">
        <v>1436</v>
      </c>
      <c r="P447" s="48" t="s">
        <v>1436</v>
      </c>
      <c r="Q447" s="48" t="s">
        <v>38</v>
      </c>
      <c r="R447" s="48" t="s">
        <v>39</v>
      </c>
      <c r="S447" s="48" t="s">
        <v>40</v>
      </c>
      <c r="T447" s="48" t="s">
        <v>41</v>
      </c>
      <c r="U447" s="48" t="s">
        <v>1436</v>
      </c>
      <c r="V447" s="48" t="s">
        <v>1436</v>
      </c>
      <c r="W447" s="48" t="s">
        <v>1436</v>
      </c>
      <c r="X447" s="49" t="s">
        <v>193</v>
      </c>
      <c r="Y447" s="48" t="s">
        <v>1194</v>
      </c>
      <c r="Z447" s="49" t="s">
        <v>1321</v>
      </c>
      <c r="AA447" s="48" t="s">
        <v>1324</v>
      </c>
      <c r="AB447" s="48" t="s">
        <v>1325</v>
      </c>
      <c r="AC447" s="48" t="s">
        <v>1239</v>
      </c>
      <c r="AD447" s="48" t="s">
        <v>1231</v>
      </c>
      <c r="AE447" s="48" t="s">
        <v>1669</v>
      </c>
      <c r="AF447" s="48" t="s">
        <v>1436</v>
      </c>
      <c r="AG447" s="48" t="s">
        <v>1436</v>
      </c>
      <c r="AH447" s="48" t="s">
        <v>208</v>
      </c>
      <c r="AI447" s="50">
        <v>44562</v>
      </c>
      <c r="AJ447" s="50">
        <v>46387</v>
      </c>
      <c r="AK447" s="49" t="s">
        <v>1280</v>
      </c>
      <c r="AL447" s="48" t="s">
        <v>36</v>
      </c>
      <c r="AM447" s="48" t="s">
        <v>36</v>
      </c>
      <c r="AN447" s="51">
        <v>0</v>
      </c>
      <c r="AO447" s="51"/>
      <c r="AP447" s="51"/>
      <c r="AQ447" s="72">
        <v>1600000</v>
      </c>
      <c r="AR447" s="72">
        <v>50000</v>
      </c>
      <c r="AS447" s="50">
        <v>46387</v>
      </c>
      <c r="AT447" s="50" t="s">
        <v>1436</v>
      </c>
      <c r="AU447" s="49" t="s">
        <v>1436</v>
      </c>
      <c r="AV447" s="49" t="s">
        <v>1670</v>
      </c>
      <c r="AW447" s="48" t="s">
        <v>1244</v>
      </c>
    </row>
    <row r="448" spans="1:49" x14ac:dyDescent="0.3">
      <c r="A448" s="48" t="s">
        <v>1320</v>
      </c>
      <c r="B448" s="48" t="s">
        <v>6</v>
      </c>
      <c r="C448" s="48" t="s">
        <v>1322</v>
      </c>
      <c r="D448" s="50">
        <v>45869</v>
      </c>
      <c r="E448" s="48" t="s">
        <v>36</v>
      </c>
      <c r="F448" s="48" t="s">
        <v>1438</v>
      </c>
      <c r="G448" s="48" t="s">
        <v>1439</v>
      </c>
      <c r="H448" s="49" t="s">
        <v>1440</v>
      </c>
      <c r="I448" s="48" t="s">
        <v>1406</v>
      </c>
      <c r="J448" s="48" t="s">
        <v>1194</v>
      </c>
      <c r="K448" s="48" t="s">
        <v>1441</v>
      </c>
      <c r="L448" s="48" t="s">
        <v>38</v>
      </c>
      <c r="M448" s="48" t="s">
        <v>37</v>
      </c>
      <c r="N448" s="48" t="s">
        <v>1436</v>
      </c>
      <c r="O448" s="48" t="s">
        <v>1436</v>
      </c>
      <c r="P448" s="48" t="s">
        <v>1436</v>
      </c>
      <c r="Q448" s="48" t="s">
        <v>38</v>
      </c>
      <c r="R448" s="48" t="s">
        <v>39</v>
      </c>
      <c r="S448" s="48" t="s">
        <v>1194</v>
      </c>
      <c r="T448" s="48" t="s">
        <v>41</v>
      </c>
      <c r="U448" s="48" t="s">
        <v>1436</v>
      </c>
      <c r="V448" s="48" t="s">
        <v>1436</v>
      </c>
      <c r="W448" s="48" t="s">
        <v>1436</v>
      </c>
      <c r="X448" s="49" t="s">
        <v>193</v>
      </c>
      <c r="Y448" s="48" t="s">
        <v>1194</v>
      </c>
      <c r="Z448" s="49" t="s">
        <v>1321</v>
      </c>
      <c r="AA448" s="48" t="s">
        <v>1324</v>
      </c>
      <c r="AB448" s="48" t="s">
        <v>1325</v>
      </c>
      <c r="AC448" s="48" t="s">
        <v>1239</v>
      </c>
      <c r="AD448" s="48" t="s">
        <v>1231</v>
      </c>
      <c r="AE448" s="48" t="s">
        <v>1669</v>
      </c>
      <c r="AF448" s="48" t="s">
        <v>1436</v>
      </c>
      <c r="AG448" s="48" t="s">
        <v>1436</v>
      </c>
      <c r="AH448" s="48" t="s">
        <v>208</v>
      </c>
      <c r="AI448" s="50">
        <v>44562</v>
      </c>
      <c r="AJ448" s="50">
        <v>46387</v>
      </c>
      <c r="AK448" s="49" t="s">
        <v>1280</v>
      </c>
      <c r="AL448" s="48" t="s">
        <v>36</v>
      </c>
      <c r="AM448" s="48" t="s">
        <v>36</v>
      </c>
      <c r="AN448" s="51">
        <v>0</v>
      </c>
      <c r="AO448" s="51"/>
      <c r="AP448" s="51"/>
      <c r="AQ448" s="72">
        <v>1600000</v>
      </c>
      <c r="AR448" s="72">
        <v>50000</v>
      </c>
      <c r="AS448" s="50">
        <v>46387</v>
      </c>
      <c r="AT448" s="50" t="s">
        <v>1436</v>
      </c>
      <c r="AU448" s="49" t="s">
        <v>1436</v>
      </c>
      <c r="AV448" s="49" t="s">
        <v>1670</v>
      </c>
      <c r="AW448" s="48" t="s">
        <v>1244</v>
      </c>
    </row>
    <row r="449" spans="1:49" x14ac:dyDescent="0.3">
      <c r="A449" s="48" t="s">
        <v>1320</v>
      </c>
      <c r="B449" s="48" t="s">
        <v>6</v>
      </c>
      <c r="C449" s="48" t="s">
        <v>1322</v>
      </c>
      <c r="D449" s="50">
        <v>45869</v>
      </c>
      <c r="E449" s="48" t="s">
        <v>36</v>
      </c>
      <c r="F449" s="48" t="s">
        <v>1438</v>
      </c>
      <c r="G449" s="48" t="s">
        <v>1439</v>
      </c>
      <c r="H449" s="49" t="s">
        <v>1442</v>
      </c>
      <c r="I449" s="48" t="s">
        <v>1405</v>
      </c>
      <c r="J449" s="48" t="s">
        <v>1194</v>
      </c>
      <c r="K449" s="48" t="s">
        <v>1443</v>
      </c>
      <c r="L449" s="48" t="s">
        <v>38</v>
      </c>
      <c r="M449" s="48" t="s">
        <v>37</v>
      </c>
      <c r="N449" s="48" t="s">
        <v>1436</v>
      </c>
      <c r="O449" s="48" t="s">
        <v>1436</v>
      </c>
      <c r="P449" s="48" t="s">
        <v>1436</v>
      </c>
      <c r="Q449" s="48" t="s">
        <v>38</v>
      </c>
      <c r="R449" s="48" t="s">
        <v>39</v>
      </c>
      <c r="S449" s="48" t="s">
        <v>1194</v>
      </c>
      <c r="T449" s="48" t="s">
        <v>41</v>
      </c>
      <c r="U449" s="48" t="s">
        <v>1436</v>
      </c>
      <c r="V449" s="48" t="s">
        <v>1436</v>
      </c>
      <c r="W449" s="48" t="s">
        <v>1436</v>
      </c>
      <c r="X449" s="49" t="s">
        <v>193</v>
      </c>
      <c r="Y449" s="48" t="s">
        <v>1194</v>
      </c>
      <c r="Z449" s="49" t="s">
        <v>1321</v>
      </c>
      <c r="AA449" s="48" t="s">
        <v>1324</v>
      </c>
      <c r="AB449" s="48" t="s">
        <v>1325</v>
      </c>
      <c r="AC449" s="48" t="s">
        <v>1239</v>
      </c>
      <c r="AD449" s="48" t="s">
        <v>1231</v>
      </c>
      <c r="AE449" s="48" t="s">
        <v>1669</v>
      </c>
      <c r="AF449" s="48" t="s">
        <v>1436</v>
      </c>
      <c r="AG449" s="48" t="s">
        <v>1436</v>
      </c>
      <c r="AH449" s="48" t="s">
        <v>208</v>
      </c>
      <c r="AI449" s="50">
        <v>44562</v>
      </c>
      <c r="AJ449" s="50">
        <v>46387</v>
      </c>
      <c r="AK449" s="49" t="s">
        <v>1280</v>
      </c>
      <c r="AL449" s="48" t="s">
        <v>36</v>
      </c>
      <c r="AM449" s="48" t="s">
        <v>36</v>
      </c>
      <c r="AN449" s="51">
        <v>0</v>
      </c>
      <c r="AO449" s="51"/>
      <c r="AP449" s="51"/>
      <c r="AQ449" s="72">
        <v>1600000</v>
      </c>
      <c r="AR449" s="72">
        <v>50000</v>
      </c>
      <c r="AS449" s="50">
        <v>46387</v>
      </c>
      <c r="AT449" s="50" t="s">
        <v>1436</v>
      </c>
      <c r="AU449" s="49" t="s">
        <v>1436</v>
      </c>
      <c r="AV449" s="49" t="s">
        <v>1670</v>
      </c>
      <c r="AW449" s="48" t="s">
        <v>1244</v>
      </c>
    </row>
    <row r="450" spans="1:49" x14ac:dyDescent="0.3">
      <c r="A450" s="48" t="s">
        <v>1320</v>
      </c>
      <c r="B450" s="48" t="s">
        <v>6</v>
      </c>
      <c r="C450" s="48" t="s">
        <v>1322</v>
      </c>
      <c r="D450" s="50">
        <v>45869</v>
      </c>
      <c r="E450" s="48" t="s">
        <v>36</v>
      </c>
      <c r="F450" s="48" t="s">
        <v>1438</v>
      </c>
      <c r="G450" s="48" t="s">
        <v>1444</v>
      </c>
      <c r="H450" s="49" t="s">
        <v>1445</v>
      </c>
      <c r="I450" s="48" t="s">
        <v>1411</v>
      </c>
      <c r="J450" s="48" t="s">
        <v>40</v>
      </c>
      <c r="K450" s="48" t="s">
        <v>50</v>
      </c>
      <c r="L450" s="48" t="s">
        <v>38</v>
      </c>
      <c r="M450" s="48" t="s">
        <v>37</v>
      </c>
      <c r="N450" s="48" t="s">
        <v>1436</v>
      </c>
      <c r="O450" s="48" t="s">
        <v>1436</v>
      </c>
      <c r="P450" s="48" t="s">
        <v>1436</v>
      </c>
      <c r="Q450" s="48" t="s">
        <v>38</v>
      </c>
      <c r="R450" s="48" t="s">
        <v>39</v>
      </c>
      <c r="S450" s="48" t="s">
        <v>40</v>
      </c>
      <c r="T450" s="48" t="s">
        <v>41</v>
      </c>
      <c r="U450" s="48" t="s">
        <v>1436</v>
      </c>
      <c r="V450" s="48" t="s">
        <v>1436</v>
      </c>
      <c r="W450" s="48" t="s">
        <v>1436</v>
      </c>
      <c r="X450" s="49" t="s">
        <v>193</v>
      </c>
      <c r="Y450" s="48" t="s">
        <v>1194</v>
      </c>
      <c r="Z450" s="49" t="s">
        <v>1321</v>
      </c>
      <c r="AA450" s="48" t="s">
        <v>1324</v>
      </c>
      <c r="AB450" s="48" t="s">
        <v>1325</v>
      </c>
      <c r="AC450" s="48" t="s">
        <v>1239</v>
      </c>
      <c r="AD450" s="48" t="s">
        <v>1231</v>
      </c>
      <c r="AE450" s="48" t="s">
        <v>1669</v>
      </c>
      <c r="AF450" s="48" t="s">
        <v>1436</v>
      </c>
      <c r="AG450" s="48" t="s">
        <v>1436</v>
      </c>
      <c r="AH450" s="48" t="s">
        <v>208</v>
      </c>
      <c r="AI450" s="50">
        <v>44562</v>
      </c>
      <c r="AJ450" s="50">
        <v>46387</v>
      </c>
      <c r="AK450" s="49" t="s">
        <v>1280</v>
      </c>
      <c r="AL450" s="48" t="s">
        <v>36</v>
      </c>
      <c r="AM450" s="48" t="s">
        <v>36</v>
      </c>
      <c r="AN450" s="51">
        <v>42330.49</v>
      </c>
      <c r="AO450" s="51"/>
      <c r="AP450" s="51"/>
      <c r="AQ450" s="72">
        <v>1600000</v>
      </c>
      <c r="AR450" s="72">
        <v>50000</v>
      </c>
      <c r="AS450" s="50">
        <v>46387</v>
      </c>
      <c r="AT450" s="50" t="s">
        <v>1436</v>
      </c>
      <c r="AU450" s="49" t="s">
        <v>1436</v>
      </c>
      <c r="AV450" s="49" t="s">
        <v>1670</v>
      </c>
      <c r="AW450" s="48" t="s">
        <v>1244</v>
      </c>
    </row>
    <row r="451" spans="1:49" x14ac:dyDescent="0.3">
      <c r="A451" s="48" t="s">
        <v>1320</v>
      </c>
      <c r="B451" s="48" t="s">
        <v>6</v>
      </c>
      <c r="C451" s="48" t="s">
        <v>1322</v>
      </c>
      <c r="D451" s="50">
        <v>45869</v>
      </c>
      <c r="E451" s="48" t="s">
        <v>36</v>
      </c>
      <c r="F451" s="48" t="s">
        <v>1438</v>
      </c>
      <c r="G451" s="48" t="s">
        <v>1444</v>
      </c>
      <c r="H451" s="49" t="s">
        <v>1446</v>
      </c>
      <c r="I451" s="48" t="s">
        <v>1407</v>
      </c>
      <c r="J451" s="48" t="s">
        <v>40</v>
      </c>
      <c r="K451" s="48" t="s">
        <v>47</v>
      </c>
      <c r="L451" s="48" t="s">
        <v>38</v>
      </c>
      <c r="M451" s="48" t="s">
        <v>37</v>
      </c>
      <c r="N451" s="48" t="s">
        <v>1436</v>
      </c>
      <c r="O451" s="48" t="s">
        <v>1436</v>
      </c>
      <c r="P451" s="48" t="s">
        <v>1436</v>
      </c>
      <c r="Q451" s="48" t="s">
        <v>38</v>
      </c>
      <c r="R451" s="48" t="s">
        <v>39</v>
      </c>
      <c r="S451" s="48" t="s">
        <v>40</v>
      </c>
      <c r="T451" s="48" t="s">
        <v>41</v>
      </c>
      <c r="U451" s="48" t="s">
        <v>1436</v>
      </c>
      <c r="V451" s="48" t="s">
        <v>1436</v>
      </c>
      <c r="W451" s="48" t="s">
        <v>1436</v>
      </c>
      <c r="X451" s="49" t="s">
        <v>193</v>
      </c>
      <c r="Y451" s="48" t="s">
        <v>1194</v>
      </c>
      <c r="Z451" s="49" t="s">
        <v>1321</v>
      </c>
      <c r="AA451" s="48" t="s">
        <v>1324</v>
      </c>
      <c r="AB451" s="48" t="s">
        <v>1325</v>
      </c>
      <c r="AC451" s="48" t="s">
        <v>1239</v>
      </c>
      <c r="AD451" s="48" t="s">
        <v>1231</v>
      </c>
      <c r="AE451" s="48" t="s">
        <v>1669</v>
      </c>
      <c r="AF451" s="48" t="s">
        <v>1436</v>
      </c>
      <c r="AG451" s="48" t="s">
        <v>1436</v>
      </c>
      <c r="AH451" s="48" t="s">
        <v>208</v>
      </c>
      <c r="AI451" s="50">
        <v>44562</v>
      </c>
      <c r="AJ451" s="50">
        <v>46387</v>
      </c>
      <c r="AK451" s="49" t="s">
        <v>1280</v>
      </c>
      <c r="AL451" s="48" t="s">
        <v>36</v>
      </c>
      <c r="AM451" s="48" t="s">
        <v>36</v>
      </c>
      <c r="AN451" s="51">
        <v>4707.3641630000002</v>
      </c>
      <c r="AO451" s="51"/>
      <c r="AP451" s="51"/>
      <c r="AQ451" s="72">
        <v>1600000</v>
      </c>
      <c r="AR451" s="72">
        <v>50000</v>
      </c>
      <c r="AS451" s="50">
        <v>46387</v>
      </c>
      <c r="AT451" s="50" t="s">
        <v>1436</v>
      </c>
      <c r="AU451" s="49" t="s">
        <v>1436</v>
      </c>
      <c r="AV451" s="49" t="s">
        <v>1670</v>
      </c>
      <c r="AW451" s="48" t="s">
        <v>1244</v>
      </c>
    </row>
    <row r="452" spans="1:49" x14ac:dyDescent="0.3">
      <c r="A452" s="48" t="s">
        <v>1320</v>
      </c>
      <c r="B452" s="48" t="s">
        <v>6</v>
      </c>
      <c r="C452" s="48" t="s">
        <v>1322</v>
      </c>
      <c r="D452" s="50">
        <v>45869</v>
      </c>
      <c r="E452" s="48" t="s">
        <v>36</v>
      </c>
      <c r="F452" s="48" t="s">
        <v>1433</v>
      </c>
      <c r="G452" s="48" t="s">
        <v>1447</v>
      </c>
      <c r="H452" s="49" t="s">
        <v>1448</v>
      </c>
      <c r="I452" s="48" t="s">
        <v>1413</v>
      </c>
      <c r="J452" s="48" t="s">
        <v>40</v>
      </c>
      <c r="K452" s="48" t="s">
        <v>58</v>
      </c>
      <c r="L452" s="48" t="s">
        <v>38</v>
      </c>
      <c r="M452" s="48" t="s">
        <v>37</v>
      </c>
      <c r="N452" s="48" t="s">
        <v>1436</v>
      </c>
      <c r="O452" s="48" t="s">
        <v>1436</v>
      </c>
      <c r="P452" s="48" t="s">
        <v>1436</v>
      </c>
      <c r="Q452" s="48" t="s">
        <v>38</v>
      </c>
      <c r="R452" s="48" t="s">
        <v>39</v>
      </c>
      <c r="S452" s="48" t="s">
        <v>40</v>
      </c>
      <c r="T452" s="48" t="s">
        <v>41</v>
      </c>
      <c r="U452" s="48" t="s">
        <v>1436</v>
      </c>
      <c r="V452" s="48" t="s">
        <v>1436</v>
      </c>
      <c r="W452" s="48" t="s">
        <v>1436</v>
      </c>
      <c r="X452" s="49" t="s">
        <v>193</v>
      </c>
      <c r="Y452" s="48" t="s">
        <v>1194</v>
      </c>
      <c r="Z452" s="49" t="s">
        <v>1321</v>
      </c>
      <c r="AA452" s="48" t="s">
        <v>1324</v>
      </c>
      <c r="AB452" s="48" t="s">
        <v>1325</v>
      </c>
      <c r="AC452" s="48" t="s">
        <v>1239</v>
      </c>
      <c r="AD452" s="48" t="s">
        <v>1231</v>
      </c>
      <c r="AE452" s="48" t="s">
        <v>1669</v>
      </c>
      <c r="AF452" s="48" t="s">
        <v>1436</v>
      </c>
      <c r="AG452" s="48" t="s">
        <v>1436</v>
      </c>
      <c r="AH452" s="48" t="s">
        <v>208</v>
      </c>
      <c r="AI452" s="50">
        <v>44562</v>
      </c>
      <c r="AJ452" s="50">
        <v>46387</v>
      </c>
      <c r="AK452" s="49" t="s">
        <v>1280</v>
      </c>
      <c r="AL452" s="48" t="s">
        <v>36</v>
      </c>
      <c r="AM452" s="48" t="s">
        <v>36</v>
      </c>
      <c r="AN452" s="51">
        <v>-50000</v>
      </c>
      <c r="AO452" s="51"/>
      <c r="AP452" s="51"/>
      <c r="AQ452" s="72">
        <v>1600000</v>
      </c>
      <c r="AR452" s="72">
        <v>50000</v>
      </c>
      <c r="AS452" s="50">
        <v>46387</v>
      </c>
      <c r="AT452" s="50" t="s">
        <v>1436</v>
      </c>
      <c r="AU452" s="49" t="s">
        <v>1436</v>
      </c>
      <c r="AV452" s="49" t="s">
        <v>1670</v>
      </c>
      <c r="AW452" s="48" t="s">
        <v>1244</v>
      </c>
    </row>
    <row r="453" spans="1:49" x14ac:dyDescent="0.3">
      <c r="A453" s="48" t="s">
        <v>1320</v>
      </c>
      <c r="B453" s="48" t="s">
        <v>6</v>
      </c>
      <c r="C453" s="48" t="s">
        <v>1322</v>
      </c>
      <c r="D453" s="50">
        <v>45869</v>
      </c>
      <c r="E453" s="48" t="s">
        <v>36</v>
      </c>
      <c r="F453" s="48" t="s">
        <v>1433</v>
      </c>
      <c r="G453" s="48" t="s">
        <v>1447</v>
      </c>
      <c r="H453" s="49" t="s">
        <v>1449</v>
      </c>
      <c r="I453" s="48" t="s">
        <v>1409</v>
      </c>
      <c r="J453" s="48" t="s">
        <v>40</v>
      </c>
      <c r="K453" s="48" t="s">
        <v>45</v>
      </c>
      <c r="L453" s="48" t="s">
        <v>38</v>
      </c>
      <c r="M453" s="48" t="s">
        <v>37</v>
      </c>
      <c r="N453" s="48" t="s">
        <v>1436</v>
      </c>
      <c r="O453" s="48" t="s">
        <v>1436</v>
      </c>
      <c r="P453" s="48" t="s">
        <v>1436</v>
      </c>
      <c r="Q453" s="48" t="s">
        <v>38</v>
      </c>
      <c r="R453" s="48" t="s">
        <v>39</v>
      </c>
      <c r="S453" s="48" t="s">
        <v>40</v>
      </c>
      <c r="T453" s="48" t="s">
        <v>41</v>
      </c>
      <c r="U453" s="48" t="s">
        <v>1436</v>
      </c>
      <c r="V453" s="48" t="s">
        <v>1436</v>
      </c>
      <c r="W453" s="48" t="s">
        <v>1436</v>
      </c>
      <c r="X453" s="49" t="s">
        <v>193</v>
      </c>
      <c r="Y453" s="48" t="s">
        <v>1194</v>
      </c>
      <c r="Z453" s="49" t="s">
        <v>1321</v>
      </c>
      <c r="AA453" s="48" t="s">
        <v>1324</v>
      </c>
      <c r="AB453" s="48" t="s">
        <v>1325</v>
      </c>
      <c r="AC453" s="48" t="s">
        <v>1239</v>
      </c>
      <c r="AD453" s="48" t="s">
        <v>1231</v>
      </c>
      <c r="AE453" s="48" t="s">
        <v>1669</v>
      </c>
      <c r="AF453" s="48" t="s">
        <v>1436</v>
      </c>
      <c r="AG453" s="48" t="s">
        <v>1436</v>
      </c>
      <c r="AH453" s="48" t="s">
        <v>208</v>
      </c>
      <c r="AI453" s="50">
        <v>44562</v>
      </c>
      <c r="AJ453" s="50">
        <v>46387</v>
      </c>
      <c r="AK453" s="49" t="s">
        <v>1280</v>
      </c>
      <c r="AL453" s="48" t="s">
        <v>36</v>
      </c>
      <c r="AM453" s="48" t="s">
        <v>36</v>
      </c>
      <c r="AN453" s="51">
        <v>48285.181063999997</v>
      </c>
      <c r="AO453" s="51"/>
      <c r="AP453" s="51"/>
      <c r="AQ453" s="72">
        <v>1600000</v>
      </c>
      <c r="AR453" s="72">
        <v>50000</v>
      </c>
      <c r="AS453" s="50">
        <v>46387</v>
      </c>
      <c r="AT453" s="50" t="s">
        <v>1436</v>
      </c>
      <c r="AU453" s="49" t="s">
        <v>1436</v>
      </c>
      <c r="AV453" s="49" t="s">
        <v>1670</v>
      </c>
      <c r="AW453" s="48" t="s">
        <v>1244</v>
      </c>
    </row>
    <row r="454" spans="1:49" x14ac:dyDescent="0.3">
      <c r="A454" s="48" t="s">
        <v>1320</v>
      </c>
      <c r="B454" s="48" t="s">
        <v>6</v>
      </c>
      <c r="C454" s="48" t="s">
        <v>1322</v>
      </c>
      <c r="D454" s="50">
        <v>45869</v>
      </c>
      <c r="E454" s="48" t="s">
        <v>36</v>
      </c>
      <c r="F454" s="48" t="s">
        <v>1433</v>
      </c>
      <c r="G454" s="48" t="s">
        <v>1447</v>
      </c>
      <c r="H454" s="49" t="s">
        <v>1450</v>
      </c>
      <c r="I454" s="48" t="s">
        <v>1408</v>
      </c>
      <c r="J454" s="48" t="s">
        <v>40</v>
      </c>
      <c r="K454" s="48" t="s">
        <v>54</v>
      </c>
      <c r="L454" s="48" t="s">
        <v>38</v>
      </c>
      <c r="M454" s="48" t="s">
        <v>37</v>
      </c>
      <c r="N454" s="48" t="s">
        <v>1436</v>
      </c>
      <c r="O454" s="48" t="s">
        <v>1436</v>
      </c>
      <c r="P454" s="48" t="s">
        <v>1436</v>
      </c>
      <c r="Q454" s="48" t="s">
        <v>38</v>
      </c>
      <c r="R454" s="48" t="s">
        <v>39</v>
      </c>
      <c r="S454" s="48" t="s">
        <v>40</v>
      </c>
      <c r="T454" s="48" t="s">
        <v>41</v>
      </c>
      <c r="U454" s="48" t="s">
        <v>1436</v>
      </c>
      <c r="V454" s="48" t="s">
        <v>1436</v>
      </c>
      <c r="W454" s="48" t="s">
        <v>1436</v>
      </c>
      <c r="X454" s="49" t="s">
        <v>193</v>
      </c>
      <c r="Y454" s="48" t="s">
        <v>1194</v>
      </c>
      <c r="Z454" s="49" t="s">
        <v>1321</v>
      </c>
      <c r="AA454" s="48" t="s">
        <v>1324</v>
      </c>
      <c r="AB454" s="48" t="s">
        <v>1325</v>
      </c>
      <c r="AC454" s="48" t="s">
        <v>1239</v>
      </c>
      <c r="AD454" s="48" t="s">
        <v>1231</v>
      </c>
      <c r="AE454" s="48" t="s">
        <v>1669</v>
      </c>
      <c r="AF454" s="48" t="s">
        <v>1436</v>
      </c>
      <c r="AG454" s="48" t="s">
        <v>1436</v>
      </c>
      <c r="AH454" s="48" t="s">
        <v>208</v>
      </c>
      <c r="AI454" s="50">
        <v>44562</v>
      </c>
      <c r="AJ454" s="50">
        <v>46387</v>
      </c>
      <c r="AK454" s="49" t="s">
        <v>1280</v>
      </c>
      <c r="AL454" s="48" t="s">
        <v>36</v>
      </c>
      <c r="AM454" s="48" t="s">
        <v>36</v>
      </c>
      <c r="AN454" s="51">
        <v>-3255.22</v>
      </c>
      <c r="AO454" s="51"/>
      <c r="AP454" s="51"/>
      <c r="AQ454" s="72">
        <v>1600000</v>
      </c>
      <c r="AR454" s="72">
        <v>50000</v>
      </c>
      <c r="AS454" s="50">
        <v>46387</v>
      </c>
      <c r="AT454" s="50" t="s">
        <v>1436</v>
      </c>
      <c r="AU454" s="49" t="s">
        <v>1436</v>
      </c>
      <c r="AV454" s="49" t="s">
        <v>1670</v>
      </c>
      <c r="AW454" s="48" t="s">
        <v>1244</v>
      </c>
    </row>
    <row r="455" spans="1:49" x14ac:dyDescent="0.3">
      <c r="A455" s="48" t="s">
        <v>1320</v>
      </c>
      <c r="B455" s="48" t="s">
        <v>6</v>
      </c>
      <c r="C455" s="48" t="s">
        <v>1322</v>
      </c>
      <c r="D455" s="50">
        <v>45869</v>
      </c>
      <c r="E455" s="48" t="s">
        <v>36</v>
      </c>
      <c r="F455" s="48" t="s">
        <v>1433</v>
      </c>
      <c r="G455" s="48" t="s">
        <v>1447</v>
      </c>
      <c r="H455" s="49" t="s">
        <v>1451</v>
      </c>
      <c r="I455" s="48" t="s">
        <v>1404</v>
      </c>
      <c r="J455" s="48" t="s">
        <v>38</v>
      </c>
      <c r="K455" s="48" t="s">
        <v>49</v>
      </c>
      <c r="L455" s="48" t="s">
        <v>38</v>
      </c>
      <c r="M455" s="48" t="s">
        <v>37</v>
      </c>
      <c r="N455" s="48" t="s">
        <v>1436</v>
      </c>
      <c r="O455" s="48" t="s">
        <v>1436</v>
      </c>
      <c r="P455" s="48" t="s">
        <v>1436</v>
      </c>
      <c r="Q455" s="48" t="s">
        <v>38</v>
      </c>
      <c r="R455" s="48" t="s">
        <v>39</v>
      </c>
      <c r="S455" s="48" t="s">
        <v>38</v>
      </c>
      <c r="T455" s="48" t="s">
        <v>41</v>
      </c>
      <c r="U455" s="48" t="s">
        <v>1436</v>
      </c>
      <c r="V455" s="48" t="s">
        <v>1436</v>
      </c>
      <c r="W455" s="48" t="s">
        <v>1436</v>
      </c>
      <c r="X455" s="49" t="s">
        <v>193</v>
      </c>
      <c r="Y455" s="48" t="s">
        <v>1194</v>
      </c>
      <c r="Z455" s="49" t="s">
        <v>1321</v>
      </c>
      <c r="AA455" s="48" t="s">
        <v>1324</v>
      </c>
      <c r="AB455" s="48" t="s">
        <v>1325</v>
      </c>
      <c r="AC455" s="48" t="s">
        <v>1239</v>
      </c>
      <c r="AD455" s="48" t="s">
        <v>1231</v>
      </c>
      <c r="AE455" s="48" t="s">
        <v>1669</v>
      </c>
      <c r="AF455" s="48" t="s">
        <v>1436</v>
      </c>
      <c r="AG455" s="48" t="s">
        <v>1436</v>
      </c>
      <c r="AH455" s="48" t="s">
        <v>208</v>
      </c>
      <c r="AI455" s="50">
        <v>44562</v>
      </c>
      <c r="AJ455" s="50">
        <v>46387</v>
      </c>
      <c r="AK455" s="49" t="s">
        <v>1280</v>
      </c>
      <c r="AL455" s="48" t="s">
        <v>36</v>
      </c>
      <c r="AM455" s="48" t="s">
        <v>36</v>
      </c>
      <c r="AN455" s="51">
        <v>262.67477300000002</v>
      </c>
      <c r="AO455" s="51"/>
      <c r="AP455" s="51"/>
      <c r="AQ455" s="72">
        <v>1600000</v>
      </c>
      <c r="AR455" s="72">
        <v>50000</v>
      </c>
      <c r="AS455" s="50">
        <v>46387</v>
      </c>
      <c r="AT455" s="50" t="s">
        <v>1436</v>
      </c>
      <c r="AU455" s="49" t="s">
        <v>1436</v>
      </c>
      <c r="AV455" s="49" t="s">
        <v>1670</v>
      </c>
      <c r="AW455" s="48" t="s">
        <v>1244</v>
      </c>
    </row>
    <row r="456" spans="1:49" x14ac:dyDescent="0.3">
      <c r="A456" s="48" t="s">
        <v>1320</v>
      </c>
      <c r="B456" s="48" t="s">
        <v>6</v>
      </c>
      <c r="C456" s="48" t="s">
        <v>1322</v>
      </c>
      <c r="D456" s="50">
        <v>45900</v>
      </c>
      <c r="E456" s="48" t="s">
        <v>36</v>
      </c>
      <c r="F456" s="48" t="s">
        <v>1433</v>
      </c>
      <c r="G456" s="48" t="s">
        <v>1434</v>
      </c>
      <c r="H456" s="49" t="s">
        <v>1435</v>
      </c>
      <c r="I456" s="48" t="s">
        <v>1412</v>
      </c>
      <c r="J456" s="48" t="s">
        <v>40</v>
      </c>
      <c r="K456" s="48" t="s">
        <v>52</v>
      </c>
      <c r="L456" s="48" t="s">
        <v>38</v>
      </c>
      <c r="M456" s="48" t="s">
        <v>37</v>
      </c>
      <c r="N456" s="48" t="s">
        <v>1436</v>
      </c>
      <c r="O456" s="48" t="s">
        <v>1436</v>
      </c>
      <c r="P456" s="48" t="s">
        <v>1436</v>
      </c>
      <c r="Q456" s="48" t="s">
        <v>38</v>
      </c>
      <c r="R456" s="48" t="s">
        <v>39</v>
      </c>
      <c r="S456" s="48" t="s">
        <v>40</v>
      </c>
      <c r="T456" s="48" t="s">
        <v>41</v>
      </c>
      <c r="U456" s="48" t="s">
        <v>1436</v>
      </c>
      <c r="V456" s="48" t="s">
        <v>1436</v>
      </c>
      <c r="W456" s="48" t="s">
        <v>1436</v>
      </c>
      <c r="X456" s="49" t="s">
        <v>193</v>
      </c>
      <c r="Y456" s="48" t="s">
        <v>1194</v>
      </c>
      <c r="Z456" s="49" t="s">
        <v>1321</v>
      </c>
      <c r="AA456" s="48" t="s">
        <v>1324</v>
      </c>
      <c r="AB456" s="48" t="s">
        <v>1325</v>
      </c>
      <c r="AC456" s="48" t="s">
        <v>1239</v>
      </c>
      <c r="AD456" s="48" t="s">
        <v>1231</v>
      </c>
      <c r="AE456" s="48" t="s">
        <v>1669</v>
      </c>
      <c r="AF456" s="48" t="s">
        <v>1436</v>
      </c>
      <c r="AG456" s="48" t="s">
        <v>1436</v>
      </c>
      <c r="AH456" s="48" t="s">
        <v>208</v>
      </c>
      <c r="AI456" s="50">
        <v>44562</v>
      </c>
      <c r="AJ456" s="50">
        <v>46387</v>
      </c>
      <c r="AK456" s="49" t="s">
        <v>1280</v>
      </c>
      <c r="AL456" s="48" t="s">
        <v>36</v>
      </c>
      <c r="AM456" s="48" t="s">
        <v>36</v>
      </c>
      <c r="AN456" s="51">
        <v>-42330.49</v>
      </c>
      <c r="AO456" s="51"/>
      <c r="AP456" s="51"/>
      <c r="AQ456" s="72">
        <v>1600000</v>
      </c>
      <c r="AR456" s="72">
        <v>50000</v>
      </c>
      <c r="AS456" s="50">
        <v>46387</v>
      </c>
      <c r="AT456" s="50" t="s">
        <v>1436</v>
      </c>
      <c r="AU456" s="49" t="s">
        <v>1436</v>
      </c>
      <c r="AV456" s="49" t="s">
        <v>1670</v>
      </c>
      <c r="AW456" s="48" t="s">
        <v>1244</v>
      </c>
    </row>
    <row r="457" spans="1:49" x14ac:dyDescent="0.3">
      <c r="A457" s="48" t="s">
        <v>1320</v>
      </c>
      <c r="B457" s="48" t="s">
        <v>6</v>
      </c>
      <c r="C457" s="48" t="s">
        <v>1322</v>
      </c>
      <c r="D457" s="50">
        <v>45900</v>
      </c>
      <c r="E457" s="48" t="s">
        <v>36</v>
      </c>
      <c r="F457" s="48" t="s">
        <v>1433</v>
      </c>
      <c r="G457" s="48" t="s">
        <v>1434</v>
      </c>
      <c r="H457" s="49" t="s">
        <v>1437</v>
      </c>
      <c r="I457" s="48" t="s">
        <v>1410</v>
      </c>
      <c r="J457" s="48" t="s">
        <v>40</v>
      </c>
      <c r="K457" s="48" t="s">
        <v>42</v>
      </c>
      <c r="L457" s="48" t="s">
        <v>38</v>
      </c>
      <c r="M457" s="48" t="s">
        <v>37</v>
      </c>
      <c r="N457" s="48" t="s">
        <v>1436</v>
      </c>
      <c r="O457" s="48" t="s">
        <v>1436</v>
      </c>
      <c r="P457" s="48" t="s">
        <v>1436</v>
      </c>
      <c r="Q457" s="48" t="s">
        <v>38</v>
      </c>
      <c r="R457" s="48" t="s">
        <v>39</v>
      </c>
      <c r="S457" s="48" t="s">
        <v>40</v>
      </c>
      <c r="T457" s="48" t="s">
        <v>41</v>
      </c>
      <c r="U457" s="48" t="s">
        <v>1436</v>
      </c>
      <c r="V457" s="48" t="s">
        <v>1436</v>
      </c>
      <c r="W457" s="48" t="s">
        <v>1436</v>
      </c>
      <c r="X457" s="49" t="s">
        <v>193</v>
      </c>
      <c r="Y457" s="48" t="s">
        <v>1194</v>
      </c>
      <c r="Z457" s="49" t="s">
        <v>1321</v>
      </c>
      <c r="AA457" s="48" t="s">
        <v>1324</v>
      </c>
      <c r="AB457" s="48" t="s">
        <v>1325</v>
      </c>
      <c r="AC457" s="48" t="s">
        <v>1239</v>
      </c>
      <c r="AD457" s="48" t="s">
        <v>1231</v>
      </c>
      <c r="AE457" s="48" t="s">
        <v>1669</v>
      </c>
      <c r="AF457" s="48" t="s">
        <v>1436</v>
      </c>
      <c r="AG457" s="48" t="s">
        <v>1436</v>
      </c>
      <c r="AH457" s="48" t="s">
        <v>208</v>
      </c>
      <c r="AI457" s="50">
        <v>44562</v>
      </c>
      <c r="AJ457" s="50">
        <v>46387</v>
      </c>
      <c r="AK457" s="49" t="s">
        <v>1280</v>
      </c>
      <c r="AL457" s="48" t="s">
        <v>36</v>
      </c>
      <c r="AM457" s="48" t="s">
        <v>36</v>
      </c>
      <c r="AN457" s="51">
        <v>0</v>
      </c>
      <c r="AO457" s="51"/>
      <c r="AP457" s="51"/>
      <c r="AQ457" s="72">
        <v>1600000</v>
      </c>
      <c r="AR457" s="72">
        <v>50000</v>
      </c>
      <c r="AS457" s="50">
        <v>46387</v>
      </c>
      <c r="AT457" s="50" t="s">
        <v>1436</v>
      </c>
      <c r="AU457" s="49" t="s">
        <v>1436</v>
      </c>
      <c r="AV457" s="49" t="s">
        <v>1670</v>
      </c>
      <c r="AW457" s="48" t="s">
        <v>1244</v>
      </c>
    </row>
    <row r="458" spans="1:49" x14ac:dyDescent="0.3">
      <c r="A458" s="48" t="s">
        <v>1320</v>
      </c>
      <c r="B458" s="48" t="s">
        <v>6</v>
      </c>
      <c r="C458" s="48" t="s">
        <v>1322</v>
      </c>
      <c r="D458" s="50">
        <v>45900</v>
      </c>
      <c r="E458" s="48" t="s">
        <v>36</v>
      </c>
      <c r="F458" s="48" t="s">
        <v>1438</v>
      </c>
      <c r="G458" s="48" t="s">
        <v>1439</v>
      </c>
      <c r="H458" s="49" t="s">
        <v>1440</v>
      </c>
      <c r="I458" s="48" t="s">
        <v>1406</v>
      </c>
      <c r="J458" s="48" t="s">
        <v>1194</v>
      </c>
      <c r="K458" s="48" t="s">
        <v>1441</v>
      </c>
      <c r="L458" s="48" t="s">
        <v>38</v>
      </c>
      <c r="M458" s="48" t="s">
        <v>37</v>
      </c>
      <c r="N458" s="48" t="s">
        <v>1436</v>
      </c>
      <c r="O458" s="48" t="s">
        <v>1436</v>
      </c>
      <c r="P458" s="48" t="s">
        <v>1436</v>
      </c>
      <c r="Q458" s="48" t="s">
        <v>38</v>
      </c>
      <c r="R458" s="48" t="s">
        <v>39</v>
      </c>
      <c r="S458" s="48" t="s">
        <v>1194</v>
      </c>
      <c r="T458" s="48" t="s">
        <v>41</v>
      </c>
      <c r="U458" s="48" t="s">
        <v>1436</v>
      </c>
      <c r="V458" s="48" t="s">
        <v>1436</v>
      </c>
      <c r="W458" s="48" t="s">
        <v>1436</v>
      </c>
      <c r="X458" s="49" t="s">
        <v>193</v>
      </c>
      <c r="Y458" s="48" t="s">
        <v>1194</v>
      </c>
      <c r="Z458" s="49" t="s">
        <v>1321</v>
      </c>
      <c r="AA458" s="48" t="s">
        <v>1324</v>
      </c>
      <c r="AB458" s="48" t="s">
        <v>1325</v>
      </c>
      <c r="AC458" s="48" t="s">
        <v>1239</v>
      </c>
      <c r="AD458" s="48" t="s">
        <v>1231</v>
      </c>
      <c r="AE458" s="48" t="s">
        <v>1669</v>
      </c>
      <c r="AF458" s="48" t="s">
        <v>1436</v>
      </c>
      <c r="AG458" s="48" t="s">
        <v>1436</v>
      </c>
      <c r="AH458" s="48" t="s">
        <v>208</v>
      </c>
      <c r="AI458" s="50">
        <v>44562</v>
      </c>
      <c r="AJ458" s="50">
        <v>46387</v>
      </c>
      <c r="AK458" s="49" t="s">
        <v>1280</v>
      </c>
      <c r="AL458" s="48" t="s">
        <v>36</v>
      </c>
      <c r="AM458" s="48" t="s">
        <v>36</v>
      </c>
      <c r="AN458" s="51">
        <v>0</v>
      </c>
      <c r="AO458" s="51"/>
      <c r="AP458" s="51"/>
      <c r="AQ458" s="72">
        <v>1600000</v>
      </c>
      <c r="AR458" s="72">
        <v>50000</v>
      </c>
      <c r="AS458" s="50">
        <v>46387</v>
      </c>
      <c r="AT458" s="50" t="s">
        <v>1436</v>
      </c>
      <c r="AU458" s="49" t="s">
        <v>1436</v>
      </c>
      <c r="AV458" s="49" t="s">
        <v>1670</v>
      </c>
      <c r="AW458" s="48" t="s">
        <v>1244</v>
      </c>
    </row>
    <row r="459" spans="1:49" x14ac:dyDescent="0.3">
      <c r="A459" s="48" t="s">
        <v>1320</v>
      </c>
      <c r="B459" s="48" t="s">
        <v>6</v>
      </c>
      <c r="C459" s="48" t="s">
        <v>1322</v>
      </c>
      <c r="D459" s="50">
        <v>45900</v>
      </c>
      <c r="E459" s="48" t="s">
        <v>36</v>
      </c>
      <c r="F459" s="48" t="s">
        <v>1438</v>
      </c>
      <c r="G459" s="48" t="s">
        <v>1439</v>
      </c>
      <c r="H459" s="49" t="s">
        <v>1442</v>
      </c>
      <c r="I459" s="48" t="s">
        <v>1405</v>
      </c>
      <c r="J459" s="48" t="s">
        <v>1194</v>
      </c>
      <c r="K459" s="48" t="s">
        <v>1443</v>
      </c>
      <c r="L459" s="48" t="s">
        <v>38</v>
      </c>
      <c r="M459" s="48" t="s">
        <v>37</v>
      </c>
      <c r="N459" s="48" t="s">
        <v>1436</v>
      </c>
      <c r="O459" s="48" t="s">
        <v>1436</v>
      </c>
      <c r="P459" s="48" t="s">
        <v>1436</v>
      </c>
      <c r="Q459" s="48" t="s">
        <v>38</v>
      </c>
      <c r="R459" s="48" t="s">
        <v>39</v>
      </c>
      <c r="S459" s="48" t="s">
        <v>1194</v>
      </c>
      <c r="T459" s="48" t="s">
        <v>41</v>
      </c>
      <c r="U459" s="48" t="s">
        <v>1436</v>
      </c>
      <c r="V459" s="48" t="s">
        <v>1436</v>
      </c>
      <c r="W459" s="48" t="s">
        <v>1436</v>
      </c>
      <c r="X459" s="49" t="s">
        <v>193</v>
      </c>
      <c r="Y459" s="48" t="s">
        <v>1194</v>
      </c>
      <c r="Z459" s="49" t="s">
        <v>1321</v>
      </c>
      <c r="AA459" s="48" t="s">
        <v>1324</v>
      </c>
      <c r="AB459" s="48" t="s">
        <v>1325</v>
      </c>
      <c r="AC459" s="48" t="s">
        <v>1239</v>
      </c>
      <c r="AD459" s="48" t="s">
        <v>1231</v>
      </c>
      <c r="AE459" s="48" t="s">
        <v>1669</v>
      </c>
      <c r="AF459" s="48" t="s">
        <v>1436</v>
      </c>
      <c r="AG459" s="48" t="s">
        <v>1436</v>
      </c>
      <c r="AH459" s="48" t="s">
        <v>208</v>
      </c>
      <c r="AI459" s="50">
        <v>44562</v>
      </c>
      <c r="AJ459" s="50">
        <v>46387</v>
      </c>
      <c r="AK459" s="49" t="s">
        <v>1280</v>
      </c>
      <c r="AL459" s="48" t="s">
        <v>36</v>
      </c>
      <c r="AM459" s="48" t="s">
        <v>36</v>
      </c>
      <c r="AN459" s="51">
        <v>0</v>
      </c>
      <c r="AO459" s="51"/>
      <c r="AP459" s="51"/>
      <c r="AQ459" s="72">
        <v>1600000</v>
      </c>
      <c r="AR459" s="72">
        <v>50000</v>
      </c>
      <c r="AS459" s="50">
        <v>46387</v>
      </c>
      <c r="AT459" s="50" t="s">
        <v>1436</v>
      </c>
      <c r="AU459" s="49" t="s">
        <v>1436</v>
      </c>
      <c r="AV459" s="49" t="s">
        <v>1670</v>
      </c>
      <c r="AW459" s="48" t="s">
        <v>1244</v>
      </c>
    </row>
    <row r="460" spans="1:49" x14ac:dyDescent="0.3">
      <c r="A460" s="48" t="s">
        <v>1320</v>
      </c>
      <c r="B460" s="48" t="s">
        <v>6</v>
      </c>
      <c r="C460" s="48" t="s">
        <v>1322</v>
      </c>
      <c r="D460" s="50">
        <v>45900</v>
      </c>
      <c r="E460" s="48" t="s">
        <v>36</v>
      </c>
      <c r="F460" s="48" t="s">
        <v>1438</v>
      </c>
      <c r="G460" s="48" t="s">
        <v>1444</v>
      </c>
      <c r="H460" s="49" t="s">
        <v>1445</v>
      </c>
      <c r="I460" s="48" t="s">
        <v>1411</v>
      </c>
      <c r="J460" s="48" t="s">
        <v>40</v>
      </c>
      <c r="K460" s="48" t="s">
        <v>50</v>
      </c>
      <c r="L460" s="48" t="s">
        <v>38</v>
      </c>
      <c r="M460" s="48" t="s">
        <v>37</v>
      </c>
      <c r="N460" s="48" t="s">
        <v>1436</v>
      </c>
      <c r="O460" s="48" t="s">
        <v>1436</v>
      </c>
      <c r="P460" s="48" t="s">
        <v>1436</v>
      </c>
      <c r="Q460" s="48" t="s">
        <v>38</v>
      </c>
      <c r="R460" s="48" t="s">
        <v>39</v>
      </c>
      <c r="S460" s="48" t="s">
        <v>40</v>
      </c>
      <c r="T460" s="48" t="s">
        <v>41</v>
      </c>
      <c r="U460" s="48" t="s">
        <v>1436</v>
      </c>
      <c r="V460" s="48" t="s">
        <v>1436</v>
      </c>
      <c r="W460" s="48" t="s">
        <v>1436</v>
      </c>
      <c r="X460" s="49" t="s">
        <v>193</v>
      </c>
      <c r="Y460" s="48" t="s">
        <v>1194</v>
      </c>
      <c r="Z460" s="49" t="s">
        <v>1321</v>
      </c>
      <c r="AA460" s="48" t="s">
        <v>1324</v>
      </c>
      <c r="AB460" s="48" t="s">
        <v>1325</v>
      </c>
      <c r="AC460" s="48" t="s">
        <v>1239</v>
      </c>
      <c r="AD460" s="48" t="s">
        <v>1231</v>
      </c>
      <c r="AE460" s="48" t="s">
        <v>1669</v>
      </c>
      <c r="AF460" s="48" t="s">
        <v>1436</v>
      </c>
      <c r="AG460" s="48" t="s">
        <v>1436</v>
      </c>
      <c r="AH460" s="48" t="s">
        <v>208</v>
      </c>
      <c r="AI460" s="50">
        <v>44562</v>
      </c>
      <c r="AJ460" s="50">
        <v>46387</v>
      </c>
      <c r="AK460" s="49" t="s">
        <v>1280</v>
      </c>
      <c r="AL460" s="48" t="s">
        <v>36</v>
      </c>
      <c r="AM460" s="48" t="s">
        <v>36</v>
      </c>
      <c r="AN460" s="51">
        <v>42330.49</v>
      </c>
      <c r="AO460" s="51"/>
      <c r="AP460" s="51"/>
      <c r="AQ460" s="72">
        <v>1600000</v>
      </c>
      <c r="AR460" s="72">
        <v>50000</v>
      </c>
      <c r="AS460" s="50">
        <v>46387</v>
      </c>
      <c r="AT460" s="50" t="s">
        <v>1436</v>
      </c>
      <c r="AU460" s="49" t="s">
        <v>1436</v>
      </c>
      <c r="AV460" s="49" t="s">
        <v>1670</v>
      </c>
      <c r="AW460" s="48" t="s">
        <v>1244</v>
      </c>
    </row>
    <row r="461" spans="1:49" x14ac:dyDescent="0.3">
      <c r="A461" s="48" t="s">
        <v>1320</v>
      </c>
      <c r="B461" s="48" t="s">
        <v>6</v>
      </c>
      <c r="C461" s="48" t="s">
        <v>1322</v>
      </c>
      <c r="D461" s="50">
        <v>45900</v>
      </c>
      <c r="E461" s="48" t="s">
        <v>36</v>
      </c>
      <c r="F461" s="48" t="s">
        <v>1438</v>
      </c>
      <c r="G461" s="48" t="s">
        <v>1444</v>
      </c>
      <c r="H461" s="49" t="s">
        <v>1446</v>
      </c>
      <c r="I461" s="48" t="s">
        <v>1407</v>
      </c>
      <c r="J461" s="48" t="s">
        <v>40</v>
      </c>
      <c r="K461" s="48" t="s">
        <v>47</v>
      </c>
      <c r="L461" s="48" t="s">
        <v>38</v>
      </c>
      <c r="M461" s="48" t="s">
        <v>37</v>
      </c>
      <c r="N461" s="48" t="s">
        <v>1436</v>
      </c>
      <c r="O461" s="48" t="s">
        <v>1436</v>
      </c>
      <c r="P461" s="48" t="s">
        <v>1436</v>
      </c>
      <c r="Q461" s="48" t="s">
        <v>38</v>
      </c>
      <c r="R461" s="48" t="s">
        <v>39</v>
      </c>
      <c r="S461" s="48" t="s">
        <v>40</v>
      </c>
      <c r="T461" s="48" t="s">
        <v>41</v>
      </c>
      <c r="U461" s="48" t="s">
        <v>1436</v>
      </c>
      <c r="V461" s="48" t="s">
        <v>1436</v>
      </c>
      <c r="W461" s="48" t="s">
        <v>1436</v>
      </c>
      <c r="X461" s="49" t="s">
        <v>193</v>
      </c>
      <c r="Y461" s="48" t="s">
        <v>1194</v>
      </c>
      <c r="Z461" s="49" t="s">
        <v>1321</v>
      </c>
      <c r="AA461" s="48" t="s">
        <v>1324</v>
      </c>
      <c r="AB461" s="48" t="s">
        <v>1325</v>
      </c>
      <c r="AC461" s="48" t="s">
        <v>1239</v>
      </c>
      <c r="AD461" s="48" t="s">
        <v>1231</v>
      </c>
      <c r="AE461" s="48" t="s">
        <v>1669</v>
      </c>
      <c r="AF461" s="48" t="s">
        <v>1436</v>
      </c>
      <c r="AG461" s="48" t="s">
        <v>1436</v>
      </c>
      <c r="AH461" s="48" t="s">
        <v>208</v>
      </c>
      <c r="AI461" s="50">
        <v>44562</v>
      </c>
      <c r="AJ461" s="50">
        <v>46387</v>
      </c>
      <c r="AK461" s="49" t="s">
        <v>1280</v>
      </c>
      <c r="AL461" s="48" t="s">
        <v>36</v>
      </c>
      <c r="AM461" s="48" t="s">
        <v>36</v>
      </c>
      <c r="AN461" s="51">
        <v>4443.1571210000002</v>
      </c>
      <c r="AO461" s="51"/>
      <c r="AP461" s="51"/>
      <c r="AQ461" s="72">
        <v>1600000</v>
      </c>
      <c r="AR461" s="72">
        <v>50000</v>
      </c>
      <c r="AS461" s="50">
        <v>46387</v>
      </c>
      <c r="AT461" s="50" t="s">
        <v>1436</v>
      </c>
      <c r="AU461" s="49" t="s">
        <v>1436</v>
      </c>
      <c r="AV461" s="49" t="s">
        <v>1670</v>
      </c>
      <c r="AW461" s="48" t="s">
        <v>1244</v>
      </c>
    </row>
    <row r="462" spans="1:49" x14ac:dyDescent="0.3">
      <c r="A462" s="48" t="s">
        <v>1320</v>
      </c>
      <c r="B462" s="48" t="s">
        <v>6</v>
      </c>
      <c r="C462" s="48" t="s">
        <v>1322</v>
      </c>
      <c r="D462" s="50">
        <v>45900</v>
      </c>
      <c r="E462" s="48" t="s">
        <v>36</v>
      </c>
      <c r="F462" s="48" t="s">
        <v>1433</v>
      </c>
      <c r="G462" s="48" t="s">
        <v>1447</v>
      </c>
      <c r="H462" s="49" t="s">
        <v>1448</v>
      </c>
      <c r="I462" s="48" t="s">
        <v>1413</v>
      </c>
      <c r="J462" s="48" t="s">
        <v>40</v>
      </c>
      <c r="K462" s="48" t="s">
        <v>58</v>
      </c>
      <c r="L462" s="48" t="s">
        <v>38</v>
      </c>
      <c r="M462" s="48" t="s">
        <v>37</v>
      </c>
      <c r="N462" s="48" t="s">
        <v>1436</v>
      </c>
      <c r="O462" s="48" t="s">
        <v>1436</v>
      </c>
      <c r="P462" s="48" t="s">
        <v>1436</v>
      </c>
      <c r="Q462" s="48" t="s">
        <v>38</v>
      </c>
      <c r="R462" s="48" t="s">
        <v>39</v>
      </c>
      <c r="S462" s="48" t="s">
        <v>40</v>
      </c>
      <c r="T462" s="48" t="s">
        <v>41</v>
      </c>
      <c r="U462" s="48" t="s">
        <v>1436</v>
      </c>
      <c r="V462" s="48" t="s">
        <v>1436</v>
      </c>
      <c r="W462" s="48" t="s">
        <v>1436</v>
      </c>
      <c r="X462" s="49" t="s">
        <v>193</v>
      </c>
      <c r="Y462" s="48" t="s">
        <v>1194</v>
      </c>
      <c r="Z462" s="49" t="s">
        <v>1321</v>
      </c>
      <c r="AA462" s="48" t="s">
        <v>1324</v>
      </c>
      <c r="AB462" s="48" t="s">
        <v>1325</v>
      </c>
      <c r="AC462" s="48" t="s">
        <v>1239</v>
      </c>
      <c r="AD462" s="48" t="s">
        <v>1231</v>
      </c>
      <c r="AE462" s="48" t="s">
        <v>1669</v>
      </c>
      <c r="AF462" s="48" t="s">
        <v>1436</v>
      </c>
      <c r="AG462" s="48" t="s">
        <v>1436</v>
      </c>
      <c r="AH462" s="48" t="s">
        <v>208</v>
      </c>
      <c r="AI462" s="50">
        <v>44562</v>
      </c>
      <c r="AJ462" s="50">
        <v>46387</v>
      </c>
      <c r="AK462" s="49" t="s">
        <v>1280</v>
      </c>
      <c r="AL462" s="48" t="s">
        <v>36</v>
      </c>
      <c r="AM462" s="48" t="s">
        <v>36</v>
      </c>
      <c r="AN462" s="51">
        <v>-50000</v>
      </c>
      <c r="AO462" s="51"/>
      <c r="AP462" s="51"/>
      <c r="AQ462" s="72">
        <v>1600000</v>
      </c>
      <c r="AR462" s="72">
        <v>50000</v>
      </c>
      <c r="AS462" s="50">
        <v>46387</v>
      </c>
      <c r="AT462" s="50" t="s">
        <v>1436</v>
      </c>
      <c r="AU462" s="49" t="s">
        <v>1436</v>
      </c>
      <c r="AV462" s="49" t="s">
        <v>1670</v>
      </c>
      <c r="AW462" s="48" t="s">
        <v>1244</v>
      </c>
    </row>
    <row r="463" spans="1:49" x14ac:dyDescent="0.3">
      <c r="A463" s="48" t="s">
        <v>1320</v>
      </c>
      <c r="B463" s="48" t="s">
        <v>6</v>
      </c>
      <c r="C463" s="48" t="s">
        <v>1322</v>
      </c>
      <c r="D463" s="50">
        <v>45900</v>
      </c>
      <c r="E463" s="48" t="s">
        <v>36</v>
      </c>
      <c r="F463" s="48" t="s">
        <v>1433</v>
      </c>
      <c r="G463" s="48" t="s">
        <v>1447</v>
      </c>
      <c r="H463" s="49" t="s">
        <v>1449</v>
      </c>
      <c r="I463" s="48" t="s">
        <v>1409</v>
      </c>
      <c r="J463" s="48" t="s">
        <v>40</v>
      </c>
      <c r="K463" s="48" t="s">
        <v>45</v>
      </c>
      <c r="L463" s="48" t="s">
        <v>38</v>
      </c>
      <c r="M463" s="48" t="s">
        <v>37</v>
      </c>
      <c r="N463" s="48" t="s">
        <v>1436</v>
      </c>
      <c r="O463" s="48" t="s">
        <v>1436</v>
      </c>
      <c r="P463" s="48" t="s">
        <v>1436</v>
      </c>
      <c r="Q463" s="48" t="s">
        <v>38</v>
      </c>
      <c r="R463" s="48" t="s">
        <v>39</v>
      </c>
      <c r="S463" s="48" t="s">
        <v>40</v>
      </c>
      <c r="T463" s="48" t="s">
        <v>41</v>
      </c>
      <c r="U463" s="48" t="s">
        <v>1436</v>
      </c>
      <c r="V463" s="48" t="s">
        <v>1436</v>
      </c>
      <c r="W463" s="48" t="s">
        <v>1436</v>
      </c>
      <c r="X463" s="49" t="s">
        <v>193</v>
      </c>
      <c r="Y463" s="48" t="s">
        <v>1194</v>
      </c>
      <c r="Z463" s="49" t="s">
        <v>1321</v>
      </c>
      <c r="AA463" s="48" t="s">
        <v>1324</v>
      </c>
      <c r="AB463" s="48" t="s">
        <v>1325</v>
      </c>
      <c r="AC463" s="48" t="s">
        <v>1239</v>
      </c>
      <c r="AD463" s="48" t="s">
        <v>1231</v>
      </c>
      <c r="AE463" s="48" t="s">
        <v>1669</v>
      </c>
      <c r="AF463" s="48" t="s">
        <v>1436</v>
      </c>
      <c r="AG463" s="48" t="s">
        <v>1436</v>
      </c>
      <c r="AH463" s="48" t="s">
        <v>208</v>
      </c>
      <c r="AI463" s="50">
        <v>44562</v>
      </c>
      <c r="AJ463" s="50">
        <v>46387</v>
      </c>
      <c r="AK463" s="49" t="s">
        <v>1280</v>
      </c>
      <c r="AL463" s="48" t="s">
        <v>36</v>
      </c>
      <c r="AM463" s="48" t="s">
        <v>36</v>
      </c>
      <c r="AN463" s="51">
        <v>48566.855837000003</v>
      </c>
      <c r="AO463" s="51"/>
      <c r="AP463" s="51"/>
      <c r="AQ463" s="72">
        <v>1600000</v>
      </c>
      <c r="AR463" s="72">
        <v>50000</v>
      </c>
      <c r="AS463" s="50">
        <v>46387</v>
      </c>
      <c r="AT463" s="50" t="s">
        <v>1436</v>
      </c>
      <c r="AU463" s="49" t="s">
        <v>1436</v>
      </c>
      <c r="AV463" s="49" t="s">
        <v>1670</v>
      </c>
      <c r="AW463" s="48" t="s">
        <v>1244</v>
      </c>
    </row>
    <row r="464" spans="1:49" x14ac:dyDescent="0.3">
      <c r="A464" s="48" t="s">
        <v>1320</v>
      </c>
      <c r="B464" s="48" t="s">
        <v>6</v>
      </c>
      <c r="C464" s="48" t="s">
        <v>1322</v>
      </c>
      <c r="D464" s="50">
        <v>45900</v>
      </c>
      <c r="E464" s="48" t="s">
        <v>36</v>
      </c>
      <c r="F464" s="48" t="s">
        <v>1433</v>
      </c>
      <c r="G464" s="48" t="s">
        <v>1447</v>
      </c>
      <c r="H464" s="49" t="s">
        <v>1450</v>
      </c>
      <c r="I464" s="48" t="s">
        <v>1408</v>
      </c>
      <c r="J464" s="48" t="s">
        <v>40</v>
      </c>
      <c r="K464" s="48" t="s">
        <v>54</v>
      </c>
      <c r="L464" s="48" t="s">
        <v>38</v>
      </c>
      <c r="M464" s="48" t="s">
        <v>37</v>
      </c>
      <c r="N464" s="48" t="s">
        <v>1436</v>
      </c>
      <c r="O464" s="48" t="s">
        <v>1436</v>
      </c>
      <c r="P464" s="48" t="s">
        <v>1436</v>
      </c>
      <c r="Q464" s="48" t="s">
        <v>38</v>
      </c>
      <c r="R464" s="48" t="s">
        <v>39</v>
      </c>
      <c r="S464" s="48" t="s">
        <v>40</v>
      </c>
      <c r="T464" s="48" t="s">
        <v>41</v>
      </c>
      <c r="U464" s="48" t="s">
        <v>1436</v>
      </c>
      <c r="V464" s="48" t="s">
        <v>1436</v>
      </c>
      <c r="W464" s="48" t="s">
        <v>1436</v>
      </c>
      <c r="X464" s="49" t="s">
        <v>193</v>
      </c>
      <c r="Y464" s="48" t="s">
        <v>1194</v>
      </c>
      <c r="Z464" s="49" t="s">
        <v>1321</v>
      </c>
      <c r="AA464" s="48" t="s">
        <v>1324</v>
      </c>
      <c r="AB464" s="48" t="s">
        <v>1325</v>
      </c>
      <c r="AC464" s="48" t="s">
        <v>1239</v>
      </c>
      <c r="AD464" s="48" t="s">
        <v>1231</v>
      </c>
      <c r="AE464" s="48" t="s">
        <v>1669</v>
      </c>
      <c r="AF464" s="48" t="s">
        <v>1436</v>
      </c>
      <c r="AG464" s="48" t="s">
        <v>1436</v>
      </c>
      <c r="AH464" s="48" t="s">
        <v>208</v>
      </c>
      <c r="AI464" s="50">
        <v>44562</v>
      </c>
      <c r="AJ464" s="50">
        <v>46387</v>
      </c>
      <c r="AK464" s="49" t="s">
        <v>1280</v>
      </c>
      <c r="AL464" s="48" t="s">
        <v>36</v>
      </c>
      <c r="AM464" s="48" t="s">
        <v>36</v>
      </c>
      <c r="AN464" s="51">
        <v>-3274.22</v>
      </c>
      <c r="AO464" s="51"/>
      <c r="AP464" s="51"/>
      <c r="AQ464" s="72">
        <v>1600000</v>
      </c>
      <c r="AR464" s="72">
        <v>50000</v>
      </c>
      <c r="AS464" s="50">
        <v>46387</v>
      </c>
      <c r="AT464" s="50" t="s">
        <v>1436</v>
      </c>
      <c r="AU464" s="49" t="s">
        <v>1436</v>
      </c>
      <c r="AV464" s="49" t="s">
        <v>1670</v>
      </c>
      <c r="AW464" s="48" t="s">
        <v>1244</v>
      </c>
    </row>
    <row r="465" spans="1:49" x14ac:dyDescent="0.3">
      <c r="A465" s="48" t="s">
        <v>1320</v>
      </c>
      <c r="B465" s="48" t="s">
        <v>6</v>
      </c>
      <c r="C465" s="48" t="s">
        <v>1322</v>
      </c>
      <c r="D465" s="50">
        <v>45900</v>
      </c>
      <c r="E465" s="48" t="s">
        <v>36</v>
      </c>
      <c r="F465" s="48" t="s">
        <v>1433</v>
      </c>
      <c r="G465" s="48" t="s">
        <v>1447</v>
      </c>
      <c r="H465" s="49" t="s">
        <v>1451</v>
      </c>
      <c r="I465" s="48" t="s">
        <v>1404</v>
      </c>
      <c r="J465" s="48" t="s">
        <v>38</v>
      </c>
      <c r="K465" s="48" t="s">
        <v>49</v>
      </c>
      <c r="L465" s="48" t="s">
        <v>38</v>
      </c>
      <c r="M465" s="48" t="s">
        <v>37</v>
      </c>
      <c r="N465" s="48" t="s">
        <v>1436</v>
      </c>
      <c r="O465" s="48" t="s">
        <v>1436</v>
      </c>
      <c r="P465" s="48" t="s">
        <v>1436</v>
      </c>
      <c r="Q465" s="48" t="s">
        <v>38</v>
      </c>
      <c r="R465" s="48" t="s">
        <v>39</v>
      </c>
      <c r="S465" s="48" t="s">
        <v>38</v>
      </c>
      <c r="T465" s="48" t="s">
        <v>41</v>
      </c>
      <c r="U465" s="48" t="s">
        <v>1436</v>
      </c>
      <c r="V465" s="48" t="s">
        <v>1436</v>
      </c>
      <c r="W465" s="48" t="s">
        <v>1436</v>
      </c>
      <c r="X465" s="49" t="s">
        <v>193</v>
      </c>
      <c r="Y465" s="48" t="s">
        <v>1194</v>
      </c>
      <c r="Z465" s="49" t="s">
        <v>1321</v>
      </c>
      <c r="AA465" s="48" t="s">
        <v>1324</v>
      </c>
      <c r="AB465" s="48" t="s">
        <v>1325</v>
      </c>
      <c r="AC465" s="48" t="s">
        <v>1239</v>
      </c>
      <c r="AD465" s="48" t="s">
        <v>1231</v>
      </c>
      <c r="AE465" s="48" t="s">
        <v>1669</v>
      </c>
      <c r="AF465" s="48" t="s">
        <v>1436</v>
      </c>
      <c r="AG465" s="48" t="s">
        <v>1436</v>
      </c>
      <c r="AH465" s="48" t="s">
        <v>208</v>
      </c>
      <c r="AI465" s="50">
        <v>44562</v>
      </c>
      <c r="AJ465" s="50">
        <v>46387</v>
      </c>
      <c r="AK465" s="49" t="s">
        <v>1280</v>
      </c>
      <c r="AL465" s="48" t="s">
        <v>36</v>
      </c>
      <c r="AM465" s="48" t="s">
        <v>36</v>
      </c>
      <c r="AN465" s="51">
        <v>264.207042</v>
      </c>
      <c r="AO465" s="51"/>
      <c r="AP465" s="51"/>
      <c r="AQ465" s="72">
        <v>1600000</v>
      </c>
      <c r="AR465" s="72">
        <v>50000</v>
      </c>
      <c r="AS465" s="50">
        <v>46387</v>
      </c>
      <c r="AT465" s="50" t="s">
        <v>1436</v>
      </c>
      <c r="AU465" s="49" t="s">
        <v>1436</v>
      </c>
      <c r="AV465" s="49" t="s">
        <v>1670</v>
      </c>
      <c r="AW465" s="48" t="s">
        <v>1244</v>
      </c>
    </row>
    <row r="466" spans="1:49" x14ac:dyDescent="0.3">
      <c r="A466" s="48" t="s">
        <v>1320</v>
      </c>
      <c r="B466" s="48" t="s">
        <v>6</v>
      </c>
      <c r="C466" s="48" t="s">
        <v>1322</v>
      </c>
      <c r="D466" s="50">
        <v>45930</v>
      </c>
      <c r="E466" s="48" t="s">
        <v>36</v>
      </c>
      <c r="F466" s="48" t="s">
        <v>1433</v>
      </c>
      <c r="G466" s="48" t="s">
        <v>1434</v>
      </c>
      <c r="H466" s="49" t="s">
        <v>1435</v>
      </c>
      <c r="I466" s="48" t="s">
        <v>1412</v>
      </c>
      <c r="J466" s="48" t="s">
        <v>40</v>
      </c>
      <c r="K466" s="48" t="s">
        <v>52</v>
      </c>
      <c r="L466" s="48" t="s">
        <v>38</v>
      </c>
      <c r="M466" s="48" t="s">
        <v>37</v>
      </c>
      <c r="N466" s="48" t="s">
        <v>1436</v>
      </c>
      <c r="O466" s="48" t="s">
        <v>1436</v>
      </c>
      <c r="P466" s="48" t="s">
        <v>1436</v>
      </c>
      <c r="Q466" s="48" t="s">
        <v>38</v>
      </c>
      <c r="R466" s="48" t="s">
        <v>39</v>
      </c>
      <c r="S466" s="48" t="s">
        <v>40</v>
      </c>
      <c r="T466" s="48" t="s">
        <v>41</v>
      </c>
      <c r="U466" s="48" t="s">
        <v>1436</v>
      </c>
      <c r="V466" s="48" t="s">
        <v>1436</v>
      </c>
      <c r="W466" s="48" t="s">
        <v>1436</v>
      </c>
      <c r="X466" s="49" t="s">
        <v>193</v>
      </c>
      <c r="Y466" s="48" t="s">
        <v>1194</v>
      </c>
      <c r="Z466" s="49" t="s">
        <v>1321</v>
      </c>
      <c r="AA466" s="48" t="s">
        <v>1324</v>
      </c>
      <c r="AB466" s="48" t="s">
        <v>1325</v>
      </c>
      <c r="AC466" s="48" t="s">
        <v>1239</v>
      </c>
      <c r="AD466" s="48" t="s">
        <v>1231</v>
      </c>
      <c r="AE466" s="48" t="s">
        <v>1669</v>
      </c>
      <c r="AF466" s="48" t="s">
        <v>1436</v>
      </c>
      <c r="AG466" s="48" t="s">
        <v>1436</v>
      </c>
      <c r="AH466" s="48" t="s">
        <v>208</v>
      </c>
      <c r="AI466" s="50">
        <v>44562</v>
      </c>
      <c r="AJ466" s="50">
        <v>46387</v>
      </c>
      <c r="AK466" s="49" t="s">
        <v>1280</v>
      </c>
      <c r="AL466" s="48" t="s">
        <v>36</v>
      </c>
      <c r="AM466" s="48" t="s">
        <v>36</v>
      </c>
      <c r="AN466" s="51">
        <v>-42330.49</v>
      </c>
      <c r="AO466" s="51"/>
      <c r="AP466" s="51"/>
      <c r="AQ466" s="72">
        <v>1600000</v>
      </c>
      <c r="AR466" s="72">
        <v>50000</v>
      </c>
      <c r="AS466" s="50">
        <v>46387</v>
      </c>
      <c r="AT466" s="50" t="s">
        <v>1436</v>
      </c>
      <c r="AU466" s="49" t="s">
        <v>1436</v>
      </c>
      <c r="AV466" s="49" t="s">
        <v>1670</v>
      </c>
      <c r="AW466" s="48" t="s">
        <v>1244</v>
      </c>
    </row>
    <row r="467" spans="1:49" x14ac:dyDescent="0.3">
      <c r="A467" s="48" t="s">
        <v>1320</v>
      </c>
      <c r="B467" s="48" t="s">
        <v>6</v>
      </c>
      <c r="C467" s="48" t="s">
        <v>1322</v>
      </c>
      <c r="D467" s="50">
        <v>45930</v>
      </c>
      <c r="E467" s="48" t="s">
        <v>36</v>
      </c>
      <c r="F467" s="48" t="s">
        <v>1433</v>
      </c>
      <c r="G467" s="48" t="s">
        <v>1434</v>
      </c>
      <c r="H467" s="49" t="s">
        <v>1437</v>
      </c>
      <c r="I467" s="48" t="s">
        <v>1410</v>
      </c>
      <c r="J467" s="48" t="s">
        <v>40</v>
      </c>
      <c r="K467" s="48" t="s">
        <v>42</v>
      </c>
      <c r="L467" s="48" t="s">
        <v>38</v>
      </c>
      <c r="M467" s="48" t="s">
        <v>37</v>
      </c>
      <c r="N467" s="48" t="s">
        <v>1436</v>
      </c>
      <c r="O467" s="48" t="s">
        <v>1436</v>
      </c>
      <c r="P467" s="48" t="s">
        <v>1436</v>
      </c>
      <c r="Q467" s="48" t="s">
        <v>38</v>
      </c>
      <c r="R467" s="48" t="s">
        <v>39</v>
      </c>
      <c r="S467" s="48" t="s">
        <v>40</v>
      </c>
      <c r="T467" s="48" t="s">
        <v>41</v>
      </c>
      <c r="U467" s="48" t="s">
        <v>1436</v>
      </c>
      <c r="V467" s="48" t="s">
        <v>1436</v>
      </c>
      <c r="W467" s="48" t="s">
        <v>1436</v>
      </c>
      <c r="X467" s="49" t="s">
        <v>193</v>
      </c>
      <c r="Y467" s="48" t="s">
        <v>1194</v>
      </c>
      <c r="Z467" s="49" t="s">
        <v>1321</v>
      </c>
      <c r="AA467" s="48" t="s">
        <v>1324</v>
      </c>
      <c r="AB467" s="48" t="s">
        <v>1325</v>
      </c>
      <c r="AC467" s="48" t="s">
        <v>1239</v>
      </c>
      <c r="AD467" s="48" t="s">
        <v>1231</v>
      </c>
      <c r="AE467" s="48" t="s">
        <v>1669</v>
      </c>
      <c r="AF467" s="48" t="s">
        <v>1436</v>
      </c>
      <c r="AG467" s="48" t="s">
        <v>1436</v>
      </c>
      <c r="AH467" s="48" t="s">
        <v>208</v>
      </c>
      <c r="AI467" s="50">
        <v>44562</v>
      </c>
      <c r="AJ467" s="50">
        <v>46387</v>
      </c>
      <c r="AK467" s="49" t="s">
        <v>1280</v>
      </c>
      <c r="AL467" s="48" t="s">
        <v>36</v>
      </c>
      <c r="AM467" s="48" t="s">
        <v>36</v>
      </c>
      <c r="AN467" s="51">
        <v>0</v>
      </c>
      <c r="AO467" s="51"/>
      <c r="AP467" s="51"/>
      <c r="AQ467" s="72">
        <v>1600000</v>
      </c>
      <c r="AR467" s="72">
        <v>50000</v>
      </c>
      <c r="AS467" s="50">
        <v>46387</v>
      </c>
      <c r="AT467" s="50" t="s">
        <v>1436</v>
      </c>
      <c r="AU467" s="49" t="s">
        <v>1436</v>
      </c>
      <c r="AV467" s="49" t="s">
        <v>1670</v>
      </c>
      <c r="AW467" s="48" t="s">
        <v>1244</v>
      </c>
    </row>
    <row r="468" spans="1:49" x14ac:dyDescent="0.3">
      <c r="A468" s="48" t="s">
        <v>1320</v>
      </c>
      <c r="B468" s="48" t="s">
        <v>6</v>
      </c>
      <c r="C468" s="48" t="s">
        <v>1322</v>
      </c>
      <c r="D468" s="50">
        <v>45930</v>
      </c>
      <c r="E468" s="48" t="s">
        <v>36</v>
      </c>
      <c r="F468" s="48" t="s">
        <v>1438</v>
      </c>
      <c r="G468" s="48" t="s">
        <v>1439</v>
      </c>
      <c r="H468" s="49" t="s">
        <v>1440</v>
      </c>
      <c r="I468" s="48" t="s">
        <v>1406</v>
      </c>
      <c r="J468" s="48" t="s">
        <v>1194</v>
      </c>
      <c r="K468" s="48" t="s">
        <v>1441</v>
      </c>
      <c r="L468" s="48" t="s">
        <v>38</v>
      </c>
      <c r="M468" s="48" t="s">
        <v>37</v>
      </c>
      <c r="N468" s="48" t="s">
        <v>1436</v>
      </c>
      <c r="O468" s="48" t="s">
        <v>1436</v>
      </c>
      <c r="P468" s="48" t="s">
        <v>1436</v>
      </c>
      <c r="Q468" s="48" t="s">
        <v>38</v>
      </c>
      <c r="R468" s="48" t="s">
        <v>39</v>
      </c>
      <c r="S468" s="48" t="s">
        <v>1194</v>
      </c>
      <c r="T468" s="48" t="s">
        <v>41</v>
      </c>
      <c r="U468" s="48" t="s">
        <v>1436</v>
      </c>
      <c r="V468" s="48" t="s">
        <v>1436</v>
      </c>
      <c r="W468" s="48" t="s">
        <v>1436</v>
      </c>
      <c r="X468" s="49" t="s">
        <v>193</v>
      </c>
      <c r="Y468" s="48" t="s">
        <v>1194</v>
      </c>
      <c r="Z468" s="49" t="s">
        <v>1321</v>
      </c>
      <c r="AA468" s="48" t="s">
        <v>1324</v>
      </c>
      <c r="AB468" s="48" t="s">
        <v>1325</v>
      </c>
      <c r="AC468" s="48" t="s">
        <v>1239</v>
      </c>
      <c r="AD468" s="48" t="s">
        <v>1231</v>
      </c>
      <c r="AE468" s="48" t="s">
        <v>1669</v>
      </c>
      <c r="AF468" s="48" t="s">
        <v>1436</v>
      </c>
      <c r="AG468" s="48" t="s">
        <v>1436</v>
      </c>
      <c r="AH468" s="48" t="s">
        <v>208</v>
      </c>
      <c r="AI468" s="50">
        <v>44562</v>
      </c>
      <c r="AJ468" s="50">
        <v>46387</v>
      </c>
      <c r="AK468" s="49" t="s">
        <v>1280</v>
      </c>
      <c r="AL468" s="48" t="s">
        <v>36</v>
      </c>
      <c r="AM468" s="48" t="s">
        <v>36</v>
      </c>
      <c r="AN468" s="51">
        <v>0</v>
      </c>
      <c r="AO468" s="51"/>
      <c r="AP468" s="51"/>
      <c r="AQ468" s="72">
        <v>1600000</v>
      </c>
      <c r="AR468" s="72">
        <v>50000</v>
      </c>
      <c r="AS468" s="50">
        <v>46387</v>
      </c>
      <c r="AT468" s="50" t="s">
        <v>1436</v>
      </c>
      <c r="AU468" s="49" t="s">
        <v>1436</v>
      </c>
      <c r="AV468" s="49" t="s">
        <v>1670</v>
      </c>
      <c r="AW468" s="48" t="s">
        <v>1244</v>
      </c>
    </row>
    <row r="469" spans="1:49" x14ac:dyDescent="0.3">
      <c r="A469" s="48" t="s">
        <v>1320</v>
      </c>
      <c r="B469" s="48" t="s">
        <v>6</v>
      </c>
      <c r="C469" s="48" t="s">
        <v>1322</v>
      </c>
      <c r="D469" s="50">
        <v>45930</v>
      </c>
      <c r="E469" s="48" t="s">
        <v>36</v>
      </c>
      <c r="F469" s="48" t="s">
        <v>1438</v>
      </c>
      <c r="G469" s="48" t="s">
        <v>1439</v>
      </c>
      <c r="H469" s="49" t="s">
        <v>1442</v>
      </c>
      <c r="I469" s="48" t="s">
        <v>1405</v>
      </c>
      <c r="J469" s="48" t="s">
        <v>1194</v>
      </c>
      <c r="K469" s="48" t="s">
        <v>1443</v>
      </c>
      <c r="L469" s="48" t="s">
        <v>38</v>
      </c>
      <c r="M469" s="48" t="s">
        <v>37</v>
      </c>
      <c r="N469" s="48" t="s">
        <v>1436</v>
      </c>
      <c r="O469" s="48" t="s">
        <v>1436</v>
      </c>
      <c r="P469" s="48" t="s">
        <v>1436</v>
      </c>
      <c r="Q469" s="48" t="s">
        <v>38</v>
      </c>
      <c r="R469" s="48" t="s">
        <v>39</v>
      </c>
      <c r="S469" s="48" t="s">
        <v>1194</v>
      </c>
      <c r="T469" s="48" t="s">
        <v>41</v>
      </c>
      <c r="U469" s="48" t="s">
        <v>1436</v>
      </c>
      <c r="V469" s="48" t="s">
        <v>1436</v>
      </c>
      <c r="W469" s="48" t="s">
        <v>1436</v>
      </c>
      <c r="X469" s="49" t="s">
        <v>193</v>
      </c>
      <c r="Y469" s="48" t="s">
        <v>1194</v>
      </c>
      <c r="Z469" s="49" t="s">
        <v>1321</v>
      </c>
      <c r="AA469" s="48" t="s">
        <v>1324</v>
      </c>
      <c r="AB469" s="48" t="s">
        <v>1325</v>
      </c>
      <c r="AC469" s="48" t="s">
        <v>1239</v>
      </c>
      <c r="AD469" s="48" t="s">
        <v>1231</v>
      </c>
      <c r="AE469" s="48" t="s">
        <v>1669</v>
      </c>
      <c r="AF469" s="48" t="s">
        <v>1436</v>
      </c>
      <c r="AG469" s="48" t="s">
        <v>1436</v>
      </c>
      <c r="AH469" s="48" t="s">
        <v>208</v>
      </c>
      <c r="AI469" s="50">
        <v>44562</v>
      </c>
      <c r="AJ469" s="50">
        <v>46387</v>
      </c>
      <c r="AK469" s="49" t="s">
        <v>1280</v>
      </c>
      <c r="AL469" s="48" t="s">
        <v>36</v>
      </c>
      <c r="AM469" s="48" t="s">
        <v>36</v>
      </c>
      <c r="AN469" s="51">
        <v>0</v>
      </c>
      <c r="AO469" s="51"/>
      <c r="AP469" s="51"/>
      <c r="AQ469" s="72">
        <v>1600000</v>
      </c>
      <c r="AR469" s="72">
        <v>50000</v>
      </c>
      <c r="AS469" s="50">
        <v>46387</v>
      </c>
      <c r="AT469" s="50" t="s">
        <v>1436</v>
      </c>
      <c r="AU469" s="49" t="s">
        <v>1436</v>
      </c>
      <c r="AV469" s="49" t="s">
        <v>1670</v>
      </c>
      <c r="AW469" s="48" t="s">
        <v>1244</v>
      </c>
    </row>
    <row r="470" spans="1:49" x14ac:dyDescent="0.3">
      <c r="A470" s="48" t="s">
        <v>1320</v>
      </c>
      <c r="B470" s="48" t="s">
        <v>6</v>
      </c>
      <c r="C470" s="48" t="s">
        <v>1322</v>
      </c>
      <c r="D470" s="50">
        <v>45930</v>
      </c>
      <c r="E470" s="48" t="s">
        <v>36</v>
      </c>
      <c r="F470" s="48" t="s">
        <v>1438</v>
      </c>
      <c r="G470" s="48" t="s">
        <v>1444</v>
      </c>
      <c r="H470" s="49" t="s">
        <v>1445</v>
      </c>
      <c r="I470" s="48" t="s">
        <v>1411</v>
      </c>
      <c r="J470" s="48" t="s">
        <v>40</v>
      </c>
      <c r="K470" s="48" t="s">
        <v>50</v>
      </c>
      <c r="L470" s="48" t="s">
        <v>38</v>
      </c>
      <c r="M470" s="48" t="s">
        <v>37</v>
      </c>
      <c r="N470" s="48" t="s">
        <v>1436</v>
      </c>
      <c r="O470" s="48" t="s">
        <v>1436</v>
      </c>
      <c r="P470" s="48" t="s">
        <v>1436</v>
      </c>
      <c r="Q470" s="48" t="s">
        <v>38</v>
      </c>
      <c r="R470" s="48" t="s">
        <v>39</v>
      </c>
      <c r="S470" s="48" t="s">
        <v>40</v>
      </c>
      <c r="T470" s="48" t="s">
        <v>41</v>
      </c>
      <c r="U470" s="48" t="s">
        <v>1436</v>
      </c>
      <c r="V470" s="48" t="s">
        <v>1436</v>
      </c>
      <c r="W470" s="48" t="s">
        <v>1436</v>
      </c>
      <c r="X470" s="49" t="s">
        <v>193</v>
      </c>
      <c r="Y470" s="48" t="s">
        <v>1194</v>
      </c>
      <c r="Z470" s="49" t="s">
        <v>1321</v>
      </c>
      <c r="AA470" s="48" t="s">
        <v>1324</v>
      </c>
      <c r="AB470" s="48" t="s">
        <v>1325</v>
      </c>
      <c r="AC470" s="48" t="s">
        <v>1239</v>
      </c>
      <c r="AD470" s="48" t="s">
        <v>1231</v>
      </c>
      <c r="AE470" s="48" t="s">
        <v>1669</v>
      </c>
      <c r="AF470" s="48" t="s">
        <v>1436</v>
      </c>
      <c r="AG470" s="48" t="s">
        <v>1436</v>
      </c>
      <c r="AH470" s="48" t="s">
        <v>208</v>
      </c>
      <c r="AI470" s="50">
        <v>44562</v>
      </c>
      <c r="AJ470" s="50">
        <v>46387</v>
      </c>
      <c r="AK470" s="49" t="s">
        <v>1280</v>
      </c>
      <c r="AL470" s="48" t="s">
        <v>36</v>
      </c>
      <c r="AM470" s="48" t="s">
        <v>36</v>
      </c>
      <c r="AN470" s="51">
        <v>42330.49</v>
      </c>
      <c r="AO470" s="51"/>
      <c r="AP470" s="51"/>
      <c r="AQ470" s="72">
        <v>1600000</v>
      </c>
      <c r="AR470" s="72">
        <v>50000</v>
      </c>
      <c r="AS470" s="50">
        <v>46387</v>
      </c>
      <c r="AT470" s="50" t="s">
        <v>1436</v>
      </c>
      <c r="AU470" s="49" t="s">
        <v>1436</v>
      </c>
      <c r="AV470" s="49" t="s">
        <v>1670</v>
      </c>
      <c r="AW470" s="48" t="s">
        <v>1244</v>
      </c>
    </row>
    <row r="471" spans="1:49" x14ac:dyDescent="0.3">
      <c r="A471" s="48" t="s">
        <v>1320</v>
      </c>
      <c r="B471" s="48" t="s">
        <v>6</v>
      </c>
      <c r="C471" s="48" t="s">
        <v>1322</v>
      </c>
      <c r="D471" s="50">
        <v>45930</v>
      </c>
      <c r="E471" s="48" t="s">
        <v>36</v>
      </c>
      <c r="F471" s="48" t="s">
        <v>1438</v>
      </c>
      <c r="G471" s="48" t="s">
        <v>1444</v>
      </c>
      <c r="H471" s="49" t="s">
        <v>1446</v>
      </c>
      <c r="I471" s="48" t="s">
        <v>1407</v>
      </c>
      <c r="J471" s="48" t="s">
        <v>40</v>
      </c>
      <c r="K471" s="48" t="s">
        <v>47</v>
      </c>
      <c r="L471" s="48" t="s">
        <v>38</v>
      </c>
      <c r="M471" s="48" t="s">
        <v>37</v>
      </c>
      <c r="N471" s="48" t="s">
        <v>1436</v>
      </c>
      <c r="O471" s="48" t="s">
        <v>1436</v>
      </c>
      <c r="P471" s="48" t="s">
        <v>1436</v>
      </c>
      <c r="Q471" s="48" t="s">
        <v>38</v>
      </c>
      <c r="R471" s="48" t="s">
        <v>39</v>
      </c>
      <c r="S471" s="48" t="s">
        <v>40</v>
      </c>
      <c r="T471" s="48" t="s">
        <v>41</v>
      </c>
      <c r="U471" s="48" t="s">
        <v>1436</v>
      </c>
      <c r="V471" s="48" t="s">
        <v>1436</v>
      </c>
      <c r="W471" s="48" t="s">
        <v>1436</v>
      </c>
      <c r="X471" s="49" t="s">
        <v>193</v>
      </c>
      <c r="Y471" s="48" t="s">
        <v>1194</v>
      </c>
      <c r="Z471" s="49" t="s">
        <v>1321</v>
      </c>
      <c r="AA471" s="48" t="s">
        <v>1324</v>
      </c>
      <c r="AB471" s="48" t="s">
        <v>1325</v>
      </c>
      <c r="AC471" s="48" t="s">
        <v>1239</v>
      </c>
      <c r="AD471" s="48" t="s">
        <v>1231</v>
      </c>
      <c r="AE471" s="48" t="s">
        <v>1669</v>
      </c>
      <c r="AF471" s="48" t="s">
        <v>1436</v>
      </c>
      <c r="AG471" s="48" t="s">
        <v>1436</v>
      </c>
      <c r="AH471" s="48" t="s">
        <v>208</v>
      </c>
      <c r="AI471" s="50">
        <v>44562</v>
      </c>
      <c r="AJ471" s="50">
        <v>46387</v>
      </c>
      <c r="AK471" s="49" t="s">
        <v>1280</v>
      </c>
      <c r="AL471" s="48" t="s">
        <v>36</v>
      </c>
      <c r="AM471" s="48" t="s">
        <v>36</v>
      </c>
      <c r="AN471" s="51">
        <v>4177.4088709999996</v>
      </c>
      <c r="AO471" s="51"/>
      <c r="AP471" s="51"/>
      <c r="AQ471" s="72">
        <v>1600000</v>
      </c>
      <c r="AR471" s="72">
        <v>50000</v>
      </c>
      <c r="AS471" s="50">
        <v>46387</v>
      </c>
      <c r="AT471" s="50" t="s">
        <v>1436</v>
      </c>
      <c r="AU471" s="49" t="s">
        <v>1436</v>
      </c>
      <c r="AV471" s="49" t="s">
        <v>1670</v>
      </c>
      <c r="AW471" s="48" t="s">
        <v>1244</v>
      </c>
    </row>
    <row r="472" spans="1:49" x14ac:dyDescent="0.3">
      <c r="A472" s="48" t="s">
        <v>1320</v>
      </c>
      <c r="B472" s="48" t="s">
        <v>6</v>
      </c>
      <c r="C472" s="48" t="s">
        <v>1322</v>
      </c>
      <c r="D472" s="50">
        <v>45930</v>
      </c>
      <c r="E472" s="48" t="s">
        <v>36</v>
      </c>
      <c r="F472" s="48" t="s">
        <v>1433</v>
      </c>
      <c r="G472" s="48" t="s">
        <v>1447</v>
      </c>
      <c r="H472" s="49" t="s">
        <v>1448</v>
      </c>
      <c r="I472" s="48" t="s">
        <v>1413</v>
      </c>
      <c r="J472" s="48" t="s">
        <v>40</v>
      </c>
      <c r="K472" s="48" t="s">
        <v>58</v>
      </c>
      <c r="L472" s="48" t="s">
        <v>38</v>
      </c>
      <c r="M472" s="48" t="s">
        <v>37</v>
      </c>
      <c r="N472" s="48" t="s">
        <v>1436</v>
      </c>
      <c r="O472" s="48" t="s">
        <v>1436</v>
      </c>
      <c r="P472" s="48" t="s">
        <v>1436</v>
      </c>
      <c r="Q472" s="48" t="s">
        <v>38</v>
      </c>
      <c r="R472" s="48" t="s">
        <v>39</v>
      </c>
      <c r="S472" s="48" t="s">
        <v>40</v>
      </c>
      <c r="T472" s="48" t="s">
        <v>41</v>
      </c>
      <c r="U472" s="48" t="s">
        <v>1436</v>
      </c>
      <c r="V472" s="48" t="s">
        <v>1436</v>
      </c>
      <c r="W472" s="48" t="s">
        <v>1436</v>
      </c>
      <c r="X472" s="49" t="s">
        <v>193</v>
      </c>
      <c r="Y472" s="48" t="s">
        <v>1194</v>
      </c>
      <c r="Z472" s="49" t="s">
        <v>1321</v>
      </c>
      <c r="AA472" s="48" t="s">
        <v>1324</v>
      </c>
      <c r="AB472" s="48" t="s">
        <v>1325</v>
      </c>
      <c r="AC472" s="48" t="s">
        <v>1239</v>
      </c>
      <c r="AD472" s="48" t="s">
        <v>1231</v>
      </c>
      <c r="AE472" s="48" t="s">
        <v>1669</v>
      </c>
      <c r="AF472" s="48" t="s">
        <v>1436</v>
      </c>
      <c r="AG472" s="48" t="s">
        <v>1436</v>
      </c>
      <c r="AH472" s="48" t="s">
        <v>208</v>
      </c>
      <c r="AI472" s="50">
        <v>44562</v>
      </c>
      <c r="AJ472" s="50">
        <v>46387</v>
      </c>
      <c r="AK472" s="49" t="s">
        <v>1280</v>
      </c>
      <c r="AL472" s="48" t="s">
        <v>36</v>
      </c>
      <c r="AM472" s="48" t="s">
        <v>36</v>
      </c>
      <c r="AN472" s="51">
        <v>-50000</v>
      </c>
      <c r="AO472" s="51"/>
      <c r="AP472" s="51"/>
      <c r="AQ472" s="72">
        <v>1600000</v>
      </c>
      <c r="AR472" s="72">
        <v>50000</v>
      </c>
      <c r="AS472" s="50">
        <v>46387</v>
      </c>
      <c r="AT472" s="50" t="s">
        <v>1436</v>
      </c>
      <c r="AU472" s="49" t="s">
        <v>1436</v>
      </c>
      <c r="AV472" s="49" t="s">
        <v>1670</v>
      </c>
      <c r="AW472" s="48" t="s">
        <v>1244</v>
      </c>
    </row>
    <row r="473" spans="1:49" x14ac:dyDescent="0.3">
      <c r="A473" s="48" t="s">
        <v>1320</v>
      </c>
      <c r="B473" s="48" t="s">
        <v>6</v>
      </c>
      <c r="C473" s="48" t="s">
        <v>1322</v>
      </c>
      <c r="D473" s="50">
        <v>45930</v>
      </c>
      <c r="E473" s="48" t="s">
        <v>36</v>
      </c>
      <c r="F473" s="48" t="s">
        <v>1433</v>
      </c>
      <c r="G473" s="48" t="s">
        <v>1447</v>
      </c>
      <c r="H473" s="49" t="s">
        <v>1449</v>
      </c>
      <c r="I473" s="48" t="s">
        <v>1409</v>
      </c>
      <c r="J473" s="48" t="s">
        <v>40</v>
      </c>
      <c r="K473" s="48" t="s">
        <v>45</v>
      </c>
      <c r="L473" s="48" t="s">
        <v>38</v>
      </c>
      <c r="M473" s="48" t="s">
        <v>37</v>
      </c>
      <c r="N473" s="48" t="s">
        <v>1436</v>
      </c>
      <c r="O473" s="48" t="s">
        <v>1436</v>
      </c>
      <c r="P473" s="48" t="s">
        <v>1436</v>
      </c>
      <c r="Q473" s="48" t="s">
        <v>38</v>
      </c>
      <c r="R473" s="48" t="s">
        <v>39</v>
      </c>
      <c r="S473" s="48" t="s">
        <v>40</v>
      </c>
      <c r="T473" s="48" t="s">
        <v>41</v>
      </c>
      <c r="U473" s="48" t="s">
        <v>1436</v>
      </c>
      <c r="V473" s="48" t="s">
        <v>1436</v>
      </c>
      <c r="W473" s="48" t="s">
        <v>1436</v>
      </c>
      <c r="X473" s="49" t="s">
        <v>193</v>
      </c>
      <c r="Y473" s="48" t="s">
        <v>1194</v>
      </c>
      <c r="Z473" s="49" t="s">
        <v>1321</v>
      </c>
      <c r="AA473" s="48" t="s">
        <v>1324</v>
      </c>
      <c r="AB473" s="48" t="s">
        <v>1325</v>
      </c>
      <c r="AC473" s="48" t="s">
        <v>1239</v>
      </c>
      <c r="AD473" s="48" t="s">
        <v>1231</v>
      </c>
      <c r="AE473" s="48" t="s">
        <v>1669</v>
      </c>
      <c r="AF473" s="48" t="s">
        <v>1436</v>
      </c>
      <c r="AG473" s="48" t="s">
        <v>1436</v>
      </c>
      <c r="AH473" s="48" t="s">
        <v>208</v>
      </c>
      <c r="AI473" s="50">
        <v>44562</v>
      </c>
      <c r="AJ473" s="50">
        <v>46387</v>
      </c>
      <c r="AK473" s="49" t="s">
        <v>1280</v>
      </c>
      <c r="AL473" s="48" t="s">
        <v>36</v>
      </c>
      <c r="AM473" s="48" t="s">
        <v>36</v>
      </c>
      <c r="AN473" s="51">
        <v>48850.132878999997</v>
      </c>
      <c r="AO473" s="51"/>
      <c r="AP473" s="51"/>
      <c r="AQ473" s="72">
        <v>1600000</v>
      </c>
      <c r="AR473" s="72">
        <v>50000</v>
      </c>
      <c r="AS473" s="50">
        <v>46387</v>
      </c>
      <c r="AT473" s="50" t="s">
        <v>1436</v>
      </c>
      <c r="AU473" s="49" t="s">
        <v>1436</v>
      </c>
      <c r="AV473" s="49" t="s">
        <v>1670</v>
      </c>
      <c r="AW473" s="48" t="s">
        <v>1244</v>
      </c>
    </row>
    <row r="474" spans="1:49" x14ac:dyDescent="0.3">
      <c r="A474" s="48" t="s">
        <v>1320</v>
      </c>
      <c r="B474" s="48" t="s">
        <v>6</v>
      </c>
      <c r="C474" s="48" t="s">
        <v>1322</v>
      </c>
      <c r="D474" s="50">
        <v>45930</v>
      </c>
      <c r="E474" s="48" t="s">
        <v>36</v>
      </c>
      <c r="F474" s="48" t="s">
        <v>1433</v>
      </c>
      <c r="G474" s="48" t="s">
        <v>1447</v>
      </c>
      <c r="H474" s="49" t="s">
        <v>1450</v>
      </c>
      <c r="I474" s="48" t="s">
        <v>1408</v>
      </c>
      <c r="J474" s="48" t="s">
        <v>40</v>
      </c>
      <c r="K474" s="48" t="s">
        <v>54</v>
      </c>
      <c r="L474" s="48" t="s">
        <v>38</v>
      </c>
      <c r="M474" s="48" t="s">
        <v>37</v>
      </c>
      <c r="N474" s="48" t="s">
        <v>1436</v>
      </c>
      <c r="O474" s="48" t="s">
        <v>1436</v>
      </c>
      <c r="P474" s="48" t="s">
        <v>1436</v>
      </c>
      <c r="Q474" s="48" t="s">
        <v>38</v>
      </c>
      <c r="R474" s="48" t="s">
        <v>39</v>
      </c>
      <c r="S474" s="48" t="s">
        <v>40</v>
      </c>
      <c r="T474" s="48" t="s">
        <v>41</v>
      </c>
      <c r="U474" s="48" t="s">
        <v>1436</v>
      </c>
      <c r="V474" s="48" t="s">
        <v>1436</v>
      </c>
      <c r="W474" s="48" t="s">
        <v>1436</v>
      </c>
      <c r="X474" s="49" t="s">
        <v>193</v>
      </c>
      <c r="Y474" s="48" t="s">
        <v>1194</v>
      </c>
      <c r="Z474" s="49" t="s">
        <v>1321</v>
      </c>
      <c r="AA474" s="48" t="s">
        <v>1324</v>
      </c>
      <c r="AB474" s="48" t="s">
        <v>1325</v>
      </c>
      <c r="AC474" s="48" t="s">
        <v>1239</v>
      </c>
      <c r="AD474" s="48" t="s">
        <v>1231</v>
      </c>
      <c r="AE474" s="48" t="s">
        <v>1669</v>
      </c>
      <c r="AF474" s="48" t="s">
        <v>1436</v>
      </c>
      <c r="AG474" s="48" t="s">
        <v>1436</v>
      </c>
      <c r="AH474" s="48" t="s">
        <v>208</v>
      </c>
      <c r="AI474" s="50">
        <v>44562</v>
      </c>
      <c r="AJ474" s="50">
        <v>46387</v>
      </c>
      <c r="AK474" s="49" t="s">
        <v>1280</v>
      </c>
      <c r="AL474" s="48" t="s">
        <v>36</v>
      </c>
      <c r="AM474" s="48" t="s">
        <v>36</v>
      </c>
      <c r="AN474" s="51">
        <v>-3293.29</v>
      </c>
      <c r="AO474" s="51"/>
      <c r="AP474" s="51"/>
      <c r="AQ474" s="72">
        <v>1600000</v>
      </c>
      <c r="AR474" s="72">
        <v>50000</v>
      </c>
      <c r="AS474" s="50">
        <v>46387</v>
      </c>
      <c r="AT474" s="50" t="s">
        <v>1436</v>
      </c>
      <c r="AU474" s="49" t="s">
        <v>1436</v>
      </c>
      <c r="AV474" s="49" t="s">
        <v>1670</v>
      </c>
      <c r="AW474" s="48" t="s">
        <v>1244</v>
      </c>
    </row>
    <row r="475" spans="1:49" x14ac:dyDescent="0.3">
      <c r="A475" s="48" t="s">
        <v>1320</v>
      </c>
      <c r="B475" s="48" t="s">
        <v>6</v>
      </c>
      <c r="C475" s="48" t="s">
        <v>1322</v>
      </c>
      <c r="D475" s="50">
        <v>45930</v>
      </c>
      <c r="E475" s="48" t="s">
        <v>36</v>
      </c>
      <c r="F475" s="48" t="s">
        <v>1433</v>
      </c>
      <c r="G475" s="48" t="s">
        <v>1447</v>
      </c>
      <c r="H475" s="49" t="s">
        <v>1451</v>
      </c>
      <c r="I475" s="48" t="s">
        <v>1404</v>
      </c>
      <c r="J475" s="48" t="s">
        <v>38</v>
      </c>
      <c r="K475" s="48" t="s">
        <v>49</v>
      </c>
      <c r="L475" s="48" t="s">
        <v>38</v>
      </c>
      <c r="M475" s="48" t="s">
        <v>37</v>
      </c>
      <c r="N475" s="48" t="s">
        <v>1436</v>
      </c>
      <c r="O475" s="48" t="s">
        <v>1436</v>
      </c>
      <c r="P475" s="48" t="s">
        <v>1436</v>
      </c>
      <c r="Q475" s="48" t="s">
        <v>38</v>
      </c>
      <c r="R475" s="48" t="s">
        <v>39</v>
      </c>
      <c r="S475" s="48" t="s">
        <v>38</v>
      </c>
      <c r="T475" s="48" t="s">
        <v>41</v>
      </c>
      <c r="U475" s="48" t="s">
        <v>1436</v>
      </c>
      <c r="V475" s="48" t="s">
        <v>1436</v>
      </c>
      <c r="W475" s="48" t="s">
        <v>1436</v>
      </c>
      <c r="X475" s="49" t="s">
        <v>193</v>
      </c>
      <c r="Y475" s="48" t="s">
        <v>1194</v>
      </c>
      <c r="Z475" s="49" t="s">
        <v>1321</v>
      </c>
      <c r="AA475" s="48" t="s">
        <v>1324</v>
      </c>
      <c r="AB475" s="48" t="s">
        <v>1325</v>
      </c>
      <c r="AC475" s="48" t="s">
        <v>1239</v>
      </c>
      <c r="AD475" s="48" t="s">
        <v>1231</v>
      </c>
      <c r="AE475" s="48" t="s">
        <v>1669</v>
      </c>
      <c r="AF475" s="48" t="s">
        <v>1436</v>
      </c>
      <c r="AG475" s="48" t="s">
        <v>1436</v>
      </c>
      <c r="AH475" s="48" t="s">
        <v>208</v>
      </c>
      <c r="AI475" s="50">
        <v>44562</v>
      </c>
      <c r="AJ475" s="50">
        <v>46387</v>
      </c>
      <c r="AK475" s="49" t="s">
        <v>1280</v>
      </c>
      <c r="AL475" s="48" t="s">
        <v>36</v>
      </c>
      <c r="AM475" s="48" t="s">
        <v>36</v>
      </c>
      <c r="AN475" s="51">
        <v>265.74824999999998</v>
      </c>
      <c r="AO475" s="51"/>
      <c r="AP475" s="51"/>
      <c r="AQ475" s="72">
        <v>1600000</v>
      </c>
      <c r="AR475" s="72">
        <v>50000</v>
      </c>
      <c r="AS475" s="50">
        <v>46387</v>
      </c>
      <c r="AT475" s="50" t="s">
        <v>1436</v>
      </c>
      <c r="AU475" s="49" t="s">
        <v>1436</v>
      </c>
      <c r="AV475" s="49" t="s">
        <v>1670</v>
      </c>
      <c r="AW475" s="48" t="s">
        <v>1244</v>
      </c>
    </row>
    <row r="476" spans="1:49" x14ac:dyDescent="0.3">
      <c r="A476" s="48" t="s">
        <v>1320</v>
      </c>
      <c r="B476" s="48" t="s">
        <v>6</v>
      </c>
      <c r="C476" s="48" t="s">
        <v>1322</v>
      </c>
      <c r="D476" s="50">
        <v>45961</v>
      </c>
      <c r="E476" s="48" t="s">
        <v>36</v>
      </c>
      <c r="F476" s="48" t="s">
        <v>1433</v>
      </c>
      <c r="G476" s="48" t="s">
        <v>1434</v>
      </c>
      <c r="H476" s="49" t="s">
        <v>1435</v>
      </c>
      <c r="I476" s="48" t="s">
        <v>1412</v>
      </c>
      <c r="J476" s="48" t="s">
        <v>40</v>
      </c>
      <c r="K476" s="48" t="s">
        <v>52</v>
      </c>
      <c r="L476" s="48" t="s">
        <v>38</v>
      </c>
      <c r="M476" s="48" t="s">
        <v>37</v>
      </c>
      <c r="N476" s="48" t="s">
        <v>1436</v>
      </c>
      <c r="O476" s="48" t="s">
        <v>1436</v>
      </c>
      <c r="P476" s="48" t="s">
        <v>1436</v>
      </c>
      <c r="Q476" s="48" t="s">
        <v>38</v>
      </c>
      <c r="R476" s="48" t="s">
        <v>39</v>
      </c>
      <c r="S476" s="48" t="s">
        <v>40</v>
      </c>
      <c r="T476" s="48" t="s">
        <v>41</v>
      </c>
      <c r="U476" s="48" t="s">
        <v>1436</v>
      </c>
      <c r="V476" s="48" t="s">
        <v>1436</v>
      </c>
      <c r="W476" s="48" t="s">
        <v>1436</v>
      </c>
      <c r="X476" s="49" t="s">
        <v>193</v>
      </c>
      <c r="Y476" s="48" t="s">
        <v>1194</v>
      </c>
      <c r="Z476" s="49" t="s">
        <v>1321</v>
      </c>
      <c r="AA476" s="48" t="s">
        <v>1324</v>
      </c>
      <c r="AB476" s="48" t="s">
        <v>1325</v>
      </c>
      <c r="AC476" s="48" t="s">
        <v>1239</v>
      </c>
      <c r="AD476" s="48" t="s">
        <v>1231</v>
      </c>
      <c r="AE476" s="48" t="s">
        <v>1669</v>
      </c>
      <c r="AF476" s="48" t="s">
        <v>1436</v>
      </c>
      <c r="AG476" s="48" t="s">
        <v>1436</v>
      </c>
      <c r="AH476" s="48" t="s">
        <v>208</v>
      </c>
      <c r="AI476" s="50">
        <v>44562</v>
      </c>
      <c r="AJ476" s="50">
        <v>46387</v>
      </c>
      <c r="AK476" s="49" t="s">
        <v>1280</v>
      </c>
      <c r="AL476" s="48" t="s">
        <v>36</v>
      </c>
      <c r="AM476" s="48" t="s">
        <v>36</v>
      </c>
      <c r="AN476" s="51">
        <v>-42330.49</v>
      </c>
      <c r="AO476" s="51"/>
      <c r="AP476" s="51"/>
      <c r="AQ476" s="72">
        <v>1600000</v>
      </c>
      <c r="AR476" s="72">
        <v>50000</v>
      </c>
      <c r="AS476" s="50">
        <v>46387</v>
      </c>
      <c r="AT476" s="50" t="s">
        <v>1436</v>
      </c>
      <c r="AU476" s="49" t="s">
        <v>1436</v>
      </c>
      <c r="AV476" s="49" t="s">
        <v>1670</v>
      </c>
      <c r="AW476" s="48" t="s">
        <v>1244</v>
      </c>
    </row>
    <row r="477" spans="1:49" x14ac:dyDescent="0.3">
      <c r="A477" s="48" t="s">
        <v>1320</v>
      </c>
      <c r="B477" s="48" t="s">
        <v>6</v>
      </c>
      <c r="C477" s="48" t="s">
        <v>1322</v>
      </c>
      <c r="D477" s="50">
        <v>45961</v>
      </c>
      <c r="E477" s="48" t="s">
        <v>36</v>
      </c>
      <c r="F477" s="48" t="s">
        <v>1433</v>
      </c>
      <c r="G477" s="48" t="s">
        <v>1434</v>
      </c>
      <c r="H477" s="49" t="s">
        <v>1437</v>
      </c>
      <c r="I477" s="48" t="s">
        <v>1410</v>
      </c>
      <c r="J477" s="48" t="s">
        <v>40</v>
      </c>
      <c r="K477" s="48" t="s">
        <v>42</v>
      </c>
      <c r="L477" s="48" t="s">
        <v>38</v>
      </c>
      <c r="M477" s="48" t="s">
        <v>37</v>
      </c>
      <c r="N477" s="48" t="s">
        <v>1436</v>
      </c>
      <c r="O477" s="48" t="s">
        <v>1436</v>
      </c>
      <c r="P477" s="48" t="s">
        <v>1436</v>
      </c>
      <c r="Q477" s="48" t="s">
        <v>38</v>
      </c>
      <c r="R477" s="48" t="s">
        <v>39</v>
      </c>
      <c r="S477" s="48" t="s">
        <v>40</v>
      </c>
      <c r="T477" s="48" t="s">
        <v>41</v>
      </c>
      <c r="U477" s="48" t="s">
        <v>1436</v>
      </c>
      <c r="V477" s="48" t="s">
        <v>1436</v>
      </c>
      <c r="W477" s="48" t="s">
        <v>1436</v>
      </c>
      <c r="X477" s="49" t="s">
        <v>193</v>
      </c>
      <c r="Y477" s="48" t="s">
        <v>1194</v>
      </c>
      <c r="Z477" s="49" t="s">
        <v>1321</v>
      </c>
      <c r="AA477" s="48" t="s">
        <v>1324</v>
      </c>
      <c r="AB477" s="48" t="s">
        <v>1325</v>
      </c>
      <c r="AC477" s="48" t="s">
        <v>1239</v>
      </c>
      <c r="AD477" s="48" t="s">
        <v>1231</v>
      </c>
      <c r="AE477" s="48" t="s">
        <v>1669</v>
      </c>
      <c r="AF477" s="48" t="s">
        <v>1436</v>
      </c>
      <c r="AG477" s="48" t="s">
        <v>1436</v>
      </c>
      <c r="AH477" s="48" t="s">
        <v>208</v>
      </c>
      <c r="AI477" s="50">
        <v>44562</v>
      </c>
      <c r="AJ477" s="50">
        <v>46387</v>
      </c>
      <c r="AK477" s="49" t="s">
        <v>1280</v>
      </c>
      <c r="AL477" s="48" t="s">
        <v>36</v>
      </c>
      <c r="AM477" s="48" t="s">
        <v>36</v>
      </c>
      <c r="AN477" s="51">
        <v>0</v>
      </c>
      <c r="AO477" s="51"/>
      <c r="AP477" s="51"/>
      <c r="AQ477" s="72">
        <v>1600000</v>
      </c>
      <c r="AR477" s="72">
        <v>50000</v>
      </c>
      <c r="AS477" s="50">
        <v>46387</v>
      </c>
      <c r="AT477" s="50" t="s">
        <v>1436</v>
      </c>
      <c r="AU477" s="49" t="s">
        <v>1436</v>
      </c>
      <c r="AV477" s="49" t="s">
        <v>1670</v>
      </c>
      <c r="AW477" s="48" t="s">
        <v>1244</v>
      </c>
    </row>
    <row r="478" spans="1:49" x14ac:dyDescent="0.3">
      <c r="A478" s="48" t="s">
        <v>1320</v>
      </c>
      <c r="B478" s="48" t="s">
        <v>6</v>
      </c>
      <c r="C478" s="48" t="s">
        <v>1322</v>
      </c>
      <c r="D478" s="50">
        <v>45961</v>
      </c>
      <c r="E478" s="48" t="s">
        <v>36</v>
      </c>
      <c r="F478" s="48" t="s">
        <v>1438</v>
      </c>
      <c r="G478" s="48" t="s">
        <v>1439</v>
      </c>
      <c r="H478" s="49" t="s">
        <v>1440</v>
      </c>
      <c r="I478" s="48" t="s">
        <v>1406</v>
      </c>
      <c r="J478" s="48" t="s">
        <v>1194</v>
      </c>
      <c r="K478" s="48" t="s">
        <v>1441</v>
      </c>
      <c r="L478" s="48" t="s">
        <v>38</v>
      </c>
      <c r="M478" s="48" t="s">
        <v>37</v>
      </c>
      <c r="N478" s="48" t="s">
        <v>1436</v>
      </c>
      <c r="O478" s="48" t="s">
        <v>1436</v>
      </c>
      <c r="P478" s="48" t="s">
        <v>1436</v>
      </c>
      <c r="Q478" s="48" t="s">
        <v>38</v>
      </c>
      <c r="R478" s="48" t="s">
        <v>39</v>
      </c>
      <c r="S478" s="48" t="s">
        <v>1194</v>
      </c>
      <c r="T478" s="48" t="s">
        <v>41</v>
      </c>
      <c r="U478" s="48" t="s">
        <v>1436</v>
      </c>
      <c r="V478" s="48" t="s">
        <v>1436</v>
      </c>
      <c r="W478" s="48" t="s">
        <v>1436</v>
      </c>
      <c r="X478" s="49" t="s">
        <v>193</v>
      </c>
      <c r="Y478" s="48" t="s">
        <v>1194</v>
      </c>
      <c r="Z478" s="49" t="s">
        <v>1321</v>
      </c>
      <c r="AA478" s="48" t="s">
        <v>1324</v>
      </c>
      <c r="AB478" s="48" t="s">
        <v>1325</v>
      </c>
      <c r="AC478" s="48" t="s">
        <v>1239</v>
      </c>
      <c r="AD478" s="48" t="s">
        <v>1231</v>
      </c>
      <c r="AE478" s="48" t="s">
        <v>1669</v>
      </c>
      <c r="AF478" s="48" t="s">
        <v>1436</v>
      </c>
      <c r="AG478" s="48" t="s">
        <v>1436</v>
      </c>
      <c r="AH478" s="48" t="s">
        <v>208</v>
      </c>
      <c r="AI478" s="50">
        <v>44562</v>
      </c>
      <c r="AJ478" s="50">
        <v>46387</v>
      </c>
      <c r="AK478" s="49" t="s">
        <v>1280</v>
      </c>
      <c r="AL478" s="48" t="s">
        <v>36</v>
      </c>
      <c r="AM478" s="48" t="s">
        <v>36</v>
      </c>
      <c r="AN478" s="51">
        <v>0</v>
      </c>
      <c r="AO478" s="51"/>
      <c r="AP478" s="51"/>
      <c r="AQ478" s="72">
        <v>1600000</v>
      </c>
      <c r="AR478" s="72">
        <v>50000</v>
      </c>
      <c r="AS478" s="50">
        <v>46387</v>
      </c>
      <c r="AT478" s="50" t="s">
        <v>1436</v>
      </c>
      <c r="AU478" s="49" t="s">
        <v>1436</v>
      </c>
      <c r="AV478" s="49" t="s">
        <v>1670</v>
      </c>
      <c r="AW478" s="48" t="s">
        <v>1244</v>
      </c>
    </row>
    <row r="479" spans="1:49" x14ac:dyDescent="0.3">
      <c r="A479" s="48" t="s">
        <v>1320</v>
      </c>
      <c r="B479" s="48" t="s">
        <v>6</v>
      </c>
      <c r="C479" s="48" t="s">
        <v>1322</v>
      </c>
      <c r="D479" s="50">
        <v>45961</v>
      </c>
      <c r="E479" s="48" t="s">
        <v>36</v>
      </c>
      <c r="F479" s="48" t="s">
        <v>1438</v>
      </c>
      <c r="G479" s="48" t="s">
        <v>1439</v>
      </c>
      <c r="H479" s="49" t="s">
        <v>1442</v>
      </c>
      <c r="I479" s="48" t="s">
        <v>1405</v>
      </c>
      <c r="J479" s="48" t="s">
        <v>1194</v>
      </c>
      <c r="K479" s="48" t="s">
        <v>1443</v>
      </c>
      <c r="L479" s="48" t="s">
        <v>38</v>
      </c>
      <c r="M479" s="48" t="s">
        <v>37</v>
      </c>
      <c r="N479" s="48" t="s">
        <v>1436</v>
      </c>
      <c r="O479" s="48" t="s">
        <v>1436</v>
      </c>
      <c r="P479" s="48" t="s">
        <v>1436</v>
      </c>
      <c r="Q479" s="48" t="s">
        <v>38</v>
      </c>
      <c r="R479" s="48" t="s">
        <v>39</v>
      </c>
      <c r="S479" s="48" t="s">
        <v>1194</v>
      </c>
      <c r="T479" s="48" t="s">
        <v>41</v>
      </c>
      <c r="U479" s="48" t="s">
        <v>1436</v>
      </c>
      <c r="V479" s="48" t="s">
        <v>1436</v>
      </c>
      <c r="W479" s="48" t="s">
        <v>1436</v>
      </c>
      <c r="X479" s="49" t="s">
        <v>193</v>
      </c>
      <c r="Y479" s="48" t="s">
        <v>1194</v>
      </c>
      <c r="Z479" s="49" t="s">
        <v>1321</v>
      </c>
      <c r="AA479" s="48" t="s">
        <v>1324</v>
      </c>
      <c r="AB479" s="48" t="s">
        <v>1325</v>
      </c>
      <c r="AC479" s="48" t="s">
        <v>1239</v>
      </c>
      <c r="AD479" s="48" t="s">
        <v>1231</v>
      </c>
      <c r="AE479" s="48" t="s">
        <v>1669</v>
      </c>
      <c r="AF479" s="48" t="s">
        <v>1436</v>
      </c>
      <c r="AG479" s="48" t="s">
        <v>1436</v>
      </c>
      <c r="AH479" s="48" t="s">
        <v>208</v>
      </c>
      <c r="AI479" s="50">
        <v>44562</v>
      </c>
      <c r="AJ479" s="50">
        <v>46387</v>
      </c>
      <c r="AK479" s="49" t="s">
        <v>1280</v>
      </c>
      <c r="AL479" s="48" t="s">
        <v>36</v>
      </c>
      <c r="AM479" s="48" t="s">
        <v>36</v>
      </c>
      <c r="AN479" s="51">
        <v>0</v>
      </c>
      <c r="AO479" s="51"/>
      <c r="AP479" s="51"/>
      <c r="AQ479" s="72">
        <v>1600000</v>
      </c>
      <c r="AR479" s="72">
        <v>50000</v>
      </c>
      <c r="AS479" s="50">
        <v>46387</v>
      </c>
      <c r="AT479" s="50" t="s">
        <v>1436</v>
      </c>
      <c r="AU479" s="49" t="s">
        <v>1436</v>
      </c>
      <c r="AV479" s="49" t="s">
        <v>1670</v>
      </c>
      <c r="AW479" s="48" t="s">
        <v>1244</v>
      </c>
    </row>
    <row r="480" spans="1:49" x14ac:dyDescent="0.3">
      <c r="A480" s="48" t="s">
        <v>1320</v>
      </c>
      <c r="B480" s="48" t="s">
        <v>6</v>
      </c>
      <c r="C480" s="48" t="s">
        <v>1322</v>
      </c>
      <c r="D480" s="50">
        <v>45961</v>
      </c>
      <c r="E480" s="48" t="s">
        <v>36</v>
      </c>
      <c r="F480" s="48" t="s">
        <v>1438</v>
      </c>
      <c r="G480" s="48" t="s">
        <v>1444</v>
      </c>
      <c r="H480" s="49" t="s">
        <v>1445</v>
      </c>
      <c r="I480" s="48" t="s">
        <v>1411</v>
      </c>
      <c r="J480" s="48" t="s">
        <v>40</v>
      </c>
      <c r="K480" s="48" t="s">
        <v>50</v>
      </c>
      <c r="L480" s="48" t="s">
        <v>38</v>
      </c>
      <c r="M480" s="48" t="s">
        <v>37</v>
      </c>
      <c r="N480" s="48" t="s">
        <v>1436</v>
      </c>
      <c r="O480" s="48" t="s">
        <v>1436</v>
      </c>
      <c r="P480" s="48" t="s">
        <v>1436</v>
      </c>
      <c r="Q480" s="48" t="s">
        <v>38</v>
      </c>
      <c r="R480" s="48" t="s">
        <v>39</v>
      </c>
      <c r="S480" s="48" t="s">
        <v>40</v>
      </c>
      <c r="T480" s="48" t="s">
        <v>41</v>
      </c>
      <c r="U480" s="48" t="s">
        <v>1436</v>
      </c>
      <c r="V480" s="48" t="s">
        <v>1436</v>
      </c>
      <c r="W480" s="48" t="s">
        <v>1436</v>
      </c>
      <c r="X480" s="49" t="s">
        <v>193</v>
      </c>
      <c r="Y480" s="48" t="s">
        <v>1194</v>
      </c>
      <c r="Z480" s="49" t="s">
        <v>1321</v>
      </c>
      <c r="AA480" s="48" t="s">
        <v>1324</v>
      </c>
      <c r="AB480" s="48" t="s">
        <v>1325</v>
      </c>
      <c r="AC480" s="48" t="s">
        <v>1239</v>
      </c>
      <c r="AD480" s="48" t="s">
        <v>1231</v>
      </c>
      <c r="AE480" s="48" t="s">
        <v>1669</v>
      </c>
      <c r="AF480" s="48" t="s">
        <v>1436</v>
      </c>
      <c r="AG480" s="48" t="s">
        <v>1436</v>
      </c>
      <c r="AH480" s="48" t="s">
        <v>208</v>
      </c>
      <c r="AI480" s="50">
        <v>44562</v>
      </c>
      <c r="AJ480" s="50">
        <v>46387</v>
      </c>
      <c r="AK480" s="49" t="s">
        <v>1280</v>
      </c>
      <c r="AL480" s="48" t="s">
        <v>36</v>
      </c>
      <c r="AM480" s="48" t="s">
        <v>36</v>
      </c>
      <c r="AN480" s="51">
        <v>42330.49</v>
      </c>
      <c r="AO480" s="51"/>
      <c r="AP480" s="51"/>
      <c r="AQ480" s="72">
        <v>1600000</v>
      </c>
      <c r="AR480" s="72">
        <v>50000</v>
      </c>
      <c r="AS480" s="50">
        <v>46387</v>
      </c>
      <c r="AT480" s="50" t="s">
        <v>1436</v>
      </c>
      <c r="AU480" s="49" t="s">
        <v>1436</v>
      </c>
      <c r="AV480" s="49" t="s">
        <v>1670</v>
      </c>
      <c r="AW480" s="48" t="s">
        <v>1244</v>
      </c>
    </row>
    <row r="481" spans="1:49" x14ac:dyDescent="0.3">
      <c r="A481" s="48" t="s">
        <v>1320</v>
      </c>
      <c r="B481" s="48" t="s">
        <v>6</v>
      </c>
      <c r="C481" s="48" t="s">
        <v>1322</v>
      </c>
      <c r="D481" s="50">
        <v>45961</v>
      </c>
      <c r="E481" s="48" t="s">
        <v>36</v>
      </c>
      <c r="F481" s="48" t="s">
        <v>1438</v>
      </c>
      <c r="G481" s="48" t="s">
        <v>1444</v>
      </c>
      <c r="H481" s="49" t="s">
        <v>1446</v>
      </c>
      <c r="I481" s="48" t="s">
        <v>1407</v>
      </c>
      <c r="J481" s="48" t="s">
        <v>40</v>
      </c>
      <c r="K481" s="48" t="s">
        <v>47</v>
      </c>
      <c r="L481" s="48" t="s">
        <v>38</v>
      </c>
      <c r="M481" s="48" t="s">
        <v>37</v>
      </c>
      <c r="N481" s="48" t="s">
        <v>1436</v>
      </c>
      <c r="O481" s="48" t="s">
        <v>1436</v>
      </c>
      <c r="P481" s="48" t="s">
        <v>1436</v>
      </c>
      <c r="Q481" s="48" t="s">
        <v>38</v>
      </c>
      <c r="R481" s="48" t="s">
        <v>39</v>
      </c>
      <c r="S481" s="48" t="s">
        <v>40</v>
      </c>
      <c r="T481" s="48" t="s">
        <v>41</v>
      </c>
      <c r="U481" s="48" t="s">
        <v>1436</v>
      </c>
      <c r="V481" s="48" t="s">
        <v>1436</v>
      </c>
      <c r="W481" s="48" t="s">
        <v>1436</v>
      </c>
      <c r="X481" s="49" t="s">
        <v>193</v>
      </c>
      <c r="Y481" s="48" t="s">
        <v>1194</v>
      </c>
      <c r="Z481" s="49" t="s">
        <v>1321</v>
      </c>
      <c r="AA481" s="48" t="s">
        <v>1324</v>
      </c>
      <c r="AB481" s="48" t="s">
        <v>1325</v>
      </c>
      <c r="AC481" s="48" t="s">
        <v>1239</v>
      </c>
      <c r="AD481" s="48" t="s">
        <v>1231</v>
      </c>
      <c r="AE481" s="48" t="s">
        <v>1669</v>
      </c>
      <c r="AF481" s="48" t="s">
        <v>1436</v>
      </c>
      <c r="AG481" s="48" t="s">
        <v>1436</v>
      </c>
      <c r="AH481" s="48" t="s">
        <v>208</v>
      </c>
      <c r="AI481" s="50">
        <v>44562</v>
      </c>
      <c r="AJ481" s="50">
        <v>46387</v>
      </c>
      <c r="AK481" s="49" t="s">
        <v>1280</v>
      </c>
      <c r="AL481" s="48" t="s">
        <v>36</v>
      </c>
      <c r="AM481" s="48" t="s">
        <v>36</v>
      </c>
      <c r="AN481" s="51">
        <v>3910.1104220000002</v>
      </c>
      <c r="AO481" s="51"/>
      <c r="AP481" s="51"/>
      <c r="AQ481" s="72">
        <v>1600000</v>
      </c>
      <c r="AR481" s="72">
        <v>50000</v>
      </c>
      <c r="AS481" s="50">
        <v>46387</v>
      </c>
      <c r="AT481" s="50" t="s">
        <v>1436</v>
      </c>
      <c r="AU481" s="49" t="s">
        <v>1436</v>
      </c>
      <c r="AV481" s="49" t="s">
        <v>1670</v>
      </c>
      <c r="AW481" s="48" t="s">
        <v>1244</v>
      </c>
    </row>
    <row r="482" spans="1:49" x14ac:dyDescent="0.3">
      <c r="A482" s="48" t="s">
        <v>1320</v>
      </c>
      <c r="B482" s="48" t="s">
        <v>6</v>
      </c>
      <c r="C482" s="48" t="s">
        <v>1322</v>
      </c>
      <c r="D482" s="50">
        <v>45961</v>
      </c>
      <c r="E482" s="48" t="s">
        <v>36</v>
      </c>
      <c r="F482" s="48" t="s">
        <v>1433</v>
      </c>
      <c r="G482" s="48" t="s">
        <v>1447</v>
      </c>
      <c r="H482" s="49" t="s">
        <v>1448</v>
      </c>
      <c r="I482" s="48" t="s">
        <v>1413</v>
      </c>
      <c r="J482" s="48" t="s">
        <v>40</v>
      </c>
      <c r="K482" s="48" t="s">
        <v>58</v>
      </c>
      <c r="L482" s="48" t="s">
        <v>38</v>
      </c>
      <c r="M482" s="48" t="s">
        <v>37</v>
      </c>
      <c r="N482" s="48" t="s">
        <v>1436</v>
      </c>
      <c r="O482" s="48" t="s">
        <v>1436</v>
      </c>
      <c r="P482" s="48" t="s">
        <v>1436</v>
      </c>
      <c r="Q482" s="48" t="s">
        <v>38</v>
      </c>
      <c r="R482" s="48" t="s">
        <v>39</v>
      </c>
      <c r="S482" s="48" t="s">
        <v>40</v>
      </c>
      <c r="T482" s="48" t="s">
        <v>41</v>
      </c>
      <c r="U482" s="48" t="s">
        <v>1436</v>
      </c>
      <c r="V482" s="48" t="s">
        <v>1436</v>
      </c>
      <c r="W482" s="48" t="s">
        <v>1436</v>
      </c>
      <c r="X482" s="49" t="s">
        <v>193</v>
      </c>
      <c r="Y482" s="48" t="s">
        <v>1194</v>
      </c>
      <c r="Z482" s="49" t="s">
        <v>1321</v>
      </c>
      <c r="AA482" s="48" t="s">
        <v>1324</v>
      </c>
      <c r="AB482" s="48" t="s">
        <v>1325</v>
      </c>
      <c r="AC482" s="48" t="s">
        <v>1239</v>
      </c>
      <c r="AD482" s="48" t="s">
        <v>1231</v>
      </c>
      <c r="AE482" s="48" t="s">
        <v>1669</v>
      </c>
      <c r="AF482" s="48" t="s">
        <v>1436</v>
      </c>
      <c r="AG482" s="48" t="s">
        <v>1436</v>
      </c>
      <c r="AH482" s="48" t="s">
        <v>208</v>
      </c>
      <c r="AI482" s="50">
        <v>44562</v>
      </c>
      <c r="AJ482" s="50">
        <v>46387</v>
      </c>
      <c r="AK482" s="49" t="s">
        <v>1280</v>
      </c>
      <c r="AL482" s="48" t="s">
        <v>36</v>
      </c>
      <c r="AM482" s="48" t="s">
        <v>36</v>
      </c>
      <c r="AN482" s="51">
        <v>-50000</v>
      </c>
      <c r="AO482" s="51"/>
      <c r="AP482" s="51"/>
      <c r="AQ482" s="72">
        <v>1600000</v>
      </c>
      <c r="AR482" s="72">
        <v>50000</v>
      </c>
      <c r="AS482" s="50">
        <v>46387</v>
      </c>
      <c r="AT482" s="50" t="s">
        <v>1436</v>
      </c>
      <c r="AU482" s="49" t="s">
        <v>1436</v>
      </c>
      <c r="AV482" s="49" t="s">
        <v>1670</v>
      </c>
      <c r="AW482" s="48" t="s">
        <v>1244</v>
      </c>
    </row>
    <row r="483" spans="1:49" x14ac:dyDescent="0.3">
      <c r="A483" s="48" t="s">
        <v>1320</v>
      </c>
      <c r="B483" s="48" t="s">
        <v>6</v>
      </c>
      <c r="C483" s="48" t="s">
        <v>1322</v>
      </c>
      <c r="D483" s="50">
        <v>45961</v>
      </c>
      <c r="E483" s="48" t="s">
        <v>36</v>
      </c>
      <c r="F483" s="48" t="s">
        <v>1433</v>
      </c>
      <c r="G483" s="48" t="s">
        <v>1447</v>
      </c>
      <c r="H483" s="49" t="s">
        <v>1449</v>
      </c>
      <c r="I483" s="48" t="s">
        <v>1409</v>
      </c>
      <c r="J483" s="48" t="s">
        <v>40</v>
      </c>
      <c r="K483" s="48" t="s">
        <v>45</v>
      </c>
      <c r="L483" s="48" t="s">
        <v>38</v>
      </c>
      <c r="M483" s="48" t="s">
        <v>37</v>
      </c>
      <c r="N483" s="48" t="s">
        <v>1436</v>
      </c>
      <c r="O483" s="48" t="s">
        <v>1436</v>
      </c>
      <c r="P483" s="48" t="s">
        <v>1436</v>
      </c>
      <c r="Q483" s="48" t="s">
        <v>38</v>
      </c>
      <c r="R483" s="48" t="s">
        <v>39</v>
      </c>
      <c r="S483" s="48" t="s">
        <v>40</v>
      </c>
      <c r="T483" s="48" t="s">
        <v>41</v>
      </c>
      <c r="U483" s="48" t="s">
        <v>1436</v>
      </c>
      <c r="V483" s="48" t="s">
        <v>1436</v>
      </c>
      <c r="W483" s="48" t="s">
        <v>1436</v>
      </c>
      <c r="X483" s="49" t="s">
        <v>193</v>
      </c>
      <c r="Y483" s="48" t="s">
        <v>1194</v>
      </c>
      <c r="Z483" s="49" t="s">
        <v>1321</v>
      </c>
      <c r="AA483" s="48" t="s">
        <v>1324</v>
      </c>
      <c r="AB483" s="48" t="s">
        <v>1325</v>
      </c>
      <c r="AC483" s="48" t="s">
        <v>1239</v>
      </c>
      <c r="AD483" s="48" t="s">
        <v>1231</v>
      </c>
      <c r="AE483" s="48" t="s">
        <v>1669</v>
      </c>
      <c r="AF483" s="48" t="s">
        <v>1436</v>
      </c>
      <c r="AG483" s="48" t="s">
        <v>1436</v>
      </c>
      <c r="AH483" s="48" t="s">
        <v>208</v>
      </c>
      <c r="AI483" s="50">
        <v>44562</v>
      </c>
      <c r="AJ483" s="50">
        <v>46387</v>
      </c>
      <c r="AK483" s="49" t="s">
        <v>1280</v>
      </c>
      <c r="AL483" s="48" t="s">
        <v>36</v>
      </c>
      <c r="AM483" s="48" t="s">
        <v>36</v>
      </c>
      <c r="AN483" s="51">
        <v>49135.121128999999</v>
      </c>
      <c r="AO483" s="51"/>
      <c r="AP483" s="51"/>
      <c r="AQ483" s="72">
        <v>1600000</v>
      </c>
      <c r="AR483" s="72">
        <v>50000</v>
      </c>
      <c r="AS483" s="50">
        <v>46387</v>
      </c>
      <c r="AT483" s="50" t="s">
        <v>1436</v>
      </c>
      <c r="AU483" s="49" t="s">
        <v>1436</v>
      </c>
      <c r="AV483" s="49" t="s">
        <v>1670</v>
      </c>
      <c r="AW483" s="48" t="s">
        <v>1244</v>
      </c>
    </row>
    <row r="484" spans="1:49" x14ac:dyDescent="0.3">
      <c r="A484" s="48" t="s">
        <v>1320</v>
      </c>
      <c r="B484" s="48" t="s">
        <v>6</v>
      </c>
      <c r="C484" s="48" t="s">
        <v>1322</v>
      </c>
      <c r="D484" s="50">
        <v>45961</v>
      </c>
      <c r="E484" s="48" t="s">
        <v>36</v>
      </c>
      <c r="F484" s="48" t="s">
        <v>1433</v>
      </c>
      <c r="G484" s="48" t="s">
        <v>1447</v>
      </c>
      <c r="H484" s="49" t="s">
        <v>1450</v>
      </c>
      <c r="I484" s="48" t="s">
        <v>1408</v>
      </c>
      <c r="J484" s="48" t="s">
        <v>40</v>
      </c>
      <c r="K484" s="48" t="s">
        <v>54</v>
      </c>
      <c r="L484" s="48" t="s">
        <v>38</v>
      </c>
      <c r="M484" s="48" t="s">
        <v>37</v>
      </c>
      <c r="N484" s="48" t="s">
        <v>1436</v>
      </c>
      <c r="O484" s="48" t="s">
        <v>1436</v>
      </c>
      <c r="P484" s="48" t="s">
        <v>1436</v>
      </c>
      <c r="Q484" s="48" t="s">
        <v>38</v>
      </c>
      <c r="R484" s="48" t="s">
        <v>39</v>
      </c>
      <c r="S484" s="48" t="s">
        <v>40</v>
      </c>
      <c r="T484" s="48" t="s">
        <v>41</v>
      </c>
      <c r="U484" s="48" t="s">
        <v>1436</v>
      </c>
      <c r="V484" s="48" t="s">
        <v>1436</v>
      </c>
      <c r="W484" s="48" t="s">
        <v>1436</v>
      </c>
      <c r="X484" s="49" t="s">
        <v>193</v>
      </c>
      <c r="Y484" s="48" t="s">
        <v>1194</v>
      </c>
      <c r="Z484" s="49" t="s">
        <v>1321</v>
      </c>
      <c r="AA484" s="48" t="s">
        <v>1324</v>
      </c>
      <c r="AB484" s="48" t="s">
        <v>1325</v>
      </c>
      <c r="AC484" s="48" t="s">
        <v>1239</v>
      </c>
      <c r="AD484" s="48" t="s">
        <v>1231</v>
      </c>
      <c r="AE484" s="48" t="s">
        <v>1669</v>
      </c>
      <c r="AF484" s="48" t="s">
        <v>1436</v>
      </c>
      <c r="AG484" s="48" t="s">
        <v>1436</v>
      </c>
      <c r="AH484" s="48" t="s">
        <v>208</v>
      </c>
      <c r="AI484" s="50">
        <v>44562</v>
      </c>
      <c r="AJ484" s="50">
        <v>46387</v>
      </c>
      <c r="AK484" s="49" t="s">
        <v>1280</v>
      </c>
      <c r="AL484" s="48" t="s">
        <v>36</v>
      </c>
      <c r="AM484" s="48" t="s">
        <v>36</v>
      </c>
      <c r="AN484" s="51">
        <v>-3312.53</v>
      </c>
      <c r="AO484" s="51"/>
      <c r="AP484" s="51"/>
      <c r="AQ484" s="72">
        <v>1600000</v>
      </c>
      <c r="AR484" s="72">
        <v>50000</v>
      </c>
      <c r="AS484" s="50">
        <v>46387</v>
      </c>
      <c r="AT484" s="50" t="s">
        <v>1436</v>
      </c>
      <c r="AU484" s="49" t="s">
        <v>1436</v>
      </c>
      <c r="AV484" s="49" t="s">
        <v>1670</v>
      </c>
      <c r="AW484" s="48" t="s">
        <v>1244</v>
      </c>
    </row>
    <row r="485" spans="1:49" x14ac:dyDescent="0.3">
      <c r="A485" s="48" t="s">
        <v>1320</v>
      </c>
      <c r="B485" s="48" t="s">
        <v>6</v>
      </c>
      <c r="C485" s="48" t="s">
        <v>1322</v>
      </c>
      <c r="D485" s="50">
        <v>45961</v>
      </c>
      <c r="E485" s="48" t="s">
        <v>36</v>
      </c>
      <c r="F485" s="48" t="s">
        <v>1433</v>
      </c>
      <c r="G485" s="48" t="s">
        <v>1447</v>
      </c>
      <c r="H485" s="49" t="s">
        <v>1451</v>
      </c>
      <c r="I485" s="48" t="s">
        <v>1404</v>
      </c>
      <c r="J485" s="48" t="s">
        <v>38</v>
      </c>
      <c r="K485" s="48" t="s">
        <v>49</v>
      </c>
      <c r="L485" s="48" t="s">
        <v>38</v>
      </c>
      <c r="M485" s="48" t="s">
        <v>37</v>
      </c>
      <c r="N485" s="48" t="s">
        <v>1436</v>
      </c>
      <c r="O485" s="48" t="s">
        <v>1436</v>
      </c>
      <c r="P485" s="48" t="s">
        <v>1436</v>
      </c>
      <c r="Q485" s="48" t="s">
        <v>38</v>
      </c>
      <c r="R485" s="48" t="s">
        <v>39</v>
      </c>
      <c r="S485" s="48" t="s">
        <v>38</v>
      </c>
      <c r="T485" s="48" t="s">
        <v>41</v>
      </c>
      <c r="U485" s="48" t="s">
        <v>1436</v>
      </c>
      <c r="V485" s="48" t="s">
        <v>1436</v>
      </c>
      <c r="W485" s="48" t="s">
        <v>1436</v>
      </c>
      <c r="X485" s="49" t="s">
        <v>193</v>
      </c>
      <c r="Y485" s="48" t="s">
        <v>1194</v>
      </c>
      <c r="Z485" s="49" t="s">
        <v>1321</v>
      </c>
      <c r="AA485" s="48" t="s">
        <v>1324</v>
      </c>
      <c r="AB485" s="48" t="s">
        <v>1325</v>
      </c>
      <c r="AC485" s="48" t="s">
        <v>1239</v>
      </c>
      <c r="AD485" s="48" t="s">
        <v>1231</v>
      </c>
      <c r="AE485" s="48" t="s">
        <v>1669</v>
      </c>
      <c r="AF485" s="48" t="s">
        <v>1436</v>
      </c>
      <c r="AG485" s="48" t="s">
        <v>1436</v>
      </c>
      <c r="AH485" s="48" t="s">
        <v>208</v>
      </c>
      <c r="AI485" s="50">
        <v>44562</v>
      </c>
      <c r="AJ485" s="50">
        <v>46387</v>
      </c>
      <c r="AK485" s="49" t="s">
        <v>1280</v>
      </c>
      <c r="AL485" s="48" t="s">
        <v>36</v>
      </c>
      <c r="AM485" s="48" t="s">
        <v>36</v>
      </c>
      <c r="AN485" s="51">
        <v>267.29844900000001</v>
      </c>
      <c r="AO485" s="51"/>
      <c r="AP485" s="51"/>
      <c r="AQ485" s="72">
        <v>1600000</v>
      </c>
      <c r="AR485" s="72">
        <v>50000</v>
      </c>
      <c r="AS485" s="50">
        <v>46387</v>
      </c>
      <c r="AT485" s="50" t="s">
        <v>1436</v>
      </c>
      <c r="AU485" s="49" t="s">
        <v>1436</v>
      </c>
      <c r="AV485" s="49" t="s">
        <v>1670</v>
      </c>
      <c r="AW485" s="48" t="s">
        <v>1244</v>
      </c>
    </row>
    <row r="486" spans="1:49" x14ac:dyDescent="0.3">
      <c r="A486" s="48" t="s">
        <v>1320</v>
      </c>
      <c r="B486" s="48" t="s">
        <v>6</v>
      </c>
      <c r="C486" s="48" t="s">
        <v>1322</v>
      </c>
      <c r="D486" s="50">
        <v>45991</v>
      </c>
      <c r="E486" s="48" t="s">
        <v>36</v>
      </c>
      <c r="F486" s="48" t="s">
        <v>1433</v>
      </c>
      <c r="G486" s="48" t="s">
        <v>1434</v>
      </c>
      <c r="H486" s="49" t="s">
        <v>1435</v>
      </c>
      <c r="I486" s="48" t="s">
        <v>1412</v>
      </c>
      <c r="J486" s="48" t="s">
        <v>40</v>
      </c>
      <c r="K486" s="48" t="s">
        <v>52</v>
      </c>
      <c r="L486" s="48" t="s">
        <v>38</v>
      </c>
      <c r="M486" s="48" t="s">
        <v>37</v>
      </c>
      <c r="N486" s="48" t="s">
        <v>1436</v>
      </c>
      <c r="O486" s="48" t="s">
        <v>1436</v>
      </c>
      <c r="P486" s="48" t="s">
        <v>1436</v>
      </c>
      <c r="Q486" s="48" t="s">
        <v>38</v>
      </c>
      <c r="R486" s="48" t="s">
        <v>39</v>
      </c>
      <c r="S486" s="48" t="s">
        <v>40</v>
      </c>
      <c r="T486" s="48" t="s">
        <v>41</v>
      </c>
      <c r="U486" s="48" t="s">
        <v>1436</v>
      </c>
      <c r="V486" s="48" t="s">
        <v>1436</v>
      </c>
      <c r="W486" s="48" t="s">
        <v>1436</v>
      </c>
      <c r="X486" s="49" t="s">
        <v>193</v>
      </c>
      <c r="Y486" s="48" t="s">
        <v>1194</v>
      </c>
      <c r="Z486" s="49" t="s">
        <v>1321</v>
      </c>
      <c r="AA486" s="48" t="s">
        <v>1324</v>
      </c>
      <c r="AB486" s="48" t="s">
        <v>1325</v>
      </c>
      <c r="AC486" s="48" t="s">
        <v>1239</v>
      </c>
      <c r="AD486" s="48" t="s">
        <v>1231</v>
      </c>
      <c r="AE486" s="48" t="s">
        <v>1669</v>
      </c>
      <c r="AF486" s="48" t="s">
        <v>1436</v>
      </c>
      <c r="AG486" s="48" t="s">
        <v>1436</v>
      </c>
      <c r="AH486" s="48" t="s">
        <v>208</v>
      </c>
      <c r="AI486" s="50">
        <v>44562</v>
      </c>
      <c r="AJ486" s="50">
        <v>46387</v>
      </c>
      <c r="AK486" s="49" t="s">
        <v>1280</v>
      </c>
      <c r="AL486" s="48" t="s">
        <v>36</v>
      </c>
      <c r="AM486" s="48" t="s">
        <v>36</v>
      </c>
      <c r="AN486" s="51">
        <v>-42330.49</v>
      </c>
      <c r="AO486" s="51"/>
      <c r="AP486" s="51"/>
      <c r="AQ486" s="72">
        <v>1600000</v>
      </c>
      <c r="AR486" s="72">
        <v>50000</v>
      </c>
      <c r="AS486" s="50">
        <v>46387</v>
      </c>
      <c r="AT486" s="50" t="s">
        <v>1436</v>
      </c>
      <c r="AU486" s="49" t="s">
        <v>1436</v>
      </c>
      <c r="AV486" s="49" t="s">
        <v>1670</v>
      </c>
      <c r="AW486" s="48" t="s">
        <v>1244</v>
      </c>
    </row>
    <row r="487" spans="1:49" x14ac:dyDescent="0.3">
      <c r="A487" s="48" t="s">
        <v>1320</v>
      </c>
      <c r="B487" s="48" t="s">
        <v>6</v>
      </c>
      <c r="C487" s="48" t="s">
        <v>1322</v>
      </c>
      <c r="D487" s="50">
        <v>45991</v>
      </c>
      <c r="E487" s="48" t="s">
        <v>36</v>
      </c>
      <c r="F487" s="48" t="s">
        <v>1433</v>
      </c>
      <c r="G487" s="48" t="s">
        <v>1434</v>
      </c>
      <c r="H487" s="49" t="s">
        <v>1437</v>
      </c>
      <c r="I487" s="48" t="s">
        <v>1410</v>
      </c>
      <c r="J487" s="48" t="s">
        <v>40</v>
      </c>
      <c r="K487" s="48" t="s">
        <v>42</v>
      </c>
      <c r="L487" s="48" t="s">
        <v>38</v>
      </c>
      <c r="M487" s="48" t="s">
        <v>37</v>
      </c>
      <c r="N487" s="48" t="s">
        <v>1436</v>
      </c>
      <c r="O487" s="48" t="s">
        <v>1436</v>
      </c>
      <c r="P487" s="48" t="s">
        <v>1436</v>
      </c>
      <c r="Q487" s="48" t="s">
        <v>38</v>
      </c>
      <c r="R487" s="48" t="s">
        <v>39</v>
      </c>
      <c r="S487" s="48" t="s">
        <v>40</v>
      </c>
      <c r="T487" s="48" t="s">
        <v>41</v>
      </c>
      <c r="U487" s="48" t="s">
        <v>1436</v>
      </c>
      <c r="V487" s="48" t="s">
        <v>1436</v>
      </c>
      <c r="W487" s="48" t="s">
        <v>1436</v>
      </c>
      <c r="X487" s="49" t="s">
        <v>193</v>
      </c>
      <c r="Y487" s="48" t="s">
        <v>1194</v>
      </c>
      <c r="Z487" s="49" t="s">
        <v>1321</v>
      </c>
      <c r="AA487" s="48" t="s">
        <v>1324</v>
      </c>
      <c r="AB487" s="48" t="s">
        <v>1325</v>
      </c>
      <c r="AC487" s="48" t="s">
        <v>1239</v>
      </c>
      <c r="AD487" s="48" t="s">
        <v>1231</v>
      </c>
      <c r="AE487" s="48" t="s">
        <v>1669</v>
      </c>
      <c r="AF487" s="48" t="s">
        <v>1436</v>
      </c>
      <c r="AG487" s="48" t="s">
        <v>1436</v>
      </c>
      <c r="AH487" s="48" t="s">
        <v>208</v>
      </c>
      <c r="AI487" s="50">
        <v>44562</v>
      </c>
      <c r="AJ487" s="50">
        <v>46387</v>
      </c>
      <c r="AK487" s="49" t="s">
        <v>1280</v>
      </c>
      <c r="AL487" s="48" t="s">
        <v>36</v>
      </c>
      <c r="AM487" s="48" t="s">
        <v>36</v>
      </c>
      <c r="AN487" s="51">
        <v>0</v>
      </c>
      <c r="AO487" s="51"/>
      <c r="AP487" s="51"/>
      <c r="AQ487" s="72">
        <v>1600000</v>
      </c>
      <c r="AR487" s="72">
        <v>50000</v>
      </c>
      <c r="AS487" s="50">
        <v>46387</v>
      </c>
      <c r="AT487" s="50" t="s">
        <v>1436</v>
      </c>
      <c r="AU487" s="49" t="s">
        <v>1436</v>
      </c>
      <c r="AV487" s="49" t="s">
        <v>1670</v>
      </c>
      <c r="AW487" s="48" t="s">
        <v>1244</v>
      </c>
    </row>
    <row r="488" spans="1:49" x14ac:dyDescent="0.3">
      <c r="A488" s="48" t="s">
        <v>1320</v>
      </c>
      <c r="B488" s="48" t="s">
        <v>6</v>
      </c>
      <c r="C488" s="48" t="s">
        <v>1322</v>
      </c>
      <c r="D488" s="50">
        <v>45991</v>
      </c>
      <c r="E488" s="48" t="s">
        <v>36</v>
      </c>
      <c r="F488" s="48" t="s">
        <v>1438</v>
      </c>
      <c r="G488" s="48" t="s">
        <v>1439</v>
      </c>
      <c r="H488" s="49" t="s">
        <v>1440</v>
      </c>
      <c r="I488" s="48" t="s">
        <v>1406</v>
      </c>
      <c r="J488" s="48" t="s">
        <v>1194</v>
      </c>
      <c r="K488" s="48" t="s">
        <v>1441</v>
      </c>
      <c r="L488" s="48" t="s">
        <v>38</v>
      </c>
      <c r="M488" s="48" t="s">
        <v>37</v>
      </c>
      <c r="N488" s="48" t="s">
        <v>1436</v>
      </c>
      <c r="O488" s="48" t="s">
        <v>1436</v>
      </c>
      <c r="P488" s="48" t="s">
        <v>1436</v>
      </c>
      <c r="Q488" s="48" t="s">
        <v>38</v>
      </c>
      <c r="R488" s="48" t="s">
        <v>39</v>
      </c>
      <c r="S488" s="48" t="s">
        <v>1194</v>
      </c>
      <c r="T488" s="48" t="s">
        <v>41</v>
      </c>
      <c r="U488" s="48" t="s">
        <v>1436</v>
      </c>
      <c r="V488" s="48" t="s">
        <v>1436</v>
      </c>
      <c r="W488" s="48" t="s">
        <v>1436</v>
      </c>
      <c r="X488" s="49" t="s">
        <v>193</v>
      </c>
      <c r="Y488" s="48" t="s">
        <v>1194</v>
      </c>
      <c r="Z488" s="49" t="s">
        <v>1321</v>
      </c>
      <c r="AA488" s="48" t="s">
        <v>1324</v>
      </c>
      <c r="AB488" s="48" t="s">
        <v>1325</v>
      </c>
      <c r="AC488" s="48" t="s">
        <v>1239</v>
      </c>
      <c r="AD488" s="48" t="s">
        <v>1231</v>
      </c>
      <c r="AE488" s="48" t="s">
        <v>1669</v>
      </c>
      <c r="AF488" s="48" t="s">
        <v>1436</v>
      </c>
      <c r="AG488" s="48" t="s">
        <v>1436</v>
      </c>
      <c r="AH488" s="48" t="s">
        <v>208</v>
      </c>
      <c r="AI488" s="50">
        <v>44562</v>
      </c>
      <c r="AJ488" s="50">
        <v>46387</v>
      </c>
      <c r="AK488" s="49" t="s">
        <v>1280</v>
      </c>
      <c r="AL488" s="48" t="s">
        <v>36</v>
      </c>
      <c r="AM488" s="48" t="s">
        <v>36</v>
      </c>
      <c r="AN488" s="51">
        <v>0</v>
      </c>
      <c r="AO488" s="51"/>
      <c r="AP488" s="51"/>
      <c r="AQ488" s="72">
        <v>1600000</v>
      </c>
      <c r="AR488" s="72">
        <v>50000</v>
      </c>
      <c r="AS488" s="50">
        <v>46387</v>
      </c>
      <c r="AT488" s="50" t="s">
        <v>1436</v>
      </c>
      <c r="AU488" s="49" t="s">
        <v>1436</v>
      </c>
      <c r="AV488" s="49" t="s">
        <v>1670</v>
      </c>
      <c r="AW488" s="48" t="s">
        <v>1244</v>
      </c>
    </row>
    <row r="489" spans="1:49" x14ac:dyDescent="0.3">
      <c r="A489" s="48" t="s">
        <v>1320</v>
      </c>
      <c r="B489" s="48" t="s">
        <v>6</v>
      </c>
      <c r="C489" s="48" t="s">
        <v>1322</v>
      </c>
      <c r="D489" s="50">
        <v>45991</v>
      </c>
      <c r="E489" s="48" t="s">
        <v>36</v>
      </c>
      <c r="F489" s="48" t="s">
        <v>1438</v>
      </c>
      <c r="G489" s="48" t="s">
        <v>1439</v>
      </c>
      <c r="H489" s="49" t="s">
        <v>1442</v>
      </c>
      <c r="I489" s="48" t="s">
        <v>1405</v>
      </c>
      <c r="J489" s="48" t="s">
        <v>1194</v>
      </c>
      <c r="K489" s="48" t="s">
        <v>1443</v>
      </c>
      <c r="L489" s="48" t="s">
        <v>38</v>
      </c>
      <c r="M489" s="48" t="s">
        <v>37</v>
      </c>
      <c r="N489" s="48" t="s">
        <v>1436</v>
      </c>
      <c r="O489" s="48" t="s">
        <v>1436</v>
      </c>
      <c r="P489" s="48" t="s">
        <v>1436</v>
      </c>
      <c r="Q489" s="48" t="s">
        <v>38</v>
      </c>
      <c r="R489" s="48" t="s">
        <v>39</v>
      </c>
      <c r="S489" s="48" t="s">
        <v>1194</v>
      </c>
      <c r="T489" s="48" t="s">
        <v>41</v>
      </c>
      <c r="U489" s="48" t="s">
        <v>1436</v>
      </c>
      <c r="V489" s="48" t="s">
        <v>1436</v>
      </c>
      <c r="W489" s="48" t="s">
        <v>1436</v>
      </c>
      <c r="X489" s="49" t="s">
        <v>193</v>
      </c>
      <c r="Y489" s="48" t="s">
        <v>1194</v>
      </c>
      <c r="Z489" s="49" t="s">
        <v>1321</v>
      </c>
      <c r="AA489" s="48" t="s">
        <v>1324</v>
      </c>
      <c r="AB489" s="48" t="s">
        <v>1325</v>
      </c>
      <c r="AC489" s="48" t="s">
        <v>1239</v>
      </c>
      <c r="AD489" s="48" t="s">
        <v>1231</v>
      </c>
      <c r="AE489" s="48" t="s">
        <v>1669</v>
      </c>
      <c r="AF489" s="48" t="s">
        <v>1436</v>
      </c>
      <c r="AG489" s="48" t="s">
        <v>1436</v>
      </c>
      <c r="AH489" s="48" t="s">
        <v>208</v>
      </c>
      <c r="AI489" s="50">
        <v>44562</v>
      </c>
      <c r="AJ489" s="50">
        <v>46387</v>
      </c>
      <c r="AK489" s="49" t="s">
        <v>1280</v>
      </c>
      <c r="AL489" s="48" t="s">
        <v>36</v>
      </c>
      <c r="AM489" s="48" t="s">
        <v>36</v>
      </c>
      <c r="AN489" s="51">
        <v>0</v>
      </c>
      <c r="AO489" s="51"/>
      <c r="AP489" s="51"/>
      <c r="AQ489" s="72">
        <v>1600000</v>
      </c>
      <c r="AR489" s="72">
        <v>50000</v>
      </c>
      <c r="AS489" s="50">
        <v>46387</v>
      </c>
      <c r="AT489" s="50" t="s">
        <v>1436</v>
      </c>
      <c r="AU489" s="49" t="s">
        <v>1436</v>
      </c>
      <c r="AV489" s="49" t="s">
        <v>1670</v>
      </c>
      <c r="AW489" s="48" t="s">
        <v>1244</v>
      </c>
    </row>
    <row r="490" spans="1:49" x14ac:dyDescent="0.3">
      <c r="A490" s="48" t="s">
        <v>1320</v>
      </c>
      <c r="B490" s="48" t="s">
        <v>6</v>
      </c>
      <c r="C490" s="48" t="s">
        <v>1322</v>
      </c>
      <c r="D490" s="50">
        <v>45991</v>
      </c>
      <c r="E490" s="48" t="s">
        <v>36</v>
      </c>
      <c r="F490" s="48" t="s">
        <v>1438</v>
      </c>
      <c r="G490" s="48" t="s">
        <v>1444</v>
      </c>
      <c r="H490" s="49" t="s">
        <v>1445</v>
      </c>
      <c r="I490" s="48" t="s">
        <v>1411</v>
      </c>
      <c r="J490" s="48" t="s">
        <v>40</v>
      </c>
      <c r="K490" s="48" t="s">
        <v>50</v>
      </c>
      <c r="L490" s="48" t="s">
        <v>38</v>
      </c>
      <c r="M490" s="48" t="s">
        <v>37</v>
      </c>
      <c r="N490" s="48" t="s">
        <v>1436</v>
      </c>
      <c r="O490" s="48" t="s">
        <v>1436</v>
      </c>
      <c r="P490" s="48" t="s">
        <v>1436</v>
      </c>
      <c r="Q490" s="48" t="s">
        <v>38</v>
      </c>
      <c r="R490" s="48" t="s">
        <v>39</v>
      </c>
      <c r="S490" s="48" t="s">
        <v>40</v>
      </c>
      <c r="T490" s="48" t="s">
        <v>41</v>
      </c>
      <c r="U490" s="48" t="s">
        <v>1436</v>
      </c>
      <c r="V490" s="48" t="s">
        <v>1436</v>
      </c>
      <c r="W490" s="48" t="s">
        <v>1436</v>
      </c>
      <c r="X490" s="49" t="s">
        <v>193</v>
      </c>
      <c r="Y490" s="48" t="s">
        <v>1194</v>
      </c>
      <c r="Z490" s="49" t="s">
        <v>1321</v>
      </c>
      <c r="AA490" s="48" t="s">
        <v>1324</v>
      </c>
      <c r="AB490" s="48" t="s">
        <v>1325</v>
      </c>
      <c r="AC490" s="48" t="s">
        <v>1239</v>
      </c>
      <c r="AD490" s="48" t="s">
        <v>1231</v>
      </c>
      <c r="AE490" s="48" t="s">
        <v>1669</v>
      </c>
      <c r="AF490" s="48" t="s">
        <v>1436</v>
      </c>
      <c r="AG490" s="48" t="s">
        <v>1436</v>
      </c>
      <c r="AH490" s="48" t="s">
        <v>208</v>
      </c>
      <c r="AI490" s="50">
        <v>44562</v>
      </c>
      <c r="AJ490" s="50">
        <v>46387</v>
      </c>
      <c r="AK490" s="49" t="s">
        <v>1280</v>
      </c>
      <c r="AL490" s="48" t="s">
        <v>36</v>
      </c>
      <c r="AM490" s="48" t="s">
        <v>36</v>
      </c>
      <c r="AN490" s="51">
        <v>42330.49</v>
      </c>
      <c r="AO490" s="51"/>
      <c r="AP490" s="51"/>
      <c r="AQ490" s="72">
        <v>1600000</v>
      </c>
      <c r="AR490" s="72">
        <v>50000</v>
      </c>
      <c r="AS490" s="50">
        <v>46387</v>
      </c>
      <c r="AT490" s="50" t="s">
        <v>1436</v>
      </c>
      <c r="AU490" s="49" t="s">
        <v>1436</v>
      </c>
      <c r="AV490" s="49" t="s">
        <v>1670</v>
      </c>
      <c r="AW490" s="48" t="s">
        <v>1244</v>
      </c>
    </row>
    <row r="491" spans="1:49" x14ac:dyDescent="0.3">
      <c r="A491" s="48" t="s">
        <v>1320</v>
      </c>
      <c r="B491" s="48" t="s">
        <v>6</v>
      </c>
      <c r="C491" s="48" t="s">
        <v>1322</v>
      </c>
      <c r="D491" s="50">
        <v>45991</v>
      </c>
      <c r="E491" s="48" t="s">
        <v>36</v>
      </c>
      <c r="F491" s="48" t="s">
        <v>1438</v>
      </c>
      <c r="G491" s="48" t="s">
        <v>1444</v>
      </c>
      <c r="H491" s="49" t="s">
        <v>1446</v>
      </c>
      <c r="I491" s="48" t="s">
        <v>1407</v>
      </c>
      <c r="J491" s="48" t="s">
        <v>40</v>
      </c>
      <c r="K491" s="48" t="s">
        <v>47</v>
      </c>
      <c r="L491" s="48" t="s">
        <v>38</v>
      </c>
      <c r="M491" s="48" t="s">
        <v>37</v>
      </c>
      <c r="N491" s="48" t="s">
        <v>1436</v>
      </c>
      <c r="O491" s="48" t="s">
        <v>1436</v>
      </c>
      <c r="P491" s="48" t="s">
        <v>1436</v>
      </c>
      <c r="Q491" s="48" t="s">
        <v>38</v>
      </c>
      <c r="R491" s="48" t="s">
        <v>39</v>
      </c>
      <c r="S491" s="48" t="s">
        <v>40</v>
      </c>
      <c r="T491" s="48" t="s">
        <v>41</v>
      </c>
      <c r="U491" s="48" t="s">
        <v>1436</v>
      </c>
      <c r="V491" s="48" t="s">
        <v>1436</v>
      </c>
      <c r="W491" s="48" t="s">
        <v>1436</v>
      </c>
      <c r="X491" s="49" t="s">
        <v>193</v>
      </c>
      <c r="Y491" s="48" t="s">
        <v>1194</v>
      </c>
      <c r="Z491" s="49" t="s">
        <v>1321</v>
      </c>
      <c r="AA491" s="48" t="s">
        <v>1324</v>
      </c>
      <c r="AB491" s="48" t="s">
        <v>1325</v>
      </c>
      <c r="AC491" s="48" t="s">
        <v>1239</v>
      </c>
      <c r="AD491" s="48" t="s">
        <v>1231</v>
      </c>
      <c r="AE491" s="48" t="s">
        <v>1669</v>
      </c>
      <c r="AF491" s="48" t="s">
        <v>1436</v>
      </c>
      <c r="AG491" s="48" t="s">
        <v>1436</v>
      </c>
      <c r="AH491" s="48" t="s">
        <v>208</v>
      </c>
      <c r="AI491" s="50">
        <v>44562</v>
      </c>
      <c r="AJ491" s="50">
        <v>46387</v>
      </c>
      <c r="AK491" s="49" t="s">
        <v>1280</v>
      </c>
      <c r="AL491" s="48" t="s">
        <v>36</v>
      </c>
      <c r="AM491" s="48" t="s">
        <v>36</v>
      </c>
      <c r="AN491" s="51">
        <v>3641.2527329999998</v>
      </c>
      <c r="AO491" s="51"/>
      <c r="AP491" s="51"/>
      <c r="AQ491" s="72">
        <v>1600000</v>
      </c>
      <c r="AR491" s="72">
        <v>50000</v>
      </c>
      <c r="AS491" s="50">
        <v>46387</v>
      </c>
      <c r="AT491" s="50" t="s">
        <v>1436</v>
      </c>
      <c r="AU491" s="49" t="s">
        <v>1436</v>
      </c>
      <c r="AV491" s="49" t="s">
        <v>1670</v>
      </c>
      <c r="AW491" s="48" t="s">
        <v>1244</v>
      </c>
    </row>
    <row r="492" spans="1:49" x14ac:dyDescent="0.3">
      <c r="A492" s="48" t="s">
        <v>1320</v>
      </c>
      <c r="B492" s="48" t="s">
        <v>6</v>
      </c>
      <c r="C492" s="48" t="s">
        <v>1322</v>
      </c>
      <c r="D492" s="50">
        <v>45991</v>
      </c>
      <c r="E492" s="48" t="s">
        <v>36</v>
      </c>
      <c r="F492" s="48" t="s">
        <v>1433</v>
      </c>
      <c r="G492" s="48" t="s">
        <v>1447</v>
      </c>
      <c r="H492" s="49" t="s">
        <v>1448</v>
      </c>
      <c r="I492" s="48" t="s">
        <v>1413</v>
      </c>
      <c r="J492" s="48" t="s">
        <v>40</v>
      </c>
      <c r="K492" s="48" t="s">
        <v>58</v>
      </c>
      <c r="L492" s="48" t="s">
        <v>38</v>
      </c>
      <c r="M492" s="48" t="s">
        <v>37</v>
      </c>
      <c r="N492" s="48" t="s">
        <v>1436</v>
      </c>
      <c r="O492" s="48" t="s">
        <v>1436</v>
      </c>
      <c r="P492" s="48" t="s">
        <v>1436</v>
      </c>
      <c r="Q492" s="48" t="s">
        <v>38</v>
      </c>
      <c r="R492" s="48" t="s">
        <v>39</v>
      </c>
      <c r="S492" s="48" t="s">
        <v>40</v>
      </c>
      <c r="T492" s="48" t="s">
        <v>41</v>
      </c>
      <c r="U492" s="48" t="s">
        <v>1436</v>
      </c>
      <c r="V492" s="48" t="s">
        <v>1436</v>
      </c>
      <c r="W492" s="48" t="s">
        <v>1436</v>
      </c>
      <c r="X492" s="49" t="s">
        <v>193</v>
      </c>
      <c r="Y492" s="48" t="s">
        <v>1194</v>
      </c>
      <c r="Z492" s="49" t="s">
        <v>1321</v>
      </c>
      <c r="AA492" s="48" t="s">
        <v>1324</v>
      </c>
      <c r="AB492" s="48" t="s">
        <v>1325</v>
      </c>
      <c r="AC492" s="48" t="s">
        <v>1239</v>
      </c>
      <c r="AD492" s="48" t="s">
        <v>1231</v>
      </c>
      <c r="AE492" s="48" t="s">
        <v>1669</v>
      </c>
      <c r="AF492" s="48" t="s">
        <v>1436</v>
      </c>
      <c r="AG492" s="48" t="s">
        <v>1436</v>
      </c>
      <c r="AH492" s="48" t="s">
        <v>208</v>
      </c>
      <c r="AI492" s="50">
        <v>44562</v>
      </c>
      <c r="AJ492" s="50">
        <v>46387</v>
      </c>
      <c r="AK492" s="49" t="s">
        <v>1280</v>
      </c>
      <c r="AL492" s="48" t="s">
        <v>36</v>
      </c>
      <c r="AM492" s="48" t="s">
        <v>36</v>
      </c>
      <c r="AN492" s="51">
        <v>-50000</v>
      </c>
      <c r="AO492" s="51"/>
      <c r="AP492" s="51"/>
      <c r="AQ492" s="72">
        <v>1600000</v>
      </c>
      <c r="AR492" s="72">
        <v>50000</v>
      </c>
      <c r="AS492" s="50">
        <v>46387</v>
      </c>
      <c r="AT492" s="50" t="s">
        <v>1436</v>
      </c>
      <c r="AU492" s="49" t="s">
        <v>1436</v>
      </c>
      <c r="AV492" s="49" t="s">
        <v>1670</v>
      </c>
      <c r="AW492" s="48" t="s">
        <v>1244</v>
      </c>
    </row>
    <row r="493" spans="1:49" x14ac:dyDescent="0.3">
      <c r="A493" s="48" t="s">
        <v>1320</v>
      </c>
      <c r="B493" s="48" t="s">
        <v>6</v>
      </c>
      <c r="C493" s="48" t="s">
        <v>1322</v>
      </c>
      <c r="D493" s="50">
        <v>45991</v>
      </c>
      <c r="E493" s="48" t="s">
        <v>36</v>
      </c>
      <c r="F493" s="48" t="s">
        <v>1433</v>
      </c>
      <c r="G493" s="48" t="s">
        <v>1447</v>
      </c>
      <c r="H493" s="49" t="s">
        <v>1449</v>
      </c>
      <c r="I493" s="48" t="s">
        <v>1409</v>
      </c>
      <c r="J493" s="48" t="s">
        <v>40</v>
      </c>
      <c r="K493" s="48" t="s">
        <v>45</v>
      </c>
      <c r="L493" s="48" t="s">
        <v>38</v>
      </c>
      <c r="M493" s="48" t="s">
        <v>37</v>
      </c>
      <c r="N493" s="48" t="s">
        <v>1436</v>
      </c>
      <c r="O493" s="48" t="s">
        <v>1436</v>
      </c>
      <c r="P493" s="48" t="s">
        <v>1436</v>
      </c>
      <c r="Q493" s="48" t="s">
        <v>38</v>
      </c>
      <c r="R493" s="48" t="s">
        <v>39</v>
      </c>
      <c r="S493" s="48" t="s">
        <v>40</v>
      </c>
      <c r="T493" s="48" t="s">
        <v>41</v>
      </c>
      <c r="U493" s="48" t="s">
        <v>1436</v>
      </c>
      <c r="V493" s="48" t="s">
        <v>1436</v>
      </c>
      <c r="W493" s="48" t="s">
        <v>1436</v>
      </c>
      <c r="X493" s="49" t="s">
        <v>193</v>
      </c>
      <c r="Y493" s="48" t="s">
        <v>1194</v>
      </c>
      <c r="Z493" s="49" t="s">
        <v>1321</v>
      </c>
      <c r="AA493" s="48" t="s">
        <v>1324</v>
      </c>
      <c r="AB493" s="48" t="s">
        <v>1325</v>
      </c>
      <c r="AC493" s="48" t="s">
        <v>1239</v>
      </c>
      <c r="AD493" s="48" t="s">
        <v>1231</v>
      </c>
      <c r="AE493" s="48" t="s">
        <v>1669</v>
      </c>
      <c r="AF493" s="48" t="s">
        <v>1436</v>
      </c>
      <c r="AG493" s="48" t="s">
        <v>1436</v>
      </c>
      <c r="AH493" s="48" t="s">
        <v>208</v>
      </c>
      <c r="AI493" s="50">
        <v>44562</v>
      </c>
      <c r="AJ493" s="50">
        <v>46387</v>
      </c>
      <c r="AK493" s="49" t="s">
        <v>1280</v>
      </c>
      <c r="AL493" s="48" t="s">
        <v>36</v>
      </c>
      <c r="AM493" s="48" t="s">
        <v>36</v>
      </c>
      <c r="AN493" s="51">
        <v>49421.729577999999</v>
      </c>
      <c r="AO493" s="51"/>
      <c r="AP493" s="51"/>
      <c r="AQ493" s="72">
        <v>1600000</v>
      </c>
      <c r="AR493" s="72">
        <v>50000</v>
      </c>
      <c r="AS493" s="50">
        <v>46387</v>
      </c>
      <c r="AT493" s="50" t="s">
        <v>1436</v>
      </c>
      <c r="AU493" s="49" t="s">
        <v>1436</v>
      </c>
      <c r="AV493" s="49" t="s">
        <v>1670</v>
      </c>
      <c r="AW493" s="48" t="s">
        <v>1244</v>
      </c>
    </row>
    <row r="494" spans="1:49" x14ac:dyDescent="0.3">
      <c r="A494" s="48" t="s">
        <v>1320</v>
      </c>
      <c r="B494" s="48" t="s">
        <v>6</v>
      </c>
      <c r="C494" s="48" t="s">
        <v>1322</v>
      </c>
      <c r="D494" s="50">
        <v>45991</v>
      </c>
      <c r="E494" s="48" t="s">
        <v>36</v>
      </c>
      <c r="F494" s="48" t="s">
        <v>1433</v>
      </c>
      <c r="G494" s="48" t="s">
        <v>1447</v>
      </c>
      <c r="H494" s="49" t="s">
        <v>1450</v>
      </c>
      <c r="I494" s="48" t="s">
        <v>1408</v>
      </c>
      <c r="J494" s="48" t="s">
        <v>40</v>
      </c>
      <c r="K494" s="48" t="s">
        <v>54</v>
      </c>
      <c r="L494" s="48" t="s">
        <v>38</v>
      </c>
      <c r="M494" s="48" t="s">
        <v>37</v>
      </c>
      <c r="N494" s="48" t="s">
        <v>1436</v>
      </c>
      <c r="O494" s="48" t="s">
        <v>1436</v>
      </c>
      <c r="P494" s="48" t="s">
        <v>1436</v>
      </c>
      <c r="Q494" s="48" t="s">
        <v>38</v>
      </c>
      <c r="R494" s="48" t="s">
        <v>39</v>
      </c>
      <c r="S494" s="48" t="s">
        <v>40</v>
      </c>
      <c r="T494" s="48" t="s">
        <v>41</v>
      </c>
      <c r="U494" s="48" t="s">
        <v>1436</v>
      </c>
      <c r="V494" s="48" t="s">
        <v>1436</v>
      </c>
      <c r="W494" s="48" t="s">
        <v>1436</v>
      </c>
      <c r="X494" s="49" t="s">
        <v>193</v>
      </c>
      <c r="Y494" s="48" t="s">
        <v>1194</v>
      </c>
      <c r="Z494" s="49" t="s">
        <v>1321</v>
      </c>
      <c r="AA494" s="48" t="s">
        <v>1324</v>
      </c>
      <c r="AB494" s="48" t="s">
        <v>1325</v>
      </c>
      <c r="AC494" s="48" t="s">
        <v>1239</v>
      </c>
      <c r="AD494" s="48" t="s">
        <v>1231</v>
      </c>
      <c r="AE494" s="48" t="s">
        <v>1669</v>
      </c>
      <c r="AF494" s="48" t="s">
        <v>1436</v>
      </c>
      <c r="AG494" s="48" t="s">
        <v>1436</v>
      </c>
      <c r="AH494" s="48" t="s">
        <v>208</v>
      </c>
      <c r="AI494" s="50">
        <v>44562</v>
      </c>
      <c r="AJ494" s="50">
        <v>46387</v>
      </c>
      <c r="AK494" s="49" t="s">
        <v>1280</v>
      </c>
      <c r="AL494" s="48" t="s">
        <v>36</v>
      </c>
      <c r="AM494" s="48" t="s">
        <v>36</v>
      </c>
      <c r="AN494" s="51">
        <v>-3331.84</v>
      </c>
      <c r="AO494" s="51"/>
      <c r="AP494" s="51"/>
      <c r="AQ494" s="72">
        <v>1600000</v>
      </c>
      <c r="AR494" s="72">
        <v>50000</v>
      </c>
      <c r="AS494" s="50">
        <v>46387</v>
      </c>
      <c r="AT494" s="50" t="s">
        <v>1436</v>
      </c>
      <c r="AU494" s="49" t="s">
        <v>1436</v>
      </c>
      <c r="AV494" s="49" t="s">
        <v>1670</v>
      </c>
      <c r="AW494" s="48" t="s">
        <v>1244</v>
      </c>
    </row>
    <row r="495" spans="1:49" x14ac:dyDescent="0.3">
      <c r="A495" s="48" t="s">
        <v>1320</v>
      </c>
      <c r="B495" s="48" t="s">
        <v>6</v>
      </c>
      <c r="C495" s="48" t="s">
        <v>1322</v>
      </c>
      <c r="D495" s="50">
        <v>45991</v>
      </c>
      <c r="E495" s="48" t="s">
        <v>36</v>
      </c>
      <c r="F495" s="48" t="s">
        <v>1433</v>
      </c>
      <c r="G495" s="48" t="s">
        <v>1447</v>
      </c>
      <c r="H495" s="49" t="s">
        <v>1451</v>
      </c>
      <c r="I495" s="48" t="s">
        <v>1404</v>
      </c>
      <c r="J495" s="48" t="s">
        <v>38</v>
      </c>
      <c r="K495" s="48" t="s">
        <v>49</v>
      </c>
      <c r="L495" s="48" t="s">
        <v>38</v>
      </c>
      <c r="M495" s="48" t="s">
        <v>37</v>
      </c>
      <c r="N495" s="48" t="s">
        <v>1436</v>
      </c>
      <c r="O495" s="48" t="s">
        <v>1436</v>
      </c>
      <c r="P495" s="48" t="s">
        <v>1436</v>
      </c>
      <c r="Q495" s="48" t="s">
        <v>38</v>
      </c>
      <c r="R495" s="48" t="s">
        <v>39</v>
      </c>
      <c r="S495" s="48" t="s">
        <v>38</v>
      </c>
      <c r="T495" s="48" t="s">
        <v>41</v>
      </c>
      <c r="U495" s="48" t="s">
        <v>1436</v>
      </c>
      <c r="V495" s="48" t="s">
        <v>1436</v>
      </c>
      <c r="W495" s="48" t="s">
        <v>1436</v>
      </c>
      <c r="X495" s="49" t="s">
        <v>193</v>
      </c>
      <c r="Y495" s="48" t="s">
        <v>1194</v>
      </c>
      <c r="Z495" s="49" t="s">
        <v>1321</v>
      </c>
      <c r="AA495" s="48" t="s">
        <v>1324</v>
      </c>
      <c r="AB495" s="48" t="s">
        <v>1325</v>
      </c>
      <c r="AC495" s="48" t="s">
        <v>1239</v>
      </c>
      <c r="AD495" s="48" t="s">
        <v>1231</v>
      </c>
      <c r="AE495" s="48" t="s">
        <v>1669</v>
      </c>
      <c r="AF495" s="48" t="s">
        <v>1436</v>
      </c>
      <c r="AG495" s="48" t="s">
        <v>1436</v>
      </c>
      <c r="AH495" s="48" t="s">
        <v>208</v>
      </c>
      <c r="AI495" s="50">
        <v>44562</v>
      </c>
      <c r="AJ495" s="50">
        <v>46387</v>
      </c>
      <c r="AK495" s="49" t="s">
        <v>1280</v>
      </c>
      <c r="AL495" s="48" t="s">
        <v>36</v>
      </c>
      <c r="AM495" s="48" t="s">
        <v>36</v>
      </c>
      <c r="AN495" s="51">
        <v>268.85768899999999</v>
      </c>
      <c r="AO495" s="51"/>
      <c r="AP495" s="51"/>
      <c r="AQ495" s="72">
        <v>1600000</v>
      </c>
      <c r="AR495" s="72">
        <v>50000</v>
      </c>
      <c r="AS495" s="50">
        <v>46387</v>
      </c>
      <c r="AT495" s="50" t="s">
        <v>1436</v>
      </c>
      <c r="AU495" s="49" t="s">
        <v>1436</v>
      </c>
      <c r="AV495" s="49" t="s">
        <v>1670</v>
      </c>
      <c r="AW495" s="48" t="s">
        <v>1244</v>
      </c>
    </row>
    <row r="496" spans="1:49" x14ac:dyDescent="0.3">
      <c r="A496" s="48" t="s">
        <v>1320</v>
      </c>
      <c r="B496" s="48" t="s">
        <v>6</v>
      </c>
      <c r="C496" s="48" t="s">
        <v>1322</v>
      </c>
      <c r="D496" s="50">
        <v>46022</v>
      </c>
      <c r="E496" s="48" t="s">
        <v>36</v>
      </c>
      <c r="F496" s="48" t="s">
        <v>1433</v>
      </c>
      <c r="G496" s="48" t="s">
        <v>1434</v>
      </c>
      <c r="H496" s="49" t="s">
        <v>1435</v>
      </c>
      <c r="I496" s="48" t="s">
        <v>1412</v>
      </c>
      <c r="J496" s="48" t="s">
        <v>40</v>
      </c>
      <c r="K496" s="48" t="s">
        <v>52</v>
      </c>
      <c r="L496" s="48" t="s">
        <v>38</v>
      </c>
      <c r="M496" s="48" t="s">
        <v>37</v>
      </c>
      <c r="N496" s="48" t="s">
        <v>1436</v>
      </c>
      <c r="O496" s="48" t="s">
        <v>1436</v>
      </c>
      <c r="P496" s="48" t="s">
        <v>1436</v>
      </c>
      <c r="Q496" s="48" t="s">
        <v>38</v>
      </c>
      <c r="R496" s="48" t="s">
        <v>39</v>
      </c>
      <c r="S496" s="48" t="s">
        <v>40</v>
      </c>
      <c r="T496" s="48" t="s">
        <v>41</v>
      </c>
      <c r="U496" s="48" t="s">
        <v>1436</v>
      </c>
      <c r="V496" s="48" t="s">
        <v>1436</v>
      </c>
      <c r="W496" s="48" t="s">
        <v>1436</v>
      </c>
      <c r="X496" s="49" t="s">
        <v>193</v>
      </c>
      <c r="Y496" s="48" t="s">
        <v>1194</v>
      </c>
      <c r="Z496" s="49" t="s">
        <v>1321</v>
      </c>
      <c r="AA496" s="48" t="s">
        <v>1324</v>
      </c>
      <c r="AB496" s="48" t="s">
        <v>1325</v>
      </c>
      <c r="AC496" s="48" t="s">
        <v>1239</v>
      </c>
      <c r="AD496" s="48" t="s">
        <v>1231</v>
      </c>
      <c r="AE496" s="48" t="s">
        <v>1669</v>
      </c>
      <c r="AF496" s="48" t="s">
        <v>1436</v>
      </c>
      <c r="AG496" s="48" t="s">
        <v>1436</v>
      </c>
      <c r="AH496" s="48" t="s">
        <v>208</v>
      </c>
      <c r="AI496" s="50">
        <v>44562</v>
      </c>
      <c r="AJ496" s="50">
        <v>46387</v>
      </c>
      <c r="AK496" s="49" t="s">
        <v>1280</v>
      </c>
      <c r="AL496" s="48" t="s">
        <v>36</v>
      </c>
      <c r="AM496" s="48" t="s">
        <v>36</v>
      </c>
      <c r="AN496" s="51">
        <v>-42330.49</v>
      </c>
      <c r="AO496" s="51"/>
      <c r="AP496" s="51"/>
      <c r="AQ496" s="72">
        <v>1600000</v>
      </c>
      <c r="AR496" s="72">
        <v>50000</v>
      </c>
      <c r="AS496" s="50">
        <v>46387</v>
      </c>
      <c r="AT496" s="50" t="s">
        <v>1436</v>
      </c>
      <c r="AU496" s="49" t="s">
        <v>1436</v>
      </c>
      <c r="AV496" s="49" t="s">
        <v>1670</v>
      </c>
      <c r="AW496" s="48" t="s">
        <v>1244</v>
      </c>
    </row>
    <row r="497" spans="1:49" x14ac:dyDescent="0.3">
      <c r="A497" s="48" t="s">
        <v>1320</v>
      </c>
      <c r="B497" s="48" t="s">
        <v>6</v>
      </c>
      <c r="C497" s="48" t="s">
        <v>1322</v>
      </c>
      <c r="D497" s="50">
        <v>46022</v>
      </c>
      <c r="E497" s="48" t="s">
        <v>36</v>
      </c>
      <c r="F497" s="48" t="s">
        <v>1433</v>
      </c>
      <c r="G497" s="48" t="s">
        <v>1434</v>
      </c>
      <c r="H497" s="49" t="s">
        <v>1437</v>
      </c>
      <c r="I497" s="48" t="s">
        <v>1410</v>
      </c>
      <c r="J497" s="48" t="s">
        <v>40</v>
      </c>
      <c r="K497" s="48" t="s">
        <v>42</v>
      </c>
      <c r="L497" s="48" t="s">
        <v>38</v>
      </c>
      <c r="M497" s="48" t="s">
        <v>37</v>
      </c>
      <c r="N497" s="48" t="s">
        <v>1436</v>
      </c>
      <c r="O497" s="48" t="s">
        <v>1436</v>
      </c>
      <c r="P497" s="48" t="s">
        <v>1436</v>
      </c>
      <c r="Q497" s="48" t="s">
        <v>38</v>
      </c>
      <c r="R497" s="48" t="s">
        <v>39</v>
      </c>
      <c r="S497" s="48" t="s">
        <v>40</v>
      </c>
      <c r="T497" s="48" t="s">
        <v>41</v>
      </c>
      <c r="U497" s="48" t="s">
        <v>1436</v>
      </c>
      <c r="V497" s="48" t="s">
        <v>1436</v>
      </c>
      <c r="W497" s="48" t="s">
        <v>1436</v>
      </c>
      <c r="X497" s="49" t="s">
        <v>193</v>
      </c>
      <c r="Y497" s="48" t="s">
        <v>1194</v>
      </c>
      <c r="Z497" s="49" t="s">
        <v>1321</v>
      </c>
      <c r="AA497" s="48" t="s">
        <v>1324</v>
      </c>
      <c r="AB497" s="48" t="s">
        <v>1325</v>
      </c>
      <c r="AC497" s="48" t="s">
        <v>1239</v>
      </c>
      <c r="AD497" s="48" t="s">
        <v>1231</v>
      </c>
      <c r="AE497" s="48" t="s">
        <v>1669</v>
      </c>
      <c r="AF497" s="48" t="s">
        <v>1436</v>
      </c>
      <c r="AG497" s="48" t="s">
        <v>1436</v>
      </c>
      <c r="AH497" s="48" t="s">
        <v>208</v>
      </c>
      <c r="AI497" s="50">
        <v>44562</v>
      </c>
      <c r="AJ497" s="50">
        <v>46387</v>
      </c>
      <c r="AK497" s="49" t="s">
        <v>1280</v>
      </c>
      <c r="AL497" s="48" t="s">
        <v>36</v>
      </c>
      <c r="AM497" s="48" t="s">
        <v>36</v>
      </c>
      <c r="AN497" s="51">
        <v>0</v>
      </c>
      <c r="AO497" s="51"/>
      <c r="AP497" s="51"/>
      <c r="AQ497" s="72">
        <v>1600000</v>
      </c>
      <c r="AR497" s="72">
        <v>50000</v>
      </c>
      <c r="AS497" s="50">
        <v>46387</v>
      </c>
      <c r="AT497" s="50" t="s">
        <v>1436</v>
      </c>
      <c r="AU497" s="49" t="s">
        <v>1436</v>
      </c>
      <c r="AV497" s="49" t="s">
        <v>1670</v>
      </c>
      <c r="AW497" s="48" t="s">
        <v>1244</v>
      </c>
    </row>
    <row r="498" spans="1:49" x14ac:dyDescent="0.3">
      <c r="A498" s="48" t="s">
        <v>1320</v>
      </c>
      <c r="B498" s="48" t="s">
        <v>6</v>
      </c>
      <c r="C498" s="48" t="s">
        <v>1322</v>
      </c>
      <c r="D498" s="50">
        <v>46022</v>
      </c>
      <c r="E498" s="48" t="s">
        <v>36</v>
      </c>
      <c r="F498" s="48" t="s">
        <v>1438</v>
      </c>
      <c r="G498" s="48" t="s">
        <v>1439</v>
      </c>
      <c r="H498" s="49" t="s">
        <v>1440</v>
      </c>
      <c r="I498" s="48" t="s">
        <v>1406</v>
      </c>
      <c r="J498" s="48" t="s">
        <v>1194</v>
      </c>
      <c r="K498" s="48" t="s">
        <v>1441</v>
      </c>
      <c r="L498" s="48" t="s">
        <v>38</v>
      </c>
      <c r="M498" s="48" t="s">
        <v>37</v>
      </c>
      <c r="N498" s="48" t="s">
        <v>1436</v>
      </c>
      <c r="O498" s="48" t="s">
        <v>1436</v>
      </c>
      <c r="P498" s="48" t="s">
        <v>1436</v>
      </c>
      <c r="Q498" s="48" t="s">
        <v>38</v>
      </c>
      <c r="R498" s="48" t="s">
        <v>39</v>
      </c>
      <c r="S498" s="48" t="s">
        <v>1194</v>
      </c>
      <c r="T498" s="48" t="s">
        <v>41</v>
      </c>
      <c r="U498" s="48" t="s">
        <v>1436</v>
      </c>
      <c r="V498" s="48" t="s">
        <v>1436</v>
      </c>
      <c r="W498" s="48" t="s">
        <v>1436</v>
      </c>
      <c r="X498" s="49" t="s">
        <v>193</v>
      </c>
      <c r="Y498" s="48" t="s">
        <v>1194</v>
      </c>
      <c r="Z498" s="49" t="s">
        <v>1321</v>
      </c>
      <c r="AA498" s="48" t="s">
        <v>1324</v>
      </c>
      <c r="AB498" s="48" t="s">
        <v>1325</v>
      </c>
      <c r="AC498" s="48" t="s">
        <v>1239</v>
      </c>
      <c r="AD498" s="48" t="s">
        <v>1231</v>
      </c>
      <c r="AE498" s="48" t="s">
        <v>1669</v>
      </c>
      <c r="AF498" s="48" t="s">
        <v>1436</v>
      </c>
      <c r="AG498" s="48" t="s">
        <v>1436</v>
      </c>
      <c r="AH498" s="48" t="s">
        <v>208</v>
      </c>
      <c r="AI498" s="50">
        <v>44562</v>
      </c>
      <c r="AJ498" s="50">
        <v>46387</v>
      </c>
      <c r="AK498" s="49" t="s">
        <v>1280</v>
      </c>
      <c r="AL498" s="48" t="s">
        <v>36</v>
      </c>
      <c r="AM498" s="48" t="s">
        <v>36</v>
      </c>
      <c r="AN498" s="51">
        <v>0</v>
      </c>
      <c r="AO498" s="51"/>
      <c r="AP498" s="51"/>
      <c r="AQ498" s="72">
        <v>1600000</v>
      </c>
      <c r="AR498" s="72">
        <v>50000</v>
      </c>
      <c r="AS498" s="50">
        <v>46387</v>
      </c>
      <c r="AT498" s="50" t="s">
        <v>1436</v>
      </c>
      <c r="AU498" s="49" t="s">
        <v>1436</v>
      </c>
      <c r="AV498" s="49" t="s">
        <v>1670</v>
      </c>
      <c r="AW498" s="48" t="s">
        <v>1244</v>
      </c>
    </row>
    <row r="499" spans="1:49" x14ac:dyDescent="0.3">
      <c r="A499" s="48" t="s">
        <v>1320</v>
      </c>
      <c r="B499" s="48" t="s">
        <v>6</v>
      </c>
      <c r="C499" s="48" t="s">
        <v>1322</v>
      </c>
      <c r="D499" s="50">
        <v>46022</v>
      </c>
      <c r="E499" s="48" t="s">
        <v>36</v>
      </c>
      <c r="F499" s="48" t="s">
        <v>1438</v>
      </c>
      <c r="G499" s="48" t="s">
        <v>1439</v>
      </c>
      <c r="H499" s="49" t="s">
        <v>1442</v>
      </c>
      <c r="I499" s="48" t="s">
        <v>1405</v>
      </c>
      <c r="J499" s="48" t="s">
        <v>1194</v>
      </c>
      <c r="K499" s="48" t="s">
        <v>1443</v>
      </c>
      <c r="L499" s="48" t="s">
        <v>38</v>
      </c>
      <c r="M499" s="48" t="s">
        <v>37</v>
      </c>
      <c r="N499" s="48" t="s">
        <v>1436</v>
      </c>
      <c r="O499" s="48" t="s">
        <v>1436</v>
      </c>
      <c r="P499" s="48" t="s">
        <v>1436</v>
      </c>
      <c r="Q499" s="48" t="s">
        <v>38</v>
      </c>
      <c r="R499" s="48" t="s">
        <v>39</v>
      </c>
      <c r="S499" s="48" t="s">
        <v>1194</v>
      </c>
      <c r="T499" s="48" t="s">
        <v>41</v>
      </c>
      <c r="U499" s="48" t="s">
        <v>1436</v>
      </c>
      <c r="V499" s="48" t="s">
        <v>1436</v>
      </c>
      <c r="W499" s="48" t="s">
        <v>1436</v>
      </c>
      <c r="X499" s="49" t="s">
        <v>193</v>
      </c>
      <c r="Y499" s="48" t="s">
        <v>1194</v>
      </c>
      <c r="Z499" s="49" t="s">
        <v>1321</v>
      </c>
      <c r="AA499" s="48" t="s">
        <v>1324</v>
      </c>
      <c r="AB499" s="48" t="s">
        <v>1325</v>
      </c>
      <c r="AC499" s="48" t="s">
        <v>1239</v>
      </c>
      <c r="AD499" s="48" t="s">
        <v>1231</v>
      </c>
      <c r="AE499" s="48" t="s">
        <v>1669</v>
      </c>
      <c r="AF499" s="48" t="s">
        <v>1436</v>
      </c>
      <c r="AG499" s="48" t="s">
        <v>1436</v>
      </c>
      <c r="AH499" s="48" t="s">
        <v>208</v>
      </c>
      <c r="AI499" s="50">
        <v>44562</v>
      </c>
      <c r="AJ499" s="50">
        <v>46387</v>
      </c>
      <c r="AK499" s="49" t="s">
        <v>1280</v>
      </c>
      <c r="AL499" s="48" t="s">
        <v>36</v>
      </c>
      <c r="AM499" s="48" t="s">
        <v>36</v>
      </c>
      <c r="AN499" s="51">
        <v>0</v>
      </c>
      <c r="AO499" s="51"/>
      <c r="AP499" s="51"/>
      <c r="AQ499" s="72">
        <v>1600000</v>
      </c>
      <c r="AR499" s="72">
        <v>50000</v>
      </c>
      <c r="AS499" s="50">
        <v>46387</v>
      </c>
      <c r="AT499" s="50" t="s">
        <v>1436</v>
      </c>
      <c r="AU499" s="49" t="s">
        <v>1436</v>
      </c>
      <c r="AV499" s="49" t="s">
        <v>1670</v>
      </c>
      <c r="AW499" s="48" t="s">
        <v>1244</v>
      </c>
    </row>
    <row r="500" spans="1:49" x14ac:dyDescent="0.3">
      <c r="A500" s="48" t="s">
        <v>1320</v>
      </c>
      <c r="B500" s="48" t="s">
        <v>6</v>
      </c>
      <c r="C500" s="48" t="s">
        <v>1322</v>
      </c>
      <c r="D500" s="50">
        <v>46022</v>
      </c>
      <c r="E500" s="48" t="s">
        <v>36</v>
      </c>
      <c r="F500" s="48" t="s">
        <v>1438</v>
      </c>
      <c r="G500" s="48" t="s">
        <v>1444</v>
      </c>
      <c r="H500" s="49" t="s">
        <v>1445</v>
      </c>
      <c r="I500" s="48" t="s">
        <v>1411</v>
      </c>
      <c r="J500" s="48" t="s">
        <v>40</v>
      </c>
      <c r="K500" s="48" t="s">
        <v>50</v>
      </c>
      <c r="L500" s="48" t="s">
        <v>38</v>
      </c>
      <c r="M500" s="48" t="s">
        <v>37</v>
      </c>
      <c r="N500" s="48" t="s">
        <v>1436</v>
      </c>
      <c r="O500" s="48" t="s">
        <v>1436</v>
      </c>
      <c r="P500" s="48" t="s">
        <v>1436</v>
      </c>
      <c r="Q500" s="48" t="s">
        <v>38</v>
      </c>
      <c r="R500" s="48" t="s">
        <v>39</v>
      </c>
      <c r="S500" s="48" t="s">
        <v>40</v>
      </c>
      <c r="T500" s="48" t="s">
        <v>41</v>
      </c>
      <c r="U500" s="48" t="s">
        <v>1436</v>
      </c>
      <c r="V500" s="48" t="s">
        <v>1436</v>
      </c>
      <c r="W500" s="48" t="s">
        <v>1436</v>
      </c>
      <c r="X500" s="49" t="s">
        <v>193</v>
      </c>
      <c r="Y500" s="48" t="s">
        <v>1194</v>
      </c>
      <c r="Z500" s="49" t="s">
        <v>1321</v>
      </c>
      <c r="AA500" s="48" t="s">
        <v>1324</v>
      </c>
      <c r="AB500" s="48" t="s">
        <v>1325</v>
      </c>
      <c r="AC500" s="48" t="s">
        <v>1239</v>
      </c>
      <c r="AD500" s="48" t="s">
        <v>1231</v>
      </c>
      <c r="AE500" s="48" t="s">
        <v>1669</v>
      </c>
      <c r="AF500" s="48" t="s">
        <v>1436</v>
      </c>
      <c r="AG500" s="48" t="s">
        <v>1436</v>
      </c>
      <c r="AH500" s="48" t="s">
        <v>208</v>
      </c>
      <c r="AI500" s="50">
        <v>44562</v>
      </c>
      <c r="AJ500" s="50">
        <v>46387</v>
      </c>
      <c r="AK500" s="49" t="s">
        <v>1280</v>
      </c>
      <c r="AL500" s="48" t="s">
        <v>36</v>
      </c>
      <c r="AM500" s="48" t="s">
        <v>36</v>
      </c>
      <c r="AN500" s="51">
        <v>42330.49</v>
      </c>
      <c r="AO500" s="51"/>
      <c r="AP500" s="51"/>
      <c r="AQ500" s="72">
        <v>1600000</v>
      </c>
      <c r="AR500" s="72">
        <v>50000</v>
      </c>
      <c r="AS500" s="50">
        <v>46387</v>
      </c>
      <c r="AT500" s="50" t="s">
        <v>1436</v>
      </c>
      <c r="AU500" s="49" t="s">
        <v>1436</v>
      </c>
      <c r="AV500" s="49" t="s">
        <v>1670</v>
      </c>
      <c r="AW500" s="48" t="s">
        <v>1244</v>
      </c>
    </row>
    <row r="501" spans="1:49" x14ac:dyDescent="0.3">
      <c r="A501" s="48" t="s">
        <v>1320</v>
      </c>
      <c r="B501" s="48" t="s">
        <v>6</v>
      </c>
      <c r="C501" s="48" t="s">
        <v>1322</v>
      </c>
      <c r="D501" s="50">
        <v>46022</v>
      </c>
      <c r="E501" s="48" t="s">
        <v>36</v>
      </c>
      <c r="F501" s="48" t="s">
        <v>1438</v>
      </c>
      <c r="G501" s="48" t="s">
        <v>1444</v>
      </c>
      <c r="H501" s="49" t="s">
        <v>1446</v>
      </c>
      <c r="I501" s="48" t="s">
        <v>1407</v>
      </c>
      <c r="J501" s="48" t="s">
        <v>40</v>
      </c>
      <c r="K501" s="48" t="s">
        <v>47</v>
      </c>
      <c r="L501" s="48" t="s">
        <v>38</v>
      </c>
      <c r="M501" s="48" t="s">
        <v>37</v>
      </c>
      <c r="N501" s="48" t="s">
        <v>1436</v>
      </c>
      <c r="O501" s="48" t="s">
        <v>1436</v>
      </c>
      <c r="P501" s="48" t="s">
        <v>1436</v>
      </c>
      <c r="Q501" s="48" t="s">
        <v>38</v>
      </c>
      <c r="R501" s="48" t="s">
        <v>39</v>
      </c>
      <c r="S501" s="48" t="s">
        <v>40</v>
      </c>
      <c r="T501" s="48" t="s">
        <v>41</v>
      </c>
      <c r="U501" s="48" t="s">
        <v>1436</v>
      </c>
      <c r="V501" s="48" t="s">
        <v>1436</v>
      </c>
      <c r="W501" s="48" t="s">
        <v>1436</v>
      </c>
      <c r="X501" s="49" t="s">
        <v>193</v>
      </c>
      <c r="Y501" s="48" t="s">
        <v>1194</v>
      </c>
      <c r="Z501" s="49" t="s">
        <v>1321</v>
      </c>
      <c r="AA501" s="48" t="s">
        <v>1324</v>
      </c>
      <c r="AB501" s="48" t="s">
        <v>1325</v>
      </c>
      <c r="AC501" s="48" t="s">
        <v>1239</v>
      </c>
      <c r="AD501" s="48" t="s">
        <v>1231</v>
      </c>
      <c r="AE501" s="48" t="s">
        <v>1669</v>
      </c>
      <c r="AF501" s="48" t="s">
        <v>1436</v>
      </c>
      <c r="AG501" s="48" t="s">
        <v>1436</v>
      </c>
      <c r="AH501" s="48" t="s">
        <v>208</v>
      </c>
      <c r="AI501" s="50">
        <v>44562</v>
      </c>
      <c r="AJ501" s="50">
        <v>46387</v>
      </c>
      <c r="AK501" s="49" t="s">
        <v>1280</v>
      </c>
      <c r="AL501" s="48" t="s">
        <v>36</v>
      </c>
      <c r="AM501" s="48" t="s">
        <v>36</v>
      </c>
      <c r="AN501" s="51">
        <v>3370.8267080000001</v>
      </c>
      <c r="AO501" s="51"/>
      <c r="AP501" s="51"/>
      <c r="AQ501" s="72">
        <v>1600000</v>
      </c>
      <c r="AR501" s="72">
        <v>50000</v>
      </c>
      <c r="AS501" s="50">
        <v>46387</v>
      </c>
      <c r="AT501" s="50" t="s">
        <v>1436</v>
      </c>
      <c r="AU501" s="49" t="s">
        <v>1436</v>
      </c>
      <c r="AV501" s="49" t="s">
        <v>1670</v>
      </c>
      <c r="AW501" s="48" t="s">
        <v>1244</v>
      </c>
    </row>
    <row r="502" spans="1:49" x14ac:dyDescent="0.3">
      <c r="A502" s="48" t="s">
        <v>1320</v>
      </c>
      <c r="B502" s="48" t="s">
        <v>6</v>
      </c>
      <c r="C502" s="48" t="s">
        <v>1322</v>
      </c>
      <c r="D502" s="50">
        <v>46022</v>
      </c>
      <c r="E502" s="48" t="s">
        <v>36</v>
      </c>
      <c r="F502" s="48" t="s">
        <v>1433</v>
      </c>
      <c r="G502" s="48" t="s">
        <v>1447</v>
      </c>
      <c r="H502" s="49" t="s">
        <v>1448</v>
      </c>
      <c r="I502" s="48" t="s">
        <v>1413</v>
      </c>
      <c r="J502" s="48" t="s">
        <v>40</v>
      </c>
      <c r="K502" s="48" t="s">
        <v>58</v>
      </c>
      <c r="L502" s="48" t="s">
        <v>38</v>
      </c>
      <c r="M502" s="48" t="s">
        <v>37</v>
      </c>
      <c r="N502" s="48" t="s">
        <v>1436</v>
      </c>
      <c r="O502" s="48" t="s">
        <v>1436</v>
      </c>
      <c r="P502" s="48" t="s">
        <v>1436</v>
      </c>
      <c r="Q502" s="48" t="s">
        <v>38</v>
      </c>
      <c r="R502" s="48" t="s">
        <v>39</v>
      </c>
      <c r="S502" s="48" t="s">
        <v>40</v>
      </c>
      <c r="T502" s="48" t="s">
        <v>41</v>
      </c>
      <c r="U502" s="48" t="s">
        <v>1436</v>
      </c>
      <c r="V502" s="48" t="s">
        <v>1436</v>
      </c>
      <c r="W502" s="48" t="s">
        <v>1436</v>
      </c>
      <c r="X502" s="49" t="s">
        <v>193</v>
      </c>
      <c r="Y502" s="48" t="s">
        <v>1194</v>
      </c>
      <c r="Z502" s="49" t="s">
        <v>1321</v>
      </c>
      <c r="AA502" s="48" t="s">
        <v>1324</v>
      </c>
      <c r="AB502" s="48" t="s">
        <v>1325</v>
      </c>
      <c r="AC502" s="48" t="s">
        <v>1239</v>
      </c>
      <c r="AD502" s="48" t="s">
        <v>1231</v>
      </c>
      <c r="AE502" s="48" t="s">
        <v>1669</v>
      </c>
      <c r="AF502" s="48" t="s">
        <v>1436</v>
      </c>
      <c r="AG502" s="48" t="s">
        <v>1436</v>
      </c>
      <c r="AH502" s="48" t="s">
        <v>208</v>
      </c>
      <c r="AI502" s="50">
        <v>44562</v>
      </c>
      <c r="AJ502" s="50">
        <v>46387</v>
      </c>
      <c r="AK502" s="49" t="s">
        <v>1280</v>
      </c>
      <c r="AL502" s="48" t="s">
        <v>36</v>
      </c>
      <c r="AM502" s="48" t="s">
        <v>36</v>
      </c>
      <c r="AN502" s="51">
        <v>-50000</v>
      </c>
      <c r="AO502" s="51"/>
      <c r="AP502" s="51"/>
      <c r="AQ502" s="72">
        <v>1600000</v>
      </c>
      <c r="AR502" s="72">
        <v>50000</v>
      </c>
      <c r="AS502" s="50">
        <v>46387</v>
      </c>
      <c r="AT502" s="50" t="s">
        <v>1436</v>
      </c>
      <c r="AU502" s="49" t="s">
        <v>1436</v>
      </c>
      <c r="AV502" s="49" t="s">
        <v>1670</v>
      </c>
      <c r="AW502" s="48" t="s">
        <v>1244</v>
      </c>
    </row>
    <row r="503" spans="1:49" x14ac:dyDescent="0.3">
      <c r="A503" s="48" t="s">
        <v>1320</v>
      </c>
      <c r="B503" s="48" t="s">
        <v>6</v>
      </c>
      <c r="C503" s="48" t="s">
        <v>1322</v>
      </c>
      <c r="D503" s="50">
        <v>46022</v>
      </c>
      <c r="E503" s="48" t="s">
        <v>36</v>
      </c>
      <c r="F503" s="48" t="s">
        <v>1433</v>
      </c>
      <c r="G503" s="48" t="s">
        <v>1447</v>
      </c>
      <c r="H503" s="49" t="s">
        <v>1449</v>
      </c>
      <c r="I503" s="48" t="s">
        <v>1409</v>
      </c>
      <c r="J503" s="48" t="s">
        <v>40</v>
      </c>
      <c r="K503" s="48" t="s">
        <v>45</v>
      </c>
      <c r="L503" s="48" t="s">
        <v>38</v>
      </c>
      <c r="M503" s="48" t="s">
        <v>37</v>
      </c>
      <c r="N503" s="48" t="s">
        <v>1436</v>
      </c>
      <c r="O503" s="48" t="s">
        <v>1436</v>
      </c>
      <c r="P503" s="48" t="s">
        <v>1436</v>
      </c>
      <c r="Q503" s="48" t="s">
        <v>38</v>
      </c>
      <c r="R503" s="48" t="s">
        <v>39</v>
      </c>
      <c r="S503" s="48" t="s">
        <v>40</v>
      </c>
      <c r="T503" s="48" t="s">
        <v>41</v>
      </c>
      <c r="U503" s="48" t="s">
        <v>1436</v>
      </c>
      <c r="V503" s="48" t="s">
        <v>1436</v>
      </c>
      <c r="W503" s="48" t="s">
        <v>1436</v>
      </c>
      <c r="X503" s="49" t="s">
        <v>193</v>
      </c>
      <c r="Y503" s="48" t="s">
        <v>1194</v>
      </c>
      <c r="Z503" s="49" t="s">
        <v>1321</v>
      </c>
      <c r="AA503" s="48" t="s">
        <v>1324</v>
      </c>
      <c r="AB503" s="48" t="s">
        <v>1325</v>
      </c>
      <c r="AC503" s="48" t="s">
        <v>1239</v>
      </c>
      <c r="AD503" s="48" t="s">
        <v>1231</v>
      </c>
      <c r="AE503" s="48" t="s">
        <v>1669</v>
      </c>
      <c r="AF503" s="48" t="s">
        <v>1436</v>
      </c>
      <c r="AG503" s="48" t="s">
        <v>1436</v>
      </c>
      <c r="AH503" s="48" t="s">
        <v>208</v>
      </c>
      <c r="AI503" s="50">
        <v>44562</v>
      </c>
      <c r="AJ503" s="50">
        <v>46387</v>
      </c>
      <c r="AK503" s="49" t="s">
        <v>1280</v>
      </c>
      <c r="AL503" s="48" t="s">
        <v>36</v>
      </c>
      <c r="AM503" s="48" t="s">
        <v>36</v>
      </c>
      <c r="AN503" s="51">
        <v>49710.027266999998</v>
      </c>
      <c r="AO503" s="51"/>
      <c r="AP503" s="51"/>
      <c r="AQ503" s="72">
        <v>1600000</v>
      </c>
      <c r="AR503" s="72">
        <v>50000</v>
      </c>
      <c r="AS503" s="50">
        <v>46387</v>
      </c>
      <c r="AT503" s="50" t="s">
        <v>1436</v>
      </c>
      <c r="AU503" s="49" t="s">
        <v>1436</v>
      </c>
      <c r="AV503" s="49" t="s">
        <v>1670</v>
      </c>
      <c r="AW503" s="48" t="s">
        <v>1244</v>
      </c>
    </row>
    <row r="504" spans="1:49" x14ac:dyDescent="0.3">
      <c r="A504" s="48" t="s">
        <v>1320</v>
      </c>
      <c r="B504" s="48" t="s">
        <v>6</v>
      </c>
      <c r="C504" s="48" t="s">
        <v>1322</v>
      </c>
      <c r="D504" s="50">
        <v>46022</v>
      </c>
      <c r="E504" s="48" t="s">
        <v>36</v>
      </c>
      <c r="F504" s="48" t="s">
        <v>1433</v>
      </c>
      <c r="G504" s="48" t="s">
        <v>1447</v>
      </c>
      <c r="H504" s="49" t="s">
        <v>1450</v>
      </c>
      <c r="I504" s="48" t="s">
        <v>1408</v>
      </c>
      <c r="J504" s="48" t="s">
        <v>40</v>
      </c>
      <c r="K504" s="48" t="s">
        <v>54</v>
      </c>
      <c r="L504" s="48" t="s">
        <v>38</v>
      </c>
      <c r="M504" s="48" t="s">
        <v>37</v>
      </c>
      <c r="N504" s="48" t="s">
        <v>1436</v>
      </c>
      <c r="O504" s="48" t="s">
        <v>1436</v>
      </c>
      <c r="P504" s="48" t="s">
        <v>1436</v>
      </c>
      <c r="Q504" s="48" t="s">
        <v>38</v>
      </c>
      <c r="R504" s="48" t="s">
        <v>39</v>
      </c>
      <c r="S504" s="48" t="s">
        <v>40</v>
      </c>
      <c r="T504" s="48" t="s">
        <v>41</v>
      </c>
      <c r="U504" s="48" t="s">
        <v>1436</v>
      </c>
      <c r="V504" s="48" t="s">
        <v>1436</v>
      </c>
      <c r="W504" s="48" t="s">
        <v>1436</v>
      </c>
      <c r="X504" s="49" t="s">
        <v>193</v>
      </c>
      <c r="Y504" s="48" t="s">
        <v>1194</v>
      </c>
      <c r="Z504" s="49" t="s">
        <v>1321</v>
      </c>
      <c r="AA504" s="48" t="s">
        <v>1324</v>
      </c>
      <c r="AB504" s="48" t="s">
        <v>1325</v>
      </c>
      <c r="AC504" s="48" t="s">
        <v>1239</v>
      </c>
      <c r="AD504" s="48" t="s">
        <v>1231</v>
      </c>
      <c r="AE504" s="48" t="s">
        <v>1669</v>
      </c>
      <c r="AF504" s="48" t="s">
        <v>1436</v>
      </c>
      <c r="AG504" s="48" t="s">
        <v>1436</v>
      </c>
      <c r="AH504" s="48" t="s">
        <v>208</v>
      </c>
      <c r="AI504" s="50">
        <v>44562</v>
      </c>
      <c r="AJ504" s="50">
        <v>46387</v>
      </c>
      <c r="AK504" s="49" t="s">
        <v>1280</v>
      </c>
      <c r="AL504" s="48" t="s">
        <v>36</v>
      </c>
      <c r="AM504" s="48" t="s">
        <v>36</v>
      </c>
      <c r="AN504" s="51">
        <v>-3351.28</v>
      </c>
      <c r="AO504" s="51"/>
      <c r="AP504" s="51"/>
      <c r="AQ504" s="72">
        <v>1600000</v>
      </c>
      <c r="AR504" s="72">
        <v>50000</v>
      </c>
      <c r="AS504" s="50">
        <v>46387</v>
      </c>
      <c r="AT504" s="50" t="s">
        <v>1436</v>
      </c>
      <c r="AU504" s="49" t="s">
        <v>1436</v>
      </c>
      <c r="AV504" s="49" t="s">
        <v>1670</v>
      </c>
      <c r="AW504" s="48" t="s">
        <v>1244</v>
      </c>
    </row>
    <row r="505" spans="1:49" x14ac:dyDescent="0.3">
      <c r="A505" s="48" t="s">
        <v>1320</v>
      </c>
      <c r="B505" s="48" t="s">
        <v>6</v>
      </c>
      <c r="C505" s="48" t="s">
        <v>1322</v>
      </c>
      <c r="D505" s="50">
        <v>46022</v>
      </c>
      <c r="E505" s="48" t="s">
        <v>36</v>
      </c>
      <c r="F505" s="48" t="s">
        <v>1433</v>
      </c>
      <c r="G505" s="48" t="s">
        <v>1447</v>
      </c>
      <c r="H505" s="49" t="s">
        <v>1451</v>
      </c>
      <c r="I505" s="48" t="s">
        <v>1404</v>
      </c>
      <c r="J505" s="48" t="s">
        <v>38</v>
      </c>
      <c r="K505" s="48" t="s">
        <v>49</v>
      </c>
      <c r="L505" s="48" t="s">
        <v>38</v>
      </c>
      <c r="M505" s="48" t="s">
        <v>37</v>
      </c>
      <c r="N505" s="48" t="s">
        <v>1436</v>
      </c>
      <c r="O505" s="48" t="s">
        <v>1436</v>
      </c>
      <c r="P505" s="48" t="s">
        <v>1436</v>
      </c>
      <c r="Q505" s="48" t="s">
        <v>38</v>
      </c>
      <c r="R505" s="48" t="s">
        <v>39</v>
      </c>
      <c r="S505" s="48" t="s">
        <v>38</v>
      </c>
      <c r="T505" s="48" t="s">
        <v>41</v>
      </c>
      <c r="U505" s="48" t="s">
        <v>1436</v>
      </c>
      <c r="V505" s="48" t="s">
        <v>1436</v>
      </c>
      <c r="W505" s="48" t="s">
        <v>1436</v>
      </c>
      <c r="X505" s="49" t="s">
        <v>193</v>
      </c>
      <c r="Y505" s="48" t="s">
        <v>1194</v>
      </c>
      <c r="Z505" s="49" t="s">
        <v>1321</v>
      </c>
      <c r="AA505" s="48" t="s">
        <v>1324</v>
      </c>
      <c r="AB505" s="48" t="s">
        <v>1325</v>
      </c>
      <c r="AC505" s="48" t="s">
        <v>1239</v>
      </c>
      <c r="AD505" s="48" t="s">
        <v>1231</v>
      </c>
      <c r="AE505" s="48" t="s">
        <v>1669</v>
      </c>
      <c r="AF505" s="48" t="s">
        <v>1436</v>
      </c>
      <c r="AG505" s="48" t="s">
        <v>1436</v>
      </c>
      <c r="AH505" s="48" t="s">
        <v>208</v>
      </c>
      <c r="AI505" s="50">
        <v>44562</v>
      </c>
      <c r="AJ505" s="50">
        <v>46387</v>
      </c>
      <c r="AK505" s="49" t="s">
        <v>1280</v>
      </c>
      <c r="AL505" s="48" t="s">
        <v>36</v>
      </c>
      <c r="AM505" s="48" t="s">
        <v>36</v>
      </c>
      <c r="AN505" s="51">
        <v>270.42602499999998</v>
      </c>
      <c r="AO505" s="51"/>
      <c r="AP505" s="51"/>
      <c r="AQ505" s="72">
        <v>1600000</v>
      </c>
      <c r="AR505" s="72">
        <v>50000</v>
      </c>
      <c r="AS505" s="50">
        <v>46387</v>
      </c>
      <c r="AT505" s="50" t="s">
        <v>1436</v>
      </c>
      <c r="AU505" s="49" t="s">
        <v>1436</v>
      </c>
      <c r="AV505" s="49" t="s">
        <v>1670</v>
      </c>
      <c r="AW505" s="48" t="s">
        <v>1244</v>
      </c>
    </row>
    <row r="506" spans="1:49" x14ac:dyDescent="0.3">
      <c r="A506" s="48" t="s">
        <v>1320</v>
      </c>
      <c r="B506" s="48" t="s">
        <v>6</v>
      </c>
      <c r="C506" s="48" t="s">
        <v>1322</v>
      </c>
      <c r="D506" s="50">
        <v>46053</v>
      </c>
      <c r="E506" s="48" t="s">
        <v>36</v>
      </c>
      <c r="F506" s="48" t="s">
        <v>1433</v>
      </c>
      <c r="G506" s="48" t="s">
        <v>1434</v>
      </c>
      <c r="H506" s="49" t="s">
        <v>1435</v>
      </c>
      <c r="I506" s="48" t="s">
        <v>1412</v>
      </c>
      <c r="J506" s="48" t="s">
        <v>40</v>
      </c>
      <c r="K506" s="48" t="s">
        <v>52</v>
      </c>
      <c r="L506" s="48" t="s">
        <v>38</v>
      </c>
      <c r="M506" s="48" t="s">
        <v>37</v>
      </c>
      <c r="N506" s="48" t="s">
        <v>1436</v>
      </c>
      <c r="O506" s="48" t="s">
        <v>1436</v>
      </c>
      <c r="P506" s="48" t="s">
        <v>1436</v>
      </c>
      <c r="Q506" s="48" t="s">
        <v>38</v>
      </c>
      <c r="R506" s="48" t="s">
        <v>39</v>
      </c>
      <c r="S506" s="48" t="s">
        <v>40</v>
      </c>
      <c r="T506" s="48" t="s">
        <v>41</v>
      </c>
      <c r="U506" s="48" t="s">
        <v>1436</v>
      </c>
      <c r="V506" s="48" t="s">
        <v>1436</v>
      </c>
      <c r="W506" s="48" t="s">
        <v>1436</v>
      </c>
      <c r="X506" s="49" t="s">
        <v>193</v>
      </c>
      <c r="Y506" s="48" t="s">
        <v>1194</v>
      </c>
      <c r="Z506" s="49" t="s">
        <v>1321</v>
      </c>
      <c r="AA506" s="48" t="s">
        <v>1324</v>
      </c>
      <c r="AB506" s="48" t="s">
        <v>1325</v>
      </c>
      <c r="AC506" s="48" t="s">
        <v>1239</v>
      </c>
      <c r="AD506" s="48" t="s">
        <v>1231</v>
      </c>
      <c r="AE506" s="48" t="s">
        <v>1669</v>
      </c>
      <c r="AF506" s="48" t="s">
        <v>1436</v>
      </c>
      <c r="AG506" s="48" t="s">
        <v>1436</v>
      </c>
      <c r="AH506" s="48" t="s">
        <v>208</v>
      </c>
      <c r="AI506" s="50">
        <v>44562</v>
      </c>
      <c r="AJ506" s="50">
        <v>46387</v>
      </c>
      <c r="AK506" s="49" t="s">
        <v>1280</v>
      </c>
      <c r="AL506" s="48" t="s">
        <v>36</v>
      </c>
      <c r="AM506" s="48" t="s">
        <v>36</v>
      </c>
      <c r="AN506" s="51">
        <v>-42330.49</v>
      </c>
      <c r="AO506" s="51"/>
      <c r="AP506" s="51"/>
      <c r="AQ506" s="72">
        <v>1600000</v>
      </c>
      <c r="AR506" s="72">
        <v>50000</v>
      </c>
      <c r="AS506" s="50">
        <v>46387</v>
      </c>
      <c r="AT506" s="50" t="s">
        <v>1436</v>
      </c>
      <c r="AU506" s="49" t="s">
        <v>1436</v>
      </c>
      <c r="AV506" s="49" t="s">
        <v>1670</v>
      </c>
      <c r="AW506" s="48" t="s">
        <v>1244</v>
      </c>
    </row>
    <row r="507" spans="1:49" x14ac:dyDescent="0.3">
      <c r="A507" s="48" t="s">
        <v>1320</v>
      </c>
      <c r="B507" s="48" t="s">
        <v>6</v>
      </c>
      <c r="C507" s="48" t="s">
        <v>1322</v>
      </c>
      <c r="D507" s="50">
        <v>46053</v>
      </c>
      <c r="E507" s="48" t="s">
        <v>36</v>
      </c>
      <c r="F507" s="48" t="s">
        <v>1433</v>
      </c>
      <c r="G507" s="48" t="s">
        <v>1434</v>
      </c>
      <c r="H507" s="49" t="s">
        <v>1437</v>
      </c>
      <c r="I507" s="48" t="s">
        <v>1410</v>
      </c>
      <c r="J507" s="48" t="s">
        <v>40</v>
      </c>
      <c r="K507" s="48" t="s">
        <v>42</v>
      </c>
      <c r="L507" s="48" t="s">
        <v>38</v>
      </c>
      <c r="M507" s="48" t="s">
        <v>37</v>
      </c>
      <c r="N507" s="48" t="s">
        <v>1436</v>
      </c>
      <c r="O507" s="48" t="s">
        <v>1436</v>
      </c>
      <c r="P507" s="48" t="s">
        <v>1436</v>
      </c>
      <c r="Q507" s="48" t="s">
        <v>38</v>
      </c>
      <c r="R507" s="48" t="s">
        <v>39</v>
      </c>
      <c r="S507" s="48" t="s">
        <v>40</v>
      </c>
      <c r="T507" s="48" t="s">
        <v>41</v>
      </c>
      <c r="U507" s="48" t="s">
        <v>1436</v>
      </c>
      <c r="V507" s="48" t="s">
        <v>1436</v>
      </c>
      <c r="W507" s="48" t="s">
        <v>1436</v>
      </c>
      <c r="X507" s="49" t="s">
        <v>193</v>
      </c>
      <c r="Y507" s="48" t="s">
        <v>1194</v>
      </c>
      <c r="Z507" s="49" t="s">
        <v>1321</v>
      </c>
      <c r="AA507" s="48" t="s">
        <v>1324</v>
      </c>
      <c r="AB507" s="48" t="s">
        <v>1325</v>
      </c>
      <c r="AC507" s="48" t="s">
        <v>1239</v>
      </c>
      <c r="AD507" s="48" t="s">
        <v>1231</v>
      </c>
      <c r="AE507" s="48" t="s">
        <v>1669</v>
      </c>
      <c r="AF507" s="48" t="s">
        <v>1436</v>
      </c>
      <c r="AG507" s="48" t="s">
        <v>1436</v>
      </c>
      <c r="AH507" s="48" t="s">
        <v>208</v>
      </c>
      <c r="AI507" s="50">
        <v>44562</v>
      </c>
      <c r="AJ507" s="50">
        <v>46387</v>
      </c>
      <c r="AK507" s="49" t="s">
        <v>1280</v>
      </c>
      <c r="AL507" s="48" t="s">
        <v>36</v>
      </c>
      <c r="AM507" s="48" t="s">
        <v>36</v>
      </c>
      <c r="AN507" s="51">
        <v>0</v>
      </c>
      <c r="AO507" s="51"/>
      <c r="AP507" s="51"/>
      <c r="AQ507" s="72">
        <v>1600000</v>
      </c>
      <c r="AR507" s="72">
        <v>50000</v>
      </c>
      <c r="AS507" s="50">
        <v>46387</v>
      </c>
      <c r="AT507" s="50" t="s">
        <v>1436</v>
      </c>
      <c r="AU507" s="49" t="s">
        <v>1436</v>
      </c>
      <c r="AV507" s="49" t="s">
        <v>1670</v>
      </c>
      <c r="AW507" s="48" t="s">
        <v>1244</v>
      </c>
    </row>
    <row r="508" spans="1:49" x14ac:dyDescent="0.3">
      <c r="A508" s="48" t="s">
        <v>1320</v>
      </c>
      <c r="B508" s="48" t="s">
        <v>6</v>
      </c>
      <c r="C508" s="48" t="s">
        <v>1322</v>
      </c>
      <c r="D508" s="50">
        <v>46053</v>
      </c>
      <c r="E508" s="48" t="s">
        <v>36</v>
      </c>
      <c r="F508" s="48" t="s">
        <v>1438</v>
      </c>
      <c r="G508" s="48" t="s">
        <v>1439</v>
      </c>
      <c r="H508" s="49" t="s">
        <v>1440</v>
      </c>
      <c r="I508" s="48" t="s">
        <v>1406</v>
      </c>
      <c r="J508" s="48" t="s">
        <v>1194</v>
      </c>
      <c r="K508" s="48" t="s">
        <v>1441</v>
      </c>
      <c r="L508" s="48" t="s">
        <v>38</v>
      </c>
      <c r="M508" s="48" t="s">
        <v>37</v>
      </c>
      <c r="N508" s="48" t="s">
        <v>1436</v>
      </c>
      <c r="O508" s="48" t="s">
        <v>1436</v>
      </c>
      <c r="P508" s="48" t="s">
        <v>1436</v>
      </c>
      <c r="Q508" s="48" t="s">
        <v>38</v>
      </c>
      <c r="R508" s="48" t="s">
        <v>39</v>
      </c>
      <c r="S508" s="48" t="s">
        <v>1194</v>
      </c>
      <c r="T508" s="48" t="s">
        <v>41</v>
      </c>
      <c r="U508" s="48" t="s">
        <v>1436</v>
      </c>
      <c r="V508" s="48" t="s">
        <v>1436</v>
      </c>
      <c r="W508" s="48" t="s">
        <v>1436</v>
      </c>
      <c r="X508" s="49" t="s">
        <v>193</v>
      </c>
      <c r="Y508" s="48" t="s">
        <v>1194</v>
      </c>
      <c r="Z508" s="49" t="s">
        <v>1321</v>
      </c>
      <c r="AA508" s="48" t="s">
        <v>1324</v>
      </c>
      <c r="AB508" s="48" t="s">
        <v>1325</v>
      </c>
      <c r="AC508" s="48" t="s">
        <v>1239</v>
      </c>
      <c r="AD508" s="48" t="s">
        <v>1231</v>
      </c>
      <c r="AE508" s="48" t="s">
        <v>1669</v>
      </c>
      <c r="AF508" s="48" t="s">
        <v>1436</v>
      </c>
      <c r="AG508" s="48" t="s">
        <v>1436</v>
      </c>
      <c r="AH508" s="48" t="s">
        <v>208</v>
      </c>
      <c r="AI508" s="50">
        <v>44562</v>
      </c>
      <c r="AJ508" s="50">
        <v>46387</v>
      </c>
      <c r="AK508" s="49" t="s">
        <v>1280</v>
      </c>
      <c r="AL508" s="48" t="s">
        <v>36</v>
      </c>
      <c r="AM508" s="48" t="s">
        <v>36</v>
      </c>
      <c r="AN508" s="51">
        <v>0</v>
      </c>
      <c r="AO508" s="51"/>
      <c r="AP508" s="51"/>
      <c r="AQ508" s="72">
        <v>1600000</v>
      </c>
      <c r="AR508" s="72">
        <v>50000</v>
      </c>
      <c r="AS508" s="50">
        <v>46387</v>
      </c>
      <c r="AT508" s="50" t="s">
        <v>1436</v>
      </c>
      <c r="AU508" s="49" t="s">
        <v>1436</v>
      </c>
      <c r="AV508" s="49" t="s">
        <v>1670</v>
      </c>
      <c r="AW508" s="48" t="s">
        <v>1244</v>
      </c>
    </row>
    <row r="509" spans="1:49" x14ac:dyDescent="0.3">
      <c r="A509" s="48" t="s">
        <v>1320</v>
      </c>
      <c r="B509" s="48" t="s">
        <v>6</v>
      </c>
      <c r="C509" s="48" t="s">
        <v>1322</v>
      </c>
      <c r="D509" s="50">
        <v>46053</v>
      </c>
      <c r="E509" s="48" t="s">
        <v>36</v>
      </c>
      <c r="F509" s="48" t="s">
        <v>1438</v>
      </c>
      <c r="G509" s="48" t="s">
        <v>1439</v>
      </c>
      <c r="H509" s="49" t="s">
        <v>1442</v>
      </c>
      <c r="I509" s="48" t="s">
        <v>1405</v>
      </c>
      <c r="J509" s="48" t="s">
        <v>1194</v>
      </c>
      <c r="K509" s="48" t="s">
        <v>1443</v>
      </c>
      <c r="L509" s="48" t="s">
        <v>38</v>
      </c>
      <c r="M509" s="48" t="s">
        <v>37</v>
      </c>
      <c r="N509" s="48" t="s">
        <v>1436</v>
      </c>
      <c r="O509" s="48" t="s">
        <v>1436</v>
      </c>
      <c r="P509" s="48" t="s">
        <v>1436</v>
      </c>
      <c r="Q509" s="48" t="s">
        <v>38</v>
      </c>
      <c r="R509" s="48" t="s">
        <v>39</v>
      </c>
      <c r="S509" s="48" t="s">
        <v>1194</v>
      </c>
      <c r="T509" s="48" t="s">
        <v>41</v>
      </c>
      <c r="U509" s="48" t="s">
        <v>1436</v>
      </c>
      <c r="V509" s="48" t="s">
        <v>1436</v>
      </c>
      <c r="W509" s="48" t="s">
        <v>1436</v>
      </c>
      <c r="X509" s="49" t="s">
        <v>193</v>
      </c>
      <c r="Y509" s="48" t="s">
        <v>1194</v>
      </c>
      <c r="Z509" s="49" t="s">
        <v>1321</v>
      </c>
      <c r="AA509" s="48" t="s">
        <v>1324</v>
      </c>
      <c r="AB509" s="48" t="s">
        <v>1325</v>
      </c>
      <c r="AC509" s="48" t="s">
        <v>1239</v>
      </c>
      <c r="AD509" s="48" t="s">
        <v>1231</v>
      </c>
      <c r="AE509" s="48" t="s">
        <v>1669</v>
      </c>
      <c r="AF509" s="48" t="s">
        <v>1436</v>
      </c>
      <c r="AG509" s="48" t="s">
        <v>1436</v>
      </c>
      <c r="AH509" s="48" t="s">
        <v>208</v>
      </c>
      <c r="AI509" s="50">
        <v>44562</v>
      </c>
      <c r="AJ509" s="50">
        <v>46387</v>
      </c>
      <c r="AK509" s="49" t="s">
        <v>1280</v>
      </c>
      <c r="AL509" s="48" t="s">
        <v>36</v>
      </c>
      <c r="AM509" s="48" t="s">
        <v>36</v>
      </c>
      <c r="AN509" s="51">
        <v>0</v>
      </c>
      <c r="AO509" s="51"/>
      <c r="AP509" s="51"/>
      <c r="AQ509" s="72">
        <v>1600000</v>
      </c>
      <c r="AR509" s="72">
        <v>50000</v>
      </c>
      <c r="AS509" s="50">
        <v>46387</v>
      </c>
      <c r="AT509" s="50" t="s">
        <v>1436</v>
      </c>
      <c r="AU509" s="49" t="s">
        <v>1436</v>
      </c>
      <c r="AV509" s="49" t="s">
        <v>1670</v>
      </c>
      <c r="AW509" s="48" t="s">
        <v>1244</v>
      </c>
    </row>
    <row r="510" spans="1:49" x14ac:dyDescent="0.3">
      <c r="A510" s="48" t="s">
        <v>1320</v>
      </c>
      <c r="B510" s="48" t="s">
        <v>6</v>
      </c>
      <c r="C510" s="48" t="s">
        <v>1322</v>
      </c>
      <c r="D510" s="50">
        <v>46053</v>
      </c>
      <c r="E510" s="48" t="s">
        <v>36</v>
      </c>
      <c r="F510" s="48" t="s">
        <v>1438</v>
      </c>
      <c r="G510" s="48" t="s">
        <v>1444</v>
      </c>
      <c r="H510" s="49" t="s">
        <v>1445</v>
      </c>
      <c r="I510" s="48" t="s">
        <v>1411</v>
      </c>
      <c r="J510" s="48" t="s">
        <v>40</v>
      </c>
      <c r="K510" s="48" t="s">
        <v>50</v>
      </c>
      <c r="L510" s="48" t="s">
        <v>38</v>
      </c>
      <c r="M510" s="48" t="s">
        <v>37</v>
      </c>
      <c r="N510" s="48" t="s">
        <v>1436</v>
      </c>
      <c r="O510" s="48" t="s">
        <v>1436</v>
      </c>
      <c r="P510" s="48" t="s">
        <v>1436</v>
      </c>
      <c r="Q510" s="48" t="s">
        <v>38</v>
      </c>
      <c r="R510" s="48" t="s">
        <v>39</v>
      </c>
      <c r="S510" s="48" t="s">
        <v>40</v>
      </c>
      <c r="T510" s="48" t="s">
        <v>41</v>
      </c>
      <c r="U510" s="48" t="s">
        <v>1436</v>
      </c>
      <c r="V510" s="48" t="s">
        <v>1436</v>
      </c>
      <c r="W510" s="48" t="s">
        <v>1436</v>
      </c>
      <c r="X510" s="49" t="s">
        <v>193</v>
      </c>
      <c r="Y510" s="48" t="s">
        <v>1194</v>
      </c>
      <c r="Z510" s="49" t="s">
        <v>1321</v>
      </c>
      <c r="AA510" s="48" t="s">
        <v>1324</v>
      </c>
      <c r="AB510" s="48" t="s">
        <v>1325</v>
      </c>
      <c r="AC510" s="48" t="s">
        <v>1239</v>
      </c>
      <c r="AD510" s="48" t="s">
        <v>1231</v>
      </c>
      <c r="AE510" s="48" t="s">
        <v>1669</v>
      </c>
      <c r="AF510" s="48" t="s">
        <v>1436</v>
      </c>
      <c r="AG510" s="48" t="s">
        <v>1436</v>
      </c>
      <c r="AH510" s="48" t="s">
        <v>208</v>
      </c>
      <c r="AI510" s="50">
        <v>44562</v>
      </c>
      <c r="AJ510" s="50">
        <v>46387</v>
      </c>
      <c r="AK510" s="49" t="s">
        <v>1280</v>
      </c>
      <c r="AL510" s="48" t="s">
        <v>36</v>
      </c>
      <c r="AM510" s="48" t="s">
        <v>36</v>
      </c>
      <c r="AN510" s="51">
        <v>42330.49</v>
      </c>
      <c r="AO510" s="51"/>
      <c r="AP510" s="51"/>
      <c r="AQ510" s="72">
        <v>1600000</v>
      </c>
      <c r="AR510" s="72">
        <v>50000</v>
      </c>
      <c r="AS510" s="50">
        <v>46387</v>
      </c>
      <c r="AT510" s="50" t="s">
        <v>1436</v>
      </c>
      <c r="AU510" s="49" t="s">
        <v>1436</v>
      </c>
      <c r="AV510" s="49" t="s">
        <v>1670</v>
      </c>
      <c r="AW510" s="48" t="s">
        <v>1244</v>
      </c>
    </row>
    <row r="511" spans="1:49" x14ac:dyDescent="0.3">
      <c r="A511" s="48" t="s">
        <v>1320</v>
      </c>
      <c r="B511" s="48" t="s">
        <v>6</v>
      </c>
      <c r="C511" s="48" t="s">
        <v>1322</v>
      </c>
      <c r="D511" s="50">
        <v>46053</v>
      </c>
      <c r="E511" s="48" t="s">
        <v>36</v>
      </c>
      <c r="F511" s="48" t="s">
        <v>1438</v>
      </c>
      <c r="G511" s="48" t="s">
        <v>1444</v>
      </c>
      <c r="H511" s="49" t="s">
        <v>1446</v>
      </c>
      <c r="I511" s="48" t="s">
        <v>1407</v>
      </c>
      <c r="J511" s="48" t="s">
        <v>40</v>
      </c>
      <c r="K511" s="48" t="s">
        <v>47</v>
      </c>
      <c r="L511" s="48" t="s">
        <v>38</v>
      </c>
      <c r="M511" s="48" t="s">
        <v>37</v>
      </c>
      <c r="N511" s="48" t="s">
        <v>1436</v>
      </c>
      <c r="O511" s="48" t="s">
        <v>1436</v>
      </c>
      <c r="P511" s="48" t="s">
        <v>1436</v>
      </c>
      <c r="Q511" s="48" t="s">
        <v>38</v>
      </c>
      <c r="R511" s="48" t="s">
        <v>39</v>
      </c>
      <c r="S511" s="48" t="s">
        <v>40</v>
      </c>
      <c r="T511" s="48" t="s">
        <v>41</v>
      </c>
      <c r="U511" s="48" t="s">
        <v>1436</v>
      </c>
      <c r="V511" s="48" t="s">
        <v>1436</v>
      </c>
      <c r="W511" s="48" t="s">
        <v>1436</v>
      </c>
      <c r="X511" s="49" t="s">
        <v>193</v>
      </c>
      <c r="Y511" s="48" t="s">
        <v>1194</v>
      </c>
      <c r="Z511" s="49" t="s">
        <v>1321</v>
      </c>
      <c r="AA511" s="48" t="s">
        <v>1324</v>
      </c>
      <c r="AB511" s="48" t="s">
        <v>1325</v>
      </c>
      <c r="AC511" s="48" t="s">
        <v>1239</v>
      </c>
      <c r="AD511" s="48" t="s">
        <v>1231</v>
      </c>
      <c r="AE511" s="48" t="s">
        <v>1669</v>
      </c>
      <c r="AF511" s="48" t="s">
        <v>1436</v>
      </c>
      <c r="AG511" s="48" t="s">
        <v>1436</v>
      </c>
      <c r="AH511" s="48" t="s">
        <v>208</v>
      </c>
      <c r="AI511" s="50">
        <v>44562</v>
      </c>
      <c r="AJ511" s="50">
        <v>46387</v>
      </c>
      <c r="AK511" s="49" t="s">
        <v>1280</v>
      </c>
      <c r="AL511" s="48" t="s">
        <v>36</v>
      </c>
      <c r="AM511" s="48" t="s">
        <v>36</v>
      </c>
      <c r="AN511" s="51">
        <v>3098.8231970000002</v>
      </c>
      <c r="AO511" s="51"/>
      <c r="AP511" s="51"/>
      <c r="AQ511" s="72">
        <v>1600000</v>
      </c>
      <c r="AR511" s="72">
        <v>50000</v>
      </c>
      <c r="AS511" s="50">
        <v>46387</v>
      </c>
      <c r="AT511" s="50" t="s">
        <v>1436</v>
      </c>
      <c r="AU511" s="49" t="s">
        <v>1436</v>
      </c>
      <c r="AV511" s="49" t="s">
        <v>1670</v>
      </c>
      <c r="AW511" s="48" t="s">
        <v>1244</v>
      </c>
    </row>
    <row r="512" spans="1:49" x14ac:dyDescent="0.3">
      <c r="A512" s="48" t="s">
        <v>1320</v>
      </c>
      <c r="B512" s="48" t="s">
        <v>6</v>
      </c>
      <c r="C512" s="48" t="s">
        <v>1322</v>
      </c>
      <c r="D512" s="50">
        <v>46053</v>
      </c>
      <c r="E512" s="48" t="s">
        <v>36</v>
      </c>
      <c r="F512" s="48" t="s">
        <v>1433</v>
      </c>
      <c r="G512" s="48" t="s">
        <v>1447</v>
      </c>
      <c r="H512" s="49" t="s">
        <v>1448</v>
      </c>
      <c r="I512" s="48" t="s">
        <v>1413</v>
      </c>
      <c r="J512" s="48" t="s">
        <v>40</v>
      </c>
      <c r="K512" s="48" t="s">
        <v>58</v>
      </c>
      <c r="L512" s="48" t="s">
        <v>38</v>
      </c>
      <c r="M512" s="48" t="s">
        <v>37</v>
      </c>
      <c r="N512" s="48" t="s">
        <v>1436</v>
      </c>
      <c r="O512" s="48" t="s">
        <v>1436</v>
      </c>
      <c r="P512" s="48" t="s">
        <v>1436</v>
      </c>
      <c r="Q512" s="48" t="s">
        <v>38</v>
      </c>
      <c r="R512" s="48" t="s">
        <v>39</v>
      </c>
      <c r="S512" s="48" t="s">
        <v>40</v>
      </c>
      <c r="T512" s="48" t="s">
        <v>41</v>
      </c>
      <c r="U512" s="48" t="s">
        <v>1436</v>
      </c>
      <c r="V512" s="48" t="s">
        <v>1436</v>
      </c>
      <c r="W512" s="48" t="s">
        <v>1436</v>
      </c>
      <c r="X512" s="49" t="s">
        <v>193</v>
      </c>
      <c r="Y512" s="48" t="s">
        <v>1194</v>
      </c>
      <c r="Z512" s="49" t="s">
        <v>1321</v>
      </c>
      <c r="AA512" s="48" t="s">
        <v>1324</v>
      </c>
      <c r="AB512" s="48" t="s">
        <v>1325</v>
      </c>
      <c r="AC512" s="48" t="s">
        <v>1239</v>
      </c>
      <c r="AD512" s="48" t="s">
        <v>1231</v>
      </c>
      <c r="AE512" s="48" t="s">
        <v>1669</v>
      </c>
      <c r="AF512" s="48" t="s">
        <v>1436</v>
      </c>
      <c r="AG512" s="48" t="s">
        <v>1436</v>
      </c>
      <c r="AH512" s="48" t="s">
        <v>208</v>
      </c>
      <c r="AI512" s="50">
        <v>44562</v>
      </c>
      <c r="AJ512" s="50">
        <v>46387</v>
      </c>
      <c r="AK512" s="49" t="s">
        <v>1280</v>
      </c>
      <c r="AL512" s="48" t="s">
        <v>36</v>
      </c>
      <c r="AM512" s="48" t="s">
        <v>36</v>
      </c>
      <c r="AN512" s="51">
        <v>-50000</v>
      </c>
      <c r="AO512" s="51"/>
      <c r="AP512" s="51"/>
      <c r="AQ512" s="72">
        <v>1600000</v>
      </c>
      <c r="AR512" s="72">
        <v>50000</v>
      </c>
      <c r="AS512" s="50">
        <v>46387</v>
      </c>
      <c r="AT512" s="50" t="s">
        <v>1436</v>
      </c>
      <c r="AU512" s="49" t="s">
        <v>1436</v>
      </c>
      <c r="AV512" s="49" t="s">
        <v>1670</v>
      </c>
      <c r="AW512" s="48" t="s">
        <v>1244</v>
      </c>
    </row>
    <row r="513" spans="1:49" x14ac:dyDescent="0.3">
      <c r="A513" s="48" t="s">
        <v>1320</v>
      </c>
      <c r="B513" s="48" t="s">
        <v>6</v>
      </c>
      <c r="C513" s="48" t="s">
        <v>1322</v>
      </c>
      <c r="D513" s="50">
        <v>46053</v>
      </c>
      <c r="E513" s="48" t="s">
        <v>36</v>
      </c>
      <c r="F513" s="48" t="s">
        <v>1433</v>
      </c>
      <c r="G513" s="48" t="s">
        <v>1447</v>
      </c>
      <c r="H513" s="49" t="s">
        <v>1449</v>
      </c>
      <c r="I513" s="48" t="s">
        <v>1409</v>
      </c>
      <c r="J513" s="48" t="s">
        <v>40</v>
      </c>
      <c r="K513" s="48" t="s">
        <v>45</v>
      </c>
      <c r="L513" s="48" t="s">
        <v>38</v>
      </c>
      <c r="M513" s="48" t="s">
        <v>37</v>
      </c>
      <c r="N513" s="48" t="s">
        <v>1436</v>
      </c>
      <c r="O513" s="48" t="s">
        <v>1436</v>
      </c>
      <c r="P513" s="48" t="s">
        <v>1436</v>
      </c>
      <c r="Q513" s="48" t="s">
        <v>38</v>
      </c>
      <c r="R513" s="48" t="s">
        <v>39</v>
      </c>
      <c r="S513" s="48" t="s">
        <v>40</v>
      </c>
      <c r="T513" s="48" t="s">
        <v>41</v>
      </c>
      <c r="U513" s="48" t="s">
        <v>1436</v>
      </c>
      <c r="V513" s="48" t="s">
        <v>1436</v>
      </c>
      <c r="W513" s="48" t="s">
        <v>1436</v>
      </c>
      <c r="X513" s="49" t="s">
        <v>193</v>
      </c>
      <c r="Y513" s="48" t="s">
        <v>1194</v>
      </c>
      <c r="Z513" s="49" t="s">
        <v>1321</v>
      </c>
      <c r="AA513" s="48" t="s">
        <v>1324</v>
      </c>
      <c r="AB513" s="48" t="s">
        <v>1325</v>
      </c>
      <c r="AC513" s="48" t="s">
        <v>1239</v>
      </c>
      <c r="AD513" s="48" t="s">
        <v>1231</v>
      </c>
      <c r="AE513" s="48" t="s">
        <v>1669</v>
      </c>
      <c r="AF513" s="48" t="s">
        <v>1436</v>
      </c>
      <c r="AG513" s="48" t="s">
        <v>1436</v>
      </c>
      <c r="AH513" s="48" t="s">
        <v>208</v>
      </c>
      <c r="AI513" s="50">
        <v>44562</v>
      </c>
      <c r="AJ513" s="50">
        <v>46387</v>
      </c>
      <c r="AK513" s="49" t="s">
        <v>1280</v>
      </c>
      <c r="AL513" s="48" t="s">
        <v>36</v>
      </c>
      <c r="AM513" s="48" t="s">
        <v>36</v>
      </c>
      <c r="AN513" s="51">
        <v>-2.9889999999999999E-3</v>
      </c>
      <c r="AO513" s="51"/>
      <c r="AP513" s="51"/>
      <c r="AQ513" s="72">
        <v>1600000</v>
      </c>
      <c r="AR513" s="72">
        <v>50000</v>
      </c>
      <c r="AS513" s="50">
        <v>46387</v>
      </c>
      <c r="AT513" s="50" t="s">
        <v>1436</v>
      </c>
      <c r="AU513" s="49" t="s">
        <v>1436</v>
      </c>
      <c r="AV513" s="49" t="s">
        <v>1670</v>
      </c>
      <c r="AW513" s="48" t="s">
        <v>1244</v>
      </c>
    </row>
    <row r="514" spans="1:49" x14ac:dyDescent="0.3">
      <c r="A514" s="48" t="s">
        <v>1320</v>
      </c>
      <c r="B514" s="48" t="s">
        <v>6</v>
      </c>
      <c r="C514" s="48" t="s">
        <v>1322</v>
      </c>
      <c r="D514" s="50">
        <v>46053</v>
      </c>
      <c r="E514" s="48" t="s">
        <v>36</v>
      </c>
      <c r="F514" s="48" t="s">
        <v>1433</v>
      </c>
      <c r="G514" s="48" t="s">
        <v>1447</v>
      </c>
      <c r="H514" s="49" t="s">
        <v>1450</v>
      </c>
      <c r="I514" s="48" t="s">
        <v>1408</v>
      </c>
      <c r="J514" s="48" t="s">
        <v>40</v>
      </c>
      <c r="K514" s="48" t="s">
        <v>54</v>
      </c>
      <c r="L514" s="48" t="s">
        <v>38</v>
      </c>
      <c r="M514" s="48" t="s">
        <v>37</v>
      </c>
      <c r="N514" s="48" t="s">
        <v>1436</v>
      </c>
      <c r="O514" s="48" t="s">
        <v>1436</v>
      </c>
      <c r="P514" s="48" t="s">
        <v>1436</v>
      </c>
      <c r="Q514" s="48" t="s">
        <v>38</v>
      </c>
      <c r="R514" s="48" t="s">
        <v>39</v>
      </c>
      <c r="S514" s="48" t="s">
        <v>40</v>
      </c>
      <c r="T514" s="48" t="s">
        <v>41</v>
      </c>
      <c r="U514" s="48" t="s">
        <v>1436</v>
      </c>
      <c r="V514" s="48" t="s">
        <v>1436</v>
      </c>
      <c r="W514" s="48" t="s">
        <v>1436</v>
      </c>
      <c r="X514" s="49" t="s">
        <v>193</v>
      </c>
      <c r="Y514" s="48" t="s">
        <v>1194</v>
      </c>
      <c r="Z514" s="49" t="s">
        <v>1321</v>
      </c>
      <c r="AA514" s="48" t="s">
        <v>1324</v>
      </c>
      <c r="AB514" s="48" t="s">
        <v>1325</v>
      </c>
      <c r="AC514" s="48" t="s">
        <v>1239</v>
      </c>
      <c r="AD514" s="48" t="s">
        <v>1231</v>
      </c>
      <c r="AE514" s="48" t="s">
        <v>1669</v>
      </c>
      <c r="AF514" s="48" t="s">
        <v>1436</v>
      </c>
      <c r="AG514" s="48" t="s">
        <v>1436</v>
      </c>
      <c r="AH514" s="48" t="s">
        <v>208</v>
      </c>
      <c r="AI514" s="50">
        <v>44562</v>
      </c>
      <c r="AJ514" s="50">
        <v>46387</v>
      </c>
      <c r="AK514" s="49" t="s">
        <v>1280</v>
      </c>
      <c r="AL514" s="48" t="s">
        <v>36</v>
      </c>
      <c r="AM514" s="48" t="s">
        <v>36</v>
      </c>
      <c r="AN514" s="51">
        <v>46629.176281</v>
      </c>
      <c r="AO514" s="51"/>
      <c r="AP514" s="51"/>
      <c r="AQ514" s="72">
        <v>1600000</v>
      </c>
      <c r="AR514" s="72">
        <v>50000</v>
      </c>
      <c r="AS514" s="50">
        <v>46387</v>
      </c>
      <c r="AT514" s="50" t="s">
        <v>1436</v>
      </c>
      <c r="AU514" s="49" t="s">
        <v>1436</v>
      </c>
      <c r="AV514" s="49" t="s">
        <v>1670</v>
      </c>
      <c r="AW514" s="48" t="s">
        <v>1244</v>
      </c>
    </row>
    <row r="515" spans="1:49" x14ac:dyDescent="0.3">
      <c r="A515" s="48" t="s">
        <v>1320</v>
      </c>
      <c r="B515" s="48" t="s">
        <v>6</v>
      </c>
      <c r="C515" s="48" t="s">
        <v>1322</v>
      </c>
      <c r="D515" s="50">
        <v>46053</v>
      </c>
      <c r="E515" s="48" t="s">
        <v>36</v>
      </c>
      <c r="F515" s="48" t="s">
        <v>1433</v>
      </c>
      <c r="G515" s="48" t="s">
        <v>1447</v>
      </c>
      <c r="H515" s="49" t="s">
        <v>1451</v>
      </c>
      <c r="I515" s="48" t="s">
        <v>1404</v>
      </c>
      <c r="J515" s="48" t="s">
        <v>38</v>
      </c>
      <c r="K515" s="48" t="s">
        <v>49</v>
      </c>
      <c r="L515" s="48" t="s">
        <v>38</v>
      </c>
      <c r="M515" s="48" t="s">
        <v>37</v>
      </c>
      <c r="N515" s="48" t="s">
        <v>1436</v>
      </c>
      <c r="O515" s="48" t="s">
        <v>1436</v>
      </c>
      <c r="P515" s="48" t="s">
        <v>1436</v>
      </c>
      <c r="Q515" s="48" t="s">
        <v>38</v>
      </c>
      <c r="R515" s="48" t="s">
        <v>39</v>
      </c>
      <c r="S515" s="48" t="s">
        <v>38</v>
      </c>
      <c r="T515" s="48" t="s">
        <v>41</v>
      </c>
      <c r="U515" s="48" t="s">
        <v>1436</v>
      </c>
      <c r="V515" s="48" t="s">
        <v>1436</v>
      </c>
      <c r="W515" s="48" t="s">
        <v>1436</v>
      </c>
      <c r="X515" s="49" t="s">
        <v>193</v>
      </c>
      <c r="Y515" s="48" t="s">
        <v>1194</v>
      </c>
      <c r="Z515" s="49" t="s">
        <v>1321</v>
      </c>
      <c r="AA515" s="48" t="s">
        <v>1324</v>
      </c>
      <c r="AB515" s="48" t="s">
        <v>1325</v>
      </c>
      <c r="AC515" s="48" t="s">
        <v>1239</v>
      </c>
      <c r="AD515" s="48" t="s">
        <v>1231</v>
      </c>
      <c r="AE515" s="48" t="s">
        <v>1669</v>
      </c>
      <c r="AF515" s="48" t="s">
        <v>1436</v>
      </c>
      <c r="AG515" s="48" t="s">
        <v>1436</v>
      </c>
      <c r="AH515" s="48" t="s">
        <v>208</v>
      </c>
      <c r="AI515" s="50">
        <v>44562</v>
      </c>
      <c r="AJ515" s="50">
        <v>46387</v>
      </c>
      <c r="AK515" s="49" t="s">
        <v>1280</v>
      </c>
      <c r="AL515" s="48" t="s">
        <v>36</v>
      </c>
      <c r="AM515" s="48" t="s">
        <v>36</v>
      </c>
      <c r="AN515" s="51">
        <v>272.003511</v>
      </c>
      <c r="AO515" s="51"/>
      <c r="AP515" s="51"/>
      <c r="AQ515" s="72">
        <v>1600000</v>
      </c>
      <c r="AR515" s="72">
        <v>50000</v>
      </c>
      <c r="AS515" s="50">
        <v>46387</v>
      </c>
      <c r="AT515" s="50" t="s">
        <v>1436</v>
      </c>
      <c r="AU515" s="49" t="s">
        <v>1436</v>
      </c>
      <c r="AV515" s="49" t="s">
        <v>1670</v>
      </c>
      <c r="AW515" s="48" t="s">
        <v>1244</v>
      </c>
    </row>
    <row r="516" spans="1:49" x14ac:dyDescent="0.3">
      <c r="A516" s="48" t="s">
        <v>1320</v>
      </c>
      <c r="B516" s="48" t="s">
        <v>6</v>
      </c>
      <c r="C516" s="48" t="s">
        <v>1322</v>
      </c>
      <c r="D516" s="50">
        <v>46081</v>
      </c>
      <c r="E516" s="48" t="s">
        <v>36</v>
      </c>
      <c r="F516" s="48" t="s">
        <v>1433</v>
      </c>
      <c r="G516" s="48" t="s">
        <v>1434</v>
      </c>
      <c r="H516" s="49" t="s">
        <v>1435</v>
      </c>
      <c r="I516" s="48" t="s">
        <v>1412</v>
      </c>
      <c r="J516" s="48" t="s">
        <v>40</v>
      </c>
      <c r="K516" s="48" t="s">
        <v>52</v>
      </c>
      <c r="L516" s="48" t="s">
        <v>38</v>
      </c>
      <c r="M516" s="48" t="s">
        <v>37</v>
      </c>
      <c r="N516" s="48" t="s">
        <v>1436</v>
      </c>
      <c r="O516" s="48" t="s">
        <v>1436</v>
      </c>
      <c r="P516" s="48" t="s">
        <v>1436</v>
      </c>
      <c r="Q516" s="48" t="s">
        <v>38</v>
      </c>
      <c r="R516" s="48" t="s">
        <v>39</v>
      </c>
      <c r="S516" s="48" t="s">
        <v>40</v>
      </c>
      <c r="T516" s="48" t="s">
        <v>41</v>
      </c>
      <c r="U516" s="48" t="s">
        <v>1436</v>
      </c>
      <c r="V516" s="48" t="s">
        <v>1436</v>
      </c>
      <c r="W516" s="48" t="s">
        <v>1436</v>
      </c>
      <c r="X516" s="49" t="s">
        <v>193</v>
      </c>
      <c r="Y516" s="48" t="s">
        <v>1194</v>
      </c>
      <c r="Z516" s="49" t="s">
        <v>1321</v>
      </c>
      <c r="AA516" s="48" t="s">
        <v>1324</v>
      </c>
      <c r="AB516" s="48" t="s">
        <v>1325</v>
      </c>
      <c r="AC516" s="48" t="s">
        <v>1239</v>
      </c>
      <c r="AD516" s="48" t="s">
        <v>1231</v>
      </c>
      <c r="AE516" s="48" t="s">
        <v>1669</v>
      </c>
      <c r="AF516" s="48" t="s">
        <v>1436</v>
      </c>
      <c r="AG516" s="48" t="s">
        <v>1436</v>
      </c>
      <c r="AH516" s="48" t="s">
        <v>208</v>
      </c>
      <c r="AI516" s="50">
        <v>44562</v>
      </c>
      <c r="AJ516" s="50">
        <v>46387</v>
      </c>
      <c r="AK516" s="49" t="s">
        <v>1280</v>
      </c>
      <c r="AL516" s="48" t="s">
        <v>36</v>
      </c>
      <c r="AM516" s="48" t="s">
        <v>36</v>
      </c>
      <c r="AN516" s="51">
        <v>-42330.49</v>
      </c>
      <c r="AO516" s="51"/>
      <c r="AP516" s="51"/>
      <c r="AQ516" s="72">
        <v>1600000</v>
      </c>
      <c r="AR516" s="72">
        <v>50000</v>
      </c>
      <c r="AS516" s="50">
        <v>46387</v>
      </c>
      <c r="AT516" s="50" t="s">
        <v>1436</v>
      </c>
      <c r="AU516" s="49" t="s">
        <v>1436</v>
      </c>
      <c r="AV516" s="49" t="s">
        <v>1670</v>
      </c>
      <c r="AW516" s="48" t="s">
        <v>1244</v>
      </c>
    </row>
    <row r="517" spans="1:49" x14ac:dyDescent="0.3">
      <c r="A517" s="48" t="s">
        <v>1320</v>
      </c>
      <c r="B517" s="48" t="s">
        <v>6</v>
      </c>
      <c r="C517" s="48" t="s">
        <v>1322</v>
      </c>
      <c r="D517" s="50">
        <v>46081</v>
      </c>
      <c r="E517" s="48" t="s">
        <v>36</v>
      </c>
      <c r="F517" s="48" t="s">
        <v>1433</v>
      </c>
      <c r="G517" s="48" t="s">
        <v>1434</v>
      </c>
      <c r="H517" s="49" t="s">
        <v>1437</v>
      </c>
      <c r="I517" s="48" t="s">
        <v>1410</v>
      </c>
      <c r="J517" s="48" t="s">
        <v>40</v>
      </c>
      <c r="K517" s="48" t="s">
        <v>42</v>
      </c>
      <c r="L517" s="48" t="s">
        <v>38</v>
      </c>
      <c r="M517" s="48" t="s">
        <v>37</v>
      </c>
      <c r="N517" s="48" t="s">
        <v>1436</v>
      </c>
      <c r="O517" s="48" t="s">
        <v>1436</v>
      </c>
      <c r="P517" s="48" t="s">
        <v>1436</v>
      </c>
      <c r="Q517" s="48" t="s">
        <v>38</v>
      </c>
      <c r="R517" s="48" t="s">
        <v>39</v>
      </c>
      <c r="S517" s="48" t="s">
        <v>40</v>
      </c>
      <c r="T517" s="48" t="s">
        <v>41</v>
      </c>
      <c r="U517" s="48" t="s">
        <v>1436</v>
      </c>
      <c r="V517" s="48" t="s">
        <v>1436</v>
      </c>
      <c r="W517" s="48" t="s">
        <v>1436</v>
      </c>
      <c r="X517" s="49" t="s">
        <v>193</v>
      </c>
      <c r="Y517" s="48" t="s">
        <v>1194</v>
      </c>
      <c r="Z517" s="49" t="s">
        <v>1321</v>
      </c>
      <c r="AA517" s="48" t="s">
        <v>1324</v>
      </c>
      <c r="AB517" s="48" t="s">
        <v>1325</v>
      </c>
      <c r="AC517" s="48" t="s">
        <v>1239</v>
      </c>
      <c r="AD517" s="48" t="s">
        <v>1231</v>
      </c>
      <c r="AE517" s="48" t="s">
        <v>1669</v>
      </c>
      <c r="AF517" s="48" t="s">
        <v>1436</v>
      </c>
      <c r="AG517" s="48" t="s">
        <v>1436</v>
      </c>
      <c r="AH517" s="48" t="s">
        <v>208</v>
      </c>
      <c r="AI517" s="50">
        <v>44562</v>
      </c>
      <c r="AJ517" s="50">
        <v>46387</v>
      </c>
      <c r="AK517" s="49" t="s">
        <v>1280</v>
      </c>
      <c r="AL517" s="48" t="s">
        <v>36</v>
      </c>
      <c r="AM517" s="48" t="s">
        <v>36</v>
      </c>
      <c r="AN517" s="51">
        <v>0</v>
      </c>
      <c r="AO517" s="51"/>
      <c r="AP517" s="51"/>
      <c r="AQ517" s="72">
        <v>1600000</v>
      </c>
      <c r="AR517" s="72">
        <v>50000</v>
      </c>
      <c r="AS517" s="50">
        <v>46387</v>
      </c>
      <c r="AT517" s="50" t="s">
        <v>1436</v>
      </c>
      <c r="AU517" s="49" t="s">
        <v>1436</v>
      </c>
      <c r="AV517" s="49" t="s">
        <v>1670</v>
      </c>
      <c r="AW517" s="48" t="s">
        <v>1244</v>
      </c>
    </row>
    <row r="518" spans="1:49" x14ac:dyDescent="0.3">
      <c r="A518" s="48" t="s">
        <v>1320</v>
      </c>
      <c r="B518" s="48" t="s">
        <v>6</v>
      </c>
      <c r="C518" s="48" t="s">
        <v>1322</v>
      </c>
      <c r="D518" s="50">
        <v>46081</v>
      </c>
      <c r="E518" s="48" t="s">
        <v>36</v>
      </c>
      <c r="F518" s="48" t="s">
        <v>1438</v>
      </c>
      <c r="G518" s="48" t="s">
        <v>1439</v>
      </c>
      <c r="H518" s="49" t="s">
        <v>1440</v>
      </c>
      <c r="I518" s="48" t="s">
        <v>1406</v>
      </c>
      <c r="J518" s="48" t="s">
        <v>1194</v>
      </c>
      <c r="K518" s="48" t="s">
        <v>1441</v>
      </c>
      <c r="L518" s="48" t="s">
        <v>38</v>
      </c>
      <c r="M518" s="48" t="s">
        <v>37</v>
      </c>
      <c r="N518" s="48" t="s">
        <v>1436</v>
      </c>
      <c r="O518" s="48" t="s">
        <v>1436</v>
      </c>
      <c r="P518" s="48" t="s">
        <v>1436</v>
      </c>
      <c r="Q518" s="48" t="s">
        <v>38</v>
      </c>
      <c r="R518" s="48" t="s">
        <v>39</v>
      </c>
      <c r="S518" s="48" t="s">
        <v>1194</v>
      </c>
      <c r="T518" s="48" t="s">
        <v>41</v>
      </c>
      <c r="U518" s="48" t="s">
        <v>1436</v>
      </c>
      <c r="V518" s="48" t="s">
        <v>1436</v>
      </c>
      <c r="W518" s="48" t="s">
        <v>1436</v>
      </c>
      <c r="X518" s="49" t="s">
        <v>193</v>
      </c>
      <c r="Y518" s="48" t="s">
        <v>1194</v>
      </c>
      <c r="Z518" s="49" t="s">
        <v>1321</v>
      </c>
      <c r="AA518" s="48" t="s">
        <v>1324</v>
      </c>
      <c r="AB518" s="48" t="s">
        <v>1325</v>
      </c>
      <c r="AC518" s="48" t="s">
        <v>1239</v>
      </c>
      <c r="AD518" s="48" t="s">
        <v>1231</v>
      </c>
      <c r="AE518" s="48" t="s">
        <v>1669</v>
      </c>
      <c r="AF518" s="48" t="s">
        <v>1436</v>
      </c>
      <c r="AG518" s="48" t="s">
        <v>1436</v>
      </c>
      <c r="AH518" s="48" t="s">
        <v>208</v>
      </c>
      <c r="AI518" s="50">
        <v>44562</v>
      </c>
      <c r="AJ518" s="50">
        <v>46387</v>
      </c>
      <c r="AK518" s="49" t="s">
        <v>1280</v>
      </c>
      <c r="AL518" s="48" t="s">
        <v>36</v>
      </c>
      <c r="AM518" s="48" t="s">
        <v>36</v>
      </c>
      <c r="AN518" s="51">
        <v>0</v>
      </c>
      <c r="AO518" s="51"/>
      <c r="AP518" s="51"/>
      <c r="AQ518" s="72">
        <v>1600000</v>
      </c>
      <c r="AR518" s="72">
        <v>50000</v>
      </c>
      <c r="AS518" s="50">
        <v>46387</v>
      </c>
      <c r="AT518" s="50" t="s">
        <v>1436</v>
      </c>
      <c r="AU518" s="49" t="s">
        <v>1436</v>
      </c>
      <c r="AV518" s="49" t="s">
        <v>1670</v>
      </c>
      <c r="AW518" s="48" t="s">
        <v>1244</v>
      </c>
    </row>
    <row r="519" spans="1:49" x14ac:dyDescent="0.3">
      <c r="A519" s="48" t="s">
        <v>1320</v>
      </c>
      <c r="B519" s="48" t="s">
        <v>6</v>
      </c>
      <c r="C519" s="48" t="s">
        <v>1322</v>
      </c>
      <c r="D519" s="50">
        <v>46081</v>
      </c>
      <c r="E519" s="48" t="s">
        <v>36</v>
      </c>
      <c r="F519" s="48" t="s">
        <v>1438</v>
      </c>
      <c r="G519" s="48" t="s">
        <v>1439</v>
      </c>
      <c r="H519" s="49" t="s">
        <v>1442</v>
      </c>
      <c r="I519" s="48" t="s">
        <v>1405</v>
      </c>
      <c r="J519" s="48" t="s">
        <v>1194</v>
      </c>
      <c r="K519" s="48" t="s">
        <v>1443</v>
      </c>
      <c r="L519" s="48" t="s">
        <v>38</v>
      </c>
      <c r="M519" s="48" t="s">
        <v>37</v>
      </c>
      <c r="N519" s="48" t="s">
        <v>1436</v>
      </c>
      <c r="O519" s="48" t="s">
        <v>1436</v>
      </c>
      <c r="P519" s="48" t="s">
        <v>1436</v>
      </c>
      <c r="Q519" s="48" t="s">
        <v>38</v>
      </c>
      <c r="R519" s="48" t="s">
        <v>39</v>
      </c>
      <c r="S519" s="48" t="s">
        <v>1194</v>
      </c>
      <c r="T519" s="48" t="s">
        <v>41</v>
      </c>
      <c r="U519" s="48" t="s">
        <v>1436</v>
      </c>
      <c r="V519" s="48" t="s">
        <v>1436</v>
      </c>
      <c r="W519" s="48" t="s">
        <v>1436</v>
      </c>
      <c r="X519" s="49" t="s">
        <v>193</v>
      </c>
      <c r="Y519" s="48" t="s">
        <v>1194</v>
      </c>
      <c r="Z519" s="49" t="s">
        <v>1321</v>
      </c>
      <c r="AA519" s="48" t="s">
        <v>1324</v>
      </c>
      <c r="AB519" s="48" t="s">
        <v>1325</v>
      </c>
      <c r="AC519" s="48" t="s">
        <v>1239</v>
      </c>
      <c r="AD519" s="48" t="s">
        <v>1231</v>
      </c>
      <c r="AE519" s="48" t="s">
        <v>1669</v>
      </c>
      <c r="AF519" s="48" t="s">
        <v>1436</v>
      </c>
      <c r="AG519" s="48" t="s">
        <v>1436</v>
      </c>
      <c r="AH519" s="48" t="s">
        <v>208</v>
      </c>
      <c r="AI519" s="50">
        <v>44562</v>
      </c>
      <c r="AJ519" s="50">
        <v>46387</v>
      </c>
      <c r="AK519" s="49" t="s">
        <v>1280</v>
      </c>
      <c r="AL519" s="48" t="s">
        <v>36</v>
      </c>
      <c r="AM519" s="48" t="s">
        <v>36</v>
      </c>
      <c r="AN519" s="51">
        <v>0</v>
      </c>
      <c r="AO519" s="51"/>
      <c r="AP519" s="51"/>
      <c r="AQ519" s="72">
        <v>1600000</v>
      </c>
      <c r="AR519" s="72">
        <v>50000</v>
      </c>
      <c r="AS519" s="50">
        <v>46387</v>
      </c>
      <c r="AT519" s="50" t="s">
        <v>1436</v>
      </c>
      <c r="AU519" s="49" t="s">
        <v>1436</v>
      </c>
      <c r="AV519" s="49" t="s">
        <v>1670</v>
      </c>
      <c r="AW519" s="48" t="s">
        <v>1244</v>
      </c>
    </row>
    <row r="520" spans="1:49" x14ac:dyDescent="0.3">
      <c r="A520" s="48" t="s">
        <v>1320</v>
      </c>
      <c r="B520" s="48" t="s">
        <v>6</v>
      </c>
      <c r="C520" s="48" t="s">
        <v>1322</v>
      </c>
      <c r="D520" s="50">
        <v>46081</v>
      </c>
      <c r="E520" s="48" t="s">
        <v>36</v>
      </c>
      <c r="F520" s="48" t="s">
        <v>1438</v>
      </c>
      <c r="G520" s="48" t="s">
        <v>1444</v>
      </c>
      <c r="H520" s="49" t="s">
        <v>1445</v>
      </c>
      <c r="I520" s="48" t="s">
        <v>1411</v>
      </c>
      <c r="J520" s="48" t="s">
        <v>40</v>
      </c>
      <c r="K520" s="48" t="s">
        <v>50</v>
      </c>
      <c r="L520" s="48" t="s">
        <v>38</v>
      </c>
      <c r="M520" s="48" t="s">
        <v>37</v>
      </c>
      <c r="N520" s="48" t="s">
        <v>1436</v>
      </c>
      <c r="O520" s="48" t="s">
        <v>1436</v>
      </c>
      <c r="P520" s="48" t="s">
        <v>1436</v>
      </c>
      <c r="Q520" s="48" t="s">
        <v>38</v>
      </c>
      <c r="R520" s="48" t="s">
        <v>39</v>
      </c>
      <c r="S520" s="48" t="s">
        <v>40</v>
      </c>
      <c r="T520" s="48" t="s">
        <v>41</v>
      </c>
      <c r="U520" s="48" t="s">
        <v>1436</v>
      </c>
      <c r="V520" s="48" t="s">
        <v>1436</v>
      </c>
      <c r="W520" s="48" t="s">
        <v>1436</v>
      </c>
      <c r="X520" s="49" t="s">
        <v>193</v>
      </c>
      <c r="Y520" s="48" t="s">
        <v>1194</v>
      </c>
      <c r="Z520" s="49" t="s">
        <v>1321</v>
      </c>
      <c r="AA520" s="48" t="s">
        <v>1324</v>
      </c>
      <c r="AB520" s="48" t="s">
        <v>1325</v>
      </c>
      <c r="AC520" s="48" t="s">
        <v>1239</v>
      </c>
      <c r="AD520" s="48" t="s">
        <v>1231</v>
      </c>
      <c r="AE520" s="48" t="s">
        <v>1669</v>
      </c>
      <c r="AF520" s="48" t="s">
        <v>1436</v>
      </c>
      <c r="AG520" s="48" t="s">
        <v>1436</v>
      </c>
      <c r="AH520" s="48" t="s">
        <v>208</v>
      </c>
      <c r="AI520" s="50">
        <v>44562</v>
      </c>
      <c r="AJ520" s="50">
        <v>46387</v>
      </c>
      <c r="AK520" s="49" t="s">
        <v>1280</v>
      </c>
      <c r="AL520" s="48" t="s">
        <v>36</v>
      </c>
      <c r="AM520" s="48" t="s">
        <v>36</v>
      </c>
      <c r="AN520" s="51">
        <v>42330.49</v>
      </c>
      <c r="AO520" s="51"/>
      <c r="AP520" s="51"/>
      <c r="AQ520" s="72">
        <v>1600000</v>
      </c>
      <c r="AR520" s="72">
        <v>50000</v>
      </c>
      <c r="AS520" s="50">
        <v>46387</v>
      </c>
      <c r="AT520" s="50" t="s">
        <v>1436</v>
      </c>
      <c r="AU520" s="49" t="s">
        <v>1436</v>
      </c>
      <c r="AV520" s="49" t="s">
        <v>1670</v>
      </c>
      <c r="AW520" s="48" t="s">
        <v>1244</v>
      </c>
    </row>
    <row r="521" spans="1:49" x14ac:dyDescent="0.3">
      <c r="A521" s="48" t="s">
        <v>1320</v>
      </c>
      <c r="B521" s="48" t="s">
        <v>6</v>
      </c>
      <c r="C521" s="48" t="s">
        <v>1322</v>
      </c>
      <c r="D521" s="50">
        <v>46081</v>
      </c>
      <c r="E521" s="48" t="s">
        <v>36</v>
      </c>
      <c r="F521" s="48" t="s">
        <v>1438</v>
      </c>
      <c r="G521" s="48" t="s">
        <v>1444</v>
      </c>
      <c r="H521" s="49" t="s">
        <v>1446</v>
      </c>
      <c r="I521" s="48" t="s">
        <v>1407</v>
      </c>
      <c r="J521" s="48" t="s">
        <v>40</v>
      </c>
      <c r="K521" s="48" t="s">
        <v>47</v>
      </c>
      <c r="L521" s="48" t="s">
        <v>38</v>
      </c>
      <c r="M521" s="48" t="s">
        <v>37</v>
      </c>
      <c r="N521" s="48" t="s">
        <v>1436</v>
      </c>
      <c r="O521" s="48" t="s">
        <v>1436</v>
      </c>
      <c r="P521" s="48" t="s">
        <v>1436</v>
      </c>
      <c r="Q521" s="48" t="s">
        <v>38</v>
      </c>
      <c r="R521" s="48" t="s">
        <v>39</v>
      </c>
      <c r="S521" s="48" t="s">
        <v>40</v>
      </c>
      <c r="T521" s="48" t="s">
        <v>41</v>
      </c>
      <c r="U521" s="48" t="s">
        <v>1436</v>
      </c>
      <c r="V521" s="48" t="s">
        <v>1436</v>
      </c>
      <c r="W521" s="48" t="s">
        <v>1436</v>
      </c>
      <c r="X521" s="49" t="s">
        <v>193</v>
      </c>
      <c r="Y521" s="48" t="s">
        <v>1194</v>
      </c>
      <c r="Z521" s="49" t="s">
        <v>1321</v>
      </c>
      <c r="AA521" s="48" t="s">
        <v>1324</v>
      </c>
      <c r="AB521" s="48" t="s">
        <v>1325</v>
      </c>
      <c r="AC521" s="48" t="s">
        <v>1239</v>
      </c>
      <c r="AD521" s="48" t="s">
        <v>1231</v>
      </c>
      <c r="AE521" s="48" t="s">
        <v>1669</v>
      </c>
      <c r="AF521" s="48" t="s">
        <v>1436</v>
      </c>
      <c r="AG521" s="48" t="s">
        <v>1436</v>
      </c>
      <c r="AH521" s="48" t="s">
        <v>208</v>
      </c>
      <c r="AI521" s="50">
        <v>44562</v>
      </c>
      <c r="AJ521" s="50">
        <v>46387</v>
      </c>
      <c r="AK521" s="49" t="s">
        <v>1280</v>
      </c>
      <c r="AL521" s="48" t="s">
        <v>36</v>
      </c>
      <c r="AM521" s="48" t="s">
        <v>36</v>
      </c>
      <c r="AN521" s="51">
        <v>2825.2329989999998</v>
      </c>
      <c r="AO521" s="51"/>
      <c r="AP521" s="51"/>
      <c r="AQ521" s="72">
        <v>1600000</v>
      </c>
      <c r="AR521" s="72">
        <v>50000</v>
      </c>
      <c r="AS521" s="50">
        <v>46387</v>
      </c>
      <c r="AT521" s="50" t="s">
        <v>1436</v>
      </c>
      <c r="AU521" s="49" t="s">
        <v>1436</v>
      </c>
      <c r="AV521" s="49" t="s">
        <v>1670</v>
      </c>
      <c r="AW521" s="48" t="s">
        <v>1244</v>
      </c>
    </row>
    <row r="522" spans="1:49" x14ac:dyDescent="0.3">
      <c r="A522" s="48" t="s">
        <v>1320</v>
      </c>
      <c r="B522" s="48" t="s">
        <v>6</v>
      </c>
      <c r="C522" s="48" t="s">
        <v>1322</v>
      </c>
      <c r="D522" s="50">
        <v>46081</v>
      </c>
      <c r="E522" s="48" t="s">
        <v>36</v>
      </c>
      <c r="F522" s="48" t="s">
        <v>1433</v>
      </c>
      <c r="G522" s="48" t="s">
        <v>1447</v>
      </c>
      <c r="H522" s="49" t="s">
        <v>1448</v>
      </c>
      <c r="I522" s="48" t="s">
        <v>1413</v>
      </c>
      <c r="J522" s="48" t="s">
        <v>40</v>
      </c>
      <c r="K522" s="48" t="s">
        <v>58</v>
      </c>
      <c r="L522" s="48" t="s">
        <v>38</v>
      </c>
      <c r="M522" s="48" t="s">
        <v>37</v>
      </c>
      <c r="N522" s="48" t="s">
        <v>1436</v>
      </c>
      <c r="O522" s="48" t="s">
        <v>1436</v>
      </c>
      <c r="P522" s="48" t="s">
        <v>1436</v>
      </c>
      <c r="Q522" s="48" t="s">
        <v>38</v>
      </c>
      <c r="R522" s="48" t="s">
        <v>39</v>
      </c>
      <c r="S522" s="48" t="s">
        <v>40</v>
      </c>
      <c r="T522" s="48" t="s">
        <v>41</v>
      </c>
      <c r="U522" s="48" t="s">
        <v>1436</v>
      </c>
      <c r="V522" s="48" t="s">
        <v>1436</v>
      </c>
      <c r="W522" s="48" t="s">
        <v>1436</v>
      </c>
      <c r="X522" s="49" t="s">
        <v>193</v>
      </c>
      <c r="Y522" s="48" t="s">
        <v>1194</v>
      </c>
      <c r="Z522" s="49" t="s">
        <v>1321</v>
      </c>
      <c r="AA522" s="48" t="s">
        <v>1324</v>
      </c>
      <c r="AB522" s="48" t="s">
        <v>1325</v>
      </c>
      <c r="AC522" s="48" t="s">
        <v>1239</v>
      </c>
      <c r="AD522" s="48" t="s">
        <v>1231</v>
      </c>
      <c r="AE522" s="48" t="s">
        <v>1669</v>
      </c>
      <c r="AF522" s="48" t="s">
        <v>1436</v>
      </c>
      <c r="AG522" s="48" t="s">
        <v>1436</v>
      </c>
      <c r="AH522" s="48" t="s">
        <v>208</v>
      </c>
      <c r="AI522" s="50">
        <v>44562</v>
      </c>
      <c r="AJ522" s="50">
        <v>46387</v>
      </c>
      <c r="AK522" s="49" t="s">
        <v>1280</v>
      </c>
      <c r="AL522" s="48" t="s">
        <v>36</v>
      </c>
      <c r="AM522" s="48" t="s">
        <v>36</v>
      </c>
      <c r="AN522" s="51">
        <v>-50000</v>
      </c>
      <c r="AO522" s="51"/>
      <c r="AP522" s="51"/>
      <c r="AQ522" s="72">
        <v>1600000</v>
      </c>
      <c r="AR522" s="72">
        <v>50000</v>
      </c>
      <c r="AS522" s="50">
        <v>46387</v>
      </c>
      <c r="AT522" s="50" t="s">
        <v>1436</v>
      </c>
      <c r="AU522" s="49" t="s">
        <v>1436</v>
      </c>
      <c r="AV522" s="49" t="s">
        <v>1670</v>
      </c>
      <c r="AW522" s="48" t="s">
        <v>1244</v>
      </c>
    </row>
    <row r="523" spans="1:49" x14ac:dyDescent="0.3">
      <c r="A523" s="48" t="s">
        <v>1320</v>
      </c>
      <c r="B523" s="48" t="s">
        <v>6</v>
      </c>
      <c r="C523" s="48" t="s">
        <v>1322</v>
      </c>
      <c r="D523" s="50">
        <v>46081</v>
      </c>
      <c r="E523" s="48" t="s">
        <v>36</v>
      </c>
      <c r="F523" s="48" t="s">
        <v>1433</v>
      </c>
      <c r="G523" s="48" t="s">
        <v>1447</v>
      </c>
      <c r="H523" s="49" t="s">
        <v>1449</v>
      </c>
      <c r="I523" s="48" t="s">
        <v>1409</v>
      </c>
      <c r="J523" s="48" t="s">
        <v>40</v>
      </c>
      <c r="K523" s="48" t="s">
        <v>45</v>
      </c>
      <c r="L523" s="48" t="s">
        <v>38</v>
      </c>
      <c r="M523" s="48" t="s">
        <v>37</v>
      </c>
      <c r="N523" s="48" t="s">
        <v>1436</v>
      </c>
      <c r="O523" s="48" t="s">
        <v>1436</v>
      </c>
      <c r="P523" s="48" t="s">
        <v>1436</v>
      </c>
      <c r="Q523" s="48" t="s">
        <v>38</v>
      </c>
      <c r="R523" s="48" t="s">
        <v>39</v>
      </c>
      <c r="S523" s="48" t="s">
        <v>40</v>
      </c>
      <c r="T523" s="48" t="s">
        <v>41</v>
      </c>
      <c r="U523" s="48" t="s">
        <v>1436</v>
      </c>
      <c r="V523" s="48" t="s">
        <v>1436</v>
      </c>
      <c r="W523" s="48" t="s">
        <v>1436</v>
      </c>
      <c r="X523" s="49" t="s">
        <v>193</v>
      </c>
      <c r="Y523" s="48" t="s">
        <v>1194</v>
      </c>
      <c r="Z523" s="49" t="s">
        <v>1321</v>
      </c>
      <c r="AA523" s="48" t="s">
        <v>1324</v>
      </c>
      <c r="AB523" s="48" t="s">
        <v>1325</v>
      </c>
      <c r="AC523" s="48" t="s">
        <v>1239</v>
      </c>
      <c r="AD523" s="48" t="s">
        <v>1231</v>
      </c>
      <c r="AE523" s="48" t="s">
        <v>1669</v>
      </c>
      <c r="AF523" s="48" t="s">
        <v>1436</v>
      </c>
      <c r="AG523" s="48" t="s">
        <v>1436</v>
      </c>
      <c r="AH523" s="48" t="s">
        <v>208</v>
      </c>
      <c r="AI523" s="50">
        <v>44562</v>
      </c>
      <c r="AJ523" s="50">
        <v>46387</v>
      </c>
      <c r="AK523" s="49" t="s">
        <v>1280</v>
      </c>
      <c r="AL523" s="48" t="s">
        <v>36</v>
      </c>
      <c r="AM523" s="48" t="s">
        <v>36</v>
      </c>
      <c r="AN523" s="51">
        <v>0</v>
      </c>
      <c r="AO523" s="51"/>
      <c r="AP523" s="51"/>
      <c r="AQ523" s="72">
        <v>1600000</v>
      </c>
      <c r="AR523" s="72">
        <v>50000</v>
      </c>
      <c r="AS523" s="50">
        <v>46387</v>
      </c>
      <c r="AT523" s="50" t="s">
        <v>1436</v>
      </c>
      <c r="AU523" s="49" t="s">
        <v>1436</v>
      </c>
      <c r="AV523" s="49" t="s">
        <v>1670</v>
      </c>
      <c r="AW523" s="48" t="s">
        <v>1244</v>
      </c>
    </row>
    <row r="524" spans="1:49" x14ac:dyDescent="0.3">
      <c r="A524" s="48" t="s">
        <v>1320</v>
      </c>
      <c r="B524" s="48" t="s">
        <v>6</v>
      </c>
      <c r="C524" s="48" t="s">
        <v>1322</v>
      </c>
      <c r="D524" s="50">
        <v>46081</v>
      </c>
      <c r="E524" s="48" t="s">
        <v>36</v>
      </c>
      <c r="F524" s="48" t="s">
        <v>1433</v>
      </c>
      <c r="G524" s="48" t="s">
        <v>1447</v>
      </c>
      <c r="H524" s="49" t="s">
        <v>1450</v>
      </c>
      <c r="I524" s="48" t="s">
        <v>1408</v>
      </c>
      <c r="J524" s="48" t="s">
        <v>40</v>
      </c>
      <c r="K524" s="48" t="s">
        <v>54</v>
      </c>
      <c r="L524" s="48" t="s">
        <v>38</v>
      </c>
      <c r="M524" s="48" t="s">
        <v>37</v>
      </c>
      <c r="N524" s="48" t="s">
        <v>1436</v>
      </c>
      <c r="O524" s="48" t="s">
        <v>1436</v>
      </c>
      <c r="P524" s="48" t="s">
        <v>1436</v>
      </c>
      <c r="Q524" s="48" t="s">
        <v>38</v>
      </c>
      <c r="R524" s="48" t="s">
        <v>39</v>
      </c>
      <c r="S524" s="48" t="s">
        <v>40</v>
      </c>
      <c r="T524" s="48" t="s">
        <v>41</v>
      </c>
      <c r="U524" s="48" t="s">
        <v>1436</v>
      </c>
      <c r="V524" s="48" t="s">
        <v>1436</v>
      </c>
      <c r="W524" s="48" t="s">
        <v>1436</v>
      </c>
      <c r="X524" s="49" t="s">
        <v>193</v>
      </c>
      <c r="Y524" s="48" t="s">
        <v>1194</v>
      </c>
      <c r="Z524" s="49" t="s">
        <v>1321</v>
      </c>
      <c r="AA524" s="48" t="s">
        <v>1324</v>
      </c>
      <c r="AB524" s="48" t="s">
        <v>1325</v>
      </c>
      <c r="AC524" s="48" t="s">
        <v>1239</v>
      </c>
      <c r="AD524" s="48" t="s">
        <v>1231</v>
      </c>
      <c r="AE524" s="48" t="s">
        <v>1669</v>
      </c>
      <c r="AF524" s="48" t="s">
        <v>1436</v>
      </c>
      <c r="AG524" s="48" t="s">
        <v>1436</v>
      </c>
      <c r="AH524" s="48" t="s">
        <v>208</v>
      </c>
      <c r="AI524" s="50">
        <v>44562</v>
      </c>
      <c r="AJ524" s="50">
        <v>46387</v>
      </c>
      <c r="AK524" s="49" t="s">
        <v>1280</v>
      </c>
      <c r="AL524" s="48" t="s">
        <v>36</v>
      </c>
      <c r="AM524" s="48" t="s">
        <v>36</v>
      </c>
      <c r="AN524" s="51">
        <v>46901.176803000002</v>
      </c>
      <c r="AO524" s="51"/>
      <c r="AP524" s="51"/>
      <c r="AQ524" s="72">
        <v>1600000</v>
      </c>
      <c r="AR524" s="72">
        <v>50000</v>
      </c>
      <c r="AS524" s="50">
        <v>46387</v>
      </c>
      <c r="AT524" s="50" t="s">
        <v>1436</v>
      </c>
      <c r="AU524" s="49" t="s">
        <v>1436</v>
      </c>
      <c r="AV524" s="49" t="s">
        <v>1670</v>
      </c>
      <c r="AW524" s="48" t="s">
        <v>1244</v>
      </c>
    </row>
    <row r="525" spans="1:49" x14ac:dyDescent="0.3">
      <c r="A525" s="48" t="s">
        <v>1320</v>
      </c>
      <c r="B525" s="48" t="s">
        <v>6</v>
      </c>
      <c r="C525" s="48" t="s">
        <v>1322</v>
      </c>
      <c r="D525" s="50">
        <v>46081</v>
      </c>
      <c r="E525" s="48" t="s">
        <v>36</v>
      </c>
      <c r="F525" s="48" t="s">
        <v>1433</v>
      </c>
      <c r="G525" s="48" t="s">
        <v>1447</v>
      </c>
      <c r="H525" s="49" t="s">
        <v>1451</v>
      </c>
      <c r="I525" s="48" t="s">
        <v>1404</v>
      </c>
      <c r="J525" s="48" t="s">
        <v>38</v>
      </c>
      <c r="K525" s="48" t="s">
        <v>49</v>
      </c>
      <c r="L525" s="48" t="s">
        <v>38</v>
      </c>
      <c r="M525" s="48" t="s">
        <v>37</v>
      </c>
      <c r="N525" s="48" t="s">
        <v>1436</v>
      </c>
      <c r="O525" s="48" t="s">
        <v>1436</v>
      </c>
      <c r="P525" s="48" t="s">
        <v>1436</v>
      </c>
      <c r="Q525" s="48" t="s">
        <v>38</v>
      </c>
      <c r="R525" s="48" t="s">
        <v>39</v>
      </c>
      <c r="S525" s="48" t="s">
        <v>38</v>
      </c>
      <c r="T525" s="48" t="s">
        <v>41</v>
      </c>
      <c r="U525" s="48" t="s">
        <v>1436</v>
      </c>
      <c r="V525" s="48" t="s">
        <v>1436</v>
      </c>
      <c r="W525" s="48" t="s">
        <v>1436</v>
      </c>
      <c r="X525" s="49" t="s">
        <v>193</v>
      </c>
      <c r="Y525" s="48" t="s">
        <v>1194</v>
      </c>
      <c r="Z525" s="49" t="s">
        <v>1321</v>
      </c>
      <c r="AA525" s="48" t="s">
        <v>1324</v>
      </c>
      <c r="AB525" s="48" t="s">
        <v>1325</v>
      </c>
      <c r="AC525" s="48" t="s">
        <v>1239</v>
      </c>
      <c r="AD525" s="48" t="s">
        <v>1231</v>
      </c>
      <c r="AE525" s="48" t="s">
        <v>1669</v>
      </c>
      <c r="AF525" s="48" t="s">
        <v>1436</v>
      </c>
      <c r="AG525" s="48" t="s">
        <v>1436</v>
      </c>
      <c r="AH525" s="48" t="s">
        <v>208</v>
      </c>
      <c r="AI525" s="50">
        <v>44562</v>
      </c>
      <c r="AJ525" s="50">
        <v>46387</v>
      </c>
      <c r="AK525" s="49" t="s">
        <v>1280</v>
      </c>
      <c r="AL525" s="48" t="s">
        <v>36</v>
      </c>
      <c r="AM525" s="48" t="s">
        <v>36</v>
      </c>
      <c r="AN525" s="51">
        <v>273.59019799999999</v>
      </c>
      <c r="AO525" s="51"/>
      <c r="AP525" s="51"/>
      <c r="AQ525" s="72">
        <v>1600000</v>
      </c>
      <c r="AR525" s="72">
        <v>50000</v>
      </c>
      <c r="AS525" s="50">
        <v>46387</v>
      </c>
      <c r="AT525" s="50" t="s">
        <v>1436</v>
      </c>
      <c r="AU525" s="49" t="s">
        <v>1436</v>
      </c>
      <c r="AV525" s="49" t="s">
        <v>1670</v>
      </c>
      <c r="AW525" s="48" t="s">
        <v>1244</v>
      </c>
    </row>
    <row r="526" spans="1:49" x14ac:dyDescent="0.3">
      <c r="A526" s="48" t="s">
        <v>1320</v>
      </c>
      <c r="B526" s="48" t="s">
        <v>6</v>
      </c>
      <c r="C526" s="48" t="s">
        <v>1322</v>
      </c>
      <c r="D526" s="50">
        <v>46112</v>
      </c>
      <c r="E526" s="48" t="s">
        <v>36</v>
      </c>
      <c r="F526" s="48" t="s">
        <v>1433</v>
      </c>
      <c r="G526" s="48" t="s">
        <v>1434</v>
      </c>
      <c r="H526" s="49" t="s">
        <v>1435</v>
      </c>
      <c r="I526" s="48" t="s">
        <v>1412</v>
      </c>
      <c r="J526" s="48" t="s">
        <v>40</v>
      </c>
      <c r="K526" s="48" t="s">
        <v>52</v>
      </c>
      <c r="L526" s="48" t="s">
        <v>38</v>
      </c>
      <c r="M526" s="48" t="s">
        <v>37</v>
      </c>
      <c r="N526" s="48" t="s">
        <v>1436</v>
      </c>
      <c r="O526" s="48" t="s">
        <v>1436</v>
      </c>
      <c r="P526" s="48" t="s">
        <v>1436</v>
      </c>
      <c r="Q526" s="48" t="s">
        <v>38</v>
      </c>
      <c r="R526" s="48" t="s">
        <v>39</v>
      </c>
      <c r="S526" s="48" t="s">
        <v>40</v>
      </c>
      <c r="T526" s="48" t="s">
        <v>41</v>
      </c>
      <c r="U526" s="48" t="s">
        <v>1436</v>
      </c>
      <c r="V526" s="48" t="s">
        <v>1436</v>
      </c>
      <c r="W526" s="48" t="s">
        <v>1436</v>
      </c>
      <c r="X526" s="49" t="s">
        <v>193</v>
      </c>
      <c r="Y526" s="48" t="s">
        <v>1194</v>
      </c>
      <c r="Z526" s="49" t="s">
        <v>1321</v>
      </c>
      <c r="AA526" s="48" t="s">
        <v>1324</v>
      </c>
      <c r="AB526" s="48" t="s">
        <v>1325</v>
      </c>
      <c r="AC526" s="48" t="s">
        <v>1239</v>
      </c>
      <c r="AD526" s="48" t="s">
        <v>1231</v>
      </c>
      <c r="AE526" s="48" t="s">
        <v>1669</v>
      </c>
      <c r="AF526" s="48" t="s">
        <v>1436</v>
      </c>
      <c r="AG526" s="48" t="s">
        <v>1436</v>
      </c>
      <c r="AH526" s="48" t="s">
        <v>208</v>
      </c>
      <c r="AI526" s="50">
        <v>44562</v>
      </c>
      <c r="AJ526" s="50">
        <v>46387</v>
      </c>
      <c r="AK526" s="49" t="s">
        <v>1280</v>
      </c>
      <c r="AL526" s="48" t="s">
        <v>36</v>
      </c>
      <c r="AM526" s="48" t="s">
        <v>36</v>
      </c>
      <c r="AN526" s="51">
        <v>-42330.49</v>
      </c>
      <c r="AO526" s="51"/>
      <c r="AP526" s="51"/>
      <c r="AQ526" s="72">
        <v>1600000</v>
      </c>
      <c r="AR526" s="72">
        <v>50000</v>
      </c>
      <c r="AS526" s="50">
        <v>46387</v>
      </c>
      <c r="AT526" s="50" t="s">
        <v>1436</v>
      </c>
      <c r="AU526" s="49" t="s">
        <v>1436</v>
      </c>
      <c r="AV526" s="49" t="s">
        <v>1670</v>
      </c>
      <c r="AW526" s="48" t="s">
        <v>1244</v>
      </c>
    </row>
    <row r="527" spans="1:49" x14ac:dyDescent="0.3">
      <c r="A527" s="48" t="s">
        <v>1320</v>
      </c>
      <c r="B527" s="48" t="s">
        <v>6</v>
      </c>
      <c r="C527" s="48" t="s">
        <v>1322</v>
      </c>
      <c r="D527" s="50">
        <v>46112</v>
      </c>
      <c r="E527" s="48" t="s">
        <v>36</v>
      </c>
      <c r="F527" s="48" t="s">
        <v>1433</v>
      </c>
      <c r="G527" s="48" t="s">
        <v>1434</v>
      </c>
      <c r="H527" s="49" t="s">
        <v>1437</v>
      </c>
      <c r="I527" s="48" t="s">
        <v>1410</v>
      </c>
      <c r="J527" s="48" t="s">
        <v>40</v>
      </c>
      <c r="K527" s="48" t="s">
        <v>42</v>
      </c>
      <c r="L527" s="48" t="s">
        <v>38</v>
      </c>
      <c r="M527" s="48" t="s">
        <v>37</v>
      </c>
      <c r="N527" s="48" t="s">
        <v>1436</v>
      </c>
      <c r="O527" s="48" t="s">
        <v>1436</v>
      </c>
      <c r="P527" s="48" t="s">
        <v>1436</v>
      </c>
      <c r="Q527" s="48" t="s">
        <v>38</v>
      </c>
      <c r="R527" s="48" t="s">
        <v>39</v>
      </c>
      <c r="S527" s="48" t="s">
        <v>40</v>
      </c>
      <c r="T527" s="48" t="s">
        <v>41</v>
      </c>
      <c r="U527" s="48" t="s">
        <v>1436</v>
      </c>
      <c r="V527" s="48" t="s">
        <v>1436</v>
      </c>
      <c r="W527" s="48" t="s">
        <v>1436</v>
      </c>
      <c r="X527" s="49" t="s">
        <v>193</v>
      </c>
      <c r="Y527" s="48" t="s">
        <v>1194</v>
      </c>
      <c r="Z527" s="49" t="s">
        <v>1321</v>
      </c>
      <c r="AA527" s="48" t="s">
        <v>1324</v>
      </c>
      <c r="AB527" s="48" t="s">
        <v>1325</v>
      </c>
      <c r="AC527" s="48" t="s">
        <v>1239</v>
      </c>
      <c r="AD527" s="48" t="s">
        <v>1231</v>
      </c>
      <c r="AE527" s="48" t="s">
        <v>1669</v>
      </c>
      <c r="AF527" s="48" t="s">
        <v>1436</v>
      </c>
      <c r="AG527" s="48" t="s">
        <v>1436</v>
      </c>
      <c r="AH527" s="48" t="s">
        <v>208</v>
      </c>
      <c r="AI527" s="50">
        <v>44562</v>
      </c>
      <c r="AJ527" s="50">
        <v>46387</v>
      </c>
      <c r="AK527" s="49" t="s">
        <v>1280</v>
      </c>
      <c r="AL527" s="48" t="s">
        <v>36</v>
      </c>
      <c r="AM527" s="48" t="s">
        <v>36</v>
      </c>
      <c r="AN527" s="51">
        <v>0</v>
      </c>
      <c r="AO527" s="51"/>
      <c r="AP527" s="51"/>
      <c r="AQ527" s="72">
        <v>1600000</v>
      </c>
      <c r="AR527" s="72">
        <v>50000</v>
      </c>
      <c r="AS527" s="50">
        <v>46387</v>
      </c>
      <c r="AT527" s="50" t="s">
        <v>1436</v>
      </c>
      <c r="AU527" s="49" t="s">
        <v>1436</v>
      </c>
      <c r="AV527" s="49" t="s">
        <v>1670</v>
      </c>
      <c r="AW527" s="48" t="s">
        <v>1244</v>
      </c>
    </row>
    <row r="528" spans="1:49" x14ac:dyDescent="0.3">
      <c r="A528" s="48" t="s">
        <v>1320</v>
      </c>
      <c r="B528" s="48" t="s">
        <v>6</v>
      </c>
      <c r="C528" s="48" t="s">
        <v>1322</v>
      </c>
      <c r="D528" s="50">
        <v>46112</v>
      </c>
      <c r="E528" s="48" t="s">
        <v>36</v>
      </c>
      <c r="F528" s="48" t="s">
        <v>1438</v>
      </c>
      <c r="G528" s="48" t="s">
        <v>1439</v>
      </c>
      <c r="H528" s="49" t="s">
        <v>1440</v>
      </c>
      <c r="I528" s="48" t="s">
        <v>1406</v>
      </c>
      <c r="J528" s="48" t="s">
        <v>1194</v>
      </c>
      <c r="K528" s="48" t="s">
        <v>1441</v>
      </c>
      <c r="L528" s="48" t="s">
        <v>38</v>
      </c>
      <c r="M528" s="48" t="s">
        <v>37</v>
      </c>
      <c r="N528" s="48" t="s">
        <v>1436</v>
      </c>
      <c r="O528" s="48" t="s">
        <v>1436</v>
      </c>
      <c r="P528" s="48" t="s">
        <v>1436</v>
      </c>
      <c r="Q528" s="48" t="s">
        <v>38</v>
      </c>
      <c r="R528" s="48" t="s">
        <v>39</v>
      </c>
      <c r="S528" s="48" t="s">
        <v>1194</v>
      </c>
      <c r="T528" s="48" t="s">
        <v>41</v>
      </c>
      <c r="U528" s="48" t="s">
        <v>1436</v>
      </c>
      <c r="V528" s="48" t="s">
        <v>1436</v>
      </c>
      <c r="W528" s="48" t="s">
        <v>1436</v>
      </c>
      <c r="X528" s="49" t="s">
        <v>193</v>
      </c>
      <c r="Y528" s="48" t="s">
        <v>1194</v>
      </c>
      <c r="Z528" s="49" t="s">
        <v>1321</v>
      </c>
      <c r="AA528" s="48" t="s">
        <v>1324</v>
      </c>
      <c r="AB528" s="48" t="s">
        <v>1325</v>
      </c>
      <c r="AC528" s="48" t="s">
        <v>1239</v>
      </c>
      <c r="AD528" s="48" t="s">
        <v>1231</v>
      </c>
      <c r="AE528" s="48" t="s">
        <v>1669</v>
      </c>
      <c r="AF528" s="48" t="s">
        <v>1436</v>
      </c>
      <c r="AG528" s="48" t="s">
        <v>1436</v>
      </c>
      <c r="AH528" s="48" t="s">
        <v>208</v>
      </c>
      <c r="AI528" s="50">
        <v>44562</v>
      </c>
      <c r="AJ528" s="50">
        <v>46387</v>
      </c>
      <c r="AK528" s="49" t="s">
        <v>1280</v>
      </c>
      <c r="AL528" s="48" t="s">
        <v>36</v>
      </c>
      <c r="AM528" s="48" t="s">
        <v>36</v>
      </c>
      <c r="AN528" s="51">
        <v>0</v>
      </c>
      <c r="AO528" s="51"/>
      <c r="AP528" s="51"/>
      <c r="AQ528" s="72">
        <v>1600000</v>
      </c>
      <c r="AR528" s="72">
        <v>50000</v>
      </c>
      <c r="AS528" s="50">
        <v>46387</v>
      </c>
      <c r="AT528" s="50" t="s">
        <v>1436</v>
      </c>
      <c r="AU528" s="49" t="s">
        <v>1436</v>
      </c>
      <c r="AV528" s="49" t="s">
        <v>1670</v>
      </c>
      <c r="AW528" s="48" t="s">
        <v>1244</v>
      </c>
    </row>
    <row r="529" spans="1:49" x14ac:dyDescent="0.3">
      <c r="A529" s="48" t="s">
        <v>1320</v>
      </c>
      <c r="B529" s="48" t="s">
        <v>6</v>
      </c>
      <c r="C529" s="48" t="s">
        <v>1322</v>
      </c>
      <c r="D529" s="50">
        <v>46112</v>
      </c>
      <c r="E529" s="48" t="s">
        <v>36</v>
      </c>
      <c r="F529" s="48" t="s">
        <v>1438</v>
      </c>
      <c r="G529" s="48" t="s">
        <v>1439</v>
      </c>
      <c r="H529" s="49" t="s">
        <v>1442</v>
      </c>
      <c r="I529" s="48" t="s">
        <v>1405</v>
      </c>
      <c r="J529" s="48" t="s">
        <v>1194</v>
      </c>
      <c r="K529" s="48" t="s">
        <v>1443</v>
      </c>
      <c r="L529" s="48" t="s">
        <v>38</v>
      </c>
      <c r="M529" s="48" t="s">
        <v>37</v>
      </c>
      <c r="N529" s="48" t="s">
        <v>1436</v>
      </c>
      <c r="O529" s="48" t="s">
        <v>1436</v>
      </c>
      <c r="P529" s="48" t="s">
        <v>1436</v>
      </c>
      <c r="Q529" s="48" t="s">
        <v>38</v>
      </c>
      <c r="R529" s="48" t="s">
        <v>39</v>
      </c>
      <c r="S529" s="48" t="s">
        <v>1194</v>
      </c>
      <c r="T529" s="48" t="s">
        <v>41</v>
      </c>
      <c r="U529" s="48" t="s">
        <v>1436</v>
      </c>
      <c r="V529" s="48" t="s">
        <v>1436</v>
      </c>
      <c r="W529" s="48" t="s">
        <v>1436</v>
      </c>
      <c r="X529" s="49" t="s">
        <v>193</v>
      </c>
      <c r="Y529" s="48" t="s">
        <v>1194</v>
      </c>
      <c r="Z529" s="49" t="s">
        <v>1321</v>
      </c>
      <c r="AA529" s="48" t="s">
        <v>1324</v>
      </c>
      <c r="AB529" s="48" t="s">
        <v>1325</v>
      </c>
      <c r="AC529" s="48" t="s">
        <v>1239</v>
      </c>
      <c r="AD529" s="48" t="s">
        <v>1231</v>
      </c>
      <c r="AE529" s="48" t="s">
        <v>1669</v>
      </c>
      <c r="AF529" s="48" t="s">
        <v>1436</v>
      </c>
      <c r="AG529" s="48" t="s">
        <v>1436</v>
      </c>
      <c r="AH529" s="48" t="s">
        <v>208</v>
      </c>
      <c r="AI529" s="50">
        <v>44562</v>
      </c>
      <c r="AJ529" s="50">
        <v>46387</v>
      </c>
      <c r="AK529" s="49" t="s">
        <v>1280</v>
      </c>
      <c r="AL529" s="48" t="s">
        <v>36</v>
      </c>
      <c r="AM529" s="48" t="s">
        <v>36</v>
      </c>
      <c r="AN529" s="51">
        <v>0</v>
      </c>
      <c r="AO529" s="51"/>
      <c r="AP529" s="51"/>
      <c r="AQ529" s="72">
        <v>1600000</v>
      </c>
      <c r="AR529" s="72">
        <v>50000</v>
      </c>
      <c r="AS529" s="50">
        <v>46387</v>
      </c>
      <c r="AT529" s="50" t="s">
        <v>1436</v>
      </c>
      <c r="AU529" s="49" t="s">
        <v>1436</v>
      </c>
      <c r="AV529" s="49" t="s">
        <v>1670</v>
      </c>
      <c r="AW529" s="48" t="s">
        <v>1244</v>
      </c>
    </row>
    <row r="530" spans="1:49" x14ac:dyDescent="0.3">
      <c r="A530" s="48" t="s">
        <v>1320</v>
      </c>
      <c r="B530" s="48" t="s">
        <v>6</v>
      </c>
      <c r="C530" s="48" t="s">
        <v>1322</v>
      </c>
      <c r="D530" s="50">
        <v>46112</v>
      </c>
      <c r="E530" s="48" t="s">
        <v>36</v>
      </c>
      <c r="F530" s="48" t="s">
        <v>1438</v>
      </c>
      <c r="G530" s="48" t="s">
        <v>1444</v>
      </c>
      <c r="H530" s="49" t="s">
        <v>1445</v>
      </c>
      <c r="I530" s="48" t="s">
        <v>1411</v>
      </c>
      <c r="J530" s="48" t="s">
        <v>40</v>
      </c>
      <c r="K530" s="48" t="s">
        <v>50</v>
      </c>
      <c r="L530" s="48" t="s">
        <v>38</v>
      </c>
      <c r="M530" s="48" t="s">
        <v>37</v>
      </c>
      <c r="N530" s="48" t="s">
        <v>1436</v>
      </c>
      <c r="O530" s="48" t="s">
        <v>1436</v>
      </c>
      <c r="P530" s="48" t="s">
        <v>1436</v>
      </c>
      <c r="Q530" s="48" t="s">
        <v>38</v>
      </c>
      <c r="R530" s="48" t="s">
        <v>39</v>
      </c>
      <c r="S530" s="48" t="s">
        <v>40</v>
      </c>
      <c r="T530" s="48" t="s">
        <v>41</v>
      </c>
      <c r="U530" s="48" t="s">
        <v>1436</v>
      </c>
      <c r="V530" s="48" t="s">
        <v>1436</v>
      </c>
      <c r="W530" s="48" t="s">
        <v>1436</v>
      </c>
      <c r="X530" s="49" t="s">
        <v>193</v>
      </c>
      <c r="Y530" s="48" t="s">
        <v>1194</v>
      </c>
      <c r="Z530" s="49" t="s">
        <v>1321</v>
      </c>
      <c r="AA530" s="48" t="s">
        <v>1324</v>
      </c>
      <c r="AB530" s="48" t="s">
        <v>1325</v>
      </c>
      <c r="AC530" s="48" t="s">
        <v>1239</v>
      </c>
      <c r="AD530" s="48" t="s">
        <v>1231</v>
      </c>
      <c r="AE530" s="48" t="s">
        <v>1669</v>
      </c>
      <c r="AF530" s="48" t="s">
        <v>1436</v>
      </c>
      <c r="AG530" s="48" t="s">
        <v>1436</v>
      </c>
      <c r="AH530" s="48" t="s">
        <v>208</v>
      </c>
      <c r="AI530" s="50">
        <v>44562</v>
      </c>
      <c r="AJ530" s="50">
        <v>46387</v>
      </c>
      <c r="AK530" s="49" t="s">
        <v>1280</v>
      </c>
      <c r="AL530" s="48" t="s">
        <v>36</v>
      </c>
      <c r="AM530" s="48" t="s">
        <v>36</v>
      </c>
      <c r="AN530" s="51">
        <v>42330.49</v>
      </c>
      <c r="AO530" s="51"/>
      <c r="AP530" s="51"/>
      <c r="AQ530" s="72">
        <v>1600000</v>
      </c>
      <c r="AR530" s="72">
        <v>50000</v>
      </c>
      <c r="AS530" s="50">
        <v>46387</v>
      </c>
      <c r="AT530" s="50" t="s">
        <v>1436</v>
      </c>
      <c r="AU530" s="49" t="s">
        <v>1436</v>
      </c>
      <c r="AV530" s="49" t="s">
        <v>1670</v>
      </c>
      <c r="AW530" s="48" t="s">
        <v>1244</v>
      </c>
    </row>
    <row r="531" spans="1:49" x14ac:dyDescent="0.3">
      <c r="A531" s="48" t="s">
        <v>1320</v>
      </c>
      <c r="B531" s="48" t="s">
        <v>6</v>
      </c>
      <c r="C531" s="48" t="s">
        <v>1322</v>
      </c>
      <c r="D531" s="50">
        <v>46112</v>
      </c>
      <c r="E531" s="48" t="s">
        <v>36</v>
      </c>
      <c r="F531" s="48" t="s">
        <v>1438</v>
      </c>
      <c r="G531" s="48" t="s">
        <v>1444</v>
      </c>
      <c r="H531" s="49" t="s">
        <v>1446</v>
      </c>
      <c r="I531" s="48" t="s">
        <v>1407</v>
      </c>
      <c r="J531" s="48" t="s">
        <v>40</v>
      </c>
      <c r="K531" s="48" t="s">
        <v>47</v>
      </c>
      <c r="L531" s="48" t="s">
        <v>38</v>
      </c>
      <c r="M531" s="48" t="s">
        <v>37</v>
      </c>
      <c r="N531" s="48" t="s">
        <v>1436</v>
      </c>
      <c r="O531" s="48" t="s">
        <v>1436</v>
      </c>
      <c r="P531" s="48" t="s">
        <v>1436</v>
      </c>
      <c r="Q531" s="48" t="s">
        <v>38</v>
      </c>
      <c r="R531" s="48" t="s">
        <v>39</v>
      </c>
      <c r="S531" s="48" t="s">
        <v>40</v>
      </c>
      <c r="T531" s="48" t="s">
        <v>41</v>
      </c>
      <c r="U531" s="48" t="s">
        <v>1436</v>
      </c>
      <c r="V531" s="48" t="s">
        <v>1436</v>
      </c>
      <c r="W531" s="48" t="s">
        <v>1436</v>
      </c>
      <c r="X531" s="49" t="s">
        <v>193</v>
      </c>
      <c r="Y531" s="48" t="s">
        <v>1194</v>
      </c>
      <c r="Z531" s="49" t="s">
        <v>1321</v>
      </c>
      <c r="AA531" s="48" t="s">
        <v>1324</v>
      </c>
      <c r="AB531" s="48" t="s">
        <v>1325</v>
      </c>
      <c r="AC531" s="48" t="s">
        <v>1239</v>
      </c>
      <c r="AD531" s="48" t="s">
        <v>1231</v>
      </c>
      <c r="AE531" s="48" t="s">
        <v>1669</v>
      </c>
      <c r="AF531" s="48" t="s">
        <v>1436</v>
      </c>
      <c r="AG531" s="48" t="s">
        <v>1436</v>
      </c>
      <c r="AH531" s="48" t="s">
        <v>208</v>
      </c>
      <c r="AI531" s="50">
        <v>44562</v>
      </c>
      <c r="AJ531" s="50">
        <v>46387</v>
      </c>
      <c r="AK531" s="49" t="s">
        <v>1280</v>
      </c>
      <c r="AL531" s="48" t="s">
        <v>36</v>
      </c>
      <c r="AM531" s="48" t="s">
        <v>36</v>
      </c>
      <c r="AN531" s="51">
        <v>2550.0468580000002</v>
      </c>
      <c r="AO531" s="51"/>
      <c r="AP531" s="51"/>
      <c r="AQ531" s="72">
        <v>1600000</v>
      </c>
      <c r="AR531" s="72">
        <v>50000</v>
      </c>
      <c r="AS531" s="50">
        <v>46387</v>
      </c>
      <c r="AT531" s="50" t="s">
        <v>1436</v>
      </c>
      <c r="AU531" s="49" t="s">
        <v>1436</v>
      </c>
      <c r="AV531" s="49" t="s">
        <v>1670</v>
      </c>
      <c r="AW531" s="48" t="s">
        <v>1244</v>
      </c>
    </row>
    <row r="532" spans="1:49" x14ac:dyDescent="0.3">
      <c r="A532" s="48" t="s">
        <v>1320</v>
      </c>
      <c r="B532" s="48" t="s">
        <v>6</v>
      </c>
      <c r="C532" s="48" t="s">
        <v>1322</v>
      </c>
      <c r="D532" s="50">
        <v>46112</v>
      </c>
      <c r="E532" s="48" t="s">
        <v>36</v>
      </c>
      <c r="F532" s="48" t="s">
        <v>1433</v>
      </c>
      <c r="G532" s="48" t="s">
        <v>1447</v>
      </c>
      <c r="H532" s="49" t="s">
        <v>1448</v>
      </c>
      <c r="I532" s="48" t="s">
        <v>1413</v>
      </c>
      <c r="J532" s="48" t="s">
        <v>40</v>
      </c>
      <c r="K532" s="48" t="s">
        <v>58</v>
      </c>
      <c r="L532" s="48" t="s">
        <v>38</v>
      </c>
      <c r="M532" s="48" t="s">
        <v>37</v>
      </c>
      <c r="N532" s="48" t="s">
        <v>1436</v>
      </c>
      <c r="O532" s="48" t="s">
        <v>1436</v>
      </c>
      <c r="P532" s="48" t="s">
        <v>1436</v>
      </c>
      <c r="Q532" s="48" t="s">
        <v>38</v>
      </c>
      <c r="R532" s="48" t="s">
        <v>39</v>
      </c>
      <c r="S532" s="48" t="s">
        <v>40</v>
      </c>
      <c r="T532" s="48" t="s">
        <v>41</v>
      </c>
      <c r="U532" s="48" t="s">
        <v>1436</v>
      </c>
      <c r="V532" s="48" t="s">
        <v>1436</v>
      </c>
      <c r="W532" s="48" t="s">
        <v>1436</v>
      </c>
      <c r="X532" s="49" t="s">
        <v>193</v>
      </c>
      <c r="Y532" s="48" t="s">
        <v>1194</v>
      </c>
      <c r="Z532" s="49" t="s">
        <v>1321</v>
      </c>
      <c r="AA532" s="48" t="s">
        <v>1324</v>
      </c>
      <c r="AB532" s="48" t="s">
        <v>1325</v>
      </c>
      <c r="AC532" s="48" t="s">
        <v>1239</v>
      </c>
      <c r="AD532" s="48" t="s">
        <v>1231</v>
      </c>
      <c r="AE532" s="48" t="s">
        <v>1669</v>
      </c>
      <c r="AF532" s="48" t="s">
        <v>1436</v>
      </c>
      <c r="AG532" s="48" t="s">
        <v>1436</v>
      </c>
      <c r="AH532" s="48" t="s">
        <v>208</v>
      </c>
      <c r="AI532" s="50">
        <v>44562</v>
      </c>
      <c r="AJ532" s="50">
        <v>46387</v>
      </c>
      <c r="AK532" s="49" t="s">
        <v>1280</v>
      </c>
      <c r="AL532" s="48" t="s">
        <v>36</v>
      </c>
      <c r="AM532" s="48" t="s">
        <v>36</v>
      </c>
      <c r="AN532" s="51">
        <v>-50000</v>
      </c>
      <c r="AO532" s="51"/>
      <c r="AP532" s="51"/>
      <c r="AQ532" s="72">
        <v>1600000</v>
      </c>
      <c r="AR532" s="72">
        <v>50000</v>
      </c>
      <c r="AS532" s="50">
        <v>46387</v>
      </c>
      <c r="AT532" s="50" t="s">
        <v>1436</v>
      </c>
      <c r="AU532" s="49" t="s">
        <v>1436</v>
      </c>
      <c r="AV532" s="49" t="s">
        <v>1670</v>
      </c>
      <c r="AW532" s="48" t="s">
        <v>1244</v>
      </c>
    </row>
    <row r="533" spans="1:49" x14ac:dyDescent="0.3">
      <c r="A533" s="48" t="s">
        <v>1320</v>
      </c>
      <c r="B533" s="48" t="s">
        <v>6</v>
      </c>
      <c r="C533" s="48" t="s">
        <v>1322</v>
      </c>
      <c r="D533" s="50">
        <v>46112</v>
      </c>
      <c r="E533" s="48" t="s">
        <v>36</v>
      </c>
      <c r="F533" s="48" t="s">
        <v>1433</v>
      </c>
      <c r="G533" s="48" t="s">
        <v>1447</v>
      </c>
      <c r="H533" s="49" t="s">
        <v>1449</v>
      </c>
      <c r="I533" s="48" t="s">
        <v>1409</v>
      </c>
      <c r="J533" s="48" t="s">
        <v>40</v>
      </c>
      <c r="K533" s="48" t="s">
        <v>45</v>
      </c>
      <c r="L533" s="48" t="s">
        <v>38</v>
      </c>
      <c r="M533" s="48" t="s">
        <v>37</v>
      </c>
      <c r="N533" s="48" t="s">
        <v>1436</v>
      </c>
      <c r="O533" s="48" t="s">
        <v>1436</v>
      </c>
      <c r="P533" s="48" t="s">
        <v>1436</v>
      </c>
      <c r="Q533" s="48" t="s">
        <v>38</v>
      </c>
      <c r="R533" s="48" t="s">
        <v>39</v>
      </c>
      <c r="S533" s="48" t="s">
        <v>40</v>
      </c>
      <c r="T533" s="48" t="s">
        <v>41</v>
      </c>
      <c r="U533" s="48" t="s">
        <v>1436</v>
      </c>
      <c r="V533" s="48" t="s">
        <v>1436</v>
      </c>
      <c r="W533" s="48" t="s">
        <v>1436</v>
      </c>
      <c r="X533" s="49" t="s">
        <v>193</v>
      </c>
      <c r="Y533" s="48" t="s">
        <v>1194</v>
      </c>
      <c r="Z533" s="49" t="s">
        <v>1321</v>
      </c>
      <c r="AA533" s="48" t="s">
        <v>1324</v>
      </c>
      <c r="AB533" s="48" t="s">
        <v>1325</v>
      </c>
      <c r="AC533" s="48" t="s">
        <v>1239</v>
      </c>
      <c r="AD533" s="48" t="s">
        <v>1231</v>
      </c>
      <c r="AE533" s="48" t="s">
        <v>1669</v>
      </c>
      <c r="AF533" s="48" t="s">
        <v>1436</v>
      </c>
      <c r="AG533" s="48" t="s">
        <v>1436</v>
      </c>
      <c r="AH533" s="48" t="s">
        <v>208</v>
      </c>
      <c r="AI533" s="50">
        <v>44562</v>
      </c>
      <c r="AJ533" s="50">
        <v>46387</v>
      </c>
      <c r="AK533" s="49" t="s">
        <v>1280</v>
      </c>
      <c r="AL533" s="48" t="s">
        <v>36</v>
      </c>
      <c r="AM533" s="48" t="s">
        <v>36</v>
      </c>
      <c r="AN533" s="51">
        <v>0</v>
      </c>
      <c r="AO533" s="51"/>
      <c r="AP533" s="51"/>
      <c r="AQ533" s="72">
        <v>1600000</v>
      </c>
      <c r="AR533" s="72">
        <v>50000</v>
      </c>
      <c r="AS533" s="50">
        <v>46387</v>
      </c>
      <c r="AT533" s="50" t="s">
        <v>1436</v>
      </c>
      <c r="AU533" s="49" t="s">
        <v>1436</v>
      </c>
      <c r="AV533" s="49" t="s">
        <v>1670</v>
      </c>
      <c r="AW533" s="48" t="s">
        <v>1244</v>
      </c>
    </row>
    <row r="534" spans="1:49" x14ac:dyDescent="0.3">
      <c r="A534" s="48" t="s">
        <v>1320</v>
      </c>
      <c r="B534" s="48" t="s">
        <v>6</v>
      </c>
      <c r="C534" s="48" t="s">
        <v>1322</v>
      </c>
      <c r="D534" s="50">
        <v>46112</v>
      </c>
      <c r="E534" s="48" t="s">
        <v>36</v>
      </c>
      <c r="F534" s="48" t="s">
        <v>1433</v>
      </c>
      <c r="G534" s="48" t="s">
        <v>1447</v>
      </c>
      <c r="H534" s="49" t="s">
        <v>1450</v>
      </c>
      <c r="I534" s="48" t="s">
        <v>1408</v>
      </c>
      <c r="J534" s="48" t="s">
        <v>40</v>
      </c>
      <c r="K534" s="48" t="s">
        <v>54</v>
      </c>
      <c r="L534" s="48" t="s">
        <v>38</v>
      </c>
      <c r="M534" s="48" t="s">
        <v>37</v>
      </c>
      <c r="N534" s="48" t="s">
        <v>1436</v>
      </c>
      <c r="O534" s="48" t="s">
        <v>1436</v>
      </c>
      <c r="P534" s="48" t="s">
        <v>1436</v>
      </c>
      <c r="Q534" s="48" t="s">
        <v>38</v>
      </c>
      <c r="R534" s="48" t="s">
        <v>39</v>
      </c>
      <c r="S534" s="48" t="s">
        <v>40</v>
      </c>
      <c r="T534" s="48" t="s">
        <v>41</v>
      </c>
      <c r="U534" s="48" t="s">
        <v>1436</v>
      </c>
      <c r="V534" s="48" t="s">
        <v>1436</v>
      </c>
      <c r="W534" s="48" t="s">
        <v>1436</v>
      </c>
      <c r="X534" s="49" t="s">
        <v>193</v>
      </c>
      <c r="Y534" s="48" t="s">
        <v>1194</v>
      </c>
      <c r="Z534" s="49" t="s">
        <v>1321</v>
      </c>
      <c r="AA534" s="48" t="s">
        <v>1324</v>
      </c>
      <c r="AB534" s="48" t="s">
        <v>1325</v>
      </c>
      <c r="AC534" s="48" t="s">
        <v>1239</v>
      </c>
      <c r="AD534" s="48" t="s">
        <v>1231</v>
      </c>
      <c r="AE534" s="48" t="s">
        <v>1669</v>
      </c>
      <c r="AF534" s="48" t="s">
        <v>1436</v>
      </c>
      <c r="AG534" s="48" t="s">
        <v>1436</v>
      </c>
      <c r="AH534" s="48" t="s">
        <v>208</v>
      </c>
      <c r="AI534" s="50">
        <v>44562</v>
      </c>
      <c r="AJ534" s="50">
        <v>46387</v>
      </c>
      <c r="AK534" s="49" t="s">
        <v>1280</v>
      </c>
      <c r="AL534" s="48" t="s">
        <v>36</v>
      </c>
      <c r="AM534" s="48" t="s">
        <v>36</v>
      </c>
      <c r="AN534" s="51">
        <v>47174.767001</v>
      </c>
      <c r="AO534" s="51"/>
      <c r="AP534" s="51"/>
      <c r="AQ534" s="72">
        <v>1600000</v>
      </c>
      <c r="AR534" s="72">
        <v>50000</v>
      </c>
      <c r="AS534" s="50">
        <v>46387</v>
      </c>
      <c r="AT534" s="50" t="s">
        <v>1436</v>
      </c>
      <c r="AU534" s="49" t="s">
        <v>1436</v>
      </c>
      <c r="AV534" s="49" t="s">
        <v>1670</v>
      </c>
      <c r="AW534" s="48" t="s">
        <v>1244</v>
      </c>
    </row>
    <row r="535" spans="1:49" x14ac:dyDescent="0.3">
      <c r="A535" s="48" t="s">
        <v>1320</v>
      </c>
      <c r="B535" s="48" t="s">
        <v>6</v>
      </c>
      <c r="C535" s="48" t="s">
        <v>1322</v>
      </c>
      <c r="D535" s="50">
        <v>46112</v>
      </c>
      <c r="E535" s="48" t="s">
        <v>36</v>
      </c>
      <c r="F535" s="48" t="s">
        <v>1433</v>
      </c>
      <c r="G535" s="48" t="s">
        <v>1447</v>
      </c>
      <c r="H535" s="49" t="s">
        <v>1451</v>
      </c>
      <c r="I535" s="48" t="s">
        <v>1404</v>
      </c>
      <c r="J535" s="48" t="s">
        <v>38</v>
      </c>
      <c r="K535" s="48" t="s">
        <v>49</v>
      </c>
      <c r="L535" s="48" t="s">
        <v>38</v>
      </c>
      <c r="M535" s="48" t="s">
        <v>37</v>
      </c>
      <c r="N535" s="48" t="s">
        <v>1436</v>
      </c>
      <c r="O535" s="48" t="s">
        <v>1436</v>
      </c>
      <c r="P535" s="48" t="s">
        <v>1436</v>
      </c>
      <c r="Q535" s="48" t="s">
        <v>38</v>
      </c>
      <c r="R535" s="48" t="s">
        <v>39</v>
      </c>
      <c r="S535" s="48" t="s">
        <v>38</v>
      </c>
      <c r="T535" s="48" t="s">
        <v>41</v>
      </c>
      <c r="U535" s="48" t="s">
        <v>1436</v>
      </c>
      <c r="V535" s="48" t="s">
        <v>1436</v>
      </c>
      <c r="W535" s="48" t="s">
        <v>1436</v>
      </c>
      <c r="X535" s="49" t="s">
        <v>193</v>
      </c>
      <c r="Y535" s="48" t="s">
        <v>1194</v>
      </c>
      <c r="Z535" s="49" t="s">
        <v>1321</v>
      </c>
      <c r="AA535" s="48" t="s">
        <v>1324</v>
      </c>
      <c r="AB535" s="48" t="s">
        <v>1325</v>
      </c>
      <c r="AC535" s="48" t="s">
        <v>1239</v>
      </c>
      <c r="AD535" s="48" t="s">
        <v>1231</v>
      </c>
      <c r="AE535" s="48" t="s">
        <v>1669</v>
      </c>
      <c r="AF535" s="48" t="s">
        <v>1436</v>
      </c>
      <c r="AG535" s="48" t="s">
        <v>1436</v>
      </c>
      <c r="AH535" s="48" t="s">
        <v>208</v>
      </c>
      <c r="AI535" s="50">
        <v>44562</v>
      </c>
      <c r="AJ535" s="50">
        <v>46387</v>
      </c>
      <c r="AK535" s="49" t="s">
        <v>1280</v>
      </c>
      <c r="AL535" s="48" t="s">
        <v>36</v>
      </c>
      <c r="AM535" s="48" t="s">
        <v>36</v>
      </c>
      <c r="AN535" s="51">
        <v>275.18614100000002</v>
      </c>
      <c r="AO535" s="51"/>
      <c r="AP535" s="51"/>
      <c r="AQ535" s="72">
        <v>1600000</v>
      </c>
      <c r="AR535" s="72">
        <v>50000</v>
      </c>
      <c r="AS535" s="50">
        <v>46387</v>
      </c>
      <c r="AT535" s="50" t="s">
        <v>1436</v>
      </c>
      <c r="AU535" s="49" t="s">
        <v>1436</v>
      </c>
      <c r="AV535" s="49" t="s">
        <v>1670</v>
      </c>
      <c r="AW535" s="48" t="s">
        <v>1244</v>
      </c>
    </row>
    <row r="536" spans="1:49" x14ac:dyDescent="0.3">
      <c r="A536" s="48" t="s">
        <v>1320</v>
      </c>
      <c r="B536" s="48" t="s">
        <v>6</v>
      </c>
      <c r="C536" s="48" t="s">
        <v>1322</v>
      </c>
      <c r="D536" s="50">
        <v>46142</v>
      </c>
      <c r="E536" s="48" t="s">
        <v>36</v>
      </c>
      <c r="F536" s="48" t="s">
        <v>1433</v>
      </c>
      <c r="G536" s="48" t="s">
        <v>1434</v>
      </c>
      <c r="H536" s="49" t="s">
        <v>1435</v>
      </c>
      <c r="I536" s="48" t="s">
        <v>1412</v>
      </c>
      <c r="J536" s="48" t="s">
        <v>40</v>
      </c>
      <c r="K536" s="48" t="s">
        <v>52</v>
      </c>
      <c r="L536" s="48" t="s">
        <v>38</v>
      </c>
      <c r="M536" s="48" t="s">
        <v>37</v>
      </c>
      <c r="N536" s="48" t="s">
        <v>1436</v>
      </c>
      <c r="O536" s="48" t="s">
        <v>1436</v>
      </c>
      <c r="P536" s="48" t="s">
        <v>1436</v>
      </c>
      <c r="Q536" s="48" t="s">
        <v>38</v>
      </c>
      <c r="R536" s="48" t="s">
        <v>39</v>
      </c>
      <c r="S536" s="48" t="s">
        <v>40</v>
      </c>
      <c r="T536" s="48" t="s">
        <v>41</v>
      </c>
      <c r="U536" s="48" t="s">
        <v>1436</v>
      </c>
      <c r="V536" s="48" t="s">
        <v>1436</v>
      </c>
      <c r="W536" s="48" t="s">
        <v>1436</v>
      </c>
      <c r="X536" s="49" t="s">
        <v>193</v>
      </c>
      <c r="Y536" s="48" t="s">
        <v>1194</v>
      </c>
      <c r="Z536" s="49" t="s">
        <v>1321</v>
      </c>
      <c r="AA536" s="48" t="s">
        <v>1324</v>
      </c>
      <c r="AB536" s="48" t="s">
        <v>1325</v>
      </c>
      <c r="AC536" s="48" t="s">
        <v>1239</v>
      </c>
      <c r="AD536" s="48" t="s">
        <v>1231</v>
      </c>
      <c r="AE536" s="48" t="s">
        <v>1669</v>
      </c>
      <c r="AF536" s="48" t="s">
        <v>1436</v>
      </c>
      <c r="AG536" s="48" t="s">
        <v>1436</v>
      </c>
      <c r="AH536" s="48" t="s">
        <v>208</v>
      </c>
      <c r="AI536" s="50">
        <v>44562</v>
      </c>
      <c r="AJ536" s="50">
        <v>46387</v>
      </c>
      <c r="AK536" s="49" t="s">
        <v>1280</v>
      </c>
      <c r="AL536" s="48" t="s">
        <v>36</v>
      </c>
      <c r="AM536" s="48" t="s">
        <v>36</v>
      </c>
      <c r="AN536" s="51">
        <v>-42330.49</v>
      </c>
      <c r="AO536" s="51"/>
      <c r="AP536" s="51"/>
      <c r="AQ536" s="72">
        <v>1600000</v>
      </c>
      <c r="AR536" s="72">
        <v>50000</v>
      </c>
      <c r="AS536" s="50">
        <v>46387</v>
      </c>
      <c r="AT536" s="50" t="s">
        <v>1436</v>
      </c>
      <c r="AU536" s="49" t="s">
        <v>1436</v>
      </c>
      <c r="AV536" s="49" t="s">
        <v>1670</v>
      </c>
      <c r="AW536" s="48" t="s">
        <v>1244</v>
      </c>
    </row>
    <row r="537" spans="1:49" x14ac:dyDescent="0.3">
      <c r="A537" s="48" t="s">
        <v>1320</v>
      </c>
      <c r="B537" s="48" t="s">
        <v>6</v>
      </c>
      <c r="C537" s="48" t="s">
        <v>1322</v>
      </c>
      <c r="D537" s="50">
        <v>46142</v>
      </c>
      <c r="E537" s="48" t="s">
        <v>36</v>
      </c>
      <c r="F537" s="48" t="s">
        <v>1433</v>
      </c>
      <c r="G537" s="48" t="s">
        <v>1434</v>
      </c>
      <c r="H537" s="49" t="s">
        <v>1437</v>
      </c>
      <c r="I537" s="48" t="s">
        <v>1410</v>
      </c>
      <c r="J537" s="48" t="s">
        <v>40</v>
      </c>
      <c r="K537" s="48" t="s">
        <v>42</v>
      </c>
      <c r="L537" s="48" t="s">
        <v>38</v>
      </c>
      <c r="M537" s="48" t="s">
        <v>37</v>
      </c>
      <c r="N537" s="48" t="s">
        <v>1436</v>
      </c>
      <c r="O537" s="48" t="s">
        <v>1436</v>
      </c>
      <c r="P537" s="48" t="s">
        <v>1436</v>
      </c>
      <c r="Q537" s="48" t="s">
        <v>38</v>
      </c>
      <c r="R537" s="48" t="s">
        <v>39</v>
      </c>
      <c r="S537" s="48" t="s">
        <v>40</v>
      </c>
      <c r="T537" s="48" t="s">
        <v>41</v>
      </c>
      <c r="U537" s="48" t="s">
        <v>1436</v>
      </c>
      <c r="V537" s="48" t="s">
        <v>1436</v>
      </c>
      <c r="W537" s="48" t="s">
        <v>1436</v>
      </c>
      <c r="X537" s="49" t="s">
        <v>193</v>
      </c>
      <c r="Y537" s="48" t="s">
        <v>1194</v>
      </c>
      <c r="Z537" s="49" t="s">
        <v>1321</v>
      </c>
      <c r="AA537" s="48" t="s">
        <v>1324</v>
      </c>
      <c r="AB537" s="48" t="s">
        <v>1325</v>
      </c>
      <c r="AC537" s="48" t="s">
        <v>1239</v>
      </c>
      <c r="AD537" s="48" t="s">
        <v>1231</v>
      </c>
      <c r="AE537" s="48" t="s">
        <v>1669</v>
      </c>
      <c r="AF537" s="48" t="s">
        <v>1436</v>
      </c>
      <c r="AG537" s="48" t="s">
        <v>1436</v>
      </c>
      <c r="AH537" s="48" t="s">
        <v>208</v>
      </c>
      <c r="AI537" s="50">
        <v>44562</v>
      </c>
      <c r="AJ537" s="50">
        <v>46387</v>
      </c>
      <c r="AK537" s="49" t="s">
        <v>1280</v>
      </c>
      <c r="AL537" s="48" t="s">
        <v>36</v>
      </c>
      <c r="AM537" s="48" t="s">
        <v>36</v>
      </c>
      <c r="AN537" s="51">
        <v>0</v>
      </c>
      <c r="AO537" s="51"/>
      <c r="AP537" s="51"/>
      <c r="AQ537" s="72">
        <v>1600000</v>
      </c>
      <c r="AR537" s="72">
        <v>50000</v>
      </c>
      <c r="AS537" s="50">
        <v>46387</v>
      </c>
      <c r="AT537" s="50" t="s">
        <v>1436</v>
      </c>
      <c r="AU537" s="49" t="s">
        <v>1436</v>
      </c>
      <c r="AV537" s="49" t="s">
        <v>1670</v>
      </c>
      <c r="AW537" s="48" t="s">
        <v>1244</v>
      </c>
    </row>
    <row r="538" spans="1:49" x14ac:dyDescent="0.3">
      <c r="A538" s="48" t="s">
        <v>1320</v>
      </c>
      <c r="B538" s="48" t="s">
        <v>6</v>
      </c>
      <c r="C538" s="48" t="s">
        <v>1322</v>
      </c>
      <c r="D538" s="50">
        <v>46142</v>
      </c>
      <c r="E538" s="48" t="s">
        <v>36</v>
      </c>
      <c r="F538" s="48" t="s">
        <v>1438</v>
      </c>
      <c r="G538" s="48" t="s">
        <v>1439</v>
      </c>
      <c r="H538" s="49" t="s">
        <v>1440</v>
      </c>
      <c r="I538" s="48" t="s">
        <v>1406</v>
      </c>
      <c r="J538" s="48" t="s">
        <v>1194</v>
      </c>
      <c r="K538" s="48" t="s">
        <v>1441</v>
      </c>
      <c r="L538" s="48" t="s">
        <v>38</v>
      </c>
      <c r="M538" s="48" t="s">
        <v>37</v>
      </c>
      <c r="N538" s="48" t="s">
        <v>1436</v>
      </c>
      <c r="O538" s="48" t="s">
        <v>1436</v>
      </c>
      <c r="P538" s="48" t="s">
        <v>1436</v>
      </c>
      <c r="Q538" s="48" t="s">
        <v>38</v>
      </c>
      <c r="R538" s="48" t="s">
        <v>39</v>
      </c>
      <c r="S538" s="48" t="s">
        <v>1194</v>
      </c>
      <c r="T538" s="48" t="s">
        <v>41</v>
      </c>
      <c r="U538" s="48" t="s">
        <v>1436</v>
      </c>
      <c r="V538" s="48" t="s">
        <v>1436</v>
      </c>
      <c r="W538" s="48" t="s">
        <v>1436</v>
      </c>
      <c r="X538" s="49" t="s">
        <v>193</v>
      </c>
      <c r="Y538" s="48" t="s">
        <v>1194</v>
      </c>
      <c r="Z538" s="49" t="s">
        <v>1321</v>
      </c>
      <c r="AA538" s="48" t="s">
        <v>1324</v>
      </c>
      <c r="AB538" s="48" t="s">
        <v>1325</v>
      </c>
      <c r="AC538" s="48" t="s">
        <v>1239</v>
      </c>
      <c r="AD538" s="48" t="s">
        <v>1231</v>
      </c>
      <c r="AE538" s="48" t="s">
        <v>1669</v>
      </c>
      <c r="AF538" s="48" t="s">
        <v>1436</v>
      </c>
      <c r="AG538" s="48" t="s">
        <v>1436</v>
      </c>
      <c r="AH538" s="48" t="s">
        <v>208</v>
      </c>
      <c r="AI538" s="50">
        <v>44562</v>
      </c>
      <c r="AJ538" s="50">
        <v>46387</v>
      </c>
      <c r="AK538" s="49" t="s">
        <v>1280</v>
      </c>
      <c r="AL538" s="48" t="s">
        <v>36</v>
      </c>
      <c r="AM538" s="48" t="s">
        <v>36</v>
      </c>
      <c r="AN538" s="51">
        <v>0</v>
      </c>
      <c r="AO538" s="51"/>
      <c r="AP538" s="51"/>
      <c r="AQ538" s="72">
        <v>1600000</v>
      </c>
      <c r="AR538" s="72">
        <v>50000</v>
      </c>
      <c r="AS538" s="50">
        <v>46387</v>
      </c>
      <c r="AT538" s="50" t="s">
        <v>1436</v>
      </c>
      <c r="AU538" s="49" t="s">
        <v>1436</v>
      </c>
      <c r="AV538" s="49" t="s">
        <v>1670</v>
      </c>
      <c r="AW538" s="48" t="s">
        <v>1244</v>
      </c>
    </row>
    <row r="539" spans="1:49" x14ac:dyDescent="0.3">
      <c r="A539" s="48" t="s">
        <v>1320</v>
      </c>
      <c r="B539" s="48" t="s">
        <v>6</v>
      </c>
      <c r="C539" s="48" t="s">
        <v>1322</v>
      </c>
      <c r="D539" s="50">
        <v>46142</v>
      </c>
      <c r="E539" s="48" t="s">
        <v>36</v>
      </c>
      <c r="F539" s="48" t="s">
        <v>1438</v>
      </c>
      <c r="G539" s="48" t="s">
        <v>1439</v>
      </c>
      <c r="H539" s="49" t="s">
        <v>1442</v>
      </c>
      <c r="I539" s="48" t="s">
        <v>1405</v>
      </c>
      <c r="J539" s="48" t="s">
        <v>1194</v>
      </c>
      <c r="K539" s="48" t="s">
        <v>1443</v>
      </c>
      <c r="L539" s="48" t="s">
        <v>38</v>
      </c>
      <c r="M539" s="48" t="s">
        <v>37</v>
      </c>
      <c r="N539" s="48" t="s">
        <v>1436</v>
      </c>
      <c r="O539" s="48" t="s">
        <v>1436</v>
      </c>
      <c r="P539" s="48" t="s">
        <v>1436</v>
      </c>
      <c r="Q539" s="48" t="s">
        <v>38</v>
      </c>
      <c r="R539" s="48" t="s">
        <v>39</v>
      </c>
      <c r="S539" s="48" t="s">
        <v>1194</v>
      </c>
      <c r="T539" s="48" t="s">
        <v>41</v>
      </c>
      <c r="U539" s="48" t="s">
        <v>1436</v>
      </c>
      <c r="V539" s="48" t="s">
        <v>1436</v>
      </c>
      <c r="W539" s="48" t="s">
        <v>1436</v>
      </c>
      <c r="X539" s="49" t="s">
        <v>193</v>
      </c>
      <c r="Y539" s="48" t="s">
        <v>1194</v>
      </c>
      <c r="Z539" s="49" t="s">
        <v>1321</v>
      </c>
      <c r="AA539" s="48" t="s">
        <v>1324</v>
      </c>
      <c r="AB539" s="48" t="s">
        <v>1325</v>
      </c>
      <c r="AC539" s="48" t="s">
        <v>1239</v>
      </c>
      <c r="AD539" s="48" t="s">
        <v>1231</v>
      </c>
      <c r="AE539" s="48" t="s">
        <v>1669</v>
      </c>
      <c r="AF539" s="48" t="s">
        <v>1436</v>
      </c>
      <c r="AG539" s="48" t="s">
        <v>1436</v>
      </c>
      <c r="AH539" s="48" t="s">
        <v>208</v>
      </c>
      <c r="AI539" s="50">
        <v>44562</v>
      </c>
      <c r="AJ539" s="50">
        <v>46387</v>
      </c>
      <c r="AK539" s="49" t="s">
        <v>1280</v>
      </c>
      <c r="AL539" s="48" t="s">
        <v>36</v>
      </c>
      <c r="AM539" s="48" t="s">
        <v>36</v>
      </c>
      <c r="AN539" s="51">
        <v>0</v>
      </c>
      <c r="AO539" s="51"/>
      <c r="AP539" s="51"/>
      <c r="AQ539" s="72">
        <v>1600000</v>
      </c>
      <c r="AR539" s="72">
        <v>50000</v>
      </c>
      <c r="AS539" s="50">
        <v>46387</v>
      </c>
      <c r="AT539" s="50" t="s">
        <v>1436</v>
      </c>
      <c r="AU539" s="49" t="s">
        <v>1436</v>
      </c>
      <c r="AV539" s="49" t="s">
        <v>1670</v>
      </c>
      <c r="AW539" s="48" t="s">
        <v>1244</v>
      </c>
    </row>
    <row r="540" spans="1:49" x14ac:dyDescent="0.3">
      <c r="A540" s="48" t="s">
        <v>1320</v>
      </c>
      <c r="B540" s="48" t="s">
        <v>6</v>
      </c>
      <c r="C540" s="48" t="s">
        <v>1322</v>
      </c>
      <c r="D540" s="50">
        <v>46142</v>
      </c>
      <c r="E540" s="48" t="s">
        <v>36</v>
      </c>
      <c r="F540" s="48" t="s">
        <v>1438</v>
      </c>
      <c r="G540" s="48" t="s">
        <v>1444</v>
      </c>
      <c r="H540" s="49" t="s">
        <v>1445</v>
      </c>
      <c r="I540" s="48" t="s">
        <v>1411</v>
      </c>
      <c r="J540" s="48" t="s">
        <v>40</v>
      </c>
      <c r="K540" s="48" t="s">
        <v>50</v>
      </c>
      <c r="L540" s="48" t="s">
        <v>38</v>
      </c>
      <c r="M540" s="48" t="s">
        <v>37</v>
      </c>
      <c r="N540" s="48" t="s">
        <v>1436</v>
      </c>
      <c r="O540" s="48" t="s">
        <v>1436</v>
      </c>
      <c r="P540" s="48" t="s">
        <v>1436</v>
      </c>
      <c r="Q540" s="48" t="s">
        <v>38</v>
      </c>
      <c r="R540" s="48" t="s">
        <v>39</v>
      </c>
      <c r="S540" s="48" t="s">
        <v>40</v>
      </c>
      <c r="T540" s="48" t="s">
        <v>41</v>
      </c>
      <c r="U540" s="48" t="s">
        <v>1436</v>
      </c>
      <c r="V540" s="48" t="s">
        <v>1436</v>
      </c>
      <c r="W540" s="48" t="s">
        <v>1436</v>
      </c>
      <c r="X540" s="49" t="s">
        <v>193</v>
      </c>
      <c r="Y540" s="48" t="s">
        <v>1194</v>
      </c>
      <c r="Z540" s="49" t="s">
        <v>1321</v>
      </c>
      <c r="AA540" s="48" t="s">
        <v>1324</v>
      </c>
      <c r="AB540" s="48" t="s">
        <v>1325</v>
      </c>
      <c r="AC540" s="48" t="s">
        <v>1239</v>
      </c>
      <c r="AD540" s="48" t="s">
        <v>1231</v>
      </c>
      <c r="AE540" s="48" t="s">
        <v>1669</v>
      </c>
      <c r="AF540" s="48" t="s">
        <v>1436</v>
      </c>
      <c r="AG540" s="48" t="s">
        <v>1436</v>
      </c>
      <c r="AH540" s="48" t="s">
        <v>208</v>
      </c>
      <c r="AI540" s="50">
        <v>44562</v>
      </c>
      <c r="AJ540" s="50">
        <v>46387</v>
      </c>
      <c r="AK540" s="49" t="s">
        <v>1280</v>
      </c>
      <c r="AL540" s="48" t="s">
        <v>36</v>
      </c>
      <c r="AM540" s="48" t="s">
        <v>36</v>
      </c>
      <c r="AN540" s="51">
        <v>42330.49</v>
      </c>
      <c r="AO540" s="51"/>
      <c r="AP540" s="51"/>
      <c r="AQ540" s="72">
        <v>1600000</v>
      </c>
      <c r="AR540" s="72">
        <v>50000</v>
      </c>
      <c r="AS540" s="50">
        <v>46387</v>
      </c>
      <c r="AT540" s="50" t="s">
        <v>1436</v>
      </c>
      <c r="AU540" s="49" t="s">
        <v>1436</v>
      </c>
      <c r="AV540" s="49" t="s">
        <v>1670</v>
      </c>
      <c r="AW540" s="48" t="s">
        <v>1244</v>
      </c>
    </row>
    <row r="541" spans="1:49" x14ac:dyDescent="0.3">
      <c r="A541" s="48" t="s">
        <v>1320</v>
      </c>
      <c r="B541" s="48" t="s">
        <v>6</v>
      </c>
      <c r="C541" s="48" t="s">
        <v>1322</v>
      </c>
      <c r="D541" s="50">
        <v>46142</v>
      </c>
      <c r="E541" s="48" t="s">
        <v>36</v>
      </c>
      <c r="F541" s="48" t="s">
        <v>1438</v>
      </c>
      <c r="G541" s="48" t="s">
        <v>1444</v>
      </c>
      <c r="H541" s="49" t="s">
        <v>1446</v>
      </c>
      <c r="I541" s="48" t="s">
        <v>1407</v>
      </c>
      <c r="J541" s="48" t="s">
        <v>40</v>
      </c>
      <c r="K541" s="48" t="s">
        <v>47</v>
      </c>
      <c r="L541" s="48" t="s">
        <v>38</v>
      </c>
      <c r="M541" s="48" t="s">
        <v>37</v>
      </c>
      <c r="N541" s="48" t="s">
        <v>1436</v>
      </c>
      <c r="O541" s="48" t="s">
        <v>1436</v>
      </c>
      <c r="P541" s="48" t="s">
        <v>1436</v>
      </c>
      <c r="Q541" s="48" t="s">
        <v>38</v>
      </c>
      <c r="R541" s="48" t="s">
        <v>39</v>
      </c>
      <c r="S541" s="48" t="s">
        <v>40</v>
      </c>
      <c r="T541" s="48" t="s">
        <v>41</v>
      </c>
      <c r="U541" s="48" t="s">
        <v>1436</v>
      </c>
      <c r="V541" s="48" t="s">
        <v>1436</v>
      </c>
      <c r="W541" s="48" t="s">
        <v>1436</v>
      </c>
      <c r="X541" s="49" t="s">
        <v>193</v>
      </c>
      <c r="Y541" s="48" t="s">
        <v>1194</v>
      </c>
      <c r="Z541" s="49" t="s">
        <v>1321</v>
      </c>
      <c r="AA541" s="48" t="s">
        <v>1324</v>
      </c>
      <c r="AB541" s="48" t="s">
        <v>1325</v>
      </c>
      <c r="AC541" s="48" t="s">
        <v>1239</v>
      </c>
      <c r="AD541" s="48" t="s">
        <v>1231</v>
      </c>
      <c r="AE541" s="48" t="s">
        <v>1669</v>
      </c>
      <c r="AF541" s="48" t="s">
        <v>1436</v>
      </c>
      <c r="AG541" s="48" t="s">
        <v>1436</v>
      </c>
      <c r="AH541" s="48" t="s">
        <v>208</v>
      </c>
      <c r="AI541" s="50">
        <v>44562</v>
      </c>
      <c r="AJ541" s="50">
        <v>46387</v>
      </c>
      <c r="AK541" s="49" t="s">
        <v>1280</v>
      </c>
      <c r="AL541" s="48" t="s">
        <v>36</v>
      </c>
      <c r="AM541" s="48" t="s">
        <v>36</v>
      </c>
      <c r="AN541" s="51">
        <v>2273.2554639999998</v>
      </c>
      <c r="AO541" s="51"/>
      <c r="AP541" s="51"/>
      <c r="AQ541" s="72">
        <v>1600000</v>
      </c>
      <c r="AR541" s="72">
        <v>50000</v>
      </c>
      <c r="AS541" s="50">
        <v>46387</v>
      </c>
      <c r="AT541" s="50" t="s">
        <v>1436</v>
      </c>
      <c r="AU541" s="49" t="s">
        <v>1436</v>
      </c>
      <c r="AV541" s="49" t="s">
        <v>1670</v>
      </c>
      <c r="AW541" s="48" t="s">
        <v>1244</v>
      </c>
    </row>
    <row r="542" spans="1:49" x14ac:dyDescent="0.3">
      <c r="A542" s="48" t="s">
        <v>1320</v>
      </c>
      <c r="B542" s="48" t="s">
        <v>6</v>
      </c>
      <c r="C542" s="48" t="s">
        <v>1322</v>
      </c>
      <c r="D542" s="50">
        <v>46142</v>
      </c>
      <c r="E542" s="48" t="s">
        <v>36</v>
      </c>
      <c r="F542" s="48" t="s">
        <v>1433</v>
      </c>
      <c r="G542" s="48" t="s">
        <v>1447</v>
      </c>
      <c r="H542" s="49" t="s">
        <v>1448</v>
      </c>
      <c r="I542" s="48" t="s">
        <v>1413</v>
      </c>
      <c r="J542" s="48" t="s">
        <v>40</v>
      </c>
      <c r="K542" s="48" t="s">
        <v>58</v>
      </c>
      <c r="L542" s="48" t="s">
        <v>38</v>
      </c>
      <c r="M542" s="48" t="s">
        <v>37</v>
      </c>
      <c r="N542" s="48" t="s">
        <v>1436</v>
      </c>
      <c r="O542" s="48" t="s">
        <v>1436</v>
      </c>
      <c r="P542" s="48" t="s">
        <v>1436</v>
      </c>
      <c r="Q542" s="48" t="s">
        <v>38</v>
      </c>
      <c r="R542" s="48" t="s">
        <v>39</v>
      </c>
      <c r="S542" s="48" t="s">
        <v>40</v>
      </c>
      <c r="T542" s="48" t="s">
        <v>41</v>
      </c>
      <c r="U542" s="48" t="s">
        <v>1436</v>
      </c>
      <c r="V542" s="48" t="s">
        <v>1436</v>
      </c>
      <c r="W542" s="48" t="s">
        <v>1436</v>
      </c>
      <c r="X542" s="49" t="s">
        <v>193</v>
      </c>
      <c r="Y542" s="48" t="s">
        <v>1194</v>
      </c>
      <c r="Z542" s="49" t="s">
        <v>1321</v>
      </c>
      <c r="AA542" s="48" t="s">
        <v>1324</v>
      </c>
      <c r="AB542" s="48" t="s">
        <v>1325</v>
      </c>
      <c r="AC542" s="48" t="s">
        <v>1239</v>
      </c>
      <c r="AD542" s="48" t="s">
        <v>1231</v>
      </c>
      <c r="AE542" s="48" t="s">
        <v>1669</v>
      </c>
      <c r="AF542" s="48" t="s">
        <v>1436</v>
      </c>
      <c r="AG542" s="48" t="s">
        <v>1436</v>
      </c>
      <c r="AH542" s="48" t="s">
        <v>208</v>
      </c>
      <c r="AI542" s="50">
        <v>44562</v>
      </c>
      <c r="AJ542" s="50">
        <v>46387</v>
      </c>
      <c r="AK542" s="49" t="s">
        <v>1280</v>
      </c>
      <c r="AL542" s="48" t="s">
        <v>36</v>
      </c>
      <c r="AM542" s="48" t="s">
        <v>36</v>
      </c>
      <c r="AN542" s="51">
        <v>-50000</v>
      </c>
      <c r="AO542" s="51"/>
      <c r="AP542" s="51"/>
      <c r="AQ542" s="72">
        <v>1600000</v>
      </c>
      <c r="AR542" s="72">
        <v>50000</v>
      </c>
      <c r="AS542" s="50">
        <v>46387</v>
      </c>
      <c r="AT542" s="50" t="s">
        <v>1436</v>
      </c>
      <c r="AU542" s="49" t="s">
        <v>1436</v>
      </c>
      <c r="AV542" s="49" t="s">
        <v>1670</v>
      </c>
      <c r="AW542" s="48" t="s">
        <v>1244</v>
      </c>
    </row>
    <row r="543" spans="1:49" x14ac:dyDescent="0.3">
      <c r="A543" s="48" t="s">
        <v>1320</v>
      </c>
      <c r="B543" s="48" t="s">
        <v>6</v>
      </c>
      <c r="C543" s="48" t="s">
        <v>1322</v>
      </c>
      <c r="D543" s="50">
        <v>46142</v>
      </c>
      <c r="E543" s="48" t="s">
        <v>36</v>
      </c>
      <c r="F543" s="48" t="s">
        <v>1433</v>
      </c>
      <c r="G543" s="48" t="s">
        <v>1447</v>
      </c>
      <c r="H543" s="49" t="s">
        <v>1449</v>
      </c>
      <c r="I543" s="48" t="s">
        <v>1409</v>
      </c>
      <c r="J543" s="48" t="s">
        <v>40</v>
      </c>
      <c r="K543" s="48" t="s">
        <v>45</v>
      </c>
      <c r="L543" s="48" t="s">
        <v>38</v>
      </c>
      <c r="M543" s="48" t="s">
        <v>37</v>
      </c>
      <c r="N543" s="48" t="s">
        <v>1436</v>
      </c>
      <c r="O543" s="48" t="s">
        <v>1436</v>
      </c>
      <c r="P543" s="48" t="s">
        <v>1436</v>
      </c>
      <c r="Q543" s="48" t="s">
        <v>38</v>
      </c>
      <c r="R543" s="48" t="s">
        <v>39</v>
      </c>
      <c r="S543" s="48" t="s">
        <v>40</v>
      </c>
      <c r="T543" s="48" t="s">
        <v>41</v>
      </c>
      <c r="U543" s="48" t="s">
        <v>1436</v>
      </c>
      <c r="V543" s="48" t="s">
        <v>1436</v>
      </c>
      <c r="W543" s="48" t="s">
        <v>1436</v>
      </c>
      <c r="X543" s="49" t="s">
        <v>193</v>
      </c>
      <c r="Y543" s="48" t="s">
        <v>1194</v>
      </c>
      <c r="Z543" s="49" t="s">
        <v>1321</v>
      </c>
      <c r="AA543" s="48" t="s">
        <v>1324</v>
      </c>
      <c r="AB543" s="48" t="s">
        <v>1325</v>
      </c>
      <c r="AC543" s="48" t="s">
        <v>1239</v>
      </c>
      <c r="AD543" s="48" t="s">
        <v>1231</v>
      </c>
      <c r="AE543" s="48" t="s">
        <v>1669</v>
      </c>
      <c r="AF543" s="48" t="s">
        <v>1436</v>
      </c>
      <c r="AG543" s="48" t="s">
        <v>1436</v>
      </c>
      <c r="AH543" s="48" t="s">
        <v>208</v>
      </c>
      <c r="AI543" s="50">
        <v>44562</v>
      </c>
      <c r="AJ543" s="50">
        <v>46387</v>
      </c>
      <c r="AK543" s="49" t="s">
        <v>1280</v>
      </c>
      <c r="AL543" s="48" t="s">
        <v>36</v>
      </c>
      <c r="AM543" s="48" t="s">
        <v>36</v>
      </c>
      <c r="AN543" s="51">
        <v>0</v>
      </c>
      <c r="AO543" s="51"/>
      <c r="AP543" s="51"/>
      <c r="AQ543" s="72">
        <v>1600000</v>
      </c>
      <c r="AR543" s="72">
        <v>50000</v>
      </c>
      <c r="AS543" s="50">
        <v>46387</v>
      </c>
      <c r="AT543" s="50" t="s">
        <v>1436</v>
      </c>
      <c r="AU543" s="49" t="s">
        <v>1436</v>
      </c>
      <c r="AV543" s="49" t="s">
        <v>1670</v>
      </c>
      <c r="AW543" s="48" t="s">
        <v>1244</v>
      </c>
    </row>
    <row r="544" spans="1:49" x14ac:dyDescent="0.3">
      <c r="A544" s="48" t="s">
        <v>1320</v>
      </c>
      <c r="B544" s="48" t="s">
        <v>6</v>
      </c>
      <c r="C544" s="48" t="s">
        <v>1322</v>
      </c>
      <c r="D544" s="50">
        <v>46142</v>
      </c>
      <c r="E544" s="48" t="s">
        <v>36</v>
      </c>
      <c r="F544" s="48" t="s">
        <v>1433</v>
      </c>
      <c r="G544" s="48" t="s">
        <v>1447</v>
      </c>
      <c r="H544" s="49" t="s">
        <v>1450</v>
      </c>
      <c r="I544" s="48" t="s">
        <v>1408</v>
      </c>
      <c r="J544" s="48" t="s">
        <v>40</v>
      </c>
      <c r="K544" s="48" t="s">
        <v>54</v>
      </c>
      <c r="L544" s="48" t="s">
        <v>38</v>
      </c>
      <c r="M544" s="48" t="s">
        <v>37</v>
      </c>
      <c r="N544" s="48" t="s">
        <v>1436</v>
      </c>
      <c r="O544" s="48" t="s">
        <v>1436</v>
      </c>
      <c r="P544" s="48" t="s">
        <v>1436</v>
      </c>
      <c r="Q544" s="48" t="s">
        <v>38</v>
      </c>
      <c r="R544" s="48" t="s">
        <v>39</v>
      </c>
      <c r="S544" s="48" t="s">
        <v>40</v>
      </c>
      <c r="T544" s="48" t="s">
        <v>41</v>
      </c>
      <c r="U544" s="48" t="s">
        <v>1436</v>
      </c>
      <c r="V544" s="48" t="s">
        <v>1436</v>
      </c>
      <c r="W544" s="48" t="s">
        <v>1436</v>
      </c>
      <c r="X544" s="49" t="s">
        <v>193</v>
      </c>
      <c r="Y544" s="48" t="s">
        <v>1194</v>
      </c>
      <c r="Z544" s="49" t="s">
        <v>1321</v>
      </c>
      <c r="AA544" s="48" t="s">
        <v>1324</v>
      </c>
      <c r="AB544" s="48" t="s">
        <v>1325</v>
      </c>
      <c r="AC544" s="48" t="s">
        <v>1239</v>
      </c>
      <c r="AD544" s="48" t="s">
        <v>1231</v>
      </c>
      <c r="AE544" s="48" t="s">
        <v>1669</v>
      </c>
      <c r="AF544" s="48" t="s">
        <v>1436</v>
      </c>
      <c r="AG544" s="48" t="s">
        <v>1436</v>
      </c>
      <c r="AH544" s="48" t="s">
        <v>208</v>
      </c>
      <c r="AI544" s="50">
        <v>44562</v>
      </c>
      <c r="AJ544" s="50">
        <v>46387</v>
      </c>
      <c r="AK544" s="49" t="s">
        <v>1280</v>
      </c>
      <c r="AL544" s="48" t="s">
        <v>36</v>
      </c>
      <c r="AM544" s="48" t="s">
        <v>36</v>
      </c>
      <c r="AN544" s="51">
        <v>47449.953141999998</v>
      </c>
      <c r="AO544" s="51"/>
      <c r="AP544" s="51"/>
      <c r="AQ544" s="72">
        <v>1600000</v>
      </c>
      <c r="AR544" s="72">
        <v>50000</v>
      </c>
      <c r="AS544" s="50">
        <v>46387</v>
      </c>
      <c r="AT544" s="50" t="s">
        <v>1436</v>
      </c>
      <c r="AU544" s="49" t="s">
        <v>1436</v>
      </c>
      <c r="AV544" s="49" t="s">
        <v>1670</v>
      </c>
      <c r="AW544" s="48" t="s">
        <v>1244</v>
      </c>
    </row>
    <row r="545" spans="1:49" x14ac:dyDescent="0.3">
      <c r="A545" s="48" t="s">
        <v>1320</v>
      </c>
      <c r="B545" s="48" t="s">
        <v>6</v>
      </c>
      <c r="C545" s="48" t="s">
        <v>1322</v>
      </c>
      <c r="D545" s="50">
        <v>46142</v>
      </c>
      <c r="E545" s="48" t="s">
        <v>36</v>
      </c>
      <c r="F545" s="48" t="s">
        <v>1433</v>
      </c>
      <c r="G545" s="48" t="s">
        <v>1447</v>
      </c>
      <c r="H545" s="49" t="s">
        <v>1451</v>
      </c>
      <c r="I545" s="48" t="s">
        <v>1404</v>
      </c>
      <c r="J545" s="48" t="s">
        <v>38</v>
      </c>
      <c r="K545" s="48" t="s">
        <v>49</v>
      </c>
      <c r="L545" s="48" t="s">
        <v>38</v>
      </c>
      <c r="M545" s="48" t="s">
        <v>37</v>
      </c>
      <c r="N545" s="48" t="s">
        <v>1436</v>
      </c>
      <c r="O545" s="48" t="s">
        <v>1436</v>
      </c>
      <c r="P545" s="48" t="s">
        <v>1436</v>
      </c>
      <c r="Q545" s="48" t="s">
        <v>38</v>
      </c>
      <c r="R545" s="48" t="s">
        <v>39</v>
      </c>
      <c r="S545" s="48" t="s">
        <v>38</v>
      </c>
      <c r="T545" s="48" t="s">
        <v>41</v>
      </c>
      <c r="U545" s="48" t="s">
        <v>1436</v>
      </c>
      <c r="V545" s="48" t="s">
        <v>1436</v>
      </c>
      <c r="W545" s="48" t="s">
        <v>1436</v>
      </c>
      <c r="X545" s="49" t="s">
        <v>193</v>
      </c>
      <c r="Y545" s="48" t="s">
        <v>1194</v>
      </c>
      <c r="Z545" s="49" t="s">
        <v>1321</v>
      </c>
      <c r="AA545" s="48" t="s">
        <v>1324</v>
      </c>
      <c r="AB545" s="48" t="s">
        <v>1325</v>
      </c>
      <c r="AC545" s="48" t="s">
        <v>1239</v>
      </c>
      <c r="AD545" s="48" t="s">
        <v>1231</v>
      </c>
      <c r="AE545" s="48" t="s">
        <v>1669</v>
      </c>
      <c r="AF545" s="48" t="s">
        <v>1436</v>
      </c>
      <c r="AG545" s="48" t="s">
        <v>1436</v>
      </c>
      <c r="AH545" s="48" t="s">
        <v>208</v>
      </c>
      <c r="AI545" s="50">
        <v>44562</v>
      </c>
      <c r="AJ545" s="50">
        <v>46387</v>
      </c>
      <c r="AK545" s="49" t="s">
        <v>1280</v>
      </c>
      <c r="AL545" s="48" t="s">
        <v>36</v>
      </c>
      <c r="AM545" s="48" t="s">
        <v>36</v>
      </c>
      <c r="AN545" s="51">
        <v>276.79139400000003</v>
      </c>
      <c r="AO545" s="51"/>
      <c r="AP545" s="51"/>
      <c r="AQ545" s="72">
        <v>1600000</v>
      </c>
      <c r="AR545" s="72">
        <v>50000</v>
      </c>
      <c r="AS545" s="50">
        <v>46387</v>
      </c>
      <c r="AT545" s="50" t="s">
        <v>1436</v>
      </c>
      <c r="AU545" s="49" t="s">
        <v>1436</v>
      </c>
      <c r="AV545" s="49" t="s">
        <v>1670</v>
      </c>
      <c r="AW545" s="48" t="s">
        <v>1244</v>
      </c>
    </row>
    <row r="546" spans="1:49" x14ac:dyDescent="0.3">
      <c r="A546" s="48" t="s">
        <v>1320</v>
      </c>
      <c r="B546" s="48" t="s">
        <v>6</v>
      </c>
      <c r="C546" s="48" t="s">
        <v>1322</v>
      </c>
      <c r="D546" s="50">
        <v>46173</v>
      </c>
      <c r="E546" s="48" t="s">
        <v>36</v>
      </c>
      <c r="F546" s="48" t="s">
        <v>1433</v>
      </c>
      <c r="G546" s="48" t="s">
        <v>1434</v>
      </c>
      <c r="H546" s="49" t="s">
        <v>1435</v>
      </c>
      <c r="I546" s="48" t="s">
        <v>1412</v>
      </c>
      <c r="J546" s="48" t="s">
        <v>40</v>
      </c>
      <c r="K546" s="48" t="s">
        <v>52</v>
      </c>
      <c r="L546" s="48" t="s">
        <v>38</v>
      </c>
      <c r="M546" s="48" t="s">
        <v>37</v>
      </c>
      <c r="N546" s="48" t="s">
        <v>1436</v>
      </c>
      <c r="O546" s="48" t="s">
        <v>1436</v>
      </c>
      <c r="P546" s="48" t="s">
        <v>1436</v>
      </c>
      <c r="Q546" s="48" t="s">
        <v>38</v>
      </c>
      <c r="R546" s="48" t="s">
        <v>39</v>
      </c>
      <c r="S546" s="48" t="s">
        <v>40</v>
      </c>
      <c r="T546" s="48" t="s">
        <v>41</v>
      </c>
      <c r="U546" s="48" t="s">
        <v>1436</v>
      </c>
      <c r="V546" s="48" t="s">
        <v>1436</v>
      </c>
      <c r="W546" s="48" t="s">
        <v>1436</v>
      </c>
      <c r="X546" s="49" t="s">
        <v>193</v>
      </c>
      <c r="Y546" s="48" t="s">
        <v>1194</v>
      </c>
      <c r="Z546" s="49" t="s">
        <v>1321</v>
      </c>
      <c r="AA546" s="48" t="s">
        <v>1324</v>
      </c>
      <c r="AB546" s="48" t="s">
        <v>1325</v>
      </c>
      <c r="AC546" s="48" t="s">
        <v>1239</v>
      </c>
      <c r="AD546" s="48" t="s">
        <v>1231</v>
      </c>
      <c r="AE546" s="48" t="s">
        <v>1669</v>
      </c>
      <c r="AF546" s="48" t="s">
        <v>1436</v>
      </c>
      <c r="AG546" s="48" t="s">
        <v>1436</v>
      </c>
      <c r="AH546" s="48" t="s">
        <v>208</v>
      </c>
      <c r="AI546" s="50">
        <v>44562</v>
      </c>
      <c r="AJ546" s="50">
        <v>46387</v>
      </c>
      <c r="AK546" s="49" t="s">
        <v>1280</v>
      </c>
      <c r="AL546" s="48" t="s">
        <v>36</v>
      </c>
      <c r="AM546" s="48" t="s">
        <v>36</v>
      </c>
      <c r="AN546" s="51">
        <v>-42330.49</v>
      </c>
      <c r="AO546" s="51"/>
      <c r="AP546" s="51"/>
      <c r="AQ546" s="72">
        <v>1600000</v>
      </c>
      <c r="AR546" s="72">
        <v>50000</v>
      </c>
      <c r="AS546" s="50">
        <v>46387</v>
      </c>
      <c r="AT546" s="50" t="s">
        <v>1436</v>
      </c>
      <c r="AU546" s="49" t="s">
        <v>1436</v>
      </c>
      <c r="AV546" s="49" t="s">
        <v>1670</v>
      </c>
      <c r="AW546" s="48" t="s">
        <v>1244</v>
      </c>
    </row>
    <row r="547" spans="1:49" x14ac:dyDescent="0.3">
      <c r="A547" s="48" t="s">
        <v>1320</v>
      </c>
      <c r="B547" s="48" t="s">
        <v>6</v>
      </c>
      <c r="C547" s="48" t="s">
        <v>1322</v>
      </c>
      <c r="D547" s="50">
        <v>46173</v>
      </c>
      <c r="E547" s="48" t="s">
        <v>36</v>
      </c>
      <c r="F547" s="48" t="s">
        <v>1433</v>
      </c>
      <c r="G547" s="48" t="s">
        <v>1434</v>
      </c>
      <c r="H547" s="49" t="s">
        <v>1437</v>
      </c>
      <c r="I547" s="48" t="s">
        <v>1410</v>
      </c>
      <c r="J547" s="48" t="s">
        <v>40</v>
      </c>
      <c r="K547" s="48" t="s">
        <v>42</v>
      </c>
      <c r="L547" s="48" t="s">
        <v>38</v>
      </c>
      <c r="M547" s="48" t="s">
        <v>37</v>
      </c>
      <c r="N547" s="48" t="s">
        <v>1436</v>
      </c>
      <c r="O547" s="48" t="s">
        <v>1436</v>
      </c>
      <c r="P547" s="48" t="s">
        <v>1436</v>
      </c>
      <c r="Q547" s="48" t="s">
        <v>38</v>
      </c>
      <c r="R547" s="48" t="s">
        <v>39</v>
      </c>
      <c r="S547" s="48" t="s">
        <v>40</v>
      </c>
      <c r="T547" s="48" t="s">
        <v>41</v>
      </c>
      <c r="U547" s="48" t="s">
        <v>1436</v>
      </c>
      <c r="V547" s="48" t="s">
        <v>1436</v>
      </c>
      <c r="W547" s="48" t="s">
        <v>1436</v>
      </c>
      <c r="X547" s="49" t="s">
        <v>193</v>
      </c>
      <c r="Y547" s="48" t="s">
        <v>1194</v>
      </c>
      <c r="Z547" s="49" t="s">
        <v>1321</v>
      </c>
      <c r="AA547" s="48" t="s">
        <v>1324</v>
      </c>
      <c r="AB547" s="48" t="s">
        <v>1325</v>
      </c>
      <c r="AC547" s="48" t="s">
        <v>1239</v>
      </c>
      <c r="AD547" s="48" t="s">
        <v>1231</v>
      </c>
      <c r="AE547" s="48" t="s">
        <v>1669</v>
      </c>
      <c r="AF547" s="48" t="s">
        <v>1436</v>
      </c>
      <c r="AG547" s="48" t="s">
        <v>1436</v>
      </c>
      <c r="AH547" s="48" t="s">
        <v>208</v>
      </c>
      <c r="AI547" s="50">
        <v>44562</v>
      </c>
      <c r="AJ547" s="50">
        <v>46387</v>
      </c>
      <c r="AK547" s="49" t="s">
        <v>1280</v>
      </c>
      <c r="AL547" s="48" t="s">
        <v>36</v>
      </c>
      <c r="AM547" s="48" t="s">
        <v>36</v>
      </c>
      <c r="AN547" s="51">
        <v>0</v>
      </c>
      <c r="AO547" s="51"/>
      <c r="AP547" s="51"/>
      <c r="AQ547" s="72">
        <v>1600000</v>
      </c>
      <c r="AR547" s="72">
        <v>50000</v>
      </c>
      <c r="AS547" s="50">
        <v>46387</v>
      </c>
      <c r="AT547" s="50" t="s">
        <v>1436</v>
      </c>
      <c r="AU547" s="49" t="s">
        <v>1436</v>
      </c>
      <c r="AV547" s="49" t="s">
        <v>1670</v>
      </c>
      <c r="AW547" s="48" t="s">
        <v>1244</v>
      </c>
    </row>
    <row r="548" spans="1:49" x14ac:dyDescent="0.3">
      <c r="A548" s="48" t="s">
        <v>1320</v>
      </c>
      <c r="B548" s="48" t="s">
        <v>6</v>
      </c>
      <c r="C548" s="48" t="s">
        <v>1322</v>
      </c>
      <c r="D548" s="50">
        <v>46173</v>
      </c>
      <c r="E548" s="48" t="s">
        <v>36</v>
      </c>
      <c r="F548" s="48" t="s">
        <v>1438</v>
      </c>
      <c r="G548" s="48" t="s">
        <v>1439</v>
      </c>
      <c r="H548" s="49" t="s">
        <v>1440</v>
      </c>
      <c r="I548" s="48" t="s">
        <v>1406</v>
      </c>
      <c r="J548" s="48" t="s">
        <v>1194</v>
      </c>
      <c r="K548" s="48" t="s">
        <v>1441</v>
      </c>
      <c r="L548" s="48" t="s">
        <v>38</v>
      </c>
      <c r="M548" s="48" t="s">
        <v>37</v>
      </c>
      <c r="N548" s="48" t="s">
        <v>1436</v>
      </c>
      <c r="O548" s="48" t="s">
        <v>1436</v>
      </c>
      <c r="P548" s="48" t="s">
        <v>1436</v>
      </c>
      <c r="Q548" s="48" t="s">
        <v>38</v>
      </c>
      <c r="R548" s="48" t="s">
        <v>39</v>
      </c>
      <c r="S548" s="48" t="s">
        <v>1194</v>
      </c>
      <c r="T548" s="48" t="s">
        <v>41</v>
      </c>
      <c r="U548" s="48" t="s">
        <v>1436</v>
      </c>
      <c r="V548" s="48" t="s">
        <v>1436</v>
      </c>
      <c r="W548" s="48" t="s">
        <v>1436</v>
      </c>
      <c r="X548" s="49" t="s">
        <v>193</v>
      </c>
      <c r="Y548" s="48" t="s">
        <v>1194</v>
      </c>
      <c r="Z548" s="49" t="s">
        <v>1321</v>
      </c>
      <c r="AA548" s="48" t="s">
        <v>1324</v>
      </c>
      <c r="AB548" s="48" t="s">
        <v>1325</v>
      </c>
      <c r="AC548" s="48" t="s">
        <v>1239</v>
      </c>
      <c r="AD548" s="48" t="s">
        <v>1231</v>
      </c>
      <c r="AE548" s="48" t="s">
        <v>1669</v>
      </c>
      <c r="AF548" s="48" t="s">
        <v>1436</v>
      </c>
      <c r="AG548" s="48" t="s">
        <v>1436</v>
      </c>
      <c r="AH548" s="48" t="s">
        <v>208</v>
      </c>
      <c r="AI548" s="50">
        <v>44562</v>
      </c>
      <c r="AJ548" s="50">
        <v>46387</v>
      </c>
      <c r="AK548" s="49" t="s">
        <v>1280</v>
      </c>
      <c r="AL548" s="48" t="s">
        <v>36</v>
      </c>
      <c r="AM548" s="48" t="s">
        <v>36</v>
      </c>
      <c r="AN548" s="51">
        <v>0</v>
      </c>
      <c r="AO548" s="51"/>
      <c r="AP548" s="51"/>
      <c r="AQ548" s="72">
        <v>1600000</v>
      </c>
      <c r="AR548" s="72">
        <v>50000</v>
      </c>
      <c r="AS548" s="50">
        <v>46387</v>
      </c>
      <c r="AT548" s="50" t="s">
        <v>1436</v>
      </c>
      <c r="AU548" s="49" t="s">
        <v>1436</v>
      </c>
      <c r="AV548" s="49" t="s">
        <v>1670</v>
      </c>
      <c r="AW548" s="48" t="s">
        <v>1244</v>
      </c>
    </row>
    <row r="549" spans="1:49" x14ac:dyDescent="0.3">
      <c r="A549" s="48" t="s">
        <v>1320</v>
      </c>
      <c r="B549" s="48" t="s">
        <v>6</v>
      </c>
      <c r="C549" s="48" t="s">
        <v>1322</v>
      </c>
      <c r="D549" s="50">
        <v>46173</v>
      </c>
      <c r="E549" s="48" t="s">
        <v>36</v>
      </c>
      <c r="F549" s="48" t="s">
        <v>1438</v>
      </c>
      <c r="G549" s="48" t="s">
        <v>1439</v>
      </c>
      <c r="H549" s="49" t="s">
        <v>1442</v>
      </c>
      <c r="I549" s="48" t="s">
        <v>1405</v>
      </c>
      <c r="J549" s="48" t="s">
        <v>1194</v>
      </c>
      <c r="K549" s="48" t="s">
        <v>1443</v>
      </c>
      <c r="L549" s="48" t="s">
        <v>38</v>
      </c>
      <c r="M549" s="48" t="s">
        <v>37</v>
      </c>
      <c r="N549" s="48" t="s">
        <v>1436</v>
      </c>
      <c r="O549" s="48" t="s">
        <v>1436</v>
      </c>
      <c r="P549" s="48" t="s">
        <v>1436</v>
      </c>
      <c r="Q549" s="48" t="s">
        <v>38</v>
      </c>
      <c r="R549" s="48" t="s">
        <v>39</v>
      </c>
      <c r="S549" s="48" t="s">
        <v>1194</v>
      </c>
      <c r="T549" s="48" t="s">
        <v>41</v>
      </c>
      <c r="U549" s="48" t="s">
        <v>1436</v>
      </c>
      <c r="V549" s="48" t="s">
        <v>1436</v>
      </c>
      <c r="W549" s="48" t="s">
        <v>1436</v>
      </c>
      <c r="X549" s="49" t="s">
        <v>193</v>
      </c>
      <c r="Y549" s="48" t="s">
        <v>1194</v>
      </c>
      <c r="Z549" s="49" t="s">
        <v>1321</v>
      </c>
      <c r="AA549" s="48" t="s">
        <v>1324</v>
      </c>
      <c r="AB549" s="48" t="s">
        <v>1325</v>
      </c>
      <c r="AC549" s="48" t="s">
        <v>1239</v>
      </c>
      <c r="AD549" s="48" t="s">
        <v>1231</v>
      </c>
      <c r="AE549" s="48" t="s">
        <v>1669</v>
      </c>
      <c r="AF549" s="48" t="s">
        <v>1436</v>
      </c>
      <c r="AG549" s="48" t="s">
        <v>1436</v>
      </c>
      <c r="AH549" s="48" t="s">
        <v>208</v>
      </c>
      <c r="AI549" s="50">
        <v>44562</v>
      </c>
      <c r="AJ549" s="50">
        <v>46387</v>
      </c>
      <c r="AK549" s="49" t="s">
        <v>1280</v>
      </c>
      <c r="AL549" s="48" t="s">
        <v>36</v>
      </c>
      <c r="AM549" s="48" t="s">
        <v>36</v>
      </c>
      <c r="AN549" s="51">
        <v>0</v>
      </c>
      <c r="AO549" s="51"/>
      <c r="AP549" s="51"/>
      <c r="AQ549" s="72">
        <v>1600000</v>
      </c>
      <c r="AR549" s="72">
        <v>50000</v>
      </c>
      <c r="AS549" s="50">
        <v>46387</v>
      </c>
      <c r="AT549" s="50" t="s">
        <v>1436</v>
      </c>
      <c r="AU549" s="49" t="s">
        <v>1436</v>
      </c>
      <c r="AV549" s="49" t="s">
        <v>1670</v>
      </c>
      <c r="AW549" s="48" t="s">
        <v>1244</v>
      </c>
    </row>
    <row r="550" spans="1:49" x14ac:dyDescent="0.3">
      <c r="A550" s="48" t="s">
        <v>1320</v>
      </c>
      <c r="B550" s="48" t="s">
        <v>6</v>
      </c>
      <c r="C550" s="48" t="s">
        <v>1322</v>
      </c>
      <c r="D550" s="50">
        <v>46173</v>
      </c>
      <c r="E550" s="48" t="s">
        <v>36</v>
      </c>
      <c r="F550" s="48" t="s">
        <v>1438</v>
      </c>
      <c r="G550" s="48" t="s">
        <v>1444</v>
      </c>
      <c r="H550" s="49" t="s">
        <v>1445</v>
      </c>
      <c r="I550" s="48" t="s">
        <v>1411</v>
      </c>
      <c r="J550" s="48" t="s">
        <v>40</v>
      </c>
      <c r="K550" s="48" t="s">
        <v>50</v>
      </c>
      <c r="L550" s="48" t="s">
        <v>38</v>
      </c>
      <c r="M550" s="48" t="s">
        <v>37</v>
      </c>
      <c r="N550" s="48" t="s">
        <v>1436</v>
      </c>
      <c r="O550" s="48" t="s">
        <v>1436</v>
      </c>
      <c r="P550" s="48" t="s">
        <v>1436</v>
      </c>
      <c r="Q550" s="48" t="s">
        <v>38</v>
      </c>
      <c r="R550" s="48" t="s">
        <v>39</v>
      </c>
      <c r="S550" s="48" t="s">
        <v>40</v>
      </c>
      <c r="T550" s="48" t="s">
        <v>41</v>
      </c>
      <c r="U550" s="48" t="s">
        <v>1436</v>
      </c>
      <c r="V550" s="48" t="s">
        <v>1436</v>
      </c>
      <c r="W550" s="48" t="s">
        <v>1436</v>
      </c>
      <c r="X550" s="49" t="s">
        <v>193</v>
      </c>
      <c r="Y550" s="48" t="s">
        <v>1194</v>
      </c>
      <c r="Z550" s="49" t="s">
        <v>1321</v>
      </c>
      <c r="AA550" s="48" t="s">
        <v>1324</v>
      </c>
      <c r="AB550" s="48" t="s">
        <v>1325</v>
      </c>
      <c r="AC550" s="48" t="s">
        <v>1239</v>
      </c>
      <c r="AD550" s="48" t="s">
        <v>1231</v>
      </c>
      <c r="AE550" s="48" t="s">
        <v>1669</v>
      </c>
      <c r="AF550" s="48" t="s">
        <v>1436</v>
      </c>
      <c r="AG550" s="48" t="s">
        <v>1436</v>
      </c>
      <c r="AH550" s="48" t="s">
        <v>208</v>
      </c>
      <c r="AI550" s="50">
        <v>44562</v>
      </c>
      <c r="AJ550" s="50">
        <v>46387</v>
      </c>
      <c r="AK550" s="49" t="s">
        <v>1280</v>
      </c>
      <c r="AL550" s="48" t="s">
        <v>36</v>
      </c>
      <c r="AM550" s="48" t="s">
        <v>36</v>
      </c>
      <c r="AN550" s="51">
        <v>42330.49</v>
      </c>
      <c r="AO550" s="51"/>
      <c r="AP550" s="51"/>
      <c r="AQ550" s="72">
        <v>1600000</v>
      </c>
      <c r="AR550" s="72">
        <v>50000</v>
      </c>
      <c r="AS550" s="50">
        <v>46387</v>
      </c>
      <c r="AT550" s="50" t="s">
        <v>1436</v>
      </c>
      <c r="AU550" s="49" t="s">
        <v>1436</v>
      </c>
      <c r="AV550" s="49" t="s">
        <v>1670</v>
      </c>
      <c r="AW550" s="48" t="s">
        <v>1244</v>
      </c>
    </row>
    <row r="551" spans="1:49" x14ac:dyDescent="0.3">
      <c r="A551" s="48" t="s">
        <v>1320</v>
      </c>
      <c r="B551" s="48" t="s">
        <v>6</v>
      </c>
      <c r="C551" s="48" t="s">
        <v>1322</v>
      </c>
      <c r="D551" s="50">
        <v>46173</v>
      </c>
      <c r="E551" s="48" t="s">
        <v>36</v>
      </c>
      <c r="F551" s="48" t="s">
        <v>1438</v>
      </c>
      <c r="G551" s="48" t="s">
        <v>1444</v>
      </c>
      <c r="H551" s="49" t="s">
        <v>1446</v>
      </c>
      <c r="I551" s="48" t="s">
        <v>1407</v>
      </c>
      <c r="J551" s="48" t="s">
        <v>40</v>
      </c>
      <c r="K551" s="48" t="s">
        <v>47</v>
      </c>
      <c r="L551" s="48" t="s">
        <v>38</v>
      </c>
      <c r="M551" s="48" t="s">
        <v>37</v>
      </c>
      <c r="N551" s="48" t="s">
        <v>1436</v>
      </c>
      <c r="O551" s="48" t="s">
        <v>1436</v>
      </c>
      <c r="P551" s="48" t="s">
        <v>1436</v>
      </c>
      <c r="Q551" s="48" t="s">
        <v>38</v>
      </c>
      <c r="R551" s="48" t="s">
        <v>39</v>
      </c>
      <c r="S551" s="48" t="s">
        <v>40</v>
      </c>
      <c r="T551" s="48" t="s">
        <v>41</v>
      </c>
      <c r="U551" s="48" t="s">
        <v>1436</v>
      </c>
      <c r="V551" s="48" t="s">
        <v>1436</v>
      </c>
      <c r="W551" s="48" t="s">
        <v>1436</v>
      </c>
      <c r="X551" s="49" t="s">
        <v>193</v>
      </c>
      <c r="Y551" s="48" t="s">
        <v>1194</v>
      </c>
      <c r="Z551" s="49" t="s">
        <v>1321</v>
      </c>
      <c r="AA551" s="48" t="s">
        <v>1324</v>
      </c>
      <c r="AB551" s="48" t="s">
        <v>1325</v>
      </c>
      <c r="AC551" s="48" t="s">
        <v>1239</v>
      </c>
      <c r="AD551" s="48" t="s">
        <v>1231</v>
      </c>
      <c r="AE551" s="48" t="s">
        <v>1669</v>
      </c>
      <c r="AF551" s="48" t="s">
        <v>1436</v>
      </c>
      <c r="AG551" s="48" t="s">
        <v>1436</v>
      </c>
      <c r="AH551" s="48" t="s">
        <v>208</v>
      </c>
      <c r="AI551" s="50">
        <v>44562</v>
      </c>
      <c r="AJ551" s="50">
        <v>46387</v>
      </c>
      <c r="AK551" s="49" t="s">
        <v>1280</v>
      </c>
      <c r="AL551" s="48" t="s">
        <v>36</v>
      </c>
      <c r="AM551" s="48" t="s">
        <v>36</v>
      </c>
      <c r="AN551" s="51">
        <v>1994.849455</v>
      </c>
      <c r="AO551" s="51"/>
      <c r="AP551" s="51"/>
      <c r="AQ551" s="72">
        <v>1600000</v>
      </c>
      <c r="AR551" s="72">
        <v>50000</v>
      </c>
      <c r="AS551" s="50">
        <v>46387</v>
      </c>
      <c r="AT551" s="50" t="s">
        <v>1436</v>
      </c>
      <c r="AU551" s="49" t="s">
        <v>1436</v>
      </c>
      <c r="AV551" s="49" t="s">
        <v>1670</v>
      </c>
      <c r="AW551" s="48" t="s">
        <v>1244</v>
      </c>
    </row>
    <row r="552" spans="1:49" x14ac:dyDescent="0.3">
      <c r="A552" s="48" t="s">
        <v>1320</v>
      </c>
      <c r="B552" s="48" t="s">
        <v>6</v>
      </c>
      <c r="C552" s="48" t="s">
        <v>1322</v>
      </c>
      <c r="D552" s="50">
        <v>46173</v>
      </c>
      <c r="E552" s="48" t="s">
        <v>36</v>
      </c>
      <c r="F552" s="48" t="s">
        <v>1433</v>
      </c>
      <c r="G552" s="48" t="s">
        <v>1447</v>
      </c>
      <c r="H552" s="49" t="s">
        <v>1448</v>
      </c>
      <c r="I552" s="48" t="s">
        <v>1413</v>
      </c>
      <c r="J552" s="48" t="s">
        <v>40</v>
      </c>
      <c r="K552" s="48" t="s">
        <v>58</v>
      </c>
      <c r="L552" s="48" t="s">
        <v>38</v>
      </c>
      <c r="M552" s="48" t="s">
        <v>37</v>
      </c>
      <c r="N552" s="48" t="s">
        <v>1436</v>
      </c>
      <c r="O552" s="48" t="s">
        <v>1436</v>
      </c>
      <c r="P552" s="48" t="s">
        <v>1436</v>
      </c>
      <c r="Q552" s="48" t="s">
        <v>38</v>
      </c>
      <c r="R552" s="48" t="s">
        <v>39</v>
      </c>
      <c r="S552" s="48" t="s">
        <v>40</v>
      </c>
      <c r="T552" s="48" t="s">
        <v>41</v>
      </c>
      <c r="U552" s="48" t="s">
        <v>1436</v>
      </c>
      <c r="V552" s="48" t="s">
        <v>1436</v>
      </c>
      <c r="W552" s="48" t="s">
        <v>1436</v>
      </c>
      <c r="X552" s="49" t="s">
        <v>193</v>
      </c>
      <c r="Y552" s="48" t="s">
        <v>1194</v>
      </c>
      <c r="Z552" s="49" t="s">
        <v>1321</v>
      </c>
      <c r="AA552" s="48" t="s">
        <v>1324</v>
      </c>
      <c r="AB552" s="48" t="s">
        <v>1325</v>
      </c>
      <c r="AC552" s="48" t="s">
        <v>1239</v>
      </c>
      <c r="AD552" s="48" t="s">
        <v>1231</v>
      </c>
      <c r="AE552" s="48" t="s">
        <v>1669</v>
      </c>
      <c r="AF552" s="48" t="s">
        <v>1436</v>
      </c>
      <c r="AG552" s="48" t="s">
        <v>1436</v>
      </c>
      <c r="AH552" s="48" t="s">
        <v>208</v>
      </c>
      <c r="AI552" s="50">
        <v>44562</v>
      </c>
      <c r="AJ552" s="50">
        <v>46387</v>
      </c>
      <c r="AK552" s="49" t="s">
        <v>1280</v>
      </c>
      <c r="AL552" s="48" t="s">
        <v>36</v>
      </c>
      <c r="AM552" s="48" t="s">
        <v>36</v>
      </c>
      <c r="AN552" s="51">
        <v>-50000</v>
      </c>
      <c r="AO552" s="51"/>
      <c r="AP552" s="51"/>
      <c r="AQ552" s="72">
        <v>1600000</v>
      </c>
      <c r="AR552" s="72">
        <v>50000</v>
      </c>
      <c r="AS552" s="50">
        <v>46387</v>
      </c>
      <c r="AT552" s="50" t="s">
        <v>1436</v>
      </c>
      <c r="AU552" s="49" t="s">
        <v>1436</v>
      </c>
      <c r="AV552" s="49" t="s">
        <v>1670</v>
      </c>
      <c r="AW552" s="48" t="s">
        <v>1244</v>
      </c>
    </row>
    <row r="553" spans="1:49" x14ac:dyDescent="0.3">
      <c r="A553" s="48" t="s">
        <v>1320</v>
      </c>
      <c r="B553" s="48" t="s">
        <v>6</v>
      </c>
      <c r="C553" s="48" t="s">
        <v>1322</v>
      </c>
      <c r="D553" s="50">
        <v>46173</v>
      </c>
      <c r="E553" s="48" t="s">
        <v>36</v>
      </c>
      <c r="F553" s="48" t="s">
        <v>1433</v>
      </c>
      <c r="G553" s="48" t="s">
        <v>1447</v>
      </c>
      <c r="H553" s="49" t="s">
        <v>1449</v>
      </c>
      <c r="I553" s="48" t="s">
        <v>1409</v>
      </c>
      <c r="J553" s="48" t="s">
        <v>40</v>
      </c>
      <c r="K553" s="48" t="s">
        <v>45</v>
      </c>
      <c r="L553" s="48" t="s">
        <v>38</v>
      </c>
      <c r="M553" s="48" t="s">
        <v>37</v>
      </c>
      <c r="N553" s="48" t="s">
        <v>1436</v>
      </c>
      <c r="O553" s="48" t="s">
        <v>1436</v>
      </c>
      <c r="P553" s="48" t="s">
        <v>1436</v>
      </c>
      <c r="Q553" s="48" t="s">
        <v>38</v>
      </c>
      <c r="R553" s="48" t="s">
        <v>39</v>
      </c>
      <c r="S553" s="48" t="s">
        <v>40</v>
      </c>
      <c r="T553" s="48" t="s">
        <v>41</v>
      </c>
      <c r="U553" s="48" t="s">
        <v>1436</v>
      </c>
      <c r="V553" s="48" t="s">
        <v>1436</v>
      </c>
      <c r="W553" s="48" t="s">
        <v>1436</v>
      </c>
      <c r="X553" s="49" t="s">
        <v>193</v>
      </c>
      <c r="Y553" s="48" t="s">
        <v>1194</v>
      </c>
      <c r="Z553" s="49" t="s">
        <v>1321</v>
      </c>
      <c r="AA553" s="48" t="s">
        <v>1324</v>
      </c>
      <c r="AB553" s="48" t="s">
        <v>1325</v>
      </c>
      <c r="AC553" s="48" t="s">
        <v>1239</v>
      </c>
      <c r="AD553" s="48" t="s">
        <v>1231</v>
      </c>
      <c r="AE553" s="48" t="s">
        <v>1669</v>
      </c>
      <c r="AF553" s="48" t="s">
        <v>1436</v>
      </c>
      <c r="AG553" s="48" t="s">
        <v>1436</v>
      </c>
      <c r="AH553" s="48" t="s">
        <v>208</v>
      </c>
      <c r="AI553" s="50">
        <v>44562</v>
      </c>
      <c r="AJ553" s="50">
        <v>46387</v>
      </c>
      <c r="AK553" s="49" t="s">
        <v>1280</v>
      </c>
      <c r="AL553" s="48" t="s">
        <v>36</v>
      </c>
      <c r="AM553" s="48" t="s">
        <v>36</v>
      </c>
      <c r="AN553" s="51">
        <v>0</v>
      </c>
      <c r="AO553" s="51"/>
      <c r="AP553" s="51"/>
      <c r="AQ553" s="72">
        <v>1600000</v>
      </c>
      <c r="AR553" s="72">
        <v>50000</v>
      </c>
      <c r="AS553" s="50">
        <v>46387</v>
      </c>
      <c r="AT553" s="50" t="s">
        <v>1436</v>
      </c>
      <c r="AU553" s="49" t="s">
        <v>1436</v>
      </c>
      <c r="AV553" s="49" t="s">
        <v>1670</v>
      </c>
      <c r="AW553" s="48" t="s">
        <v>1244</v>
      </c>
    </row>
    <row r="554" spans="1:49" x14ac:dyDescent="0.3">
      <c r="A554" s="48" t="s">
        <v>1320</v>
      </c>
      <c r="B554" s="48" t="s">
        <v>6</v>
      </c>
      <c r="C554" s="48" t="s">
        <v>1322</v>
      </c>
      <c r="D554" s="50">
        <v>46173</v>
      </c>
      <c r="E554" s="48" t="s">
        <v>36</v>
      </c>
      <c r="F554" s="48" t="s">
        <v>1433</v>
      </c>
      <c r="G554" s="48" t="s">
        <v>1447</v>
      </c>
      <c r="H554" s="49" t="s">
        <v>1450</v>
      </c>
      <c r="I554" s="48" t="s">
        <v>1408</v>
      </c>
      <c r="J554" s="48" t="s">
        <v>40</v>
      </c>
      <c r="K554" s="48" t="s">
        <v>54</v>
      </c>
      <c r="L554" s="48" t="s">
        <v>38</v>
      </c>
      <c r="M554" s="48" t="s">
        <v>37</v>
      </c>
      <c r="N554" s="48" t="s">
        <v>1436</v>
      </c>
      <c r="O554" s="48" t="s">
        <v>1436</v>
      </c>
      <c r="P554" s="48" t="s">
        <v>1436</v>
      </c>
      <c r="Q554" s="48" t="s">
        <v>38</v>
      </c>
      <c r="R554" s="48" t="s">
        <v>39</v>
      </c>
      <c r="S554" s="48" t="s">
        <v>40</v>
      </c>
      <c r="T554" s="48" t="s">
        <v>41</v>
      </c>
      <c r="U554" s="48" t="s">
        <v>1436</v>
      </c>
      <c r="V554" s="48" t="s">
        <v>1436</v>
      </c>
      <c r="W554" s="48" t="s">
        <v>1436</v>
      </c>
      <c r="X554" s="49" t="s">
        <v>193</v>
      </c>
      <c r="Y554" s="48" t="s">
        <v>1194</v>
      </c>
      <c r="Z554" s="49" t="s">
        <v>1321</v>
      </c>
      <c r="AA554" s="48" t="s">
        <v>1324</v>
      </c>
      <c r="AB554" s="48" t="s">
        <v>1325</v>
      </c>
      <c r="AC554" s="48" t="s">
        <v>1239</v>
      </c>
      <c r="AD554" s="48" t="s">
        <v>1231</v>
      </c>
      <c r="AE554" s="48" t="s">
        <v>1669</v>
      </c>
      <c r="AF554" s="48" t="s">
        <v>1436</v>
      </c>
      <c r="AG554" s="48" t="s">
        <v>1436</v>
      </c>
      <c r="AH554" s="48" t="s">
        <v>208</v>
      </c>
      <c r="AI554" s="50">
        <v>44562</v>
      </c>
      <c r="AJ554" s="50">
        <v>46387</v>
      </c>
      <c r="AK554" s="49" t="s">
        <v>1280</v>
      </c>
      <c r="AL554" s="48" t="s">
        <v>36</v>
      </c>
      <c r="AM554" s="48" t="s">
        <v>36</v>
      </c>
      <c r="AN554" s="51">
        <v>47726.744535999998</v>
      </c>
      <c r="AO554" s="51"/>
      <c r="AP554" s="51"/>
      <c r="AQ554" s="72">
        <v>1600000</v>
      </c>
      <c r="AR554" s="72">
        <v>50000</v>
      </c>
      <c r="AS554" s="50">
        <v>46387</v>
      </c>
      <c r="AT554" s="50" t="s">
        <v>1436</v>
      </c>
      <c r="AU554" s="49" t="s">
        <v>1436</v>
      </c>
      <c r="AV554" s="49" t="s">
        <v>1670</v>
      </c>
      <c r="AW554" s="48" t="s">
        <v>1244</v>
      </c>
    </row>
    <row r="555" spans="1:49" x14ac:dyDescent="0.3">
      <c r="A555" s="48" t="s">
        <v>1320</v>
      </c>
      <c r="B555" s="48" t="s">
        <v>6</v>
      </c>
      <c r="C555" s="48" t="s">
        <v>1322</v>
      </c>
      <c r="D555" s="50">
        <v>46173</v>
      </c>
      <c r="E555" s="48" t="s">
        <v>36</v>
      </c>
      <c r="F555" s="48" t="s">
        <v>1433</v>
      </c>
      <c r="G555" s="48" t="s">
        <v>1447</v>
      </c>
      <c r="H555" s="49" t="s">
        <v>1451</v>
      </c>
      <c r="I555" s="48" t="s">
        <v>1404</v>
      </c>
      <c r="J555" s="48" t="s">
        <v>38</v>
      </c>
      <c r="K555" s="48" t="s">
        <v>49</v>
      </c>
      <c r="L555" s="48" t="s">
        <v>38</v>
      </c>
      <c r="M555" s="48" t="s">
        <v>37</v>
      </c>
      <c r="N555" s="48" t="s">
        <v>1436</v>
      </c>
      <c r="O555" s="48" t="s">
        <v>1436</v>
      </c>
      <c r="P555" s="48" t="s">
        <v>1436</v>
      </c>
      <c r="Q555" s="48" t="s">
        <v>38</v>
      </c>
      <c r="R555" s="48" t="s">
        <v>39</v>
      </c>
      <c r="S555" s="48" t="s">
        <v>38</v>
      </c>
      <c r="T555" s="48" t="s">
        <v>41</v>
      </c>
      <c r="U555" s="48" t="s">
        <v>1436</v>
      </c>
      <c r="V555" s="48" t="s">
        <v>1436</v>
      </c>
      <c r="W555" s="48" t="s">
        <v>1436</v>
      </c>
      <c r="X555" s="49" t="s">
        <v>193</v>
      </c>
      <c r="Y555" s="48" t="s">
        <v>1194</v>
      </c>
      <c r="Z555" s="49" t="s">
        <v>1321</v>
      </c>
      <c r="AA555" s="48" t="s">
        <v>1324</v>
      </c>
      <c r="AB555" s="48" t="s">
        <v>1325</v>
      </c>
      <c r="AC555" s="48" t="s">
        <v>1239</v>
      </c>
      <c r="AD555" s="48" t="s">
        <v>1231</v>
      </c>
      <c r="AE555" s="48" t="s">
        <v>1669</v>
      </c>
      <c r="AF555" s="48" t="s">
        <v>1436</v>
      </c>
      <c r="AG555" s="48" t="s">
        <v>1436</v>
      </c>
      <c r="AH555" s="48" t="s">
        <v>208</v>
      </c>
      <c r="AI555" s="50">
        <v>44562</v>
      </c>
      <c r="AJ555" s="50">
        <v>46387</v>
      </c>
      <c r="AK555" s="49" t="s">
        <v>1280</v>
      </c>
      <c r="AL555" s="48" t="s">
        <v>36</v>
      </c>
      <c r="AM555" s="48" t="s">
        <v>36</v>
      </c>
      <c r="AN555" s="51">
        <v>278.40600899999998</v>
      </c>
      <c r="AO555" s="51"/>
      <c r="AP555" s="51"/>
      <c r="AQ555" s="72">
        <v>1600000</v>
      </c>
      <c r="AR555" s="72">
        <v>50000</v>
      </c>
      <c r="AS555" s="50">
        <v>46387</v>
      </c>
      <c r="AT555" s="50" t="s">
        <v>1436</v>
      </c>
      <c r="AU555" s="49" t="s">
        <v>1436</v>
      </c>
      <c r="AV555" s="49" t="s">
        <v>1670</v>
      </c>
      <c r="AW555" s="48" t="s">
        <v>1244</v>
      </c>
    </row>
    <row r="556" spans="1:49" x14ac:dyDescent="0.3">
      <c r="A556" s="48" t="s">
        <v>1320</v>
      </c>
      <c r="B556" s="48" t="s">
        <v>6</v>
      </c>
      <c r="C556" s="48" t="s">
        <v>1322</v>
      </c>
      <c r="D556" s="50">
        <v>46203</v>
      </c>
      <c r="E556" s="48" t="s">
        <v>36</v>
      </c>
      <c r="F556" s="48" t="s">
        <v>1433</v>
      </c>
      <c r="G556" s="48" t="s">
        <v>1434</v>
      </c>
      <c r="H556" s="49" t="s">
        <v>1435</v>
      </c>
      <c r="I556" s="48" t="s">
        <v>1412</v>
      </c>
      <c r="J556" s="48" t="s">
        <v>40</v>
      </c>
      <c r="K556" s="48" t="s">
        <v>52</v>
      </c>
      <c r="L556" s="48" t="s">
        <v>38</v>
      </c>
      <c r="M556" s="48" t="s">
        <v>37</v>
      </c>
      <c r="N556" s="48" t="s">
        <v>1436</v>
      </c>
      <c r="O556" s="48" t="s">
        <v>1436</v>
      </c>
      <c r="P556" s="48" t="s">
        <v>1436</v>
      </c>
      <c r="Q556" s="48" t="s">
        <v>38</v>
      </c>
      <c r="R556" s="48" t="s">
        <v>39</v>
      </c>
      <c r="S556" s="48" t="s">
        <v>40</v>
      </c>
      <c r="T556" s="48" t="s">
        <v>41</v>
      </c>
      <c r="U556" s="48" t="s">
        <v>1436</v>
      </c>
      <c r="V556" s="48" t="s">
        <v>1436</v>
      </c>
      <c r="W556" s="48" t="s">
        <v>1436</v>
      </c>
      <c r="X556" s="49" t="s">
        <v>193</v>
      </c>
      <c r="Y556" s="48" t="s">
        <v>1194</v>
      </c>
      <c r="Z556" s="49" t="s">
        <v>1321</v>
      </c>
      <c r="AA556" s="48" t="s">
        <v>1324</v>
      </c>
      <c r="AB556" s="48" t="s">
        <v>1325</v>
      </c>
      <c r="AC556" s="48" t="s">
        <v>1239</v>
      </c>
      <c r="AD556" s="48" t="s">
        <v>1231</v>
      </c>
      <c r="AE556" s="48" t="s">
        <v>1669</v>
      </c>
      <c r="AF556" s="48" t="s">
        <v>1436</v>
      </c>
      <c r="AG556" s="48" t="s">
        <v>1436</v>
      </c>
      <c r="AH556" s="48" t="s">
        <v>208</v>
      </c>
      <c r="AI556" s="50">
        <v>44562</v>
      </c>
      <c r="AJ556" s="50">
        <v>46387</v>
      </c>
      <c r="AK556" s="49" t="s">
        <v>1280</v>
      </c>
      <c r="AL556" s="48" t="s">
        <v>36</v>
      </c>
      <c r="AM556" s="48" t="s">
        <v>36</v>
      </c>
      <c r="AN556" s="51">
        <v>-42330.49</v>
      </c>
      <c r="AO556" s="51"/>
      <c r="AP556" s="51"/>
      <c r="AQ556" s="72">
        <v>1600000</v>
      </c>
      <c r="AR556" s="72">
        <v>50000</v>
      </c>
      <c r="AS556" s="50">
        <v>46387</v>
      </c>
      <c r="AT556" s="50" t="s">
        <v>1436</v>
      </c>
      <c r="AU556" s="49" t="s">
        <v>1436</v>
      </c>
      <c r="AV556" s="49" t="s">
        <v>1670</v>
      </c>
      <c r="AW556" s="48" t="s">
        <v>1244</v>
      </c>
    </row>
    <row r="557" spans="1:49" x14ac:dyDescent="0.3">
      <c r="A557" s="48" t="s">
        <v>1320</v>
      </c>
      <c r="B557" s="48" t="s">
        <v>6</v>
      </c>
      <c r="C557" s="48" t="s">
        <v>1322</v>
      </c>
      <c r="D557" s="50">
        <v>46203</v>
      </c>
      <c r="E557" s="48" t="s">
        <v>36</v>
      </c>
      <c r="F557" s="48" t="s">
        <v>1433</v>
      </c>
      <c r="G557" s="48" t="s">
        <v>1434</v>
      </c>
      <c r="H557" s="49" t="s">
        <v>1437</v>
      </c>
      <c r="I557" s="48" t="s">
        <v>1410</v>
      </c>
      <c r="J557" s="48" t="s">
        <v>40</v>
      </c>
      <c r="K557" s="48" t="s">
        <v>42</v>
      </c>
      <c r="L557" s="48" t="s">
        <v>38</v>
      </c>
      <c r="M557" s="48" t="s">
        <v>37</v>
      </c>
      <c r="N557" s="48" t="s">
        <v>1436</v>
      </c>
      <c r="O557" s="48" t="s">
        <v>1436</v>
      </c>
      <c r="P557" s="48" t="s">
        <v>1436</v>
      </c>
      <c r="Q557" s="48" t="s">
        <v>38</v>
      </c>
      <c r="R557" s="48" t="s">
        <v>39</v>
      </c>
      <c r="S557" s="48" t="s">
        <v>40</v>
      </c>
      <c r="T557" s="48" t="s">
        <v>41</v>
      </c>
      <c r="U557" s="48" t="s">
        <v>1436</v>
      </c>
      <c r="V557" s="48" t="s">
        <v>1436</v>
      </c>
      <c r="W557" s="48" t="s">
        <v>1436</v>
      </c>
      <c r="X557" s="49" t="s">
        <v>193</v>
      </c>
      <c r="Y557" s="48" t="s">
        <v>1194</v>
      </c>
      <c r="Z557" s="49" t="s">
        <v>1321</v>
      </c>
      <c r="AA557" s="48" t="s">
        <v>1324</v>
      </c>
      <c r="AB557" s="48" t="s">
        <v>1325</v>
      </c>
      <c r="AC557" s="48" t="s">
        <v>1239</v>
      </c>
      <c r="AD557" s="48" t="s">
        <v>1231</v>
      </c>
      <c r="AE557" s="48" t="s">
        <v>1669</v>
      </c>
      <c r="AF557" s="48" t="s">
        <v>1436</v>
      </c>
      <c r="AG557" s="48" t="s">
        <v>1436</v>
      </c>
      <c r="AH557" s="48" t="s">
        <v>208</v>
      </c>
      <c r="AI557" s="50">
        <v>44562</v>
      </c>
      <c r="AJ557" s="50">
        <v>46387</v>
      </c>
      <c r="AK557" s="49" t="s">
        <v>1280</v>
      </c>
      <c r="AL557" s="48" t="s">
        <v>36</v>
      </c>
      <c r="AM557" s="48" t="s">
        <v>36</v>
      </c>
      <c r="AN557" s="51">
        <v>0</v>
      </c>
      <c r="AO557" s="51"/>
      <c r="AP557" s="51"/>
      <c r="AQ557" s="72">
        <v>1600000</v>
      </c>
      <c r="AR557" s="72">
        <v>50000</v>
      </c>
      <c r="AS557" s="50">
        <v>46387</v>
      </c>
      <c r="AT557" s="50" t="s">
        <v>1436</v>
      </c>
      <c r="AU557" s="49" t="s">
        <v>1436</v>
      </c>
      <c r="AV557" s="49" t="s">
        <v>1670</v>
      </c>
      <c r="AW557" s="48" t="s">
        <v>1244</v>
      </c>
    </row>
    <row r="558" spans="1:49" x14ac:dyDescent="0.3">
      <c r="A558" s="48" t="s">
        <v>1320</v>
      </c>
      <c r="B558" s="48" t="s">
        <v>6</v>
      </c>
      <c r="C558" s="48" t="s">
        <v>1322</v>
      </c>
      <c r="D558" s="50">
        <v>46203</v>
      </c>
      <c r="E558" s="48" t="s">
        <v>36</v>
      </c>
      <c r="F558" s="48" t="s">
        <v>1438</v>
      </c>
      <c r="G558" s="48" t="s">
        <v>1439</v>
      </c>
      <c r="H558" s="49" t="s">
        <v>1440</v>
      </c>
      <c r="I558" s="48" t="s">
        <v>1406</v>
      </c>
      <c r="J558" s="48" t="s">
        <v>1194</v>
      </c>
      <c r="K558" s="48" t="s">
        <v>1441</v>
      </c>
      <c r="L558" s="48" t="s">
        <v>38</v>
      </c>
      <c r="M558" s="48" t="s">
        <v>37</v>
      </c>
      <c r="N558" s="48" t="s">
        <v>1436</v>
      </c>
      <c r="O558" s="48" t="s">
        <v>1436</v>
      </c>
      <c r="P558" s="48" t="s">
        <v>1436</v>
      </c>
      <c r="Q558" s="48" t="s">
        <v>38</v>
      </c>
      <c r="R558" s="48" t="s">
        <v>39</v>
      </c>
      <c r="S558" s="48" t="s">
        <v>1194</v>
      </c>
      <c r="T558" s="48" t="s">
        <v>41</v>
      </c>
      <c r="U558" s="48" t="s">
        <v>1436</v>
      </c>
      <c r="V558" s="48" t="s">
        <v>1436</v>
      </c>
      <c r="W558" s="48" t="s">
        <v>1436</v>
      </c>
      <c r="X558" s="49" t="s">
        <v>193</v>
      </c>
      <c r="Y558" s="48" t="s">
        <v>1194</v>
      </c>
      <c r="Z558" s="49" t="s">
        <v>1321</v>
      </c>
      <c r="AA558" s="48" t="s">
        <v>1324</v>
      </c>
      <c r="AB558" s="48" t="s">
        <v>1325</v>
      </c>
      <c r="AC558" s="48" t="s">
        <v>1239</v>
      </c>
      <c r="AD558" s="48" t="s">
        <v>1231</v>
      </c>
      <c r="AE558" s="48" t="s">
        <v>1669</v>
      </c>
      <c r="AF558" s="48" t="s">
        <v>1436</v>
      </c>
      <c r="AG558" s="48" t="s">
        <v>1436</v>
      </c>
      <c r="AH558" s="48" t="s">
        <v>208</v>
      </c>
      <c r="AI558" s="50">
        <v>44562</v>
      </c>
      <c r="AJ558" s="50">
        <v>46387</v>
      </c>
      <c r="AK558" s="49" t="s">
        <v>1280</v>
      </c>
      <c r="AL558" s="48" t="s">
        <v>36</v>
      </c>
      <c r="AM558" s="48" t="s">
        <v>36</v>
      </c>
      <c r="AN558" s="51">
        <v>0</v>
      </c>
      <c r="AO558" s="51"/>
      <c r="AP558" s="51"/>
      <c r="AQ558" s="72">
        <v>1600000</v>
      </c>
      <c r="AR558" s="72">
        <v>50000</v>
      </c>
      <c r="AS558" s="50">
        <v>46387</v>
      </c>
      <c r="AT558" s="50" t="s">
        <v>1436</v>
      </c>
      <c r="AU558" s="49" t="s">
        <v>1436</v>
      </c>
      <c r="AV558" s="49" t="s">
        <v>1670</v>
      </c>
      <c r="AW558" s="48" t="s">
        <v>1244</v>
      </c>
    </row>
    <row r="559" spans="1:49" x14ac:dyDescent="0.3">
      <c r="A559" s="48" t="s">
        <v>1320</v>
      </c>
      <c r="B559" s="48" t="s">
        <v>6</v>
      </c>
      <c r="C559" s="48" t="s">
        <v>1322</v>
      </c>
      <c r="D559" s="50">
        <v>46203</v>
      </c>
      <c r="E559" s="48" t="s">
        <v>36</v>
      </c>
      <c r="F559" s="48" t="s">
        <v>1438</v>
      </c>
      <c r="G559" s="48" t="s">
        <v>1439</v>
      </c>
      <c r="H559" s="49" t="s">
        <v>1442</v>
      </c>
      <c r="I559" s="48" t="s">
        <v>1405</v>
      </c>
      <c r="J559" s="48" t="s">
        <v>1194</v>
      </c>
      <c r="K559" s="48" t="s">
        <v>1443</v>
      </c>
      <c r="L559" s="48" t="s">
        <v>38</v>
      </c>
      <c r="M559" s="48" t="s">
        <v>37</v>
      </c>
      <c r="N559" s="48" t="s">
        <v>1436</v>
      </c>
      <c r="O559" s="48" t="s">
        <v>1436</v>
      </c>
      <c r="P559" s="48" t="s">
        <v>1436</v>
      </c>
      <c r="Q559" s="48" t="s">
        <v>38</v>
      </c>
      <c r="R559" s="48" t="s">
        <v>39</v>
      </c>
      <c r="S559" s="48" t="s">
        <v>1194</v>
      </c>
      <c r="T559" s="48" t="s">
        <v>41</v>
      </c>
      <c r="U559" s="48" t="s">
        <v>1436</v>
      </c>
      <c r="V559" s="48" t="s">
        <v>1436</v>
      </c>
      <c r="W559" s="48" t="s">
        <v>1436</v>
      </c>
      <c r="X559" s="49" t="s">
        <v>193</v>
      </c>
      <c r="Y559" s="48" t="s">
        <v>1194</v>
      </c>
      <c r="Z559" s="49" t="s">
        <v>1321</v>
      </c>
      <c r="AA559" s="48" t="s">
        <v>1324</v>
      </c>
      <c r="AB559" s="48" t="s">
        <v>1325</v>
      </c>
      <c r="AC559" s="48" t="s">
        <v>1239</v>
      </c>
      <c r="AD559" s="48" t="s">
        <v>1231</v>
      </c>
      <c r="AE559" s="48" t="s">
        <v>1669</v>
      </c>
      <c r="AF559" s="48" t="s">
        <v>1436</v>
      </c>
      <c r="AG559" s="48" t="s">
        <v>1436</v>
      </c>
      <c r="AH559" s="48" t="s">
        <v>208</v>
      </c>
      <c r="AI559" s="50">
        <v>44562</v>
      </c>
      <c r="AJ559" s="50">
        <v>46387</v>
      </c>
      <c r="AK559" s="49" t="s">
        <v>1280</v>
      </c>
      <c r="AL559" s="48" t="s">
        <v>36</v>
      </c>
      <c r="AM559" s="48" t="s">
        <v>36</v>
      </c>
      <c r="AN559" s="51">
        <v>0</v>
      </c>
      <c r="AO559" s="51"/>
      <c r="AP559" s="51"/>
      <c r="AQ559" s="72">
        <v>1600000</v>
      </c>
      <c r="AR559" s="72">
        <v>50000</v>
      </c>
      <c r="AS559" s="50">
        <v>46387</v>
      </c>
      <c r="AT559" s="50" t="s">
        <v>1436</v>
      </c>
      <c r="AU559" s="49" t="s">
        <v>1436</v>
      </c>
      <c r="AV559" s="49" t="s">
        <v>1670</v>
      </c>
      <c r="AW559" s="48" t="s">
        <v>1244</v>
      </c>
    </row>
    <row r="560" spans="1:49" x14ac:dyDescent="0.3">
      <c r="A560" s="48" t="s">
        <v>1320</v>
      </c>
      <c r="B560" s="48" t="s">
        <v>6</v>
      </c>
      <c r="C560" s="48" t="s">
        <v>1322</v>
      </c>
      <c r="D560" s="50">
        <v>46203</v>
      </c>
      <c r="E560" s="48" t="s">
        <v>36</v>
      </c>
      <c r="F560" s="48" t="s">
        <v>1438</v>
      </c>
      <c r="G560" s="48" t="s">
        <v>1444</v>
      </c>
      <c r="H560" s="49" t="s">
        <v>1445</v>
      </c>
      <c r="I560" s="48" t="s">
        <v>1411</v>
      </c>
      <c r="J560" s="48" t="s">
        <v>40</v>
      </c>
      <c r="K560" s="48" t="s">
        <v>50</v>
      </c>
      <c r="L560" s="48" t="s">
        <v>38</v>
      </c>
      <c r="M560" s="48" t="s">
        <v>37</v>
      </c>
      <c r="N560" s="48" t="s">
        <v>1436</v>
      </c>
      <c r="O560" s="48" t="s">
        <v>1436</v>
      </c>
      <c r="P560" s="48" t="s">
        <v>1436</v>
      </c>
      <c r="Q560" s="48" t="s">
        <v>38</v>
      </c>
      <c r="R560" s="48" t="s">
        <v>39</v>
      </c>
      <c r="S560" s="48" t="s">
        <v>40</v>
      </c>
      <c r="T560" s="48" t="s">
        <v>41</v>
      </c>
      <c r="U560" s="48" t="s">
        <v>1436</v>
      </c>
      <c r="V560" s="48" t="s">
        <v>1436</v>
      </c>
      <c r="W560" s="48" t="s">
        <v>1436</v>
      </c>
      <c r="X560" s="49" t="s">
        <v>193</v>
      </c>
      <c r="Y560" s="48" t="s">
        <v>1194</v>
      </c>
      <c r="Z560" s="49" t="s">
        <v>1321</v>
      </c>
      <c r="AA560" s="48" t="s">
        <v>1324</v>
      </c>
      <c r="AB560" s="48" t="s">
        <v>1325</v>
      </c>
      <c r="AC560" s="48" t="s">
        <v>1239</v>
      </c>
      <c r="AD560" s="48" t="s">
        <v>1231</v>
      </c>
      <c r="AE560" s="48" t="s">
        <v>1669</v>
      </c>
      <c r="AF560" s="48" t="s">
        <v>1436</v>
      </c>
      <c r="AG560" s="48" t="s">
        <v>1436</v>
      </c>
      <c r="AH560" s="48" t="s">
        <v>208</v>
      </c>
      <c r="AI560" s="50">
        <v>44562</v>
      </c>
      <c r="AJ560" s="50">
        <v>46387</v>
      </c>
      <c r="AK560" s="49" t="s">
        <v>1280</v>
      </c>
      <c r="AL560" s="48" t="s">
        <v>36</v>
      </c>
      <c r="AM560" s="48" t="s">
        <v>36</v>
      </c>
      <c r="AN560" s="51">
        <v>42330.49</v>
      </c>
      <c r="AO560" s="51"/>
      <c r="AP560" s="51"/>
      <c r="AQ560" s="72">
        <v>1600000</v>
      </c>
      <c r="AR560" s="72">
        <v>50000</v>
      </c>
      <c r="AS560" s="50">
        <v>46387</v>
      </c>
      <c r="AT560" s="50" t="s">
        <v>1436</v>
      </c>
      <c r="AU560" s="49" t="s">
        <v>1436</v>
      </c>
      <c r="AV560" s="49" t="s">
        <v>1670</v>
      </c>
      <c r="AW560" s="48" t="s">
        <v>1244</v>
      </c>
    </row>
    <row r="561" spans="1:49" x14ac:dyDescent="0.3">
      <c r="A561" s="48" t="s">
        <v>1320</v>
      </c>
      <c r="B561" s="48" t="s">
        <v>6</v>
      </c>
      <c r="C561" s="48" t="s">
        <v>1322</v>
      </c>
      <c r="D561" s="50">
        <v>46203</v>
      </c>
      <c r="E561" s="48" t="s">
        <v>36</v>
      </c>
      <c r="F561" s="48" t="s">
        <v>1438</v>
      </c>
      <c r="G561" s="48" t="s">
        <v>1444</v>
      </c>
      <c r="H561" s="49" t="s">
        <v>1446</v>
      </c>
      <c r="I561" s="48" t="s">
        <v>1407</v>
      </c>
      <c r="J561" s="48" t="s">
        <v>40</v>
      </c>
      <c r="K561" s="48" t="s">
        <v>47</v>
      </c>
      <c r="L561" s="48" t="s">
        <v>38</v>
      </c>
      <c r="M561" s="48" t="s">
        <v>37</v>
      </c>
      <c r="N561" s="48" t="s">
        <v>1436</v>
      </c>
      <c r="O561" s="48" t="s">
        <v>1436</v>
      </c>
      <c r="P561" s="48" t="s">
        <v>1436</v>
      </c>
      <c r="Q561" s="48" t="s">
        <v>38</v>
      </c>
      <c r="R561" s="48" t="s">
        <v>39</v>
      </c>
      <c r="S561" s="48" t="s">
        <v>40</v>
      </c>
      <c r="T561" s="48" t="s">
        <v>41</v>
      </c>
      <c r="U561" s="48" t="s">
        <v>1436</v>
      </c>
      <c r="V561" s="48" t="s">
        <v>1436</v>
      </c>
      <c r="W561" s="48" t="s">
        <v>1436</v>
      </c>
      <c r="X561" s="49" t="s">
        <v>193</v>
      </c>
      <c r="Y561" s="48" t="s">
        <v>1194</v>
      </c>
      <c r="Z561" s="49" t="s">
        <v>1321</v>
      </c>
      <c r="AA561" s="48" t="s">
        <v>1324</v>
      </c>
      <c r="AB561" s="48" t="s">
        <v>1325</v>
      </c>
      <c r="AC561" s="48" t="s">
        <v>1239</v>
      </c>
      <c r="AD561" s="48" t="s">
        <v>1231</v>
      </c>
      <c r="AE561" s="48" t="s">
        <v>1669</v>
      </c>
      <c r="AF561" s="48" t="s">
        <v>1436</v>
      </c>
      <c r="AG561" s="48" t="s">
        <v>1436</v>
      </c>
      <c r="AH561" s="48" t="s">
        <v>208</v>
      </c>
      <c r="AI561" s="50">
        <v>44562</v>
      </c>
      <c r="AJ561" s="50">
        <v>46387</v>
      </c>
      <c r="AK561" s="49" t="s">
        <v>1280</v>
      </c>
      <c r="AL561" s="48" t="s">
        <v>36</v>
      </c>
      <c r="AM561" s="48" t="s">
        <v>36</v>
      </c>
      <c r="AN561" s="51">
        <v>1714.8194100000001</v>
      </c>
      <c r="AO561" s="51"/>
      <c r="AP561" s="51"/>
      <c r="AQ561" s="72">
        <v>1600000</v>
      </c>
      <c r="AR561" s="72">
        <v>50000</v>
      </c>
      <c r="AS561" s="50">
        <v>46387</v>
      </c>
      <c r="AT561" s="50" t="s">
        <v>1436</v>
      </c>
      <c r="AU561" s="49" t="s">
        <v>1436</v>
      </c>
      <c r="AV561" s="49" t="s">
        <v>1670</v>
      </c>
      <c r="AW561" s="48" t="s">
        <v>1244</v>
      </c>
    </row>
    <row r="562" spans="1:49" x14ac:dyDescent="0.3">
      <c r="A562" s="48" t="s">
        <v>1320</v>
      </c>
      <c r="B562" s="48" t="s">
        <v>6</v>
      </c>
      <c r="C562" s="48" t="s">
        <v>1322</v>
      </c>
      <c r="D562" s="50">
        <v>46203</v>
      </c>
      <c r="E562" s="48" t="s">
        <v>36</v>
      </c>
      <c r="F562" s="48" t="s">
        <v>1433</v>
      </c>
      <c r="G562" s="48" t="s">
        <v>1447</v>
      </c>
      <c r="H562" s="49" t="s">
        <v>1448</v>
      </c>
      <c r="I562" s="48" t="s">
        <v>1413</v>
      </c>
      <c r="J562" s="48" t="s">
        <v>40</v>
      </c>
      <c r="K562" s="48" t="s">
        <v>58</v>
      </c>
      <c r="L562" s="48" t="s">
        <v>38</v>
      </c>
      <c r="M562" s="48" t="s">
        <v>37</v>
      </c>
      <c r="N562" s="48" t="s">
        <v>1436</v>
      </c>
      <c r="O562" s="48" t="s">
        <v>1436</v>
      </c>
      <c r="P562" s="48" t="s">
        <v>1436</v>
      </c>
      <c r="Q562" s="48" t="s">
        <v>38</v>
      </c>
      <c r="R562" s="48" t="s">
        <v>39</v>
      </c>
      <c r="S562" s="48" t="s">
        <v>40</v>
      </c>
      <c r="T562" s="48" t="s">
        <v>41</v>
      </c>
      <c r="U562" s="48" t="s">
        <v>1436</v>
      </c>
      <c r="V562" s="48" t="s">
        <v>1436</v>
      </c>
      <c r="W562" s="48" t="s">
        <v>1436</v>
      </c>
      <c r="X562" s="49" t="s">
        <v>193</v>
      </c>
      <c r="Y562" s="48" t="s">
        <v>1194</v>
      </c>
      <c r="Z562" s="49" t="s">
        <v>1321</v>
      </c>
      <c r="AA562" s="48" t="s">
        <v>1324</v>
      </c>
      <c r="AB562" s="48" t="s">
        <v>1325</v>
      </c>
      <c r="AC562" s="48" t="s">
        <v>1239</v>
      </c>
      <c r="AD562" s="48" t="s">
        <v>1231</v>
      </c>
      <c r="AE562" s="48" t="s">
        <v>1669</v>
      </c>
      <c r="AF562" s="48" t="s">
        <v>1436</v>
      </c>
      <c r="AG562" s="48" t="s">
        <v>1436</v>
      </c>
      <c r="AH562" s="48" t="s">
        <v>208</v>
      </c>
      <c r="AI562" s="50">
        <v>44562</v>
      </c>
      <c r="AJ562" s="50">
        <v>46387</v>
      </c>
      <c r="AK562" s="49" t="s">
        <v>1280</v>
      </c>
      <c r="AL562" s="48" t="s">
        <v>36</v>
      </c>
      <c r="AM562" s="48" t="s">
        <v>36</v>
      </c>
      <c r="AN562" s="51">
        <v>-50000</v>
      </c>
      <c r="AO562" s="51"/>
      <c r="AP562" s="51"/>
      <c r="AQ562" s="72">
        <v>1600000</v>
      </c>
      <c r="AR562" s="72">
        <v>50000</v>
      </c>
      <c r="AS562" s="50">
        <v>46387</v>
      </c>
      <c r="AT562" s="50" t="s">
        <v>1436</v>
      </c>
      <c r="AU562" s="49" t="s">
        <v>1436</v>
      </c>
      <c r="AV562" s="49" t="s">
        <v>1670</v>
      </c>
      <c r="AW562" s="48" t="s">
        <v>1244</v>
      </c>
    </row>
    <row r="563" spans="1:49" x14ac:dyDescent="0.3">
      <c r="A563" s="48" t="s">
        <v>1320</v>
      </c>
      <c r="B563" s="48" t="s">
        <v>6</v>
      </c>
      <c r="C563" s="48" t="s">
        <v>1322</v>
      </c>
      <c r="D563" s="50">
        <v>46203</v>
      </c>
      <c r="E563" s="48" t="s">
        <v>36</v>
      </c>
      <c r="F563" s="48" t="s">
        <v>1433</v>
      </c>
      <c r="G563" s="48" t="s">
        <v>1447</v>
      </c>
      <c r="H563" s="49" t="s">
        <v>1449</v>
      </c>
      <c r="I563" s="48" t="s">
        <v>1409</v>
      </c>
      <c r="J563" s="48" t="s">
        <v>40</v>
      </c>
      <c r="K563" s="48" t="s">
        <v>45</v>
      </c>
      <c r="L563" s="48" t="s">
        <v>38</v>
      </c>
      <c r="M563" s="48" t="s">
        <v>37</v>
      </c>
      <c r="N563" s="48" t="s">
        <v>1436</v>
      </c>
      <c r="O563" s="48" t="s">
        <v>1436</v>
      </c>
      <c r="P563" s="48" t="s">
        <v>1436</v>
      </c>
      <c r="Q563" s="48" t="s">
        <v>38</v>
      </c>
      <c r="R563" s="48" t="s">
        <v>39</v>
      </c>
      <c r="S563" s="48" t="s">
        <v>40</v>
      </c>
      <c r="T563" s="48" t="s">
        <v>41</v>
      </c>
      <c r="U563" s="48" t="s">
        <v>1436</v>
      </c>
      <c r="V563" s="48" t="s">
        <v>1436</v>
      </c>
      <c r="W563" s="48" t="s">
        <v>1436</v>
      </c>
      <c r="X563" s="49" t="s">
        <v>193</v>
      </c>
      <c r="Y563" s="48" t="s">
        <v>1194</v>
      </c>
      <c r="Z563" s="49" t="s">
        <v>1321</v>
      </c>
      <c r="AA563" s="48" t="s">
        <v>1324</v>
      </c>
      <c r="AB563" s="48" t="s">
        <v>1325</v>
      </c>
      <c r="AC563" s="48" t="s">
        <v>1239</v>
      </c>
      <c r="AD563" s="48" t="s">
        <v>1231</v>
      </c>
      <c r="AE563" s="48" t="s">
        <v>1669</v>
      </c>
      <c r="AF563" s="48" t="s">
        <v>1436</v>
      </c>
      <c r="AG563" s="48" t="s">
        <v>1436</v>
      </c>
      <c r="AH563" s="48" t="s">
        <v>208</v>
      </c>
      <c r="AI563" s="50">
        <v>44562</v>
      </c>
      <c r="AJ563" s="50">
        <v>46387</v>
      </c>
      <c r="AK563" s="49" t="s">
        <v>1280</v>
      </c>
      <c r="AL563" s="48" t="s">
        <v>36</v>
      </c>
      <c r="AM563" s="48" t="s">
        <v>36</v>
      </c>
      <c r="AN563" s="51">
        <v>0</v>
      </c>
      <c r="AO563" s="51"/>
      <c r="AP563" s="51"/>
      <c r="AQ563" s="72">
        <v>1600000</v>
      </c>
      <c r="AR563" s="72">
        <v>50000</v>
      </c>
      <c r="AS563" s="50">
        <v>46387</v>
      </c>
      <c r="AT563" s="50" t="s">
        <v>1436</v>
      </c>
      <c r="AU563" s="49" t="s">
        <v>1436</v>
      </c>
      <c r="AV563" s="49" t="s">
        <v>1670</v>
      </c>
      <c r="AW563" s="48" t="s">
        <v>1244</v>
      </c>
    </row>
    <row r="564" spans="1:49" x14ac:dyDescent="0.3">
      <c r="A564" s="48" t="s">
        <v>1320</v>
      </c>
      <c r="B564" s="48" t="s">
        <v>6</v>
      </c>
      <c r="C564" s="48" t="s">
        <v>1322</v>
      </c>
      <c r="D564" s="50">
        <v>46203</v>
      </c>
      <c r="E564" s="48" t="s">
        <v>36</v>
      </c>
      <c r="F564" s="48" t="s">
        <v>1433</v>
      </c>
      <c r="G564" s="48" t="s">
        <v>1447</v>
      </c>
      <c r="H564" s="49" t="s">
        <v>1450</v>
      </c>
      <c r="I564" s="48" t="s">
        <v>1408</v>
      </c>
      <c r="J564" s="48" t="s">
        <v>40</v>
      </c>
      <c r="K564" s="48" t="s">
        <v>54</v>
      </c>
      <c r="L564" s="48" t="s">
        <v>38</v>
      </c>
      <c r="M564" s="48" t="s">
        <v>37</v>
      </c>
      <c r="N564" s="48" t="s">
        <v>1436</v>
      </c>
      <c r="O564" s="48" t="s">
        <v>1436</v>
      </c>
      <c r="P564" s="48" t="s">
        <v>1436</v>
      </c>
      <c r="Q564" s="48" t="s">
        <v>38</v>
      </c>
      <c r="R564" s="48" t="s">
        <v>39</v>
      </c>
      <c r="S564" s="48" t="s">
        <v>40</v>
      </c>
      <c r="T564" s="48" t="s">
        <v>41</v>
      </c>
      <c r="U564" s="48" t="s">
        <v>1436</v>
      </c>
      <c r="V564" s="48" t="s">
        <v>1436</v>
      </c>
      <c r="W564" s="48" t="s">
        <v>1436</v>
      </c>
      <c r="X564" s="49" t="s">
        <v>193</v>
      </c>
      <c r="Y564" s="48" t="s">
        <v>1194</v>
      </c>
      <c r="Z564" s="49" t="s">
        <v>1321</v>
      </c>
      <c r="AA564" s="48" t="s">
        <v>1324</v>
      </c>
      <c r="AB564" s="48" t="s">
        <v>1325</v>
      </c>
      <c r="AC564" s="48" t="s">
        <v>1239</v>
      </c>
      <c r="AD564" s="48" t="s">
        <v>1231</v>
      </c>
      <c r="AE564" s="48" t="s">
        <v>1669</v>
      </c>
      <c r="AF564" s="48" t="s">
        <v>1436</v>
      </c>
      <c r="AG564" s="48" t="s">
        <v>1436</v>
      </c>
      <c r="AH564" s="48" t="s">
        <v>208</v>
      </c>
      <c r="AI564" s="50">
        <v>44562</v>
      </c>
      <c r="AJ564" s="50">
        <v>46387</v>
      </c>
      <c r="AK564" s="49" t="s">
        <v>1280</v>
      </c>
      <c r="AL564" s="48" t="s">
        <v>36</v>
      </c>
      <c r="AM564" s="48" t="s">
        <v>36</v>
      </c>
      <c r="AN564" s="51">
        <v>48005.150544999997</v>
      </c>
      <c r="AO564" s="51"/>
      <c r="AP564" s="51"/>
      <c r="AQ564" s="72">
        <v>1600000</v>
      </c>
      <c r="AR564" s="72">
        <v>50000</v>
      </c>
      <c r="AS564" s="50">
        <v>46387</v>
      </c>
      <c r="AT564" s="50" t="s">
        <v>1436</v>
      </c>
      <c r="AU564" s="49" t="s">
        <v>1436</v>
      </c>
      <c r="AV564" s="49" t="s">
        <v>1670</v>
      </c>
      <c r="AW564" s="48" t="s">
        <v>1244</v>
      </c>
    </row>
    <row r="565" spans="1:49" x14ac:dyDescent="0.3">
      <c r="A565" s="48" t="s">
        <v>1320</v>
      </c>
      <c r="B565" s="48" t="s">
        <v>6</v>
      </c>
      <c r="C565" s="48" t="s">
        <v>1322</v>
      </c>
      <c r="D565" s="50">
        <v>46203</v>
      </c>
      <c r="E565" s="48" t="s">
        <v>36</v>
      </c>
      <c r="F565" s="48" t="s">
        <v>1433</v>
      </c>
      <c r="G565" s="48" t="s">
        <v>1447</v>
      </c>
      <c r="H565" s="49" t="s">
        <v>1451</v>
      </c>
      <c r="I565" s="48" t="s">
        <v>1404</v>
      </c>
      <c r="J565" s="48" t="s">
        <v>38</v>
      </c>
      <c r="K565" s="48" t="s">
        <v>49</v>
      </c>
      <c r="L565" s="48" t="s">
        <v>38</v>
      </c>
      <c r="M565" s="48" t="s">
        <v>37</v>
      </c>
      <c r="N565" s="48" t="s">
        <v>1436</v>
      </c>
      <c r="O565" s="48" t="s">
        <v>1436</v>
      </c>
      <c r="P565" s="48" t="s">
        <v>1436</v>
      </c>
      <c r="Q565" s="48" t="s">
        <v>38</v>
      </c>
      <c r="R565" s="48" t="s">
        <v>39</v>
      </c>
      <c r="S565" s="48" t="s">
        <v>38</v>
      </c>
      <c r="T565" s="48" t="s">
        <v>41</v>
      </c>
      <c r="U565" s="48" t="s">
        <v>1436</v>
      </c>
      <c r="V565" s="48" t="s">
        <v>1436</v>
      </c>
      <c r="W565" s="48" t="s">
        <v>1436</v>
      </c>
      <c r="X565" s="49" t="s">
        <v>193</v>
      </c>
      <c r="Y565" s="48" t="s">
        <v>1194</v>
      </c>
      <c r="Z565" s="49" t="s">
        <v>1321</v>
      </c>
      <c r="AA565" s="48" t="s">
        <v>1324</v>
      </c>
      <c r="AB565" s="48" t="s">
        <v>1325</v>
      </c>
      <c r="AC565" s="48" t="s">
        <v>1239</v>
      </c>
      <c r="AD565" s="48" t="s">
        <v>1231</v>
      </c>
      <c r="AE565" s="48" t="s">
        <v>1669</v>
      </c>
      <c r="AF565" s="48" t="s">
        <v>1436</v>
      </c>
      <c r="AG565" s="48" t="s">
        <v>1436</v>
      </c>
      <c r="AH565" s="48" t="s">
        <v>208</v>
      </c>
      <c r="AI565" s="50">
        <v>44562</v>
      </c>
      <c r="AJ565" s="50">
        <v>46387</v>
      </c>
      <c r="AK565" s="49" t="s">
        <v>1280</v>
      </c>
      <c r="AL565" s="48" t="s">
        <v>36</v>
      </c>
      <c r="AM565" s="48" t="s">
        <v>36</v>
      </c>
      <c r="AN565" s="51">
        <v>280.03004499999997</v>
      </c>
      <c r="AO565" s="51"/>
      <c r="AP565" s="51"/>
      <c r="AQ565" s="72">
        <v>1600000</v>
      </c>
      <c r="AR565" s="72">
        <v>50000</v>
      </c>
      <c r="AS565" s="50">
        <v>46387</v>
      </c>
      <c r="AT565" s="50" t="s">
        <v>1436</v>
      </c>
      <c r="AU565" s="49" t="s">
        <v>1436</v>
      </c>
      <c r="AV565" s="49" t="s">
        <v>1670</v>
      </c>
      <c r="AW565" s="48" t="s">
        <v>1244</v>
      </c>
    </row>
    <row r="566" spans="1:49" x14ac:dyDescent="0.3">
      <c r="A566" s="48" t="s">
        <v>1320</v>
      </c>
      <c r="B566" s="48" t="s">
        <v>6</v>
      </c>
      <c r="C566" s="48" t="s">
        <v>1322</v>
      </c>
      <c r="D566" s="50">
        <v>46234</v>
      </c>
      <c r="E566" s="48" t="s">
        <v>36</v>
      </c>
      <c r="F566" s="48" t="s">
        <v>1433</v>
      </c>
      <c r="G566" s="48" t="s">
        <v>1434</v>
      </c>
      <c r="H566" s="49" t="s">
        <v>1435</v>
      </c>
      <c r="I566" s="48" t="s">
        <v>1412</v>
      </c>
      <c r="J566" s="48" t="s">
        <v>40</v>
      </c>
      <c r="K566" s="48" t="s">
        <v>52</v>
      </c>
      <c r="L566" s="48" t="s">
        <v>38</v>
      </c>
      <c r="M566" s="48" t="s">
        <v>37</v>
      </c>
      <c r="N566" s="48" t="s">
        <v>1436</v>
      </c>
      <c r="O566" s="48" t="s">
        <v>1436</v>
      </c>
      <c r="P566" s="48" t="s">
        <v>1436</v>
      </c>
      <c r="Q566" s="48" t="s">
        <v>38</v>
      </c>
      <c r="R566" s="48" t="s">
        <v>39</v>
      </c>
      <c r="S566" s="48" t="s">
        <v>40</v>
      </c>
      <c r="T566" s="48" t="s">
        <v>41</v>
      </c>
      <c r="U566" s="48" t="s">
        <v>1436</v>
      </c>
      <c r="V566" s="48" t="s">
        <v>1436</v>
      </c>
      <c r="W566" s="48" t="s">
        <v>1436</v>
      </c>
      <c r="X566" s="49" t="s">
        <v>193</v>
      </c>
      <c r="Y566" s="48" t="s">
        <v>1194</v>
      </c>
      <c r="Z566" s="49" t="s">
        <v>1321</v>
      </c>
      <c r="AA566" s="48" t="s">
        <v>1324</v>
      </c>
      <c r="AB566" s="48" t="s">
        <v>1325</v>
      </c>
      <c r="AC566" s="48" t="s">
        <v>1239</v>
      </c>
      <c r="AD566" s="48" t="s">
        <v>1231</v>
      </c>
      <c r="AE566" s="48" t="s">
        <v>1669</v>
      </c>
      <c r="AF566" s="48" t="s">
        <v>1436</v>
      </c>
      <c r="AG566" s="48" t="s">
        <v>1436</v>
      </c>
      <c r="AH566" s="48" t="s">
        <v>208</v>
      </c>
      <c r="AI566" s="50">
        <v>44562</v>
      </c>
      <c r="AJ566" s="50">
        <v>46387</v>
      </c>
      <c r="AK566" s="49" t="s">
        <v>1280</v>
      </c>
      <c r="AL566" s="48" t="s">
        <v>36</v>
      </c>
      <c r="AM566" s="48" t="s">
        <v>36</v>
      </c>
      <c r="AN566" s="51">
        <v>-42330.49</v>
      </c>
      <c r="AO566" s="51"/>
      <c r="AP566" s="51"/>
      <c r="AQ566" s="72">
        <v>1600000</v>
      </c>
      <c r="AR566" s="72">
        <v>50000</v>
      </c>
      <c r="AS566" s="50">
        <v>46387</v>
      </c>
      <c r="AT566" s="50" t="s">
        <v>1436</v>
      </c>
      <c r="AU566" s="49" t="s">
        <v>1436</v>
      </c>
      <c r="AV566" s="49" t="s">
        <v>1670</v>
      </c>
      <c r="AW566" s="48" t="s">
        <v>1244</v>
      </c>
    </row>
    <row r="567" spans="1:49" x14ac:dyDescent="0.3">
      <c r="A567" s="48" t="s">
        <v>1320</v>
      </c>
      <c r="B567" s="48" t="s">
        <v>6</v>
      </c>
      <c r="C567" s="48" t="s">
        <v>1322</v>
      </c>
      <c r="D567" s="50">
        <v>46234</v>
      </c>
      <c r="E567" s="48" t="s">
        <v>36</v>
      </c>
      <c r="F567" s="48" t="s">
        <v>1433</v>
      </c>
      <c r="G567" s="48" t="s">
        <v>1434</v>
      </c>
      <c r="H567" s="49" t="s">
        <v>1437</v>
      </c>
      <c r="I567" s="48" t="s">
        <v>1410</v>
      </c>
      <c r="J567" s="48" t="s">
        <v>40</v>
      </c>
      <c r="K567" s="48" t="s">
        <v>42</v>
      </c>
      <c r="L567" s="48" t="s">
        <v>38</v>
      </c>
      <c r="M567" s="48" t="s">
        <v>37</v>
      </c>
      <c r="N567" s="48" t="s">
        <v>1436</v>
      </c>
      <c r="O567" s="48" t="s">
        <v>1436</v>
      </c>
      <c r="P567" s="48" t="s">
        <v>1436</v>
      </c>
      <c r="Q567" s="48" t="s">
        <v>38</v>
      </c>
      <c r="R567" s="48" t="s">
        <v>39</v>
      </c>
      <c r="S567" s="48" t="s">
        <v>40</v>
      </c>
      <c r="T567" s="48" t="s">
        <v>41</v>
      </c>
      <c r="U567" s="48" t="s">
        <v>1436</v>
      </c>
      <c r="V567" s="48" t="s">
        <v>1436</v>
      </c>
      <c r="W567" s="48" t="s">
        <v>1436</v>
      </c>
      <c r="X567" s="49" t="s">
        <v>193</v>
      </c>
      <c r="Y567" s="48" t="s">
        <v>1194</v>
      </c>
      <c r="Z567" s="49" t="s">
        <v>1321</v>
      </c>
      <c r="AA567" s="48" t="s">
        <v>1324</v>
      </c>
      <c r="AB567" s="48" t="s">
        <v>1325</v>
      </c>
      <c r="AC567" s="48" t="s">
        <v>1239</v>
      </c>
      <c r="AD567" s="48" t="s">
        <v>1231</v>
      </c>
      <c r="AE567" s="48" t="s">
        <v>1669</v>
      </c>
      <c r="AF567" s="48" t="s">
        <v>1436</v>
      </c>
      <c r="AG567" s="48" t="s">
        <v>1436</v>
      </c>
      <c r="AH567" s="48" t="s">
        <v>208</v>
      </c>
      <c r="AI567" s="50">
        <v>44562</v>
      </c>
      <c r="AJ567" s="50">
        <v>46387</v>
      </c>
      <c r="AK567" s="49" t="s">
        <v>1280</v>
      </c>
      <c r="AL567" s="48" t="s">
        <v>36</v>
      </c>
      <c r="AM567" s="48" t="s">
        <v>36</v>
      </c>
      <c r="AN567" s="51">
        <v>0</v>
      </c>
      <c r="AO567" s="51"/>
      <c r="AP567" s="51"/>
      <c r="AQ567" s="72">
        <v>1600000</v>
      </c>
      <c r="AR567" s="72">
        <v>50000</v>
      </c>
      <c r="AS567" s="50">
        <v>46387</v>
      </c>
      <c r="AT567" s="50" t="s">
        <v>1436</v>
      </c>
      <c r="AU567" s="49" t="s">
        <v>1436</v>
      </c>
      <c r="AV567" s="49" t="s">
        <v>1670</v>
      </c>
      <c r="AW567" s="48" t="s">
        <v>1244</v>
      </c>
    </row>
    <row r="568" spans="1:49" x14ac:dyDescent="0.3">
      <c r="A568" s="48" t="s">
        <v>1320</v>
      </c>
      <c r="B568" s="48" t="s">
        <v>6</v>
      </c>
      <c r="C568" s="48" t="s">
        <v>1322</v>
      </c>
      <c r="D568" s="50">
        <v>46234</v>
      </c>
      <c r="E568" s="48" t="s">
        <v>36</v>
      </c>
      <c r="F568" s="48" t="s">
        <v>1438</v>
      </c>
      <c r="G568" s="48" t="s">
        <v>1439</v>
      </c>
      <c r="H568" s="49" t="s">
        <v>1440</v>
      </c>
      <c r="I568" s="48" t="s">
        <v>1406</v>
      </c>
      <c r="J568" s="48" t="s">
        <v>1194</v>
      </c>
      <c r="K568" s="48" t="s">
        <v>1441</v>
      </c>
      <c r="L568" s="48" t="s">
        <v>38</v>
      </c>
      <c r="M568" s="48" t="s">
        <v>37</v>
      </c>
      <c r="N568" s="48" t="s">
        <v>1436</v>
      </c>
      <c r="O568" s="48" t="s">
        <v>1436</v>
      </c>
      <c r="P568" s="48" t="s">
        <v>1436</v>
      </c>
      <c r="Q568" s="48" t="s">
        <v>38</v>
      </c>
      <c r="R568" s="48" t="s">
        <v>39</v>
      </c>
      <c r="S568" s="48" t="s">
        <v>1194</v>
      </c>
      <c r="T568" s="48" t="s">
        <v>41</v>
      </c>
      <c r="U568" s="48" t="s">
        <v>1436</v>
      </c>
      <c r="V568" s="48" t="s">
        <v>1436</v>
      </c>
      <c r="W568" s="48" t="s">
        <v>1436</v>
      </c>
      <c r="X568" s="49" t="s">
        <v>193</v>
      </c>
      <c r="Y568" s="48" t="s">
        <v>1194</v>
      </c>
      <c r="Z568" s="49" t="s">
        <v>1321</v>
      </c>
      <c r="AA568" s="48" t="s">
        <v>1324</v>
      </c>
      <c r="AB568" s="48" t="s">
        <v>1325</v>
      </c>
      <c r="AC568" s="48" t="s">
        <v>1239</v>
      </c>
      <c r="AD568" s="48" t="s">
        <v>1231</v>
      </c>
      <c r="AE568" s="48" t="s">
        <v>1669</v>
      </c>
      <c r="AF568" s="48" t="s">
        <v>1436</v>
      </c>
      <c r="AG568" s="48" t="s">
        <v>1436</v>
      </c>
      <c r="AH568" s="48" t="s">
        <v>208</v>
      </c>
      <c r="AI568" s="50">
        <v>44562</v>
      </c>
      <c r="AJ568" s="50">
        <v>46387</v>
      </c>
      <c r="AK568" s="49" t="s">
        <v>1280</v>
      </c>
      <c r="AL568" s="48" t="s">
        <v>36</v>
      </c>
      <c r="AM568" s="48" t="s">
        <v>36</v>
      </c>
      <c r="AN568" s="51">
        <v>0</v>
      </c>
      <c r="AO568" s="51"/>
      <c r="AP568" s="51"/>
      <c r="AQ568" s="72">
        <v>1600000</v>
      </c>
      <c r="AR568" s="72">
        <v>50000</v>
      </c>
      <c r="AS568" s="50">
        <v>46387</v>
      </c>
      <c r="AT568" s="50" t="s">
        <v>1436</v>
      </c>
      <c r="AU568" s="49" t="s">
        <v>1436</v>
      </c>
      <c r="AV568" s="49" t="s">
        <v>1670</v>
      </c>
      <c r="AW568" s="48" t="s">
        <v>1244</v>
      </c>
    </row>
    <row r="569" spans="1:49" x14ac:dyDescent="0.3">
      <c r="A569" s="48" t="s">
        <v>1320</v>
      </c>
      <c r="B569" s="48" t="s">
        <v>6</v>
      </c>
      <c r="C569" s="48" t="s">
        <v>1322</v>
      </c>
      <c r="D569" s="50">
        <v>46234</v>
      </c>
      <c r="E569" s="48" t="s">
        <v>36</v>
      </c>
      <c r="F569" s="48" t="s">
        <v>1438</v>
      </c>
      <c r="G569" s="48" t="s">
        <v>1439</v>
      </c>
      <c r="H569" s="49" t="s">
        <v>1442</v>
      </c>
      <c r="I569" s="48" t="s">
        <v>1405</v>
      </c>
      <c r="J569" s="48" t="s">
        <v>1194</v>
      </c>
      <c r="K569" s="48" t="s">
        <v>1443</v>
      </c>
      <c r="L569" s="48" t="s">
        <v>38</v>
      </c>
      <c r="M569" s="48" t="s">
        <v>37</v>
      </c>
      <c r="N569" s="48" t="s">
        <v>1436</v>
      </c>
      <c r="O569" s="48" t="s">
        <v>1436</v>
      </c>
      <c r="P569" s="48" t="s">
        <v>1436</v>
      </c>
      <c r="Q569" s="48" t="s">
        <v>38</v>
      </c>
      <c r="R569" s="48" t="s">
        <v>39</v>
      </c>
      <c r="S569" s="48" t="s">
        <v>1194</v>
      </c>
      <c r="T569" s="48" t="s">
        <v>41</v>
      </c>
      <c r="U569" s="48" t="s">
        <v>1436</v>
      </c>
      <c r="V569" s="48" t="s">
        <v>1436</v>
      </c>
      <c r="W569" s="48" t="s">
        <v>1436</v>
      </c>
      <c r="X569" s="49" t="s">
        <v>193</v>
      </c>
      <c r="Y569" s="48" t="s">
        <v>1194</v>
      </c>
      <c r="Z569" s="49" t="s">
        <v>1321</v>
      </c>
      <c r="AA569" s="48" t="s">
        <v>1324</v>
      </c>
      <c r="AB569" s="48" t="s">
        <v>1325</v>
      </c>
      <c r="AC569" s="48" t="s">
        <v>1239</v>
      </c>
      <c r="AD569" s="48" t="s">
        <v>1231</v>
      </c>
      <c r="AE569" s="48" t="s">
        <v>1669</v>
      </c>
      <c r="AF569" s="48" t="s">
        <v>1436</v>
      </c>
      <c r="AG569" s="48" t="s">
        <v>1436</v>
      </c>
      <c r="AH569" s="48" t="s">
        <v>208</v>
      </c>
      <c r="AI569" s="50">
        <v>44562</v>
      </c>
      <c r="AJ569" s="50">
        <v>46387</v>
      </c>
      <c r="AK569" s="49" t="s">
        <v>1280</v>
      </c>
      <c r="AL569" s="48" t="s">
        <v>36</v>
      </c>
      <c r="AM569" s="48" t="s">
        <v>36</v>
      </c>
      <c r="AN569" s="51">
        <v>0</v>
      </c>
      <c r="AO569" s="51"/>
      <c r="AP569" s="51"/>
      <c r="AQ569" s="72">
        <v>1600000</v>
      </c>
      <c r="AR569" s="72">
        <v>50000</v>
      </c>
      <c r="AS569" s="50">
        <v>46387</v>
      </c>
      <c r="AT569" s="50" t="s">
        <v>1436</v>
      </c>
      <c r="AU569" s="49" t="s">
        <v>1436</v>
      </c>
      <c r="AV569" s="49" t="s">
        <v>1670</v>
      </c>
      <c r="AW569" s="48" t="s">
        <v>1244</v>
      </c>
    </row>
    <row r="570" spans="1:49" x14ac:dyDescent="0.3">
      <c r="A570" s="48" t="s">
        <v>1320</v>
      </c>
      <c r="B570" s="48" t="s">
        <v>6</v>
      </c>
      <c r="C570" s="48" t="s">
        <v>1322</v>
      </c>
      <c r="D570" s="50">
        <v>46234</v>
      </c>
      <c r="E570" s="48" t="s">
        <v>36</v>
      </c>
      <c r="F570" s="48" t="s">
        <v>1438</v>
      </c>
      <c r="G570" s="48" t="s">
        <v>1444</v>
      </c>
      <c r="H570" s="49" t="s">
        <v>1445</v>
      </c>
      <c r="I570" s="48" t="s">
        <v>1411</v>
      </c>
      <c r="J570" s="48" t="s">
        <v>40</v>
      </c>
      <c r="K570" s="48" t="s">
        <v>50</v>
      </c>
      <c r="L570" s="48" t="s">
        <v>38</v>
      </c>
      <c r="M570" s="48" t="s">
        <v>37</v>
      </c>
      <c r="N570" s="48" t="s">
        <v>1436</v>
      </c>
      <c r="O570" s="48" t="s">
        <v>1436</v>
      </c>
      <c r="P570" s="48" t="s">
        <v>1436</v>
      </c>
      <c r="Q570" s="48" t="s">
        <v>38</v>
      </c>
      <c r="R570" s="48" t="s">
        <v>39</v>
      </c>
      <c r="S570" s="48" t="s">
        <v>40</v>
      </c>
      <c r="T570" s="48" t="s">
        <v>41</v>
      </c>
      <c r="U570" s="48" t="s">
        <v>1436</v>
      </c>
      <c r="V570" s="48" t="s">
        <v>1436</v>
      </c>
      <c r="W570" s="48" t="s">
        <v>1436</v>
      </c>
      <c r="X570" s="49" t="s">
        <v>193</v>
      </c>
      <c r="Y570" s="48" t="s">
        <v>1194</v>
      </c>
      <c r="Z570" s="49" t="s">
        <v>1321</v>
      </c>
      <c r="AA570" s="48" t="s">
        <v>1324</v>
      </c>
      <c r="AB570" s="48" t="s">
        <v>1325</v>
      </c>
      <c r="AC570" s="48" t="s">
        <v>1239</v>
      </c>
      <c r="AD570" s="48" t="s">
        <v>1231</v>
      </c>
      <c r="AE570" s="48" t="s">
        <v>1669</v>
      </c>
      <c r="AF570" s="48" t="s">
        <v>1436</v>
      </c>
      <c r="AG570" s="48" t="s">
        <v>1436</v>
      </c>
      <c r="AH570" s="48" t="s">
        <v>208</v>
      </c>
      <c r="AI570" s="50">
        <v>44562</v>
      </c>
      <c r="AJ570" s="50">
        <v>46387</v>
      </c>
      <c r="AK570" s="49" t="s">
        <v>1280</v>
      </c>
      <c r="AL570" s="48" t="s">
        <v>36</v>
      </c>
      <c r="AM570" s="48" t="s">
        <v>36</v>
      </c>
      <c r="AN570" s="51">
        <v>42330.49</v>
      </c>
      <c r="AO570" s="51"/>
      <c r="AP570" s="51"/>
      <c r="AQ570" s="72">
        <v>1600000</v>
      </c>
      <c r="AR570" s="72">
        <v>50000</v>
      </c>
      <c r="AS570" s="50">
        <v>46387</v>
      </c>
      <c r="AT570" s="50" t="s">
        <v>1436</v>
      </c>
      <c r="AU570" s="49" t="s">
        <v>1436</v>
      </c>
      <c r="AV570" s="49" t="s">
        <v>1670</v>
      </c>
      <c r="AW570" s="48" t="s">
        <v>1244</v>
      </c>
    </row>
    <row r="571" spans="1:49" x14ac:dyDescent="0.3">
      <c r="A571" s="48" t="s">
        <v>1320</v>
      </c>
      <c r="B571" s="48" t="s">
        <v>6</v>
      </c>
      <c r="C571" s="48" t="s">
        <v>1322</v>
      </c>
      <c r="D571" s="50">
        <v>46234</v>
      </c>
      <c r="E571" s="48" t="s">
        <v>36</v>
      </c>
      <c r="F571" s="48" t="s">
        <v>1438</v>
      </c>
      <c r="G571" s="48" t="s">
        <v>1444</v>
      </c>
      <c r="H571" s="49" t="s">
        <v>1446</v>
      </c>
      <c r="I571" s="48" t="s">
        <v>1407</v>
      </c>
      <c r="J571" s="48" t="s">
        <v>40</v>
      </c>
      <c r="K571" s="48" t="s">
        <v>47</v>
      </c>
      <c r="L571" s="48" t="s">
        <v>38</v>
      </c>
      <c r="M571" s="48" t="s">
        <v>37</v>
      </c>
      <c r="N571" s="48" t="s">
        <v>1436</v>
      </c>
      <c r="O571" s="48" t="s">
        <v>1436</v>
      </c>
      <c r="P571" s="48" t="s">
        <v>1436</v>
      </c>
      <c r="Q571" s="48" t="s">
        <v>38</v>
      </c>
      <c r="R571" s="48" t="s">
        <v>39</v>
      </c>
      <c r="S571" s="48" t="s">
        <v>40</v>
      </c>
      <c r="T571" s="48" t="s">
        <v>41</v>
      </c>
      <c r="U571" s="48" t="s">
        <v>1436</v>
      </c>
      <c r="V571" s="48" t="s">
        <v>1436</v>
      </c>
      <c r="W571" s="48" t="s">
        <v>1436</v>
      </c>
      <c r="X571" s="49" t="s">
        <v>193</v>
      </c>
      <c r="Y571" s="48" t="s">
        <v>1194</v>
      </c>
      <c r="Z571" s="49" t="s">
        <v>1321</v>
      </c>
      <c r="AA571" s="48" t="s">
        <v>1324</v>
      </c>
      <c r="AB571" s="48" t="s">
        <v>1325</v>
      </c>
      <c r="AC571" s="48" t="s">
        <v>1239</v>
      </c>
      <c r="AD571" s="48" t="s">
        <v>1231</v>
      </c>
      <c r="AE571" s="48" t="s">
        <v>1669</v>
      </c>
      <c r="AF571" s="48" t="s">
        <v>1436</v>
      </c>
      <c r="AG571" s="48" t="s">
        <v>1436</v>
      </c>
      <c r="AH571" s="48" t="s">
        <v>208</v>
      </c>
      <c r="AI571" s="50">
        <v>44562</v>
      </c>
      <c r="AJ571" s="50">
        <v>46387</v>
      </c>
      <c r="AK571" s="49" t="s">
        <v>1280</v>
      </c>
      <c r="AL571" s="48" t="s">
        <v>36</v>
      </c>
      <c r="AM571" s="48" t="s">
        <v>36</v>
      </c>
      <c r="AN571" s="51">
        <v>1433.1558560000001</v>
      </c>
      <c r="AO571" s="51"/>
      <c r="AP571" s="51"/>
      <c r="AQ571" s="72">
        <v>1600000</v>
      </c>
      <c r="AR571" s="72">
        <v>50000</v>
      </c>
      <c r="AS571" s="50">
        <v>46387</v>
      </c>
      <c r="AT571" s="50" t="s">
        <v>1436</v>
      </c>
      <c r="AU571" s="49" t="s">
        <v>1436</v>
      </c>
      <c r="AV571" s="49" t="s">
        <v>1670</v>
      </c>
      <c r="AW571" s="48" t="s">
        <v>1244</v>
      </c>
    </row>
    <row r="572" spans="1:49" x14ac:dyDescent="0.3">
      <c r="A572" s="48" t="s">
        <v>1320</v>
      </c>
      <c r="B572" s="48" t="s">
        <v>6</v>
      </c>
      <c r="C572" s="48" t="s">
        <v>1322</v>
      </c>
      <c r="D572" s="50">
        <v>46234</v>
      </c>
      <c r="E572" s="48" t="s">
        <v>36</v>
      </c>
      <c r="F572" s="48" t="s">
        <v>1433</v>
      </c>
      <c r="G572" s="48" t="s">
        <v>1447</v>
      </c>
      <c r="H572" s="49" t="s">
        <v>1448</v>
      </c>
      <c r="I572" s="48" t="s">
        <v>1413</v>
      </c>
      <c r="J572" s="48" t="s">
        <v>40</v>
      </c>
      <c r="K572" s="48" t="s">
        <v>58</v>
      </c>
      <c r="L572" s="48" t="s">
        <v>38</v>
      </c>
      <c r="M572" s="48" t="s">
        <v>37</v>
      </c>
      <c r="N572" s="48" t="s">
        <v>1436</v>
      </c>
      <c r="O572" s="48" t="s">
        <v>1436</v>
      </c>
      <c r="P572" s="48" t="s">
        <v>1436</v>
      </c>
      <c r="Q572" s="48" t="s">
        <v>38</v>
      </c>
      <c r="R572" s="48" t="s">
        <v>39</v>
      </c>
      <c r="S572" s="48" t="s">
        <v>40</v>
      </c>
      <c r="T572" s="48" t="s">
        <v>41</v>
      </c>
      <c r="U572" s="48" t="s">
        <v>1436</v>
      </c>
      <c r="V572" s="48" t="s">
        <v>1436</v>
      </c>
      <c r="W572" s="48" t="s">
        <v>1436</v>
      </c>
      <c r="X572" s="49" t="s">
        <v>193</v>
      </c>
      <c r="Y572" s="48" t="s">
        <v>1194</v>
      </c>
      <c r="Z572" s="49" t="s">
        <v>1321</v>
      </c>
      <c r="AA572" s="48" t="s">
        <v>1324</v>
      </c>
      <c r="AB572" s="48" t="s">
        <v>1325</v>
      </c>
      <c r="AC572" s="48" t="s">
        <v>1239</v>
      </c>
      <c r="AD572" s="48" t="s">
        <v>1231</v>
      </c>
      <c r="AE572" s="48" t="s">
        <v>1669</v>
      </c>
      <c r="AF572" s="48" t="s">
        <v>1436</v>
      </c>
      <c r="AG572" s="48" t="s">
        <v>1436</v>
      </c>
      <c r="AH572" s="48" t="s">
        <v>208</v>
      </c>
      <c r="AI572" s="50">
        <v>44562</v>
      </c>
      <c r="AJ572" s="50">
        <v>46387</v>
      </c>
      <c r="AK572" s="49" t="s">
        <v>1280</v>
      </c>
      <c r="AL572" s="48" t="s">
        <v>36</v>
      </c>
      <c r="AM572" s="48" t="s">
        <v>36</v>
      </c>
      <c r="AN572" s="51">
        <v>-50000</v>
      </c>
      <c r="AO572" s="51"/>
      <c r="AP572" s="51"/>
      <c r="AQ572" s="72">
        <v>1600000</v>
      </c>
      <c r="AR572" s="72">
        <v>50000</v>
      </c>
      <c r="AS572" s="50">
        <v>46387</v>
      </c>
      <c r="AT572" s="50" t="s">
        <v>1436</v>
      </c>
      <c r="AU572" s="49" t="s">
        <v>1436</v>
      </c>
      <c r="AV572" s="49" t="s">
        <v>1670</v>
      </c>
      <c r="AW572" s="48" t="s">
        <v>1244</v>
      </c>
    </row>
    <row r="573" spans="1:49" x14ac:dyDescent="0.3">
      <c r="A573" s="48" t="s">
        <v>1320</v>
      </c>
      <c r="B573" s="48" t="s">
        <v>6</v>
      </c>
      <c r="C573" s="48" t="s">
        <v>1322</v>
      </c>
      <c r="D573" s="50">
        <v>46234</v>
      </c>
      <c r="E573" s="48" t="s">
        <v>36</v>
      </c>
      <c r="F573" s="48" t="s">
        <v>1433</v>
      </c>
      <c r="G573" s="48" t="s">
        <v>1447</v>
      </c>
      <c r="H573" s="49" t="s">
        <v>1449</v>
      </c>
      <c r="I573" s="48" t="s">
        <v>1409</v>
      </c>
      <c r="J573" s="48" t="s">
        <v>40</v>
      </c>
      <c r="K573" s="48" t="s">
        <v>45</v>
      </c>
      <c r="L573" s="48" t="s">
        <v>38</v>
      </c>
      <c r="M573" s="48" t="s">
        <v>37</v>
      </c>
      <c r="N573" s="48" t="s">
        <v>1436</v>
      </c>
      <c r="O573" s="48" t="s">
        <v>1436</v>
      </c>
      <c r="P573" s="48" t="s">
        <v>1436</v>
      </c>
      <c r="Q573" s="48" t="s">
        <v>38</v>
      </c>
      <c r="R573" s="48" t="s">
        <v>39</v>
      </c>
      <c r="S573" s="48" t="s">
        <v>40</v>
      </c>
      <c r="T573" s="48" t="s">
        <v>41</v>
      </c>
      <c r="U573" s="48" t="s">
        <v>1436</v>
      </c>
      <c r="V573" s="48" t="s">
        <v>1436</v>
      </c>
      <c r="W573" s="48" t="s">
        <v>1436</v>
      </c>
      <c r="X573" s="49" t="s">
        <v>193</v>
      </c>
      <c r="Y573" s="48" t="s">
        <v>1194</v>
      </c>
      <c r="Z573" s="49" t="s">
        <v>1321</v>
      </c>
      <c r="AA573" s="48" t="s">
        <v>1324</v>
      </c>
      <c r="AB573" s="48" t="s">
        <v>1325</v>
      </c>
      <c r="AC573" s="48" t="s">
        <v>1239</v>
      </c>
      <c r="AD573" s="48" t="s">
        <v>1231</v>
      </c>
      <c r="AE573" s="48" t="s">
        <v>1669</v>
      </c>
      <c r="AF573" s="48" t="s">
        <v>1436</v>
      </c>
      <c r="AG573" s="48" t="s">
        <v>1436</v>
      </c>
      <c r="AH573" s="48" t="s">
        <v>208</v>
      </c>
      <c r="AI573" s="50">
        <v>44562</v>
      </c>
      <c r="AJ573" s="50">
        <v>46387</v>
      </c>
      <c r="AK573" s="49" t="s">
        <v>1280</v>
      </c>
      <c r="AL573" s="48" t="s">
        <v>36</v>
      </c>
      <c r="AM573" s="48" t="s">
        <v>36</v>
      </c>
      <c r="AN573" s="51">
        <v>0</v>
      </c>
      <c r="AO573" s="51"/>
      <c r="AP573" s="51"/>
      <c r="AQ573" s="72">
        <v>1600000</v>
      </c>
      <c r="AR573" s="72">
        <v>50000</v>
      </c>
      <c r="AS573" s="50">
        <v>46387</v>
      </c>
      <c r="AT573" s="50" t="s">
        <v>1436</v>
      </c>
      <c r="AU573" s="49" t="s">
        <v>1436</v>
      </c>
      <c r="AV573" s="49" t="s">
        <v>1670</v>
      </c>
      <c r="AW573" s="48" t="s">
        <v>1244</v>
      </c>
    </row>
    <row r="574" spans="1:49" x14ac:dyDescent="0.3">
      <c r="A574" s="48" t="s">
        <v>1320</v>
      </c>
      <c r="B574" s="48" t="s">
        <v>6</v>
      </c>
      <c r="C574" s="48" t="s">
        <v>1322</v>
      </c>
      <c r="D574" s="50">
        <v>46234</v>
      </c>
      <c r="E574" s="48" t="s">
        <v>36</v>
      </c>
      <c r="F574" s="48" t="s">
        <v>1433</v>
      </c>
      <c r="G574" s="48" t="s">
        <v>1447</v>
      </c>
      <c r="H574" s="49" t="s">
        <v>1450</v>
      </c>
      <c r="I574" s="48" t="s">
        <v>1408</v>
      </c>
      <c r="J574" s="48" t="s">
        <v>40</v>
      </c>
      <c r="K574" s="48" t="s">
        <v>54</v>
      </c>
      <c r="L574" s="48" t="s">
        <v>38</v>
      </c>
      <c r="M574" s="48" t="s">
        <v>37</v>
      </c>
      <c r="N574" s="48" t="s">
        <v>1436</v>
      </c>
      <c r="O574" s="48" t="s">
        <v>1436</v>
      </c>
      <c r="P574" s="48" t="s">
        <v>1436</v>
      </c>
      <c r="Q574" s="48" t="s">
        <v>38</v>
      </c>
      <c r="R574" s="48" t="s">
        <v>39</v>
      </c>
      <c r="S574" s="48" t="s">
        <v>40</v>
      </c>
      <c r="T574" s="48" t="s">
        <v>41</v>
      </c>
      <c r="U574" s="48" t="s">
        <v>1436</v>
      </c>
      <c r="V574" s="48" t="s">
        <v>1436</v>
      </c>
      <c r="W574" s="48" t="s">
        <v>1436</v>
      </c>
      <c r="X574" s="49" t="s">
        <v>193</v>
      </c>
      <c r="Y574" s="48" t="s">
        <v>1194</v>
      </c>
      <c r="Z574" s="49" t="s">
        <v>1321</v>
      </c>
      <c r="AA574" s="48" t="s">
        <v>1324</v>
      </c>
      <c r="AB574" s="48" t="s">
        <v>1325</v>
      </c>
      <c r="AC574" s="48" t="s">
        <v>1239</v>
      </c>
      <c r="AD574" s="48" t="s">
        <v>1231</v>
      </c>
      <c r="AE574" s="48" t="s">
        <v>1669</v>
      </c>
      <c r="AF574" s="48" t="s">
        <v>1436</v>
      </c>
      <c r="AG574" s="48" t="s">
        <v>1436</v>
      </c>
      <c r="AH574" s="48" t="s">
        <v>208</v>
      </c>
      <c r="AI574" s="50">
        <v>44562</v>
      </c>
      <c r="AJ574" s="50">
        <v>46387</v>
      </c>
      <c r="AK574" s="49" t="s">
        <v>1280</v>
      </c>
      <c r="AL574" s="48" t="s">
        <v>36</v>
      </c>
      <c r="AM574" s="48" t="s">
        <v>36</v>
      </c>
      <c r="AN574" s="51">
        <v>48285.180590000004</v>
      </c>
      <c r="AO574" s="51"/>
      <c r="AP574" s="51"/>
      <c r="AQ574" s="72">
        <v>1600000</v>
      </c>
      <c r="AR574" s="72">
        <v>50000</v>
      </c>
      <c r="AS574" s="50">
        <v>46387</v>
      </c>
      <c r="AT574" s="50" t="s">
        <v>1436</v>
      </c>
      <c r="AU574" s="49" t="s">
        <v>1436</v>
      </c>
      <c r="AV574" s="49" t="s">
        <v>1670</v>
      </c>
      <c r="AW574" s="48" t="s">
        <v>1244</v>
      </c>
    </row>
    <row r="575" spans="1:49" x14ac:dyDescent="0.3">
      <c r="A575" s="48" t="s">
        <v>1320</v>
      </c>
      <c r="B575" s="48" t="s">
        <v>6</v>
      </c>
      <c r="C575" s="48" t="s">
        <v>1322</v>
      </c>
      <c r="D575" s="50">
        <v>46234</v>
      </c>
      <c r="E575" s="48" t="s">
        <v>36</v>
      </c>
      <c r="F575" s="48" t="s">
        <v>1433</v>
      </c>
      <c r="G575" s="48" t="s">
        <v>1447</v>
      </c>
      <c r="H575" s="49" t="s">
        <v>1451</v>
      </c>
      <c r="I575" s="48" t="s">
        <v>1404</v>
      </c>
      <c r="J575" s="48" t="s">
        <v>38</v>
      </c>
      <c r="K575" s="48" t="s">
        <v>49</v>
      </c>
      <c r="L575" s="48" t="s">
        <v>38</v>
      </c>
      <c r="M575" s="48" t="s">
        <v>37</v>
      </c>
      <c r="N575" s="48" t="s">
        <v>1436</v>
      </c>
      <c r="O575" s="48" t="s">
        <v>1436</v>
      </c>
      <c r="P575" s="48" t="s">
        <v>1436</v>
      </c>
      <c r="Q575" s="48" t="s">
        <v>38</v>
      </c>
      <c r="R575" s="48" t="s">
        <v>39</v>
      </c>
      <c r="S575" s="48" t="s">
        <v>38</v>
      </c>
      <c r="T575" s="48" t="s">
        <v>41</v>
      </c>
      <c r="U575" s="48" t="s">
        <v>1436</v>
      </c>
      <c r="V575" s="48" t="s">
        <v>1436</v>
      </c>
      <c r="W575" s="48" t="s">
        <v>1436</v>
      </c>
      <c r="X575" s="49" t="s">
        <v>193</v>
      </c>
      <c r="Y575" s="48" t="s">
        <v>1194</v>
      </c>
      <c r="Z575" s="49" t="s">
        <v>1321</v>
      </c>
      <c r="AA575" s="48" t="s">
        <v>1324</v>
      </c>
      <c r="AB575" s="48" t="s">
        <v>1325</v>
      </c>
      <c r="AC575" s="48" t="s">
        <v>1239</v>
      </c>
      <c r="AD575" s="48" t="s">
        <v>1231</v>
      </c>
      <c r="AE575" s="48" t="s">
        <v>1669</v>
      </c>
      <c r="AF575" s="48" t="s">
        <v>1436</v>
      </c>
      <c r="AG575" s="48" t="s">
        <v>1436</v>
      </c>
      <c r="AH575" s="48" t="s">
        <v>208</v>
      </c>
      <c r="AI575" s="50">
        <v>44562</v>
      </c>
      <c r="AJ575" s="50">
        <v>46387</v>
      </c>
      <c r="AK575" s="49" t="s">
        <v>1280</v>
      </c>
      <c r="AL575" s="48" t="s">
        <v>36</v>
      </c>
      <c r="AM575" s="48" t="s">
        <v>36</v>
      </c>
      <c r="AN575" s="51">
        <v>281.66355399999998</v>
      </c>
      <c r="AO575" s="51"/>
      <c r="AP575" s="51"/>
      <c r="AQ575" s="72">
        <v>1600000</v>
      </c>
      <c r="AR575" s="72">
        <v>50000</v>
      </c>
      <c r="AS575" s="50">
        <v>46387</v>
      </c>
      <c r="AT575" s="50" t="s">
        <v>1436</v>
      </c>
      <c r="AU575" s="49" t="s">
        <v>1436</v>
      </c>
      <c r="AV575" s="49" t="s">
        <v>1670</v>
      </c>
      <c r="AW575" s="48" t="s">
        <v>1244</v>
      </c>
    </row>
    <row r="576" spans="1:49" x14ac:dyDescent="0.3">
      <c r="A576" s="48" t="s">
        <v>1320</v>
      </c>
      <c r="B576" s="48" t="s">
        <v>6</v>
      </c>
      <c r="C576" s="48" t="s">
        <v>1322</v>
      </c>
      <c r="D576" s="50">
        <v>46265</v>
      </c>
      <c r="E576" s="48" t="s">
        <v>36</v>
      </c>
      <c r="F576" s="48" t="s">
        <v>1433</v>
      </c>
      <c r="G576" s="48" t="s">
        <v>1434</v>
      </c>
      <c r="H576" s="49" t="s">
        <v>1435</v>
      </c>
      <c r="I576" s="48" t="s">
        <v>1412</v>
      </c>
      <c r="J576" s="48" t="s">
        <v>40</v>
      </c>
      <c r="K576" s="48" t="s">
        <v>52</v>
      </c>
      <c r="L576" s="48" t="s">
        <v>38</v>
      </c>
      <c r="M576" s="48" t="s">
        <v>37</v>
      </c>
      <c r="N576" s="48" t="s">
        <v>1436</v>
      </c>
      <c r="O576" s="48" t="s">
        <v>1436</v>
      </c>
      <c r="P576" s="48" t="s">
        <v>1436</v>
      </c>
      <c r="Q576" s="48" t="s">
        <v>38</v>
      </c>
      <c r="R576" s="48" t="s">
        <v>39</v>
      </c>
      <c r="S576" s="48" t="s">
        <v>40</v>
      </c>
      <c r="T576" s="48" t="s">
        <v>41</v>
      </c>
      <c r="U576" s="48" t="s">
        <v>1436</v>
      </c>
      <c r="V576" s="48" t="s">
        <v>1436</v>
      </c>
      <c r="W576" s="48" t="s">
        <v>1436</v>
      </c>
      <c r="X576" s="49" t="s">
        <v>193</v>
      </c>
      <c r="Y576" s="48" t="s">
        <v>1194</v>
      </c>
      <c r="Z576" s="49" t="s">
        <v>1321</v>
      </c>
      <c r="AA576" s="48" t="s">
        <v>1324</v>
      </c>
      <c r="AB576" s="48" t="s">
        <v>1325</v>
      </c>
      <c r="AC576" s="48" t="s">
        <v>1239</v>
      </c>
      <c r="AD576" s="48" t="s">
        <v>1231</v>
      </c>
      <c r="AE576" s="48" t="s">
        <v>1669</v>
      </c>
      <c r="AF576" s="48" t="s">
        <v>1436</v>
      </c>
      <c r="AG576" s="48" t="s">
        <v>1436</v>
      </c>
      <c r="AH576" s="48" t="s">
        <v>208</v>
      </c>
      <c r="AI576" s="50">
        <v>44562</v>
      </c>
      <c r="AJ576" s="50">
        <v>46387</v>
      </c>
      <c r="AK576" s="49" t="s">
        <v>1280</v>
      </c>
      <c r="AL576" s="48" t="s">
        <v>36</v>
      </c>
      <c r="AM576" s="48" t="s">
        <v>36</v>
      </c>
      <c r="AN576" s="51">
        <v>-42330.49</v>
      </c>
      <c r="AO576" s="51"/>
      <c r="AP576" s="51"/>
      <c r="AQ576" s="72">
        <v>1600000</v>
      </c>
      <c r="AR576" s="72">
        <v>50000</v>
      </c>
      <c r="AS576" s="50">
        <v>46387</v>
      </c>
      <c r="AT576" s="50" t="s">
        <v>1436</v>
      </c>
      <c r="AU576" s="49" t="s">
        <v>1436</v>
      </c>
      <c r="AV576" s="49" t="s">
        <v>1670</v>
      </c>
      <c r="AW576" s="48" t="s">
        <v>1244</v>
      </c>
    </row>
    <row r="577" spans="1:49" x14ac:dyDescent="0.3">
      <c r="A577" s="48" t="s">
        <v>1320</v>
      </c>
      <c r="B577" s="48" t="s">
        <v>6</v>
      </c>
      <c r="C577" s="48" t="s">
        <v>1322</v>
      </c>
      <c r="D577" s="50">
        <v>46265</v>
      </c>
      <c r="E577" s="48" t="s">
        <v>36</v>
      </c>
      <c r="F577" s="48" t="s">
        <v>1433</v>
      </c>
      <c r="G577" s="48" t="s">
        <v>1434</v>
      </c>
      <c r="H577" s="49" t="s">
        <v>1437</v>
      </c>
      <c r="I577" s="48" t="s">
        <v>1410</v>
      </c>
      <c r="J577" s="48" t="s">
        <v>40</v>
      </c>
      <c r="K577" s="48" t="s">
        <v>42</v>
      </c>
      <c r="L577" s="48" t="s">
        <v>38</v>
      </c>
      <c r="M577" s="48" t="s">
        <v>37</v>
      </c>
      <c r="N577" s="48" t="s">
        <v>1436</v>
      </c>
      <c r="O577" s="48" t="s">
        <v>1436</v>
      </c>
      <c r="P577" s="48" t="s">
        <v>1436</v>
      </c>
      <c r="Q577" s="48" t="s">
        <v>38</v>
      </c>
      <c r="R577" s="48" t="s">
        <v>39</v>
      </c>
      <c r="S577" s="48" t="s">
        <v>40</v>
      </c>
      <c r="T577" s="48" t="s">
        <v>41</v>
      </c>
      <c r="U577" s="48" t="s">
        <v>1436</v>
      </c>
      <c r="V577" s="48" t="s">
        <v>1436</v>
      </c>
      <c r="W577" s="48" t="s">
        <v>1436</v>
      </c>
      <c r="X577" s="49" t="s">
        <v>193</v>
      </c>
      <c r="Y577" s="48" t="s">
        <v>1194</v>
      </c>
      <c r="Z577" s="49" t="s">
        <v>1321</v>
      </c>
      <c r="AA577" s="48" t="s">
        <v>1324</v>
      </c>
      <c r="AB577" s="48" t="s">
        <v>1325</v>
      </c>
      <c r="AC577" s="48" t="s">
        <v>1239</v>
      </c>
      <c r="AD577" s="48" t="s">
        <v>1231</v>
      </c>
      <c r="AE577" s="48" t="s">
        <v>1669</v>
      </c>
      <c r="AF577" s="48" t="s">
        <v>1436</v>
      </c>
      <c r="AG577" s="48" t="s">
        <v>1436</v>
      </c>
      <c r="AH577" s="48" t="s">
        <v>208</v>
      </c>
      <c r="AI577" s="50">
        <v>44562</v>
      </c>
      <c r="AJ577" s="50">
        <v>46387</v>
      </c>
      <c r="AK577" s="49" t="s">
        <v>1280</v>
      </c>
      <c r="AL577" s="48" t="s">
        <v>36</v>
      </c>
      <c r="AM577" s="48" t="s">
        <v>36</v>
      </c>
      <c r="AN577" s="51">
        <v>0</v>
      </c>
      <c r="AO577" s="51"/>
      <c r="AP577" s="51"/>
      <c r="AQ577" s="72">
        <v>1600000</v>
      </c>
      <c r="AR577" s="72">
        <v>50000</v>
      </c>
      <c r="AS577" s="50">
        <v>46387</v>
      </c>
      <c r="AT577" s="50" t="s">
        <v>1436</v>
      </c>
      <c r="AU577" s="49" t="s">
        <v>1436</v>
      </c>
      <c r="AV577" s="49" t="s">
        <v>1670</v>
      </c>
      <c r="AW577" s="48" t="s">
        <v>1244</v>
      </c>
    </row>
    <row r="578" spans="1:49" x14ac:dyDescent="0.3">
      <c r="A578" s="48" t="s">
        <v>1320</v>
      </c>
      <c r="B578" s="48" t="s">
        <v>6</v>
      </c>
      <c r="C578" s="48" t="s">
        <v>1322</v>
      </c>
      <c r="D578" s="50">
        <v>46265</v>
      </c>
      <c r="E578" s="48" t="s">
        <v>36</v>
      </c>
      <c r="F578" s="48" t="s">
        <v>1438</v>
      </c>
      <c r="G578" s="48" t="s">
        <v>1439</v>
      </c>
      <c r="H578" s="49" t="s">
        <v>1440</v>
      </c>
      <c r="I578" s="48" t="s">
        <v>1406</v>
      </c>
      <c r="J578" s="48" t="s">
        <v>1194</v>
      </c>
      <c r="K578" s="48" t="s">
        <v>1441</v>
      </c>
      <c r="L578" s="48" t="s">
        <v>38</v>
      </c>
      <c r="M578" s="48" t="s">
        <v>37</v>
      </c>
      <c r="N578" s="48" t="s">
        <v>1436</v>
      </c>
      <c r="O578" s="48" t="s">
        <v>1436</v>
      </c>
      <c r="P578" s="48" t="s">
        <v>1436</v>
      </c>
      <c r="Q578" s="48" t="s">
        <v>38</v>
      </c>
      <c r="R578" s="48" t="s">
        <v>39</v>
      </c>
      <c r="S578" s="48" t="s">
        <v>1194</v>
      </c>
      <c r="T578" s="48" t="s">
        <v>41</v>
      </c>
      <c r="U578" s="48" t="s">
        <v>1436</v>
      </c>
      <c r="V578" s="48" t="s">
        <v>1436</v>
      </c>
      <c r="W578" s="48" t="s">
        <v>1436</v>
      </c>
      <c r="X578" s="49" t="s">
        <v>193</v>
      </c>
      <c r="Y578" s="48" t="s">
        <v>1194</v>
      </c>
      <c r="Z578" s="49" t="s">
        <v>1321</v>
      </c>
      <c r="AA578" s="48" t="s">
        <v>1324</v>
      </c>
      <c r="AB578" s="48" t="s">
        <v>1325</v>
      </c>
      <c r="AC578" s="48" t="s">
        <v>1239</v>
      </c>
      <c r="AD578" s="48" t="s">
        <v>1231</v>
      </c>
      <c r="AE578" s="48" t="s">
        <v>1669</v>
      </c>
      <c r="AF578" s="48" t="s">
        <v>1436</v>
      </c>
      <c r="AG578" s="48" t="s">
        <v>1436</v>
      </c>
      <c r="AH578" s="48" t="s">
        <v>208</v>
      </c>
      <c r="AI578" s="50">
        <v>44562</v>
      </c>
      <c r="AJ578" s="50">
        <v>46387</v>
      </c>
      <c r="AK578" s="49" t="s">
        <v>1280</v>
      </c>
      <c r="AL578" s="48" t="s">
        <v>36</v>
      </c>
      <c r="AM578" s="48" t="s">
        <v>36</v>
      </c>
      <c r="AN578" s="51">
        <v>0</v>
      </c>
      <c r="AO578" s="51"/>
      <c r="AP578" s="51"/>
      <c r="AQ578" s="72">
        <v>1600000</v>
      </c>
      <c r="AR578" s="72">
        <v>50000</v>
      </c>
      <c r="AS578" s="50">
        <v>46387</v>
      </c>
      <c r="AT578" s="50" t="s">
        <v>1436</v>
      </c>
      <c r="AU578" s="49" t="s">
        <v>1436</v>
      </c>
      <c r="AV578" s="49" t="s">
        <v>1670</v>
      </c>
      <c r="AW578" s="48" t="s">
        <v>1244</v>
      </c>
    </row>
    <row r="579" spans="1:49" x14ac:dyDescent="0.3">
      <c r="A579" s="48" t="s">
        <v>1320</v>
      </c>
      <c r="B579" s="48" t="s">
        <v>6</v>
      </c>
      <c r="C579" s="48" t="s">
        <v>1322</v>
      </c>
      <c r="D579" s="50">
        <v>46265</v>
      </c>
      <c r="E579" s="48" t="s">
        <v>36</v>
      </c>
      <c r="F579" s="48" t="s">
        <v>1438</v>
      </c>
      <c r="G579" s="48" t="s">
        <v>1439</v>
      </c>
      <c r="H579" s="49" t="s">
        <v>1442</v>
      </c>
      <c r="I579" s="48" t="s">
        <v>1405</v>
      </c>
      <c r="J579" s="48" t="s">
        <v>1194</v>
      </c>
      <c r="K579" s="48" t="s">
        <v>1443</v>
      </c>
      <c r="L579" s="48" t="s">
        <v>38</v>
      </c>
      <c r="M579" s="48" t="s">
        <v>37</v>
      </c>
      <c r="N579" s="48" t="s">
        <v>1436</v>
      </c>
      <c r="O579" s="48" t="s">
        <v>1436</v>
      </c>
      <c r="P579" s="48" t="s">
        <v>1436</v>
      </c>
      <c r="Q579" s="48" t="s">
        <v>38</v>
      </c>
      <c r="R579" s="48" t="s">
        <v>39</v>
      </c>
      <c r="S579" s="48" t="s">
        <v>1194</v>
      </c>
      <c r="T579" s="48" t="s">
        <v>41</v>
      </c>
      <c r="U579" s="48" t="s">
        <v>1436</v>
      </c>
      <c r="V579" s="48" t="s">
        <v>1436</v>
      </c>
      <c r="W579" s="48" t="s">
        <v>1436</v>
      </c>
      <c r="X579" s="49" t="s">
        <v>193</v>
      </c>
      <c r="Y579" s="48" t="s">
        <v>1194</v>
      </c>
      <c r="Z579" s="49" t="s">
        <v>1321</v>
      </c>
      <c r="AA579" s="48" t="s">
        <v>1324</v>
      </c>
      <c r="AB579" s="48" t="s">
        <v>1325</v>
      </c>
      <c r="AC579" s="48" t="s">
        <v>1239</v>
      </c>
      <c r="AD579" s="48" t="s">
        <v>1231</v>
      </c>
      <c r="AE579" s="48" t="s">
        <v>1669</v>
      </c>
      <c r="AF579" s="48" t="s">
        <v>1436</v>
      </c>
      <c r="AG579" s="48" t="s">
        <v>1436</v>
      </c>
      <c r="AH579" s="48" t="s">
        <v>208</v>
      </c>
      <c r="AI579" s="50">
        <v>44562</v>
      </c>
      <c r="AJ579" s="50">
        <v>46387</v>
      </c>
      <c r="AK579" s="49" t="s">
        <v>1280</v>
      </c>
      <c r="AL579" s="48" t="s">
        <v>36</v>
      </c>
      <c r="AM579" s="48" t="s">
        <v>36</v>
      </c>
      <c r="AN579" s="51">
        <v>0</v>
      </c>
      <c r="AO579" s="51"/>
      <c r="AP579" s="51"/>
      <c r="AQ579" s="72">
        <v>1600000</v>
      </c>
      <c r="AR579" s="72">
        <v>50000</v>
      </c>
      <c r="AS579" s="50">
        <v>46387</v>
      </c>
      <c r="AT579" s="50" t="s">
        <v>1436</v>
      </c>
      <c r="AU579" s="49" t="s">
        <v>1436</v>
      </c>
      <c r="AV579" s="49" t="s">
        <v>1670</v>
      </c>
      <c r="AW579" s="48" t="s">
        <v>1244</v>
      </c>
    </row>
    <row r="580" spans="1:49" x14ac:dyDescent="0.3">
      <c r="A580" s="48" t="s">
        <v>1320</v>
      </c>
      <c r="B580" s="48" t="s">
        <v>6</v>
      </c>
      <c r="C580" s="48" t="s">
        <v>1322</v>
      </c>
      <c r="D580" s="50">
        <v>46265</v>
      </c>
      <c r="E580" s="48" t="s">
        <v>36</v>
      </c>
      <c r="F580" s="48" t="s">
        <v>1438</v>
      </c>
      <c r="G580" s="48" t="s">
        <v>1444</v>
      </c>
      <c r="H580" s="49" t="s">
        <v>1445</v>
      </c>
      <c r="I580" s="48" t="s">
        <v>1411</v>
      </c>
      <c r="J580" s="48" t="s">
        <v>40</v>
      </c>
      <c r="K580" s="48" t="s">
        <v>50</v>
      </c>
      <c r="L580" s="48" t="s">
        <v>38</v>
      </c>
      <c r="M580" s="48" t="s">
        <v>37</v>
      </c>
      <c r="N580" s="48" t="s">
        <v>1436</v>
      </c>
      <c r="O580" s="48" t="s">
        <v>1436</v>
      </c>
      <c r="P580" s="48" t="s">
        <v>1436</v>
      </c>
      <c r="Q580" s="48" t="s">
        <v>38</v>
      </c>
      <c r="R580" s="48" t="s">
        <v>39</v>
      </c>
      <c r="S580" s="48" t="s">
        <v>40</v>
      </c>
      <c r="T580" s="48" t="s">
        <v>41</v>
      </c>
      <c r="U580" s="48" t="s">
        <v>1436</v>
      </c>
      <c r="V580" s="48" t="s">
        <v>1436</v>
      </c>
      <c r="W580" s="48" t="s">
        <v>1436</v>
      </c>
      <c r="X580" s="49" t="s">
        <v>193</v>
      </c>
      <c r="Y580" s="48" t="s">
        <v>1194</v>
      </c>
      <c r="Z580" s="49" t="s">
        <v>1321</v>
      </c>
      <c r="AA580" s="48" t="s">
        <v>1324</v>
      </c>
      <c r="AB580" s="48" t="s">
        <v>1325</v>
      </c>
      <c r="AC580" s="48" t="s">
        <v>1239</v>
      </c>
      <c r="AD580" s="48" t="s">
        <v>1231</v>
      </c>
      <c r="AE580" s="48" t="s">
        <v>1669</v>
      </c>
      <c r="AF580" s="48" t="s">
        <v>1436</v>
      </c>
      <c r="AG580" s="48" t="s">
        <v>1436</v>
      </c>
      <c r="AH580" s="48" t="s">
        <v>208</v>
      </c>
      <c r="AI580" s="50">
        <v>44562</v>
      </c>
      <c r="AJ580" s="50">
        <v>46387</v>
      </c>
      <c r="AK580" s="49" t="s">
        <v>1280</v>
      </c>
      <c r="AL580" s="48" t="s">
        <v>36</v>
      </c>
      <c r="AM580" s="48" t="s">
        <v>36</v>
      </c>
      <c r="AN580" s="51">
        <v>42330.49</v>
      </c>
      <c r="AO580" s="51"/>
      <c r="AP580" s="51"/>
      <c r="AQ580" s="72">
        <v>1600000</v>
      </c>
      <c r="AR580" s="72">
        <v>50000</v>
      </c>
      <c r="AS580" s="50">
        <v>46387</v>
      </c>
      <c r="AT580" s="50" t="s">
        <v>1436</v>
      </c>
      <c r="AU580" s="49" t="s">
        <v>1436</v>
      </c>
      <c r="AV580" s="49" t="s">
        <v>1670</v>
      </c>
      <c r="AW580" s="48" t="s">
        <v>1244</v>
      </c>
    </row>
    <row r="581" spans="1:49" x14ac:dyDescent="0.3">
      <c r="A581" s="48" t="s">
        <v>1320</v>
      </c>
      <c r="B581" s="48" t="s">
        <v>6</v>
      </c>
      <c r="C581" s="48" t="s">
        <v>1322</v>
      </c>
      <c r="D581" s="50">
        <v>46265</v>
      </c>
      <c r="E581" s="48" t="s">
        <v>36</v>
      </c>
      <c r="F581" s="48" t="s">
        <v>1438</v>
      </c>
      <c r="G581" s="48" t="s">
        <v>1444</v>
      </c>
      <c r="H581" s="49" t="s">
        <v>1446</v>
      </c>
      <c r="I581" s="48" t="s">
        <v>1407</v>
      </c>
      <c r="J581" s="48" t="s">
        <v>40</v>
      </c>
      <c r="K581" s="48" t="s">
        <v>47</v>
      </c>
      <c r="L581" s="48" t="s">
        <v>38</v>
      </c>
      <c r="M581" s="48" t="s">
        <v>37</v>
      </c>
      <c r="N581" s="48" t="s">
        <v>1436</v>
      </c>
      <c r="O581" s="48" t="s">
        <v>1436</v>
      </c>
      <c r="P581" s="48" t="s">
        <v>1436</v>
      </c>
      <c r="Q581" s="48" t="s">
        <v>38</v>
      </c>
      <c r="R581" s="48" t="s">
        <v>39</v>
      </c>
      <c r="S581" s="48" t="s">
        <v>40</v>
      </c>
      <c r="T581" s="48" t="s">
        <v>41</v>
      </c>
      <c r="U581" s="48" t="s">
        <v>1436</v>
      </c>
      <c r="V581" s="48" t="s">
        <v>1436</v>
      </c>
      <c r="W581" s="48" t="s">
        <v>1436</v>
      </c>
      <c r="X581" s="49" t="s">
        <v>193</v>
      </c>
      <c r="Y581" s="48" t="s">
        <v>1194</v>
      </c>
      <c r="Z581" s="49" t="s">
        <v>1321</v>
      </c>
      <c r="AA581" s="48" t="s">
        <v>1324</v>
      </c>
      <c r="AB581" s="48" t="s">
        <v>1325</v>
      </c>
      <c r="AC581" s="48" t="s">
        <v>1239</v>
      </c>
      <c r="AD581" s="48" t="s">
        <v>1231</v>
      </c>
      <c r="AE581" s="48" t="s">
        <v>1669</v>
      </c>
      <c r="AF581" s="48" t="s">
        <v>1436</v>
      </c>
      <c r="AG581" s="48" t="s">
        <v>1436</v>
      </c>
      <c r="AH581" s="48" t="s">
        <v>208</v>
      </c>
      <c r="AI581" s="50">
        <v>44562</v>
      </c>
      <c r="AJ581" s="50">
        <v>46387</v>
      </c>
      <c r="AK581" s="49" t="s">
        <v>1280</v>
      </c>
      <c r="AL581" s="48" t="s">
        <v>36</v>
      </c>
      <c r="AM581" s="48" t="s">
        <v>36</v>
      </c>
      <c r="AN581" s="51">
        <v>1149.8492659999999</v>
      </c>
      <c r="AO581" s="51"/>
      <c r="AP581" s="51"/>
      <c r="AQ581" s="72">
        <v>1600000</v>
      </c>
      <c r="AR581" s="72">
        <v>50000</v>
      </c>
      <c r="AS581" s="50">
        <v>46387</v>
      </c>
      <c r="AT581" s="50" t="s">
        <v>1436</v>
      </c>
      <c r="AU581" s="49" t="s">
        <v>1436</v>
      </c>
      <c r="AV581" s="49" t="s">
        <v>1670</v>
      </c>
      <c r="AW581" s="48" t="s">
        <v>1244</v>
      </c>
    </row>
    <row r="582" spans="1:49" x14ac:dyDescent="0.3">
      <c r="A582" s="48" t="s">
        <v>1320</v>
      </c>
      <c r="B582" s="48" t="s">
        <v>6</v>
      </c>
      <c r="C582" s="48" t="s">
        <v>1322</v>
      </c>
      <c r="D582" s="50">
        <v>46265</v>
      </c>
      <c r="E582" s="48" t="s">
        <v>36</v>
      </c>
      <c r="F582" s="48" t="s">
        <v>1433</v>
      </c>
      <c r="G582" s="48" t="s">
        <v>1447</v>
      </c>
      <c r="H582" s="49" t="s">
        <v>1448</v>
      </c>
      <c r="I582" s="48" t="s">
        <v>1413</v>
      </c>
      <c r="J582" s="48" t="s">
        <v>40</v>
      </c>
      <c r="K582" s="48" t="s">
        <v>58</v>
      </c>
      <c r="L582" s="48" t="s">
        <v>38</v>
      </c>
      <c r="M582" s="48" t="s">
        <v>37</v>
      </c>
      <c r="N582" s="48" t="s">
        <v>1436</v>
      </c>
      <c r="O582" s="48" t="s">
        <v>1436</v>
      </c>
      <c r="P582" s="48" t="s">
        <v>1436</v>
      </c>
      <c r="Q582" s="48" t="s">
        <v>38</v>
      </c>
      <c r="R582" s="48" t="s">
        <v>39</v>
      </c>
      <c r="S582" s="48" t="s">
        <v>40</v>
      </c>
      <c r="T582" s="48" t="s">
        <v>41</v>
      </c>
      <c r="U582" s="48" t="s">
        <v>1436</v>
      </c>
      <c r="V582" s="48" t="s">
        <v>1436</v>
      </c>
      <c r="W582" s="48" t="s">
        <v>1436</v>
      </c>
      <c r="X582" s="49" t="s">
        <v>193</v>
      </c>
      <c r="Y582" s="48" t="s">
        <v>1194</v>
      </c>
      <c r="Z582" s="49" t="s">
        <v>1321</v>
      </c>
      <c r="AA582" s="48" t="s">
        <v>1324</v>
      </c>
      <c r="AB582" s="48" t="s">
        <v>1325</v>
      </c>
      <c r="AC582" s="48" t="s">
        <v>1239</v>
      </c>
      <c r="AD582" s="48" t="s">
        <v>1231</v>
      </c>
      <c r="AE582" s="48" t="s">
        <v>1669</v>
      </c>
      <c r="AF582" s="48" t="s">
        <v>1436</v>
      </c>
      <c r="AG582" s="48" t="s">
        <v>1436</v>
      </c>
      <c r="AH582" s="48" t="s">
        <v>208</v>
      </c>
      <c r="AI582" s="50">
        <v>44562</v>
      </c>
      <c r="AJ582" s="50">
        <v>46387</v>
      </c>
      <c r="AK582" s="49" t="s">
        <v>1280</v>
      </c>
      <c r="AL582" s="48" t="s">
        <v>36</v>
      </c>
      <c r="AM582" s="48" t="s">
        <v>36</v>
      </c>
      <c r="AN582" s="51">
        <v>-50000</v>
      </c>
      <c r="AO582" s="51"/>
      <c r="AP582" s="51"/>
      <c r="AQ582" s="72">
        <v>1600000</v>
      </c>
      <c r="AR582" s="72">
        <v>50000</v>
      </c>
      <c r="AS582" s="50">
        <v>46387</v>
      </c>
      <c r="AT582" s="50" t="s">
        <v>1436</v>
      </c>
      <c r="AU582" s="49" t="s">
        <v>1436</v>
      </c>
      <c r="AV582" s="49" t="s">
        <v>1670</v>
      </c>
      <c r="AW582" s="48" t="s">
        <v>1244</v>
      </c>
    </row>
    <row r="583" spans="1:49" x14ac:dyDescent="0.3">
      <c r="A583" s="48" t="s">
        <v>1320</v>
      </c>
      <c r="B583" s="48" t="s">
        <v>6</v>
      </c>
      <c r="C583" s="48" t="s">
        <v>1322</v>
      </c>
      <c r="D583" s="50">
        <v>46265</v>
      </c>
      <c r="E583" s="48" t="s">
        <v>36</v>
      </c>
      <c r="F583" s="48" t="s">
        <v>1433</v>
      </c>
      <c r="G583" s="48" t="s">
        <v>1447</v>
      </c>
      <c r="H583" s="49" t="s">
        <v>1449</v>
      </c>
      <c r="I583" s="48" t="s">
        <v>1409</v>
      </c>
      <c r="J583" s="48" t="s">
        <v>40</v>
      </c>
      <c r="K583" s="48" t="s">
        <v>45</v>
      </c>
      <c r="L583" s="48" t="s">
        <v>38</v>
      </c>
      <c r="M583" s="48" t="s">
        <v>37</v>
      </c>
      <c r="N583" s="48" t="s">
        <v>1436</v>
      </c>
      <c r="O583" s="48" t="s">
        <v>1436</v>
      </c>
      <c r="P583" s="48" t="s">
        <v>1436</v>
      </c>
      <c r="Q583" s="48" t="s">
        <v>38</v>
      </c>
      <c r="R583" s="48" t="s">
        <v>39</v>
      </c>
      <c r="S583" s="48" t="s">
        <v>40</v>
      </c>
      <c r="T583" s="48" t="s">
        <v>41</v>
      </c>
      <c r="U583" s="48" t="s">
        <v>1436</v>
      </c>
      <c r="V583" s="48" t="s">
        <v>1436</v>
      </c>
      <c r="W583" s="48" t="s">
        <v>1436</v>
      </c>
      <c r="X583" s="49" t="s">
        <v>193</v>
      </c>
      <c r="Y583" s="48" t="s">
        <v>1194</v>
      </c>
      <c r="Z583" s="49" t="s">
        <v>1321</v>
      </c>
      <c r="AA583" s="48" t="s">
        <v>1324</v>
      </c>
      <c r="AB583" s="48" t="s">
        <v>1325</v>
      </c>
      <c r="AC583" s="48" t="s">
        <v>1239</v>
      </c>
      <c r="AD583" s="48" t="s">
        <v>1231</v>
      </c>
      <c r="AE583" s="48" t="s">
        <v>1669</v>
      </c>
      <c r="AF583" s="48" t="s">
        <v>1436</v>
      </c>
      <c r="AG583" s="48" t="s">
        <v>1436</v>
      </c>
      <c r="AH583" s="48" t="s">
        <v>208</v>
      </c>
      <c r="AI583" s="50">
        <v>44562</v>
      </c>
      <c r="AJ583" s="50">
        <v>46387</v>
      </c>
      <c r="AK583" s="49" t="s">
        <v>1280</v>
      </c>
      <c r="AL583" s="48" t="s">
        <v>36</v>
      </c>
      <c r="AM583" s="48" t="s">
        <v>36</v>
      </c>
      <c r="AN583" s="51">
        <v>0</v>
      </c>
      <c r="AO583" s="51"/>
      <c r="AP583" s="51"/>
      <c r="AQ583" s="72">
        <v>1600000</v>
      </c>
      <c r="AR583" s="72">
        <v>50000</v>
      </c>
      <c r="AS583" s="50">
        <v>46387</v>
      </c>
      <c r="AT583" s="50" t="s">
        <v>1436</v>
      </c>
      <c r="AU583" s="49" t="s">
        <v>1436</v>
      </c>
      <c r="AV583" s="49" t="s">
        <v>1670</v>
      </c>
      <c r="AW583" s="48" t="s">
        <v>1244</v>
      </c>
    </row>
    <row r="584" spans="1:49" x14ac:dyDescent="0.3">
      <c r="A584" s="48" t="s">
        <v>1320</v>
      </c>
      <c r="B584" s="48" t="s">
        <v>6</v>
      </c>
      <c r="C584" s="48" t="s">
        <v>1322</v>
      </c>
      <c r="D584" s="50">
        <v>46265</v>
      </c>
      <c r="E584" s="48" t="s">
        <v>36</v>
      </c>
      <c r="F584" s="48" t="s">
        <v>1433</v>
      </c>
      <c r="G584" s="48" t="s">
        <v>1447</v>
      </c>
      <c r="H584" s="49" t="s">
        <v>1450</v>
      </c>
      <c r="I584" s="48" t="s">
        <v>1408</v>
      </c>
      <c r="J584" s="48" t="s">
        <v>40</v>
      </c>
      <c r="K584" s="48" t="s">
        <v>54</v>
      </c>
      <c r="L584" s="48" t="s">
        <v>38</v>
      </c>
      <c r="M584" s="48" t="s">
        <v>37</v>
      </c>
      <c r="N584" s="48" t="s">
        <v>1436</v>
      </c>
      <c r="O584" s="48" t="s">
        <v>1436</v>
      </c>
      <c r="P584" s="48" t="s">
        <v>1436</v>
      </c>
      <c r="Q584" s="48" t="s">
        <v>38</v>
      </c>
      <c r="R584" s="48" t="s">
        <v>39</v>
      </c>
      <c r="S584" s="48" t="s">
        <v>40</v>
      </c>
      <c r="T584" s="48" t="s">
        <v>41</v>
      </c>
      <c r="U584" s="48" t="s">
        <v>1436</v>
      </c>
      <c r="V584" s="48" t="s">
        <v>1436</v>
      </c>
      <c r="W584" s="48" t="s">
        <v>1436</v>
      </c>
      <c r="X584" s="49" t="s">
        <v>193</v>
      </c>
      <c r="Y584" s="48" t="s">
        <v>1194</v>
      </c>
      <c r="Z584" s="49" t="s">
        <v>1321</v>
      </c>
      <c r="AA584" s="48" t="s">
        <v>1324</v>
      </c>
      <c r="AB584" s="48" t="s">
        <v>1325</v>
      </c>
      <c r="AC584" s="48" t="s">
        <v>1239</v>
      </c>
      <c r="AD584" s="48" t="s">
        <v>1231</v>
      </c>
      <c r="AE584" s="48" t="s">
        <v>1669</v>
      </c>
      <c r="AF584" s="48" t="s">
        <v>1436</v>
      </c>
      <c r="AG584" s="48" t="s">
        <v>1436</v>
      </c>
      <c r="AH584" s="48" t="s">
        <v>208</v>
      </c>
      <c r="AI584" s="50">
        <v>44562</v>
      </c>
      <c r="AJ584" s="50">
        <v>46387</v>
      </c>
      <c r="AK584" s="49" t="s">
        <v>1280</v>
      </c>
      <c r="AL584" s="48" t="s">
        <v>36</v>
      </c>
      <c r="AM584" s="48" t="s">
        <v>36</v>
      </c>
      <c r="AN584" s="51">
        <v>48566.844144000002</v>
      </c>
      <c r="AO584" s="51"/>
      <c r="AP584" s="51"/>
      <c r="AQ584" s="72">
        <v>1600000</v>
      </c>
      <c r="AR584" s="72">
        <v>50000</v>
      </c>
      <c r="AS584" s="50">
        <v>46387</v>
      </c>
      <c r="AT584" s="50" t="s">
        <v>1436</v>
      </c>
      <c r="AU584" s="49" t="s">
        <v>1436</v>
      </c>
      <c r="AV584" s="49" t="s">
        <v>1670</v>
      </c>
      <c r="AW584" s="48" t="s">
        <v>1244</v>
      </c>
    </row>
    <row r="585" spans="1:49" x14ac:dyDescent="0.3">
      <c r="A585" s="48" t="s">
        <v>1320</v>
      </c>
      <c r="B585" s="48" t="s">
        <v>6</v>
      </c>
      <c r="C585" s="48" t="s">
        <v>1322</v>
      </c>
      <c r="D585" s="50">
        <v>46265</v>
      </c>
      <c r="E585" s="48" t="s">
        <v>36</v>
      </c>
      <c r="F585" s="48" t="s">
        <v>1433</v>
      </c>
      <c r="G585" s="48" t="s">
        <v>1447</v>
      </c>
      <c r="H585" s="49" t="s">
        <v>1451</v>
      </c>
      <c r="I585" s="48" t="s">
        <v>1404</v>
      </c>
      <c r="J585" s="48" t="s">
        <v>38</v>
      </c>
      <c r="K585" s="48" t="s">
        <v>49</v>
      </c>
      <c r="L585" s="48" t="s">
        <v>38</v>
      </c>
      <c r="M585" s="48" t="s">
        <v>37</v>
      </c>
      <c r="N585" s="48" t="s">
        <v>1436</v>
      </c>
      <c r="O585" s="48" t="s">
        <v>1436</v>
      </c>
      <c r="P585" s="48" t="s">
        <v>1436</v>
      </c>
      <c r="Q585" s="48" t="s">
        <v>38</v>
      </c>
      <c r="R585" s="48" t="s">
        <v>39</v>
      </c>
      <c r="S585" s="48" t="s">
        <v>38</v>
      </c>
      <c r="T585" s="48" t="s">
        <v>41</v>
      </c>
      <c r="U585" s="48" t="s">
        <v>1436</v>
      </c>
      <c r="V585" s="48" t="s">
        <v>1436</v>
      </c>
      <c r="W585" s="48" t="s">
        <v>1436</v>
      </c>
      <c r="X585" s="49" t="s">
        <v>193</v>
      </c>
      <c r="Y585" s="48" t="s">
        <v>1194</v>
      </c>
      <c r="Z585" s="49" t="s">
        <v>1321</v>
      </c>
      <c r="AA585" s="48" t="s">
        <v>1324</v>
      </c>
      <c r="AB585" s="48" t="s">
        <v>1325</v>
      </c>
      <c r="AC585" s="48" t="s">
        <v>1239</v>
      </c>
      <c r="AD585" s="48" t="s">
        <v>1231</v>
      </c>
      <c r="AE585" s="48" t="s">
        <v>1669</v>
      </c>
      <c r="AF585" s="48" t="s">
        <v>1436</v>
      </c>
      <c r="AG585" s="48" t="s">
        <v>1436</v>
      </c>
      <c r="AH585" s="48" t="s">
        <v>208</v>
      </c>
      <c r="AI585" s="50">
        <v>44562</v>
      </c>
      <c r="AJ585" s="50">
        <v>46387</v>
      </c>
      <c r="AK585" s="49" t="s">
        <v>1280</v>
      </c>
      <c r="AL585" s="48" t="s">
        <v>36</v>
      </c>
      <c r="AM585" s="48" t="s">
        <v>36</v>
      </c>
      <c r="AN585" s="51">
        <v>283.30659000000003</v>
      </c>
      <c r="AO585" s="51"/>
      <c r="AP585" s="51"/>
      <c r="AQ585" s="72">
        <v>1600000</v>
      </c>
      <c r="AR585" s="72">
        <v>50000</v>
      </c>
      <c r="AS585" s="50">
        <v>46387</v>
      </c>
      <c r="AT585" s="50" t="s">
        <v>1436</v>
      </c>
      <c r="AU585" s="49" t="s">
        <v>1436</v>
      </c>
      <c r="AV585" s="49" t="s">
        <v>1670</v>
      </c>
      <c r="AW585" s="48" t="s">
        <v>1244</v>
      </c>
    </row>
    <row r="586" spans="1:49" x14ac:dyDescent="0.3">
      <c r="A586" s="48" t="s">
        <v>1320</v>
      </c>
      <c r="B586" s="48" t="s">
        <v>6</v>
      </c>
      <c r="C586" s="48" t="s">
        <v>1322</v>
      </c>
      <c r="D586" s="50">
        <v>46295</v>
      </c>
      <c r="E586" s="48" t="s">
        <v>36</v>
      </c>
      <c r="F586" s="48" t="s">
        <v>1433</v>
      </c>
      <c r="G586" s="48" t="s">
        <v>1434</v>
      </c>
      <c r="H586" s="49" t="s">
        <v>1435</v>
      </c>
      <c r="I586" s="48" t="s">
        <v>1412</v>
      </c>
      <c r="J586" s="48" t="s">
        <v>40</v>
      </c>
      <c r="K586" s="48" t="s">
        <v>52</v>
      </c>
      <c r="L586" s="48" t="s">
        <v>38</v>
      </c>
      <c r="M586" s="48" t="s">
        <v>37</v>
      </c>
      <c r="N586" s="48" t="s">
        <v>1436</v>
      </c>
      <c r="O586" s="48" t="s">
        <v>1436</v>
      </c>
      <c r="P586" s="48" t="s">
        <v>1436</v>
      </c>
      <c r="Q586" s="48" t="s">
        <v>38</v>
      </c>
      <c r="R586" s="48" t="s">
        <v>39</v>
      </c>
      <c r="S586" s="48" t="s">
        <v>40</v>
      </c>
      <c r="T586" s="48" t="s">
        <v>41</v>
      </c>
      <c r="U586" s="48" t="s">
        <v>1436</v>
      </c>
      <c r="V586" s="48" t="s">
        <v>1436</v>
      </c>
      <c r="W586" s="48" t="s">
        <v>1436</v>
      </c>
      <c r="X586" s="49" t="s">
        <v>193</v>
      </c>
      <c r="Y586" s="48" t="s">
        <v>1194</v>
      </c>
      <c r="Z586" s="49" t="s">
        <v>1321</v>
      </c>
      <c r="AA586" s="48" t="s">
        <v>1324</v>
      </c>
      <c r="AB586" s="48" t="s">
        <v>1325</v>
      </c>
      <c r="AC586" s="48" t="s">
        <v>1239</v>
      </c>
      <c r="AD586" s="48" t="s">
        <v>1231</v>
      </c>
      <c r="AE586" s="48" t="s">
        <v>1669</v>
      </c>
      <c r="AF586" s="48" t="s">
        <v>1436</v>
      </c>
      <c r="AG586" s="48" t="s">
        <v>1436</v>
      </c>
      <c r="AH586" s="48" t="s">
        <v>208</v>
      </c>
      <c r="AI586" s="50">
        <v>44562</v>
      </c>
      <c r="AJ586" s="50">
        <v>46387</v>
      </c>
      <c r="AK586" s="49" t="s">
        <v>1280</v>
      </c>
      <c r="AL586" s="48" t="s">
        <v>36</v>
      </c>
      <c r="AM586" s="48" t="s">
        <v>36</v>
      </c>
      <c r="AN586" s="51">
        <v>-42330.49</v>
      </c>
      <c r="AO586" s="51"/>
      <c r="AP586" s="51"/>
      <c r="AQ586" s="72">
        <v>1600000</v>
      </c>
      <c r="AR586" s="72">
        <v>50000</v>
      </c>
      <c r="AS586" s="50">
        <v>46387</v>
      </c>
      <c r="AT586" s="50" t="s">
        <v>1436</v>
      </c>
      <c r="AU586" s="49" t="s">
        <v>1436</v>
      </c>
      <c r="AV586" s="49" t="s">
        <v>1670</v>
      </c>
      <c r="AW586" s="48" t="s">
        <v>1244</v>
      </c>
    </row>
    <row r="587" spans="1:49" x14ac:dyDescent="0.3">
      <c r="A587" s="48" t="s">
        <v>1320</v>
      </c>
      <c r="B587" s="48" t="s">
        <v>6</v>
      </c>
      <c r="C587" s="48" t="s">
        <v>1322</v>
      </c>
      <c r="D587" s="50">
        <v>46295</v>
      </c>
      <c r="E587" s="48" t="s">
        <v>36</v>
      </c>
      <c r="F587" s="48" t="s">
        <v>1433</v>
      </c>
      <c r="G587" s="48" t="s">
        <v>1434</v>
      </c>
      <c r="H587" s="49" t="s">
        <v>1437</v>
      </c>
      <c r="I587" s="48" t="s">
        <v>1410</v>
      </c>
      <c r="J587" s="48" t="s">
        <v>40</v>
      </c>
      <c r="K587" s="48" t="s">
        <v>42</v>
      </c>
      <c r="L587" s="48" t="s">
        <v>38</v>
      </c>
      <c r="M587" s="48" t="s">
        <v>37</v>
      </c>
      <c r="N587" s="48" t="s">
        <v>1436</v>
      </c>
      <c r="O587" s="48" t="s">
        <v>1436</v>
      </c>
      <c r="P587" s="48" t="s">
        <v>1436</v>
      </c>
      <c r="Q587" s="48" t="s">
        <v>38</v>
      </c>
      <c r="R587" s="48" t="s">
        <v>39</v>
      </c>
      <c r="S587" s="48" t="s">
        <v>40</v>
      </c>
      <c r="T587" s="48" t="s">
        <v>41</v>
      </c>
      <c r="U587" s="48" t="s">
        <v>1436</v>
      </c>
      <c r="V587" s="48" t="s">
        <v>1436</v>
      </c>
      <c r="W587" s="48" t="s">
        <v>1436</v>
      </c>
      <c r="X587" s="49" t="s">
        <v>193</v>
      </c>
      <c r="Y587" s="48" t="s">
        <v>1194</v>
      </c>
      <c r="Z587" s="49" t="s">
        <v>1321</v>
      </c>
      <c r="AA587" s="48" t="s">
        <v>1324</v>
      </c>
      <c r="AB587" s="48" t="s">
        <v>1325</v>
      </c>
      <c r="AC587" s="48" t="s">
        <v>1239</v>
      </c>
      <c r="AD587" s="48" t="s">
        <v>1231</v>
      </c>
      <c r="AE587" s="48" t="s">
        <v>1669</v>
      </c>
      <c r="AF587" s="48" t="s">
        <v>1436</v>
      </c>
      <c r="AG587" s="48" t="s">
        <v>1436</v>
      </c>
      <c r="AH587" s="48" t="s">
        <v>208</v>
      </c>
      <c r="AI587" s="50">
        <v>44562</v>
      </c>
      <c r="AJ587" s="50">
        <v>46387</v>
      </c>
      <c r="AK587" s="49" t="s">
        <v>1280</v>
      </c>
      <c r="AL587" s="48" t="s">
        <v>36</v>
      </c>
      <c r="AM587" s="48" t="s">
        <v>36</v>
      </c>
      <c r="AN587" s="51">
        <v>0</v>
      </c>
      <c r="AO587" s="51"/>
      <c r="AP587" s="51"/>
      <c r="AQ587" s="72">
        <v>1600000</v>
      </c>
      <c r="AR587" s="72">
        <v>50000</v>
      </c>
      <c r="AS587" s="50">
        <v>46387</v>
      </c>
      <c r="AT587" s="50" t="s">
        <v>1436</v>
      </c>
      <c r="AU587" s="49" t="s">
        <v>1436</v>
      </c>
      <c r="AV587" s="49" t="s">
        <v>1670</v>
      </c>
      <c r="AW587" s="48" t="s">
        <v>1244</v>
      </c>
    </row>
    <row r="588" spans="1:49" x14ac:dyDescent="0.3">
      <c r="A588" s="48" t="s">
        <v>1320</v>
      </c>
      <c r="B588" s="48" t="s">
        <v>6</v>
      </c>
      <c r="C588" s="48" t="s">
        <v>1322</v>
      </c>
      <c r="D588" s="50">
        <v>46295</v>
      </c>
      <c r="E588" s="48" t="s">
        <v>36</v>
      </c>
      <c r="F588" s="48" t="s">
        <v>1438</v>
      </c>
      <c r="G588" s="48" t="s">
        <v>1439</v>
      </c>
      <c r="H588" s="49" t="s">
        <v>1440</v>
      </c>
      <c r="I588" s="48" t="s">
        <v>1406</v>
      </c>
      <c r="J588" s="48" t="s">
        <v>1194</v>
      </c>
      <c r="K588" s="48" t="s">
        <v>1441</v>
      </c>
      <c r="L588" s="48" t="s">
        <v>38</v>
      </c>
      <c r="M588" s="48" t="s">
        <v>37</v>
      </c>
      <c r="N588" s="48" t="s">
        <v>1436</v>
      </c>
      <c r="O588" s="48" t="s">
        <v>1436</v>
      </c>
      <c r="P588" s="48" t="s">
        <v>1436</v>
      </c>
      <c r="Q588" s="48" t="s">
        <v>38</v>
      </c>
      <c r="R588" s="48" t="s">
        <v>39</v>
      </c>
      <c r="S588" s="48" t="s">
        <v>1194</v>
      </c>
      <c r="T588" s="48" t="s">
        <v>41</v>
      </c>
      <c r="U588" s="48" t="s">
        <v>1436</v>
      </c>
      <c r="V588" s="48" t="s">
        <v>1436</v>
      </c>
      <c r="W588" s="48" t="s">
        <v>1436</v>
      </c>
      <c r="X588" s="49" t="s">
        <v>193</v>
      </c>
      <c r="Y588" s="48" t="s">
        <v>1194</v>
      </c>
      <c r="Z588" s="49" t="s">
        <v>1321</v>
      </c>
      <c r="AA588" s="48" t="s">
        <v>1324</v>
      </c>
      <c r="AB588" s="48" t="s">
        <v>1325</v>
      </c>
      <c r="AC588" s="48" t="s">
        <v>1239</v>
      </c>
      <c r="AD588" s="48" t="s">
        <v>1231</v>
      </c>
      <c r="AE588" s="48" t="s">
        <v>1669</v>
      </c>
      <c r="AF588" s="48" t="s">
        <v>1436</v>
      </c>
      <c r="AG588" s="48" t="s">
        <v>1436</v>
      </c>
      <c r="AH588" s="48" t="s">
        <v>208</v>
      </c>
      <c r="AI588" s="50">
        <v>44562</v>
      </c>
      <c r="AJ588" s="50">
        <v>46387</v>
      </c>
      <c r="AK588" s="49" t="s">
        <v>1280</v>
      </c>
      <c r="AL588" s="48" t="s">
        <v>36</v>
      </c>
      <c r="AM588" s="48" t="s">
        <v>36</v>
      </c>
      <c r="AN588" s="51">
        <v>0</v>
      </c>
      <c r="AO588" s="51"/>
      <c r="AP588" s="51"/>
      <c r="AQ588" s="72">
        <v>1600000</v>
      </c>
      <c r="AR588" s="72">
        <v>50000</v>
      </c>
      <c r="AS588" s="50">
        <v>46387</v>
      </c>
      <c r="AT588" s="50" t="s">
        <v>1436</v>
      </c>
      <c r="AU588" s="49" t="s">
        <v>1436</v>
      </c>
      <c r="AV588" s="49" t="s">
        <v>1670</v>
      </c>
      <c r="AW588" s="48" t="s">
        <v>1244</v>
      </c>
    </row>
    <row r="589" spans="1:49" x14ac:dyDescent="0.3">
      <c r="A589" s="48" t="s">
        <v>1320</v>
      </c>
      <c r="B589" s="48" t="s">
        <v>6</v>
      </c>
      <c r="C589" s="48" t="s">
        <v>1322</v>
      </c>
      <c r="D589" s="50">
        <v>46295</v>
      </c>
      <c r="E589" s="48" t="s">
        <v>36</v>
      </c>
      <c r="F589" s="48" t="s">
        <v>1438</v>
      </c>
      <c r="G589" s="48" t="s">
        <v>1439</v>
      </c>
      <c r="H589" s="49" t="s">
        <v>1442</v>
      </c>
      <c r="I589" s="48" t="s">
        <v>1405</v>
      </c>
      <c r="J589" s="48" t="s">
        <v>1194</v>
      </c>
      <c r="K589" s="48" t="s">
        <v>1443</v>
      </c>
      <c r="L589" s="48" t="s">
        <v>38</v>
      </c>
      <c r="M589" s="48" t="s">
        <v>37</v>
      </c>
      <c r="N589" s="48" t="s">
        <v>1436</v>
      </c>
      <c r="O589" s="48" t="s">
        <v>1436</v>
      </c>
      <c r="P589" s="48" t="s">
        <v>1436</v>
      </c>
      <c r="Q589" s="48" t="s">
        <v>38</v>
      </c>
      <c r="R589" s="48" t="s">
        <v>39</v>
      </c>
      <c r="S589" s="48" t="s">
        <v>1194</v>
      </c>
      <c r="T589" s="48" t="s">
        <v>41</v>
      </c>
      <c r="U589" s="48" t="s">
        <v>1436</v>
      </c>
      <c r="V589" s="48" t="s">
        <v>1436</v>
      </c>
      <c r="W589" s="48" t="s">
        <v>1436</v>
      </c>
      <c r="X589" s="49" t="s">
        <v>193</v>
      </c>
      <c r="Y589" s="48" t="s">
        <v>1194</v>
      </c>
      <c r="Z589" s="49" t="s">
        <v>1321</v>
      </c>
      <c r="AA589" s="48" t="s">
        <v>1324</v>
      </c>
      <c r="AB589" s="48" t="s">
        <v>1325</v>
      </c>
      <c r="AC589" s="48" t="s">
        <v>1239</v>
      </c>
      <c r="AD589" s="48" t="s">
        <v>1231</v>
      </c>
      <c r="AE589" s="48" t="s">
        <v>1669</v>
      </c>
      <c r="AF589" s="48" t="s">
        <v>1436</v>
      </c>
      <c r="AG589" s="48" t="s">
        <v>1436</v>
      </c>
      <c r="AH589" s="48" t="s">
        <v>208</v>
      </c>
      <c r="AI589" s="50">
        <v>44562</v>
      </c>
      <c r="AJ589" s="50">
        <v>46387</v>
      </c>
      <c r="AK589" s="49" t="s">
        <v>1280</v>
      </c>
      <c r="AL589" s="48" t="s">
        <v>36</v>
      </c>
      <c r="AM589" s="48" t="s">
        <v>36</v>
      </c>
      <c r="AN589" s="51">
        <v>0</v>
      </c>
      <c r="AO589" s="51"/>
      <c r="AP589" s="51"/>
      <c r="AQ589" s="72">
        <v>1600000</v>
      </c>
      <c r="AR589" s="72">
        <v>50000</v>
      </c>
      <c r="AS589" s="50">
        <v>46387</v>
      </c>
      <c r="AT589" s="50" t="s">
        <v>1436</v>
      </c>
      <c r="AU589" s="49" t="s">
        <v>1436</v>
      </c>
      <c r="AV589" s="49" t="s">
        <v>1670</v>
      </c>
      <c r="AW589" s="48" t="s">
        <v>1244</v>
      </c>
    </row>
    <row r="590" spans="1:49" x14ac:dyDescent="0.3">
      <c r="A590" s="48" t="s">
        <v>1320</v>
      </c>
      <c r="B590" s="48" t="s">
        <v>6</v>
      </c>
      <c r="C590" s="48" t="s">
        <v>1322</v>
      </c>
      <c r="D590" s="50">
        <v>46295</v>
      </c>
      <c r="E590" s="48" t="s">
        <v>36</v>
      </c>
      <c r="F590" s="48" t="s">
        <v>1438</v>
      </c>
      <c r="G590" s="48" t="s">
        <v>1444</v>
      </c>
      <c r="H590" s="49" t="s">
        <v>1445</v>
      </c>
      <c r="I590" s="48" t="s">
        <v>1411</v>
      </c>
      <c r="J590" s="48" t="s">
        <v>40</v>
      </c>
      <c r="K590" s="48" t="s">
        <v>50</v>
      </c>
      <c r="L590" s="48" t="s">
        <v>38</v>
      </c>
      <c r="M590" s="48" t="s">
        <v>37</v>
      </c>
      <c r="N590" s="48" t="s">
        <v>1436</v>
      </c>
      <c r="O590" s="48" t="s">
        <v>1436</v>
      </c>
      <c r="P590" s="48" t="s">
        <v>1436</v>
      </c>
      <c r="Q590" s="48" t="s">
        <v>38</v>
      </c>
      <c r="R590" s="48" t="s">
        <v>39</v>
      </c>
      <c r="S590" s="48" t="s">
        <v>40</v>
      </c>
      <c r="T590" s="48" t="s">
        <v>41</v>
      </c>
      <c r="U590" s="48" t="s">
        <v>1436</v>
      </c>
      <c r="V590" s="48" t="s">
        <v>1436</v>
      </c>
      <c r="W590" s="48" t="s">
        <v>1436</v>
      </c>
      <c r="X590" s="49" t="s">
        <v>193</v>
      </c>
      <c r="Y590" s="48" t="s">
        <v>1194</v>
      </c>
      <c r="Z590" s="49" t="s">
        <v>1321</v>
      </c>
      <c r="AA590" s="48" t="s">
        <v>1324</v>
      </c>
      <c r="AB590" s="48" t="s">
        <v>1325</v>
      </c>
      <c r="AC590" s="48" t="s">
        <v>1239</v>
      </c>
      <c r="AD590" s="48" t="s">
        <v>1231</v>
      </c>
      <c r="AE590" s="48" t="s">
        <v>1669</v>
      </c>
      <c r="AF590" s="48" t="s">
        <v>1436</v>
      </c>
      <c r="AG590" s="48" t="s">
        <v>1436</v>
      </c>
      <c r="AH590" s="48" t="s">
        <v>208</v>
      </c>
      <c r="AI590" s="50">
        <v>44562</v>
      </c>
      <c r="AJ590" s="50">
        <v>46387</v>
      </c>
      <c r="AK590" s="49" t="s">
        <v>1280</v>
      </c>
      <c r="AL590" s="48" t="s">
        <v>36</v>
      </c>
      <c r="AM590" s="48" t="s">
        <v>36</v>
      </c>
      <c r="AN590" s="51">
        <v>42330.49</v>
      </c>
      <c r="AO590" s="51"/>
      <c r="AP590" s="51"/>
      <c r="AQ590" s="72">
        <v>1600000</v>
      </c>
      <c r="AR590" s="72">
        <v>50000</v>
      </c>
      <c r="AS590" s="50">
        <v>46387</v>
      </c>
      <c r="AT590" s="50" t="s">
        <v>1436</v>
      </c>
      <c r="AU590" s="49" t="s">
        <v>1436</v>
      </c>
      <c r="AV590" s="49" t="s">
        <v>1670</v>
      </c>
      <c r="AW590" s="48" t="s">
        <v>1244</v>
      </c>
    </row>
    <row r="591" spans="1:49" x14ac:dyDescent="0.3">
      <c r="A591" s="48" t="s">
        <v>1320</v>
      </c>
      <c r="B591" s="48" t="s">
        <v>6</v>
      </c>
      <c r="C591" s="48" t="s">
        <v>1322</v>
      </c>
      <c r="D591" s="50">
        <v>46295</v>
      </c>
      <c r="E591" s="48" t="s">
        <v>36</v>
      </c>
      <c r="F591" s="48" t="s">
        <v>1438</v>
      </c>
      <c r="G591" s="48" t="s">
        <v>1444</v>
      </c>
      <c r="H591" s="49" t="s">
        <v>1446</v>
      </c>
      <c r="I591" s="48" t="s">
        <v>1407</v>
      </c>
      <c r="J591" s="48" t="s">
        <v>40</v>
      </c>
      <c r="K591" s="48" t="s">
        <v>47</v>
      </c>
      <c r="L591" s="48" t="s">
        <v>38</v>
      </c>
      <c r="M591" s="48" t="s">
        <v>37</v>
      </c>
      <c r="N591" s="48" t="s">
        <v>1436</v>
      </c>
      <c r="O591" s="48" t="s">
        <v>1436</v>
      </c>
      <c r="P591" s="48" t="s">
        <v>1436</v>
      </c>
      <c r="Q591" s="48" t="s">
        <v>38</v>
      </c>
      <c r="R591" s="48" t="s">
        <v>39</v>
      </c>
      <c r="S591" s="48" t="s">
        <v>40</v>
      </c>
      <c r="T591" s="48" t="s">
        <v>41</v>
      </c>
      <c r="U591" s="48" t="s">
        <v>1436</v>
      </c>
      <c r="V591" s="48" t="s">
        <v>1436</v>
      </c>
      <c r="W591" s="48" t="s">
        <v>1436</v>
      </c>
      <c r="X591" s="49" t="s">
        <v>193</v>
      </c>
      <c r="Y591" s="48" t="s">
        <v>1194</v>
      </c>
      <c r="Z591" s="49" t="s">
        <v>1321</v>
      </c>
      <c r="AA591" s="48" t="s">
        <v>1324</v>
      </c>
      <c r="AB591" s="48" t="s">
        <v>1325</v>
      </c>
      <c r="AC591" s="48" t="s">
        <v>1239</v>
      </c>
      <c r="AD591" s="48" t="s">
        <v>1231</v>
      </c>
      <c r="AE591" s="48" t="s">
        <v>1669</v>
      </c>
      <c r="AF591" s="48" t="s">
        <v>1436</v>
      </c>
      <c r="AG591" s="48" t="s">
        <v>1436</v>
      </c>
      <c r="AH591" s="48" t="s">
        <v>208</v>
      </c>
      <c r="AI591" s="50">
        <v>44562</v>
      </c>
      <c r="AJ591" s="50">
        <v>46387</v>
      </c>
      <c r="AK591" s="49" t="s">
        <v>1280</v>
      </c>
      <c r="AL591" s="48" t="s">
        <v>36</v>
      </c>
      <c r="AM591" s="48" t="s">
        <v>36</v>
      </c>
      <c r="AN591" s="51">
        <v>864.89005299999997</v>
      </c>
      <c r="AO591" s="51"/>
      <c r="AP591" s="51"/>
      <c r="AQ591" s="72">
        <v>1600000</v>
      </c>
      <c r="AR591" s="72">
        <v>50000</v>
      </c>
      <c r="AS591" s="50">
        <v>46387</v>
      </c>
      <c r="AT591" s="50" t="s">
        <v>1436</v>
      </c>
      <c r="AU591" s="49" t="s">
        <v>1436</v>
      </c>
      <c r="AV591" s="49" t="s">
        <v>1670</v>
      </c>
      <c r="AW591" s="48" t="s">
        <v>1244</v>
      </c>
    </row>
    <row r="592" spans="1:49" x14ac:dyDescent="0.3">
      <c r="A592" s="48" t="s">
        <v>1320</v>
      </c>
      <c r="B592" s="48" t="s">
        <v>6</v>
      </c>
      <c r="C592" s="48" t="s">
        <v>1322</v>
      </c>
      <c r="D592" s="50">
        <v>46295</v>
      </c>
      <c r="E592" s="48" t="s">
        <v>36</v>
      </c>
      <c r="F592" s="48" t="s">
        <v>1433</v>
      </c>
      <c r="G592" s="48" t="s">
        <v>1447</v>
      </c>
      <c r="H592" s="49" t="s">
        <v>1448</v>
      </c>
      <c r="I592" s="48" t="s">
        <v>1413</v>
      </c>
      <c r="J592" s="48" t="s">
        <v>40</v>
      </c>
      <c r="K592" s="48" t="s">
        <v>58</v>
      </c>
      <c r="L592" s="48" t="s">
        <v>38</v>
      </c>
      <c r="M592" s="48" t="s">
        <v>37</v>
      </c>
      <c r="N592" s="48" t="s">
        <v>1436</v>
      </c>
      <c r="O592" s="48" t="s">
        <v>1436</v>
      </c>
      <c r="P592" s="48" t="s">
        <v>1436</v>
      </c>
      <c r="Q592" s="48" t="s">
        <v>38</v>
      </c>
      <c r="R592" s="48" t="s">
        <v>39</v>
      </c>
      <c r="S592" s="48" t="s">
        <v>40</v>
      </c>
      <c r="T592" s="48" t="s">
        <v>41</v>
      </c>
      <c r="U592" s="48" t="s">
        <v>1436</v>
      </c>
      <c r="V592" s="48" t="s">
        <v>1436</v>
      </c>
      <c r="W592" s="48" t="s">
        <v>1436</v>
      </c>
      <c r="X592" s="49" t="s">
        <v>193</v>
      </c>
      <c r="Y592" s="48" t="s">
        <v>1194</v>
      </c>
      <c r="Z592" s="49" t="s">
        <v>1321</v>
      </c>
      <c r="AA592" s="48" t="s">
        <v>1324</v>
      </c>
      <c r="AB592" s="48" t="s">
        <v>1325</v>
      </c>
      <c r="AC592" s="48" t="s">
        <v>1239</v>
      </c>
      <c r="AD592" s="48" t="s">
        <v>1231</v>
      </c>
      <c r="AE592" s="48" t="s">
        <v>1669</v>
      </c>
      <c r="AF592" s="48" t="s">
        <v>1436</v>
      </c>
      <c r="AG592" s="48" t="s">
        <v>1436</v>
      </c>
      <c r="AH592" s="48" t="s">
        <v>208</v>
      </c>
      <c r="AI592" s="50">
        <v>44562</v>
      </c>
      <c r="AJ592" s="50">
        <v>46387</v>
      </c>
      <c r="AK592" s="49" t="s">
        <v>1280</v>
      </c>
      <c r="AL592" s="48" t="s">
        <v>36</v>
      </c>
      <c r="AM592" s="48" t="s">
        <v>36</v>
      </c>
      <c r="AN592" s="51">
        <v>-50000</v>
      </c>
      <c r="AO592" s="51"/>
      <c r="AP592" s="51"/>
      <c r="AQ592" s="72">
        <v>1600000</v>
      </c>
      <c r="AR592" s="72">
        <v>50000</v>
      </c>
      <c r="AS592" s="50">
        <v>46387</v>
      </c>
      <c r="AT592" s="50" t="s">
        <v>1436</v>
      </c>
      <c r="AU592" s="49" t="s">
        <v>1436</v>
      </c>
      <c r="AV592" s="49" t="s">
        <v>1670</v>
      </c>
      <c r="AW592" s="48" t="s">
        <v>1244</v>
      </c>
    </row>
    <row r="593" spans="1:49" x14ac:dyDescent="0.3">
      <c r="A593" s="48" t="s">
        <v>1320</v>
      </c>
      <c r="B593" s="48" t="s">
        <v>6</v>
      </c>
      <c r="C593" s="48" t="s">
        <v>1322</v>
      </c>
      <c r="D593" s="50">
        <v>46295</v>
      </c>
      <c r="E593" s="48" t="s">
        <v>36</v>
      </c>
      <c r="F593" s="48" t="s">
        <v>1433</v>
      </c>
      <c r="G593" s="48" t="s">
        <v>1447</v>
      </c>
      <c r="H593" s="49" t="s">
        <v>1449</v>
      </c>
      <c r="I593" s="48" t="s">
        <v>1409</v>
      </c>
      <c r="J593" s="48" t="s">
        <v>40</v>
      </c>
      <c r="K593" s="48" t="s">
        <v>45</v>
      </c>
      <c r="L593" s="48" t="s">
        <v>38</v>
      </c>
      <c r="M593" s="48" t="s">
        <v>37</v>
      </c>
      <c r="N593" s="48" t="s">
        <v>1436</v>
      </c>
      <c r="O593" s="48" t="s">
        <v>1436</v>
      </c>
      <c r="P593" s="48" t="s">
        <v>1436</v>
      </c>
      <c r="Q593" s="48" t="s">
        <v>38</v>
      </c>
      <c r="R593" s="48" t="s">
        <v>39</v>
      </c>
      <c r="S593" s="48" t="s">
        <v>40</v>
      </c>
      <c r="T593" s="48" t="s">
        <v>41</v>
      </c>
      <c r="U593" s="48" t="s">
        <v>1436</v>
      </c>
      <c r="V593" s="48" t="s">
        <v>1436</v>
      </c>
      <c r="W593" s="48" t="s">
        <v>1436</v>
      </c>
      <c r="X593" s="49" t="s">
        <v>193</v>
      </c>
      <c r="Y593" s="48" t="s">
        <v>1194</v>
      </c>
      <c r="Z593" s="49" t="s">
        <v>1321</v>
      </c>
      <c r="AA593" s="48" t="s">
        <v>1324</v>
      </c>
      <c r="AB593" s="48" t="s">
        <v>1325</v>
      </c>
      <c r="AC593" s="48" t="s">
        <v>1239</v>
      </c>
      <c r="AD593" s="48" t="s">
        <v>1231</v>
      </c>
      <c r="AE593" s="48" t="s">
        <v>1669</v>
      </c>
      <c r="AF593" s="48" t="s">
        <v>1436</v>
      </c>
      <c r="AG593" s="48" t="s">
        <v>1436</v>
      </c>
      <c r="AH593" s="48" t="s">
        <v>208</v>
      </c>
      <c r="AI593" s="50">
        <v>44562</v>
      </c>
      <c r="AJ593" s="50">
        <v>46387</v>
      </c>
      <c r="AK593" s="49" t="s">
        <v>1280</v>
      </c>
      <c r="AL593" s="48" t="s">
        <v>36</v>
      </c>
      <c r="AM593" s="48" t="s">
        <v>36</v>
      </c>
      <c r="AN593" s="51">
        <v>0</v>
      </c>
      <c r="AO593" s="51"/>
      <c r="AP593" s="51"/>
      <c r="AQ593" s="72">
        <v>1600000</v>
      </c>
      <c r="AR593" s="72">
        <v>50000</v>
      </c>
      <c r="AS593" s="50">
        <v>46387</v>
      </c>
      <c r="AT593" s="50" t="s">
        <v>1436</v>
      </c>
      <c r="AU593" s="49" t="s">
        <v>1436</v>
      </c>
      <c r="AV593" s="49" t="s">
        <v>1670</v>
      </c>
      <c r="AW593" s="48" t="s">
        <v>1244</v>
      </c>
    </row>
    <row r="594" spans="1:49" x14ac:dyDescent="0.3">
      <c r="A594" s="48" t="s">
        <v>1320</v>
      </c>
      <c r="B594" s="48" t="s">
        <v>6</v>
      </c>
      <c r="C594" s="48" t="s">
        <v>1322</v>
      </c>
      <c r="D594" s="50">
        <v>46295</v>
      </c>
      <c r="E594" s="48" t="s">
        <v>36</v>
      </c>
      <c r="F594" s="48" t="s">
        <v>1433</v>
      </c>
      <c r="G594" s="48" t="s">
        <v>1447</v>
      </c>
      <c r="H594" s="49" t="s">
        <v>1450</v>
      </c>
      <c r="I594" s="48" t="s">
        <v>1408</v>
      </c>
      <c r="J594" s="48" t="s">
        <v>40</v>
      </c>
      <c r="K594" s="48" t="s">
        <v>54</v>
      </c>
      <c r="L594" s="48" t="s">
        <v>38</v>
      </c>
      <c r="M594" s="48" t="s">
        <v>37</v>
      </c>
      <c r="N594" s="48" t="s">
        <v>1436</v>
      </c>
      <c r="O594" s="48" t="s">
        <v>1436</v>
      </c>
      <c r="P594" s="48" t="s">
        <v>1436</v>
      </c>
      <c r="Q594" s="48" t="s">
        <v>38</v>
      </c>
      <c r="R594" s="48" t="s">
        <v>39</v>
      </c>
      <c r="S594" s="48" t="s">
        <v>40</v>
      </c>
      <c r="T594" s="48" t="s">
        <v>41</v>
      </c>
      <c r="U594" s="48" t="s">
        <v>1436</v>
      </c>
      <c r="V594" s="48" t="s">
        <v>1436</v>
      </c>
      <c r="W594" s="48" t="s">
        <v>1436</v>
      </c>
      <c r="X594" s="49" t="s">
        <v>193</v>
      </c>
      <c r="Y594" s="48" t="s">
        <v>1194</v>
      </c>
      <c r="Z594" s="49" t="s">
        <v>1321</v>
      </c>
      <c r="AA594" s="48" t="s">
        <v>1324</v>
      </c>
      <c r="AB594" s="48" t="s">
        <v>1325</v>
      </c>
      <c r="AC594" s="48" t="s">
        <v>1239</v>
      </c>
      <c r="AD594" s="48" t="s">
        <v>1231</v>
      </c>
      <c r="AE594" s="48" t="s">
        <v>1669</v>
      </c>
      <c r="AF594" s="48" t="s">
        <v>1436</v>
      </c>
      <c r="AG594" s="48" t="s">
        <v>1436</v>
      </c>
      <c r="AH594" s="48" t="s">
        <v>208</v>
      </c>
      <c r="AI594" s="50">
        <v>44562</v>
      </c>
      <c r="AJ594" s="50">
        <v>46387</v>
      </c>
      <c r="AK594" s="49" t="s">
        <v>1280</v>
      </c>
      <c r="AL594" s="48" t="s">
        <v>36</v>
      </c>
      <c r="AM594" s="48" t="s">
        <v>36</v>
      </c>
      <c r="AN594" s="51">
        <v>48850.150734000003</v>
      </c>
      <c r="AO594" s="51"/>
      <c r="AP594" s="51"/>
      <c r="AQ594" s="72">
        <v>1600000</v>
      </c>
      <c r="AR594" s="72">
        <v>50000</v>
      </c>
      <c r="AS594" s="50">
        <v>46387</v>
      </c>
      <c r="AT594" s="50" t="s">
        <v>1436</v>
      </c>
      <c r="AU594" s="49" t="s">
        <v>1436</v>
      </c>
      <c r="AV594" s="49" t="s">
        <v>1670</v>
      </c>
      <c r="AW594" s="48" t="s">
        <v>1244</v>
      </c>
    </row>
    <row r="595" spans="1:49" x14ac:dyDescent="0.3">
      <c r="A595" s="48" t="s">
        <v>1320</v>
      </c>
      <c r="B595" s="48" t="s">
        <v>6</v>
      </c>
      <c r="C595" s="48" t="s">
        <v>1322</v>
      </c>
      <c r="D595" s="50">
        <v>46295</v>
      </c>
      <c r="E595" s="48" t="s">
        <v>36</v>
      </c>
      <c r="F595" s="48" t="s">
        <v>1433</v>
      </c>
      <c r="G595" s="48" t="s">
        <v>1447</v>
      </c>
      <c r="H595" s="49" t="s">
        <v>1451</v>
      </c>
      <c r="I595" s="48" t="s">
        <v>1404</v>
      </c>
      <c r="J595" s="48" t="s">
        <v>38</v>
      </c>
      <c r="K595" s="48" t="s">
        <v>49</v>
      </c>
      <c r="L595" s="48" t="s">
        <v>38</v>
      </c>
      <c r="M595" s="48" t="s">
        <v>37</v>
      </c>
      <c r="N595" s="48" t="s">
        <v>1436</v>
      </c>
      <c r="O595" s="48" t="s">
        <v>1436</v>
      </c>
      <c r="P595" s="48" t="s">
        <v>1436</v>
      </c>
      <c r="Q595" s="48" t="s">
        <v>38</v>
      </c>
      <c r="R595" s="48" t="s">
        <v>39</v>
      </c>
      <c r="S595" s="48" t="s">
        <v>38</v>
      </c>
      <c r="T595" s="48" t="s">
        <v>41</v>
      </c>
      <c r="U595" s="48" t="s">
        <v>1436</v>
      </c>
      <c r="V595" s="48" t="s">
        <v>1436</v>
      </c>
      <c r="W595" s="48" t="s">
        <v>1436</v>
      </c>
      <c r="X595" s="49" t="s">
        <v>193</v>
      </c>
      <c r="Y595" s="48" t="s">
        <v>1194</v>
      </c>
      <c r="Z595" s="49" t="s">
        <v>1321</v>
      </c>
      <c r="AA595" s="48" t="s">
        <v>1324</v>
      </c>
      <c r="AB595" s="48" t="s">
        <v>1325</v>
      </c>
      <c r="AC595" s="48" t="s">
        <v>1239</v>
      </c>
      <c r="AD595" s="48" t="s">
        <v>1231</v>
      </c>
      <c r="AE595" s="48" t="s">
        <v>1669</v>
      </c>
      <c r="AF595" s="48" t="s">
        <v>1436</v>
      </c>
      <c r="AG595" s="48" t="s">
        <v>1436</v>
      </c>
      <c r="AH595" s="48" t="s">
        <v>208</v>
      </c>
      <c r="AI595" s="50">
        <v>44562</v>
      </c>
      <c r="AJ595" s="50">
        <v>46387</v>
      </c>
      <c r="AK595" s="49" t="s">
        <v>1280</v>
      </c>
      <c r="AL595" s="48" t="s">
        <v>36</v>
      </c>
      <c r="AM595" s="48" t="s">
        <v>36</v>
      </c>
      <c r="AN595" s="51">
        <v>284.95921299999998</v>
      </c>
      <c r="AO595" s="51"/>
      <c r="AP595" s="51"/>
      <c r="AQ595" s="72">
        <v>1600000</v>
      </c>
      <c r="AR595" s="72">
        <v>50000</v>
      </c>
      <c r="AS595" s="50">
        <v>46387</v>
      </c>
      <c r="AT595" s="50" t="s">
        <v>1436</v>
      </c>
      <c r="AU595" s="49" t="s">
        <v>1436</v>
      </c>
      <c r="AV595" s="49" t="s">
        <v>1670</v>
      </c>
      <c r="AW595" s="48" t="s">
        <v>1244</v>
      </c>
    </row>
    <row r="596" spans="1:49" x14ac:dyDescent="0.3">
      <c r="A596" s="48" t="s">
        <v>1320</v>
      </c>
      <c r="B596" s="48" t="s">
        <v>6</v>
      </c>
      <c r="C596" s="48" t="s">
        <v>1322</v>
      </c>
      <c r="D596" s="50">
        <v>46326</v>
      </c>
      <c r="E596" s="48" t="s">
        <v>36</v>
      </c>
      <c r="F596" s="48" t="s">
        <v>1433</v>
      </c>
      <c r="G596" s="48" t="s">
        <v>1434</v>
      </c>
      <c r="H596" s="49" t="s">
        <v>1435</v>
      </c>
      <c r="I596" s="48" t="s">
        <v>1412</v>
      </c>
      <c r="J596" s="48" t="s">
        <v>40</v>
      </c>
      <c r="K596" s="48" t="s">
        <v>52</v>
      </c>
      <c r="L596" s="48" t="s">
        <v>38</v>
      </c>
      <c r="M596" s="48" t="s">
        <v>37</v>
      </c>
      <c r="N596" s="48" t="s">
        <v>1436</v>
      </c>
      <c r="O596" s="48" t="s">
        <v>1436</v>
      </c>
      <c r="P596" s="48" t="s">
        <v>1436</v>
      </c>
      <c r="Q596" s="48" t="s">
        <v>38</v>
      </c>
      <c r="R596" s="48" t="s">
        <v>39</v>
      </c>
      <c r="S596" s="48" t="s">
        <v>40</v>
      </c>
      <c r="T596" s="48" t="s">
        <v>41</v>
      </c>
      <c r="U596" s="48" t="s">
        <v>1436</v>
      </c>
      <c r="V596" s="48" t="s">
        <v>1436</v>
      </c>
      <c r="W596" s="48" t="s">
        <v>1436</v>
      </c>
      <c r="X596" s="49" t="s">
        <v>193</v>
      </c>
      <c r="Y596" s="48" t="s">
        <v>1194</v>
      </c>
      <c r="Z596" s="49" t="s">
        <v>1321</v>
      </c>
      <c r="AA596" s="48" t="s">
        <v>1324</v>
      </c>
      <c r="AB596" s="48" t="s">
        <v>1325</v>
      </c>
      <c r="AC596" s="48" t="s">
        <v>1239</v>
      </c>
      <c r="AD596" s="48" t="s">
        <v>1231</v>
      </c>
      <c r="AE596" s="48" t="s">
        <v>1669</v>
      </c>
      <c r="AF596" s="48" t="s">
        <v>1436</v>
      </c>
      <c r="AG596" s="48" t="s">
        <v>1436</v>
      </c>
      <c r="AH596" s="48" t="s">
        <v>208</v>
      </c>
      <c r="AI596" s="50">
        <v>44562</v>
      </c>
      <c r="AJ596" s="50">
        <v>46387</v>
      </c>
      <c r="AK596" s="49" t="s">
        <v>1280</v>
      </c>
      <c r="AL596" s="48" t="s">
        <v>36</v>
      </c>
      <c r="AM596" s="48" t="s">
        <v>36</v>
      </c>
      <c r="AN596" s="51">
        <v>-42330.49</v>
      </c>
      <c r="AO596" s="51"/>
      <c r="AP596" s="51"/>
      <c r="AQ596" s="72">
        <v>1600000</v>
      </c>
      <c r="AR596" s="72">
        <v>50000</v>
      </c>
      <c r="AS596" s="50">
        <v>46387</v>
      </c>
      <c r="AT596" s="50" t="s">
        <v>1436</v>
      </c>
      <c r="AU596" s="49" t="s">
        <v>1436</v>
      </c>
      <c r="AV596" s="49" t="s">
        <v>1670</v>
      </c>
      <c r="AW596" s="48" t="s">
        <v>1244</v>
      </c>
    </row>
    <row r="597" spans="1:49" x14ac:dyDescent="0.3">
      <c r="A597" s="48" t="s">
        <v>1320</v>
      </c>
      <c r="B597" s="48" t="s">
        <v>6</v>
      </c>
      <c r="C597" s="48" t="s">
        <v>1322</v>
      </c>
      <c r="D597" s="50">
        <v>46326</v>
      </c>
      <c r="E597" s="48" t="s">
        <v>36</v>
      </c>
      <c r="F597" s="48" t="s">
        <v>1433</v>
      </c>
      <c r="G597" s="48" t="s">
        <v>1434</v>
      </c>
      <c r="H597" s="49" t="s">
        <v>1437</v>
      </c>
      <c r="I597" s="48" t="s">
        <v>1410</v>
      </c>
      <c r="J597" s="48" t="s">
        <v>40</v>
      </c>
      <c r="K597" s="48" t="s">
        <v>42</v>
      </c>
      <c r="L597" s="48" t="s">
        <v>38</v>
      </c>
      <c r="M597" s="48" t="s">
        <v>37</v>
      </c>
      <c r="N597" s="48" t="s">
        <v>1436</v>
      </c>
      <c r="O597" s="48" t="s">
        <v>1436</v>
      </c>
      <c r="P597" s="48" t="s">
        <v>1436</v>
      </c>
      <c r="Q597" s="48" t="s">
        <v>38</v>
      </c>
      <c r="R597" s="48" t="s">
        <v>39</v>
      </c>
      <c r="S597" s="48" t="s">
        <v>40</v>
      </c>
      <c r="T597" s="48" t="s">
        <v>41</v>
      </c>
      <c r="U597" s="48" t="s">
        <v>1436</v>
      </c>
      <c r="V597" s="48" t="s">
        <v>1436</v>
      </c>
      <c r="W597" s="48" t="s">
        <v>1436</v>
      </c>
      <c r="X597" s="49" t="s">
        <v>193</v>
      </c>
      <c r="Y597" s="48" t="s">
        <v>1194</v>
      </c>
      <c r="Z597" s="49" t="s">
        <v>1321</v>
      </c>
      <c r="AA597" s="48" t="s">
        <v>1324</v>
      </c>
      <c r="AB597" s="48" t="s">
        <v>1325</v>
      </c>
      <c r="AC597" s="48" t="s">
        <v>1239</v>
      </c>
      <c r="AD597" s="48" t="s">
        <v>1231</v>
      </c>
      <c r="AE597" s="48" t="s">
        <v>1669</v>
      </c>
      <c r="AF597" s="48" t="s">
        <v>1436</v>
      </c>
      <c r="AG597" s="48" t="s">
        <v>1436</v>
      </c>
      <c r="AH597" s="48" t="s">
        <v>208</v>
      </c>
      <c r="AI597" s="50">
        <v>44562</v>
      </c>
      <c r="AJ597" s="50">
        <v>46387</v>
      </c>
      <c r="AK597" s="49" t="s">
        <v>1280</v>
      </c>
      <c r="AL597" s="48" t="s">
        <v>36</v>
      </c>
      <c r="AM597" s="48" t="s">
        <v>36</v>
      </c>
      <c r="AN597" s="51">
        <v>0</v>
      </c>
      <c r="AO597" s="51"/>
      <c r="AP597" s="51"/>
      <c r="AQ597" s="72">
        <v>1600000</v>
      </c>
      <c r="AR597" s="72">
        <v>50000</v>
      </c>
      <c r="AS597" s="50">
        <v>46387</v>
      </c>
      <c r="AT597" s="50" t="s">
        <v>1436</v>
      </c>
      <c r="AU597" s="49" t="s">
        <v>1436</v>
      </c>
      <c r="AV597" s="49" t="s">
        <v>1670</v>
      </c>
      <c r="AW597" s="48" t="s">
        <v>1244</v>
      </c>
    </row>
    <row r="598" spans="1:49" x14ac:dyDescent="0.3">
      <c r="A598" s="48" t="s">
        <v>1320</v>
      </c>
      <c r="B598" s="48" t="s">
        <v>6</v>
      </c>
      <c r="C598" s="48" t="s">
        <v>1322</v>
      </c>
      <c r="D598" s="50">
        <v>46326</v>
      </c>
      <c r="E598" s="48" t="s">
        <v>36</v>
      </c>
      <c r="F598" s="48" t="s">
        <v>1438</v>
      </c>
      <c r="G598" s="48" t="s">
        <v>1439</v>
      </c>
      <c r="H598" s="49" t="s">
        <v>1440</v>
      </c>
      <c r="I598" s="48" t="s">
        <v>1406</v>
      </c>
      <c r="J598" s="48" t="s">
        <v>1194</v>
      </c>
      <c r="K598" s="48" t="s">
        <v>1441</v>
      </c>
      <c r="L598" s="48" t="s">
        <v>38</v>
      </c>
      <c r="M598" s="48" t="s">
        <v>37</v>
      </c>
      <c r="N598" s="48" t="s">
        <v>1436</v>
      </c>
      <c r="O598" s="48" t="s">
        <v>1436</v>
      </c>
      <c r="P598" s="48" t="s">
        <v>1436</v>
      </c>
      <c r="Q598" s="48" t="s">
        <v>38</v>
      </c>
      <c r="R598" s="48" t="s">
        <v>39</v>
      </c>
      <c r="S598" s="48" t="s">
        <v>1194</v>
      </c>
      <c r="T598" s="48" t="s">
        <v>41</v>
      </c>
      <c r="U598" s="48" t="s">
        <v>1436</v>
      </c>
      <c r="V598" s="48" t="s">
        <v>1436</v>
      </c>
      <c r="W598" s="48" t="s">
        <v>1436</v>
      </c>
      <c r="X598" s="49" t="s">
        <v>193</v>
      </c>
      <c r="Y598" s="48" t="s">
        <v>1194</v>
      </c>
      <c r="Z598" s="49" t="s">
        <v>1321</v>
      </c>
      <c r="AA598" s="48" t="s">
        <v>1324</v>
      </c>
      <c r="AB598" s="48" t="s">
        <v>1325</v>
      </c>
      <c r="AC598" s="48" t="s">
        <v>1239</v>
      </c>
      <c r="AD598" s="48" t="s">
        <v>1231</v>
      </c>
      <c r="AE598" s="48" t="s">
        <v>1669</v>
      </c>
      <c r="AF598" s="48" t="s">
        <v>1436</v>
      </c>
      <c r="AG598" s="48" t="s">
        <v>1436</v>
      </c>
      <c r="AH598" s="48" t="s">
        <v>208</v>
      </c>
      <c r="AI598" s="50">
        <v>44562</v>
      </c>
      <c r="AJ598" s="50">
        <v>46387</v>
      </c>
      <c r="AK598" s="49" t="s">
        <v>1280</v>
      </c>
      <c r="AL598" s="48" t="s">
        <v>36</v>
      </c>
      <c r="AM598" s="48" t="s">
        <v>36</v>
      </c>
      <c r="AN598" s="51">
        <v>0</v>
      </c>
      <c r="AO598" s="51"/>
      <c r="AP598" s="51"/>
      <c r="AQ598" s="72">
        <v>1600000</v>
      </c>
      <c r="AR598" s="72">
        <v>50000</v>
      </c>
      <c r="AS598" s="50">
        <v>46387</v>
      </c>
      <c r="AT598" s="50" t="s">
        <v>1436</v>
      </c>
      <c r="AU598" s="49" t="s">
        <v>1436</v>
      </c>
      <c r="AV598" s="49" t="s">
        <v>1670</v>
      </c>
      <c r="AW598" s="48" t="s">
        <v>1244</v>
      </c>
    </row>
    <row r="599" spans="1:49" x14ac:dyDescent="0.3">
      <c r="A599" s="48" t="s">
        <v>1320</v>
      </c>
      <c r="B599" s="48" t="s">
        <v>6</v>
      </c>
      <c r="C599" s="48" t="s">
        <v>1322</v>
      </c>
      <c r="D599" s="50">
        <v>46326</v>
      </c>
      <c r="E599" s="48" t="s">
        <v>36</v>
      </c>
      <c r="F599" s="48" t="s">
        <v>1438</v>
      </c>
      <c r="G599" s="48" t="s">
        <v>1439</v>
      </c>
      <c r="H599" s="49" t="s">
        <v>1442</v>
      </c>
      <c r="I599" s="48" t="s">
        <v>1405</v>
      </c>
      <c r="J599" s="48" t="s">
        <v>1194</v>
      </c>
      <c r="K599" s="48" t="s">
        <v>1443</v>
      </c>
      <c r="L599" s="48" t="s">
        <v>38</v>
      </c>
      <c r="M599" s="48" t="s">
        <v>37</v>
      </c>
      <c r="N599" s="48" t="s">
        <v>1436</v>
      </c>
      <c r="O599" s="48" t="s">
        <v>1436</v>
      </c>
      <c r="P599" s="48" t="s">
        <v>1436</v>
      </c>
      <c r="Q599" s="48" t="s">
        <v>38</v>
      </c>
      <c r="R599" s="48" t="s">
        <v>39</v>
      </c>
      <c r="S599" s="48" t="s">
        <v>1194</v>
      </c>
      <c r="T599" s="48" t="s">
        <v>41</v>
      </c>
      <c r="U599" s="48" t="s">
        <v>1436</v>
      </c>
      <c r="V599" s="48" t="s">
        <v>1436</v>
      </c>
      <c r="W599" s="48" t="s">
        <v>1436</v>
      </c>
      <c r="X599" s="49" t="s">
        <v>193</v>
      </c>
      <c r="Y599" s="48" t="s">
        <v>1194</v>
      </c>
      <c r="Z599" s="49" t="s">
        <v>1321</v>
      </c>
      <c r="AA599" s="48" t="s">
        <v>1324</v>
      </c>
      <c r="AB599" s="48" t="s">
        <v>1325</v>
      </c>
      <c r="AC599" s="48" t="s">
        <v>1239</v>
      </c>
      <c r="AD599" s="48" t="s">
        <v>1231</v>
      </c>
      <c r="AE599" s="48" t="s">
        <v>1669</v>
      </c>
      <c r="AF599" s="48" t="s">
        <v>1436</v>
      </c>
      <c r="AG599" s="48" t="s">
        <v>1436</v>
      </c>
      <c r="AH599" s="48" t="s">
        <v>208</v>
      </c>
      <c r="AI599" s="50">
        <v>44562</v>
      </c>
      <c r="AJ599" s="50">
        <v>46387</v>
      </c>
      <c r="AK599" s="49" t="s">
        <v>1280</v>
      </c>
      <c r="AL599" s="48" t="s">
        <v>36</v>
      </c>
      <c r="AM599" s="48" t="s">
        <v>36</v>
      </c>
      <c r="AN599" s="51">
        <v>0</v>
      </c>
      <c r="AO599" s="51"/>
      <c r="AP599" s="51"/>
      <c r="AQ599" s="72">
        <v>1600000</v>
      </c>
      <c r="AR599" s="72">
        <v>50000</v>
      </c>
      <c r="AS599" s="50">
        <v>46387</v>
      </c>
      <c r="AT599" s="50" t="s">
        <v>1436</v>
      </c>
      <c r="AU599" s="49" t="s">
        <v>1436</v>
      </c>
      <c r="AV599" s="49" t="s">
        <v>1670</v>
      </c>
      <c r="AW599" s="48" t="s">
        <v>1244</v>
      </c>
    </row>
    <row r="600" spans="1:49" x14ac:dyDescent="0.3">
      <c r="A600" s="48" t="s">
        <v>1320</v>
      </c>
      <c r="B600" s="48" t="s">
        <v>6</v>
      </c>
      <c r="C600" s="48" t="s">
        <v>1322</v>
      </c>
      <c r="D600" s="50">
        <v>46326</v>
      </c>
      <c r="E600" s="48" t="s">
        <v>36</v>
      </c>
      <c r="F600" s="48" t="s">
        <v>1438</v>
      </c>
      <c r="G600" s="48" t="s">
        <v>1444</v>
      </c>
      <c r="H600" s="49" t="s">
        <v>1445</v>
      </c>
      <c r="I600" s="48" t="s">
        <v>1411</v>
      </c>
      <c r="J600" s="48" t="s">
        <v>40</v>
      </c>
      <c r="K600" s="48" t="s">
        <v>50</v>
      </c>
      <c r="L600" s="48" t="s">
        <v>38</v>
      </c>
      <c r="M600" s="48" t="s">
        <v>37</v>
      </c>
      <c r="N600" s="48" t="s">
        <v>1436</v>
      </c>
      <c r="O600" s="48" t="s">
        <v>1436</v>
      </c>
      <c r="P600" s="48" t="s">
        <v>1436</v>
      </c>
      <c r="Q600" s="48" t="s">
        <v>38</v>
      </c>
      <c r="R600" s="48" t="s">
        <v>39</v>
      </c>
      <c r="S600" s="48" t="s">
        <v>40</v>
      </c>
      <c r="T600" s="48" t="s">
        <v>41</v>
      </c>
      <c r="U600" s="48" t="s">
        <v>1436</v>
      </c>
      <c r="V600" s="48" t="s">
        <v>1436</v>
      </c>
      <c r="W600" s="48" t="s">
        <v>1436</v>
      </c>
      <c r="X600" s="49" t="s">
        <v>193</v>
      </c>
      <c r="Y600" s="48" t="s">
        <v>1194</v>
      </c>
      <c r="Z600" s="49" t="s">
        <v>1321</v>
      </c>
      <c r="AA600" s="48" t="s">
        <v>1324</v>
      </c>
      <c r="AB600" s="48" t="s">
        <v>1325</v>
      </c>
      <c r="AC600" s="48" t="s">
        <v>1239</v>
      </c>
      <c r="AD600" s="48" t="s">
        <v>1231</v>
      </c>
      <c r="AE600" s="48" t="s">
        <v>1669</v>
      </c>
      <c r="AF600" s="48" t="s">
        <v>1436</v>
      </c>
      <c r="AG600" s="48" t="s">
        <v>1436</v>
      </c>
      <c r="AH600" s="48" t="s">
        <v>208</v>
      </c>
      <c r="AI600" s="50">
        <v>44562</v>
      </c>
      <c r="AJ600" s="50">
        <v>46387</v>
      </c>
      <c r="AK600" s="49" t="s">
        <v>1280</v>
      </c>
      <c r="AL600" s="48" t="s">
        <v>36</v>
      </c>
      <c r="AM600" s="48" t="s">
        <v>36</v>
      </c>
      <c r="AN600" s="51">
        <v>42330.49</v>
      </c>
      <c r="AO600" s="51"/>
      <c r="AP600" s="51"/>
      <c r="AQ600" s="72">
        <v>1600000</v>
      </c>
      <c r="AR600" s="72">
        <v>50000</v>
      </c>
      <c r="AS600" s="50">
        <v>46387</v>
      </c>
      <c r="AT600" s="50" t="s">
        <v>1436</v>
      </c>
      <c r="AU600" s="49" t="s">
        <v>1436</v>
      </c>
      <c r="AV600" s="49" t="s">
        <v>1670</v>
      </c>
      <c r="AW600" s="48" t="s">
        <v>1244</v>
      </c>
    </row>
    <row r="601" spans="1:49" x14ac:dyDescent="0.3">
      <c r="A601" s="48" t="s">
        <v>1320</v>
      </c>
      <c r="B601" s="48" t="s">
        <v>6</v>
      </c>
      <c r="C601" s="48" t="s">
        <v>1322</v>
      </c>
      <c r="D601" s="50">
        <v>46326</v>
      </c>
      <c r="E601" s="48" t="s">
        <v>36</v>
      </c>
      <c r="F601" s="48" t="s">
        <v>1438</v>
      </c>
      <c r="G601" s="48" t="s">
        <v>1444</v>
      </c>
      <c r="H601" s="49" t="s">
        <v>1446</v>
      </c>
      <c r="I601" s="48" t="s">
        <v>1407</v>
      </c>
      <c r="J601" s="48" t="s">
        <v>40</v>
      </c>
      <c r="K601" s="48" t="s">
        <v>47</v>
      </c>
      <c r="L601" s="48" t="s">
        <v>38</v>
      </c>
      <c r="M601" s="48" t="s">
        <v>37</v>
      </c>
      <c r="N601" s="48" t="s">
        <v>1436</v>
      </c>
      <c r="O601" s="48" t="s">
        <v>1436</v>
      </c>
      <c r="P601" s="48" t="s">
        <v>1436</v>
      </c>
      <c r="Q601" s="48" t="s">
        <v>38</v>
      </c>
      <c r="R601" s="48" t="s">
        <v>39</v>
      </c>
      <c r="S601" s="48" t="s">
        <v>40</v>
      </c>
      <c r="T601" s="48" t="s">
        <v>41</v>
      </c>
      <c r="U601" s="48" t="s">
        <v>1436</v>
      </c>
      <c r="V601" s="48" t="s">
        <v>1436</v>
      </c>
      <c r="W601" s="48" t="s">
        <v>1436</v>
      </c>
      <c r="X601" s="49" t="s">
        <v>193</v>
      </c>
      <c r="Y601" s="48" t="s">
        <v>1194</v>
      </c>
      <c r="Z601" s="49" t="s">
        <v>1321</v>
      </c>
      <c r="AA601" s="48" t="s">
        <v>1324</v>
      </c>
      <c r="AB601" s="48" t="s">
        <v>1325</v>
      </c>
      <c r="AC601" s="48" t="s">
        <v>1239</v>
      </c>
      <c r="AD601" s="48" t="s">
        <v>1231</v>
      </c>
      <c r="AE601" s="48" t="s">
        <v>1669</v>
      </c>
      <c r="AF601" s="48" t="s">
        <v>1436</v>
      </c>
      <c r="AG601" s="48" t="s">
        <v>1436</v>
      </c>
      <c r="AH601" s="48" t="s">
        <v>208</v>
      </c>
      <c r="AI601" s="50">
        <v>44562</v>
      </c>
      <c r="AJ601" s="50">
        <v>46387</v>
      </c>
      <c r="AK601" s="49" t="s">
        <v>1280</v>
      </c>
      <c r="AL601" s="48" t="s">
        <v>36</v>
      </c>
      <c r="AM601" s="48" t="s">
        <v>36</v>
      </c>
      <c r="AN601" s="51">
        <v>578.26857800000005</v>
      </c>
      <c r="AO601" s="51"/>
      <c r="AP601" s="51"/>
      <c r="AQ601" s="72">
        <v>1600000</v>
      </c>
      <c r="AR601" s="72">
        <v>50000</v>
      </c>
      <c r="AS601" s="50">
        <v>46387</v>
      </c>
      <c r="AT601" s="50" t="s">
        <v>1436</v>
      </c>
      <c r="AU601" s="49" t="s">
        <v>1436</v>
      </c>
      <c r="AV601" s="49" t="s">
        <v>1670</v>
      </c>
      <c r="AW601" s="48" t="s">
        <v>1244</v>
      </c>
    </row>
    <row r="602" spans="1:49" x14ac:dyDescent="0.3">
      <c r="A602" s="48" t="s">
        <v>1320</v>
      </c>
      <c r="B602" s="48" t="s">
        <v>6</v>
      </c>
      <c r="C602" s="48" t="s">
        <v>1322</v>
      </c>
      <c r="D602" s="50">
        <v>46326</v>
      </c>
      <c r="E602" s="48" t="s">
        <v>36</v>
      </c>
      <c r="F602" s="48" t="s">
        <v>1433</v>
      </c>
      <c r="G602" s="48" t="s">
        <v>1447</v>
      </c>
      <c r="H602" s="49" t="s">
        <v>1448</v>
      </c>
      <c r="I602" s="48" t="s">
        <v>1413</v>
      </c>
      <c r="J602" s="48" t="s">
        <v>40</v>
      </c>
      <c r="K602" s="48" t="s">
        <v>58</v>
      </c>
      <c r="L602" s="48" t="s">
        <v>38</v>
      </c>
      <c r="M602" s="48" t="s">
        <v>37</v>
      </c>
      <c r="N602" s="48" t="s">
        <v>1436</v>
      </c>
      <c r="O602" s="48" t="s">
        <v>1436</v>
      </c>
      <c r="P602" s="48" t="s">
        <v>1436</v>
      </c>
      <c r="Q602" s="48" t="s">
        <v>38</v>
      </c>
      <c r="R602" s="48" t="s">
        <v>39</v>
      </c>
      <c r="S602" s="48" t="s">
        <v>40</v>
      </c>
      <c r="T602" s="48" t="s">
        <v>41</v>
      </c>
      <c r="U602" s="48" t="s">
        <v>1436</v>
      </c>
      <c r="V602" s="48" t="s">
        <v>1436</v>
      </c>
      <c r="W602" s="48" t="s">
        <v>1436</v>
      </c>
      <c r="X602" s="49" t="s">
        <v>193</v>
      </c>
      <c r="Y602" s="48" t="s">
        <v>1194</v>
      </c>
      <c r="Z602" s="49" t="s">
        <v>1321</v>
      </c>
      <c r="AA602" s="48" t="s">
        <v>1324</v>
      </c>
      <c r="AB602" s="48" t="s">
        <v>1325</v>
      </c>
      <c r="AC602" s="48" t="s">
        <v>1239</v>
      </c>
      <c r="AD602" s="48" t="s">
        <v>1231</v>
      </c>
      <c r="AE602" s="48" t="s">
        <v>1669</v>
      </c>
      <c r="AF602" s="48" t="s">
        <v>1436</v>
      </c>
      <c r="AG602" s="48" t="s">
        <v>1436</v>
      </c>
      <c r="AH602" s="48" t="s">
        <v>208</v>
      </c>
      <c r="AI602" s="50">
        <v>44562</v>
      </c>
      <c r="AJ602" s="50">
        <v>46387</v>
      </c>
      <c r="AK602" s="49" t="s">
        <v>1280</v>
      </c>
      <c r="AL602" s="48" t="s">
        <v>36</v>
      </c>
      <c r="AM602" s="48" t="s">
        <v>36</v>
      </c>
      <c r="AN602" s="51">
        <v>-50000</v>
      </c>
      <c r="AO602" s="51"/>
      <c r="AP602" s="51"/>
      <c r="AQ602" s="72">
        <v>1600000</v>
      </c>
      <c r="AR602" s="72">
        <v>50000</v>
      </c>
      <c r="AS602" s="50">
        <v>46387</v>
      </c>
      <c r="AT602" s="50" t="s">
        <v>1436</v>
      </c>
      <c r="AU602" s="49" t="s">
        <v>1436</v>
      </c>
      <c r="AV602" s="49" t="s">
        <v>1670</v>
      </c>
      <c r="AW602" s="48" t="s">
        <v>1244</v>
      </c>
    </row>
    <row r="603" spans="1:49" x14ac:dyDescent="0.3">
      <c r="A603" s="48" t="s">
        <v>1320</v>
      </c>
      <c r="B603" s="48" t="s">
        <v>6</v>
      </c>
      <c r="C603" s="48" t="s">
        <v>1322</v>
      </c>
      <c r="D603" s="50">
        <v>46326</v>
      </c>
      <c r="E603" s="48" t="s">
        <v>36</v>
      </c>
      <c r="F603" s="48" t="s">
        <v>1433</v>
      </c>
      <c r="G603" s="48" t="s">
        <v>1447</v>
      </c>
      <c r="H603" s="49" t="s">
        <v>1449</v>
      </c>
      <c r="I603" s="48" t="s">
        <v>1409</v>
      </c>
      <c r="J603" s="48" t="s">
        <v>40</v>
      </c>
      <c r="K603" s="48" t="s">
        <v>45</v>
      </c>
      <c r="L603" s="48" t="s">
        <v>38</v>
      </c>
      <c r="M603" s="48" t="s">
        <v>37</v>
      </c>
      <c r="N603" s="48" t="s">
        <v>1436</v>
      </c>
      <c r="O603" s="48" t="s">
        <v>1436</v>
      </c>
      <c r="P603" s="48" t="s">
        <v>1436</v>
      </c>
      <c r="Q603" s="48" t="s">
        <v>38</v>
      </c>
      <c r="R603" s="48" t="s">
        <v>39</v>
      </c>
      <c r="S603" s="48" t="s">
        <v>40</v>
      </c>
      <c r="T603" s="48" t="s">
        <v>41</v>
      </c>
      <c r="U603" s="48" t="s">
        <v>1436</v>
      </c>
      <c r="V603" s="48" t="s">
        <v>1436</v>
      </c>
      <c r="W603" s="48" t="s">
        <v>1436</v>
      </c>
      <c r="X603" s="49" t="s">
        <v>193</v>
      </c>
      <c r="Y603" s="48" t="s">
        <v>1194</v>
      </c>
      <c r="Z603" s="49" t="s">
        <v>1321</v>
      </c>
      <c r="AA603" s="48" t="s">
        <v>1324</v>
      </c>
      <c r="AB603" s="48" t="s">
        <v>1325</v>
      </c>
      <c r="AC603" s="48" t="s">
        <v>1239</v>
      </c>
      <c r="AD603" s="48" t="s">
        <v>1231</v>
      </c>
      <c r="AE603" s="48" t="s">
        <v>1669</v>
      </c>
      <c r="AF603" s="48" t="s">
        <v>1436</v>
      </c>
      <c r="AG603" s="48" t="s">
        <v>1436</v>
      </c>
      <c r="AH603" s="48" t="s">
        <v>208</v>
      </c>
      <c r="AI603" s="50">
        <v>44562</v>
      </c>
      <c r="AJ603" s="50">
        <v>46387</v>
      </c>
      <c r="AK603" s="49" t="s">
        <v>1280</v>
      </c>
      <c r="AL603" s="48" t="s">
        <v>36</v>
      </c>
      <c r="AM603" s="48" t="s">
        <v>36</v>
      </c>
      <c r="AN603" s="51">
        <v>0</v>
      </c>
      <c r="AO603" s="51"/>
      <c r="AP603" s="51"/>
      <c r="AQ603" s="72">
        <v>1600000</v>
      </c>
      <c r="AR603" s="72">
        <v>50000</v>
      </c>
      <c r="AS603" s="50">
        <v>46387</v>
      </c>
      <c r="AT603" s="50" t="s">
        <v>1436</v>
      </c>
      <c r="AU603" s="49" t="s">
        <v>1436</v>
      </c>
      <c r="AV603" s="49" t="s">
        <v>1670</v>
      </c>
      <c r="AW603" s="48" t="s">
        <v>1244</v>
      </c>
    </row>
    <row r="604" spans="1:49" x14ac:dyDescent="0.3">
      <c r="A604" s="48" t="s">
        <v>1320</v>
      </c>
      <c r="B604" s="48" t="s">
        <v>6</v>
      </c>
      <c r="C604" s="48" t="s">
        <v>1322</v>
      </c>
      <c r="D604" s="50">
        <v>46326</v>
      </c>
      <c r="E604" s="48" t="s">
        <v>36</v>
      </c>
      <c r="F604" s="48" t="s">
        <v>1433</v>
      </c>
      <c r="G604" s="48" t="s">
        <v>1447</v>
      </c>
      <c r="H604" s="49" t="s">
        <v>1450</v>
      </c>
      <c r="I604" s="48" t="s">
        <v>1408</v>
      </c>
      <c r="J604" s="48" t="s">
        <v>40</v>
      </c>
      <c r="K604" s="48" t="s">
        <v>54</v>
      </c>
      <c r="L604" s="48" t="s">
        <v>38</v>
      </c>
      <c r="M604" s="48" t="s">
        <v>37</v>
      </c>
      <c r="N604" s="48" t="s">
        <v>1436</v>
      </c>
      <c r="O604" s="48" t="s">
        <v>1436</v>
      </c>
      <c r="P604" s="48" t="s">
        <v>1436</v>
      </c>
      <c r="Q604" s="48" t="s">
        <v>38</v>
      </c>
      <c r="R604" s="48" t="s">
        <v>39</v>
      </c>
      <c r="S604" s="48" t="s">
        <v>40</v>
      </c>
      <c r="T604" s="48" t="s">
        <v>41</v>
      </c>
      <c r="U604" s="48" t="s">
        <v>1436</v>
      </c>
      <c r="V604" s="48" t="s">
        <v>1436</v>
      </c>
      <c r="W604" s="48" t="s">
        <v>1436</v>
      </c>
      <c r="X604" s="49" t="s">
        <v>193</v>
      </c>
      <c r="Y604" s="48" t="s">
        <v>1194</v>
      </c>
      <c r="Z604" s="49" t="s">
        <v>1321</v>
      </c>
      <c r="AA604" s="48" t="s">
        <v>1324</v>
      </c>
      <c r="AB604" s="48" t="s">
        <v>1325</v>
      </c>
      <c r="AC604" s="48" t="s">
        <v>1239</v>
      </c>
      <c r="AD604" s="48" t="s">
        <v>1231</v>
      </c>
      <c r="AE604" s="48" t="s">
        <v>1669</v>
      </c>
      <c r="AF604" s="48" t="s">
        <v>1436</v>
      </c>
      <c r="AG604" s="48" t="s">
        <v>1436</v>
      </c>
      <c r="AH604" s="48" t="s">
        <v>208</v>
      </c>
      <c r="AI604" s="50">
        <v>44562</v>
      </c>
      <c r="AJ604" s="50">
        <v>46387</v>
      </c>
      <c r="AK604" s="49" t="s">
        <v>1280</v>
      </c>
      <c r="AL604" s="48" t="s">
        <v>36</v>
      </c>
      <c r="AM604" s="48" t="s">
        <v>36</v>
      </c>
      <c r="AN604" s="51">
        <v>49135.109946999997</v>
      </c>
      <c r="AO604" s="51"/>
      <c r="AP604" s="51"/>
      <c r="AQ604" s="72">
        <v>1600000</v>
      </c>
      <c r="AR604" s="72">
        <v>50000</v>
      </c>
      <c r="AS604" s="50">
        <v>46387</v>
      </c>
      <c r="AT604" s="50" t="s">
        <v>1436</v>
      </c>
      <c r="AU604" s="49" t="s">
        <v>1436</v>
      </c>
      <c r="AV604" s="49" t="s">
        <v>1670</v>
      </c>
      <c r="AW604" s="48" t="s">
        <v>1244</v>
      </c>
    </row>
    <row r="605" spans="1:49" x14ac:dyDescent="0.3">
      <c r="A605" s="48" t="s">
        <v>1320</v>
      </c>
      <c r="B605" s="48" t="s">
        <v>6</v>
      </c>
      <c r="C605" s="48" t="s">
        <v>1322</v>
      </c>
      <c r="D605" s="50">
        <v>46326</v>
      </c>
      <c r="E605" s="48" t="s">
        <v>36</v>
      </c>
      <c r="F605" s="48" t="s">
        <v>1433</v>
      </c>
      <c r="G605" s="48" t="s">
        <v>1447</v>
      </c>
      <c r="H605" s="49" t="s">
        <v>1451</v>
      </c>
      <c r="I605" s="48" t="s">
        <v>1404</v>
      </c>
      <c r="J605" s="48" t="s">
        <v>38</v>
      </c>
      <c r="K605" s="48" t="s">
        <v>49</v>
      </c>
      <c r="L605" s="48" t="s">
        <v>38</v>
      </c>
      <c r="M605" s="48" t="s">
        <v>37</v>
      </c>
      <c r="N605" s="48" t="s">
        <v>1436</v>
      </c>
      <c r="O605" s="48" t="s">
        <v>1436</v>
      </c>
      <c r="P605" s="48" t="s">
        <v>1436</v>
      </c>
      <c r="Q605" s="48" t="s">
        <v>38</v>
      </c>
      <c r="R605" s="48" t="s">
        <v>39</v>
      </c>
      <c r="S605" s="48" t="s">
        <v>38</v>
      </c>
      <c r="T605" s="48" t="s">
        <v>41</v>
      </c>
      <c r="U605" s="48" t="s">
        <v>1436</v>
      </c>
      <c r="V605" s="48" t="s">
        <v>1436</v>
      </c>
      <c r="W605" s="48" t="s">
        <v>1436</v>
      </c>
      <c r="X605" s="49" t="s">
        <v>193</v>
      </c>
      <c r="Y605" s="48" t="s">
        <v>1194</v>
      </c>
      <c r="Z605" s="49" t="s">
        <v>1321</v>
      </c>
      <c r="AA605" s="48" t="s">
        <v>1324</v>
      </c>
      <c r="AB605" s="48" t="s">
        <v>1325</v>
      </c>
      <c r="AC605" s="48" t="s">
        <v>1239</v>
      </c>
      <c r="AD605" s="48" t="s">
        <v>1231</v>
      </c>
      <c r="AE605" s="48" t="s">
        <v>1669</v>
      </c>
      <c r="AF605" s="48" t="s">
        <v>1436</v>
      </c>
      <c r="AG605" s="48" t="s">
        <v>1436</v>
      </c>
      <c r="AH605" s="48" t="s">
        <v>208</v>
      </c>
      <c r="AI605" s="50">
        <v>44562</v>
      </c>
      <c r="AJ605" s="50">
        <v>46387</v>
      </c>
      <c r="AK605" s="49" t="s">
        <v>1280</v>
      </c>
      <c r="AL605" s="48" t="s">
        <v>36</v>
      </c>
      <c r="AM605" s="48" t="s">
        <v>36</v>
      </c>
      <c r="AN605" s="51">
        <v>286.62147499999998</v>
      </c>
      <c r="AO605" s="51"/>
      <c r="AP605" s="51"/>
      <c r="AQ605" s="72">
        <v>1600000</v>
      </c>
      <c r="AR605" s="72">
        <v>50000</v>
      </c>
      <c r="AS605" s="50">
        <v>46387</v>
      </c>
      <c r="AT605" s="50" t="s">
        <v>1436</v>
      </c>
      <c r="AU605" s="49" t="s">
        <v>1436</v>
      </c>
      <c r="AV605" s="49" t="s">
        <v>1670</v>
      </c>
      <c r="AW605" s="48" t="s">
        <v>1244</v>
      </c>
    </row>
    <row r="606" spans="1:49" x14ac:dyDescent="0.3">
      <c r="A606" s="48" t="s">
        <v>1320</v>
      </c>
      <c r="B606" s="48" t="s">
        <v>6</v>
      </c>
      <c r="C606" s="48" t="s">
        <v>1322</v>
      </c>
      <c r="D606" s="50">
        <v>46356</v>
      </c>
      <c r="E606" s="48" t="s">
        <v>36</v>
      </c>
      <c r="F606" s="48" t="s">
        <v>1433</v>
      </c>
      <c r="G606" s="48" t="s">
        <v>1434</v>
      </c>
      <c r="H606" s="49" t="s">
        <v>1435</v>
      </c>
      <c r="I606" s="48" t="s">
        <v>1412</v>
      </c>
      <c r="J606" s="48" t="s">
        <v>40</v>
      </c>
      <c r="K606" s="48" t="s">
        <v>52</v>
      </c>
      <c r="L606" s="48" t="s">
        <v>38</v>
      </c>
      <c r="M606" s="48" t="s">
        <v>37</v>
      </c>
      <c r="N606" s="48" t="s">
        <v>1436</v>
      </c>
      <c r="O606" s="48" t="s">
        <v>1436</v>
      </c>
      <c r="P606" s="48" t="s">
        <v>1436</v>
      </c>
      <c r="Q606" s="48" t="s">
        <v>38</v>
      </c>
      <c r="R606" s="48" t="s">
        <v>39</v>
      </c>
      <c r="S606" s="48" t="s">
        <v>40</v>
      </c>
      <c r="T606" s="48" t="s">
        <v>41</v>
      </c>
      <c r="U606" s="48" t="s">
        <v>1436</v>
      </c>
      <c r="V606" s="48" t="s">
        <v>1436</v>
      </c>
      <c r="W606" s="48" t="s">
        <v>1436</v>
      </c>
      <c r="X606" s="49" t="s">
        <v>193</v>
      </c>
      <c r="Y606" s="48" t="s">
        <v>1194</v>
      </c>
      <c r="Z606" s="49" t="s">
        <v>1321</v>
      </c>
      <c r="AA606" s="48" t="s">
        <v>1324</v>
      </c>
      <c r="AB606" s="48" t="s">
        <v>1325</v>
      </c>
      <c r="AC606" s="48" t="s">
        <v>1239</v>
      </c>
      <c r="AD606" s="48" t="s">
        <v>1231</v>
      </c>
      <c r="AE606" s="48" t="s">
        <v>1669</v>
      </c>
      <c r="AF606" s="48" t="s">
        <v>1436</v>
      </c>
      <c r="AG606" s="48" t="s">
        <v>1436</v>
      </c>
      <c r="AH606" s="48" t="s">
        <v>208</v>
      </c>
      <c r="AI606" s="50">
        <v>44562</v>
      </c>
      <c r="AJ606" s="50">
        <v>46387</v>
      </c>
      <c r="AK606" s="49" t="s">
        <v>1280</v>
      </c>
      <c r="AL606" s="48" t="s">
        <v>36</v>
      </c>
      <c r="AM606" s="48" t="s">
        <v>36</v>
      </c>
      <c r="AN606" s="51">
        <v>-42330.49</v>
      </c>
      <c r="AO606" s="51"/>
      <c r="AP606" s="51"/>
      <c r="AQ606" s="72">
        <v>1600000</v>
      </c>
      <c r="AR606" s="72">
        <v>50000</v>
      </c>
      <c r="AS606" s="50">
        <v>46387</v>
      </c>
      <c r="AT606" s="50" t="s">
        <v>1436</v>
      </c>
      <c r="AU606" s="49" t="s">
        <v>1436</v>
      </c>
      <c r="AV606" s="49" t="s">
        <v>1670</v>
      </c>
      <c r="AW606" s="48" t="s">
        <v>1244</v>
      </c>
    </row>
    <row r="607" spans="1:49" x14ac:dyDescent="0.3">
      <c r="A607" s="48" t="s">
        <v>1320</v>
      </c>
      <c r="B607" s="48" t="s">
        <v>6</v>
      </c>
      <c r="C607" s="48" t="s">
        <v>1322</v>
      </c>
      <c r="D607" s="50">
        <v>46356</v>
      </c>
      <c r="E607" s="48" t="s">
        <v>36</v>
      </c>
      <c r="F607" s="48" t="s">
        <v>1433</v>
      </c>
      <c r="G607" s="48" t="s">
        <v>1434</v>
      </c>
      <c r="H607" s="49" t="s">
        <v>1437</v>
      </c>
      <c r="I607" s="48" t="s">
        <v>1410</v>
      </c>
      <c r="J607" s="48" t="s">
        <v>40</v>
      </c>
      <c r="K607" s="48" t="s">
        <v>42</v>
      </c>
      <c r="L607" s="48" t="s">
        <v>38</v>
      </c>
      <c r="M607" s="48" t="s">
        <v>37</v>
      </c>
      <c r="N607" s="48" t="s">
        <v>1436</v>
      </c>
      <c r="O607" s="48" t="s">
        <v>1436</v>
      </c>
      <c r="P607" s="48" t="s">
        <v>1436</v>
      </c>
      <c r="Q607" s="48" t="s">
        <v>38</v>
      </c>
      <c r="R607" s="48" t="s">
        <v>39</v>
      </c>
      <c r="S607" s="48" t="s">
        <v>40</v>
      </c>
      <c r="T607" s="48" t="s">
        <v>41</v>
      </c>
      <c r="U607" s="48" t="s">
        <v>1436</v>
      </c>
      <c r="V607" s="48" t="s">
        <v>1436</v>
      </c>
      <c r="W607" s="48" t="s">
        <v>1436</v>
      </c>
      <c r="X607" s="49" t="s">
        <v>193</v>
      </c>
      <c r="Y607" s="48" t="s">
        <v>1194</v>
      </c>
      <c r="Z607" s="49" t="s">
        <v>1321</v>
      </c>
      <c r="AA607" s="48" t="s">
        <v>1324</v>
      </c>
      <c r="AB607" s="48" t="s">
        <v>1325</v>
      </c>
      <c r="AC607" s="48" t="s">
        <v>1239</v>
      </c>
      <c r="AD607" s="48" t="s">
        <v>1231</v>
      </c>
      <c r="AE607" s="48" t="s">
        <v>1669</v>
      </c>
      <c r="AF607" s="48" t="s">
        <v>1436</v>
      </c>
      <c r="AG607" s="48" t="s">
        <v>1436</v>
      </c>
      <c r="AH607" s="48" t="s">
        <v>208</v>
      </c>
      <c r="AI607" s="50">
        <v>44562</v>
      </c>
      <c r="AJ607" s="50">
        <v>46387</v>
      </c>
      <c r="AK607" s="49" t="s">
        <v>1280</v>
      </c>
      <c r="AL607" s="48" t="s">
        <v>36</v>
      </c>
      <c r="AM607" s="48" t="s">
        <v>36</v>
      </c>
      <c r="AN607" s="51">
        <v>0</v>
      </c>
      <c r="AO607" s="51"/>
      <c r="AP607" s="51"/>
      <c r="AQ607" s="72">
        <v>1600000</v>
      </c>
      <c r="AR607" s="72">
        <v>50000</v>
      </c>
      <c r="AS607" s="50">
        <v>46387</v>
      </c>
      <c r="AT607" s="50" t="s">
        <v>1436</v>
      </c>
      <c r="AU607" s="49" t="s">
        <v>1436</v>
      </c>
      <c r="AV607" s="49" t="s">
        <v>1670</v>
      </c>
      <c r="AW607" s="48" t="s">
        <v>1244</v>
      </c>
    </row>
    <row r="608" spans="1:49" x14ac:dyDescent="0.3">
      <c r="A608" s="48" t="s">
        <v>1320</v>
      </c>
      <c r="B608" s="48" t="s">
        <v>6</v>
      </c>
      <c r="C608" s="48" t="s">
        <v>1322</v>
      </c>
      <c r="D608" s="50">
        <v>46356</v>
      </c>
      <c r="E608" s="48" t="s">
        <v>36</v>
      </c>
      <c r="F608" s="48" t="s">
        <v>1438</v>
      </c>
      <c r="G608" s="48" t="s">
        <v>1439</v>
      </c>
      <c r="H608" s="49" t="s">
        <v>1440</v>
      </c>
      <c r="I608" s="48" t="s">
        <v>1406</v>
      </c>
      <c r="J608" s="48" t="s">
        <v>1194</v>
      </c>
      <c r="K608" s="48" t="s">
        <v>1441</v>
      </c>
      <c r="L608" s="48" t="s">
        <v>38</v>
      </c>
      <c r="M608" s="48" t="s">
        <v>37</v>
      </c>
      <c r="N608" s="48" t="s">
        <v>1436</v>
      </c>
      <c r="O608" s="48" t="s">
        <v>1436</v>
      </c>
      <c r="P608" s="48" t="s">
        <v>1436</v>
      </c>
      <c r="Q608" s="48" t="s">
        <v>38</v>
      </c>
      <c r="R608" s="48" t="s">
        <v>39</v>
      </c>
      <c r="S608" s="48" t="s">
        <v>1194</v>
      </c>
      <c r="T608" s="48" t="s">
        <v>41</v>
      </c>
      <c r="U608" s="48" t="s">
        <v>1436</v>
      </c>
      <c r="V608" s="48" t="s">
        <v>1436</v>
      </c>
      <c r="W608" s="48" t="s">
        <v>1436</v>
      </c>
      <c r="X608" s="49" t="s">
        <v>193</v>
      </c>
      <c r="Y608" s="48" t="s">
        <v>1194</v>
      </c>
      <c r="Z608" s="49" t="s">
        <v>1321</v>
      </c>
      <c r="AA608" s="48" t="s">
        <v>1324</v>
      </c>
      <c r="AB608" s="48" t="s">
        <v>1325</v>
      </c>
      <c r="AC608" s="48" t="s">
        <v>1239</v>
      </c>
      <c r="AD608" s="48" t="s">
        <v>1231</v>
      </c>
      <c r="AE608" s="48" t="s">
        <v>1669</v>
      </c>
      <c r="AF608" s="48" t="s">
        <v>1436</v>
      </c>
      <c r="AG608" s="48" t="s">
        <v>1436</v>
      </c>
      <c r="AH608" s="48" t="s">
        <v>208</v>
      </c>
      <c r="AI608" s="50">
        <v>44562</v>
      </c>
      <c r="AJ608" s="50">
        <v>46387</v>
      </c>
      <c r="AK608" s="49" t="s">
        <v>1280</v>
      </c>
      <c r="AL608" s="48" t="s">
        <v>36</v>
      </c>
      <c r="AM608" s="48" t="s">
        <v>36</v>
      </c>
      <c r="AN608" s="51">
        <v>0</v>
      </c>
      <c r="AO608" s="51"/>
      <c r="AP608" s="51"/>
      <c r="AQ608" s="72">
        <v>1600000</v>
      </c>
      <c r="AR608" s="72">
        <v>50000</v>
      </c>
      <c r="AS608" s="50">
        <v>46387</v>
      </c>
      <c r="AT608" s="50" t="s">
        <v>1436</v>
      </c>
      <c r="AU608" s="49" t="s">
        <v>1436</v>
      </c>
      <c r="AV608" s="49" t="s">
        <v>1670</v>
      </c>
      <c r="AW608" s="48" t="s">
        <v>1244</v>
      </c>
    </row>
    <row r="609" spans="1:49" x14ac:dyDescent="0.3">
      <c r="A609" s="48" t="s">
        <v>1320</v>
      </c>
      <c r="B609" s="48" t="s">
        <v>6</v>
      </c>
      <c r="C609" s="48" t="s">
        <v>1322</v>
      </c>
      <c r="D609" s="50">
        <v>46356</v>
      </c>
      <c r="E609" s="48" t="s">
        <v>36</v>
      </c>
      <c r="F609" s="48" t="s">
        <v>1438</v>
      </c>
      <c r="G609" s="48" t="s">
        <v>1439</v>
      </c>
      <c r="H609" s="49" t="s">
        <v>1442</v>
      </c>
      <c r="I609" s="48" t="s">
        <v>1405</v>
      </c>
      <c r="J609" s="48" t="s">
        <v>1194</v>
      </c>
      <c r="K609" s="48" t="s">
        <v>1443</v>
      </c>
      <c r="L609" s="48" t="s">
        <v>38</v>
      </c>
      <c r="M609" s="48" t="s">
        <v>37</v>
      </c>
      <c r="N609" s="48" t="s">
        <v>1436</v>
      </c>
      <c r="O609" s="48" t="s">
        <v>1436</v>
      </c>
      <c r="P609" s="48" t="s">
        <v>1436</v>
      </c>
      <c r="Q609" s="48" t="s">
        <v>38</v>
      </c>
      <c r="R609" s="48" t="s">
        <v>39</v>
      </c>
      <c r="S609" s="48" t="s">
        <v>1194</v>
      </c>
      <c r="T609" s="48" t="s">
        <v>41</v>
      </c>
      <c r="U609" s="48" t="s">
        <v>1436</v>
      </c>
      <c r="V609" s="48" t="s">
        <v>1436</v>
      </c>
      <c r="W609" s="48" t="s">
        <v>1436</v>
      </c>
      <c r="X609" s="49" t="s">
        <v>193</v>
      </c>
      <c r="Y609" s="48" t="s">
        <v>1194</v>
      </c>
      <c r="Z609" s="49" t="s">
        <v>1321</v>
      </c>
      <c r="AA609" s="48" t="s">
        <v>1324</v>
      </c>
      <c r="AB609" s="48" t="s">
        <v>1325</v>
      </c>
      <c r="AC609" s="48" t="s">
        <v>1239</v>
      </c>
      <c r="AD609" s="48" t="s">
        <v>1231</v>
      </c>
      <c r="AE609" s="48" t="s">
        <v>1669</v>
      </c>
      <c r="AF609" s="48" t="s">
        <v>1436</v>
      </c>
      <c r="AG609" s="48" t="s">
        <v>1436</v>
      </c>
      <c r="AH609" s="48" t="s">
        <v>208</v>
      </c>
      <c r="AI609" s="50">
        <v>44562</v>
      </c>
      <c r="AJ609" s="50">
        <v>46387</v>
      </c>
      <c r="AK609" s="49" t="s">
        <v>1280</v>
      </c>
      <c r="AL609" s="48" t="s">
        <v>36</v>
      </c>
      <c r="AM609" s="48" t="s">
        <v>36</v>
      </c>
      <c r="AN609" s="51">
        <v>0</v>
      </c>
      <c r="AO609" s="51"/>
      <c r="AP609" s="51"/>
      <c r="AQ609" s="72">
        <v>1600000</v>
      </c>
      <c r="AR609" s="72">
        <v>50000</v>
      </c>
      <c r="AS609" s="50">
        <v>46387</v>
      </c>
      <c r="AT609" s="50" t="s">
        <v>1436</v>
      </c>
      <c r="AU609" s="49" t="s">
        <v>1436</v>
      </c>
      <c r="AV609" s="49" t="s">
        <v>1670</v>
      </c>
      <c r="AW609" s="48" t="s">
        <v>1244</v>
      </c>
    </row>
    <row r="610" spans="1:49" x14ac:dyDescent="0.3">
      <c r="A610" s="48" t="s">
        <v>1320</v>
      </c>
      <c r="B610" s="48" t="s">
        <v>6</v>
      </c>
      <c r="C610" s="48" t="s">
        <v>1322</v>
      </c>
      <c r="D610" s="50">
        <v>46356</v>
      </c>
      <c r="E610" s="48" t="s">
        <v>36</v>
      </c>
      <c r="F610" s="48" t="s">
        <v>1438</v>
      </c>
      <c r="G610" s="48" t="s">
        <v>1444</v>
      </c>
      <c r="H610" s="49" t="s">
        <v>1445</v>
      </c>
      <c r="I610" s="48" t="s">
        <v>1411</v>
      </c>
      <c r="J610" s="48" t="s">
        <v>40</v>
      </c>
      <c r="K610" s="48" t="s">
        <v>50</v>
      </c>
      <c r="L610" s="48" t="s">
        <v>38</v>
      </c>
      <c r="M610" s="48" t="s">
        <v>37</v>
      </c>
      <c r="N610" s="48" t="s">
        <v>1436</v>
      </c>
      <c r="O610" s="48" t="s">
        <v>1436</v>
      </c>
      <c r="P610" s="48" t="s">
        <v>1436</v>
      </c>
      <c r="Q610" s="48" t="s">
        <v>38</v>
      </c>
      <c r="R610" s="48" t="s">
        <v>39</v>
      </c>
      <c r="S610" s="48" t="s">
        <v>40</v>
      </c>
      <c r="T610" s="48" t="s">
        <v>41</v>
      </c>
      <c r="U610" s="48" t="s">
        <v>1436</v>
      </c>
      <c r="V610" s="48" t="s">
        <v>1436</v>
      </c>
      <c r="W610" s="48" t="s">
        <v>1436</v>
      </c>
      <c r="X610" s="49" t="s">
        <v>193</v>
      </c>
      <c r="Y610" s="48" t="s">
        <v>1194</v>
      </c>
      <c r="Z610" s="49" t="s">
        <v>1321</v>
      </c>
      <c r="AA610" s="48" t="s">
        <v>1324</v>
      </c>
      <c r="AB610" s="48" t="s">
        <v>1325</v>
      </c>
      <c r="AC610" s="48" t="s">
        <v>1239</v>
      </c>
      <c r="AD610" s="48" t="s">
        <v>1231</v>
      </c>
      <c r="AE610" s="48" t="s">
        <v>1669</v>
      </c>
      <c r="AF610" s="48" t="s">
        <v>1436</v>
      </c>
      <c r="AG610" s="48" t="s">
        <v>1436</v>
      </c>
      <c r="AH610" s="48" t="s">
        <v>208</v>
      </c>
      <c r="AI610" s="50">
        <v>44562</v>
      </c>
      <c r="AJ610" s="50">
        <v>46387</v>
      </c>
      <c r="AK610" s="49" t="s">
        <v>1280</v>
      </c>
      <c r="AL610" s="48" t="s">
        <v>36</v>
      </c>
      <c r="AM610" s="48" t="s">
        <v>36</v>
      </c>
      <c r="AN610" s="51">
        <v>42330.49</v>
      </c>
      <c r="AO610" s="51"/>
      <c r="AP610" s="51"/>
      <c r="AQ610" s="72">
        <v>1600000</v>
      </c>
      <c r="AR610" s="72">
        <v>50000</v>
      </c>
      <c r="AS610" s="50">
        <v>46387</v>
      </c>
      <c r="AT610" s="50" t="s">
        <v>1436</v>
      </c>
      <c r="AU610" s="49" t="s">
        <v>1436</v>
      </c>
      <c r="AV610" s="49" t="s">
        <v>1670</v>
      </c>
      <c r="AW610" s="48" t="s">
        <v>1244</v>
      </c>
    </row>
    <row r="611" spans="1:49" x14ac:dyDescent="0.3">
      <c r="A611" s="48" t="s">
        <v>1320</v>
      </c>
      <c r="B611" s="48" t="s">
        <v>6</v>
      </c>
      <c r="C611" s="48" t="s">
        <v>1322</v>
      </c>
      <c r="D611" s="50">
        <v>46356</v>
      </c>
      <c r="E611" s="48" t="s">
        <v>36</v>
      </c>
      <c r="F611" s="48" t="s">
        <v>1438</v>
      </c>
      <c r="G611" s="48" t="s">
        <v>1444</v>
      </c>
      <c r="H611" s="49" t="s">
        <v>1446</v>
      </c>
      <c r="I611" s="48" t="s">
        <v>1407</v>
      </c>
      <c r="J611" s="48" t="s">
        <v>40</v>
      </c>
      <c r="K611" s="48" t="s">
        <v>47</v>
      </c>
      <c r="L611" s="48" t="s">
        <v>38</v>
      </c>
      <c r="M611" s="48" t="s">
        <v>37</v>
      </c>
      <c r="N611" s="48" t="s">
        <v>1436</v>
      </c>
      <c r="O611" s="48" t="s">
        <v>1436</v>
      </c>
      <c r="P611" s="48" t="s">
        <v>1436</v>
      </c>
      <c r="Q611" s="48" t="s">
        <v>38</v>
      </c>
      <c r="R611" s="48" t="s">
        <v>39</v>
      </c>
      <c r="S611" s="48" t="s">
        <v>40</v>
      </c>
      <c r="T611" s="48" t="s">
        <v>41</v>
      </c>
      <c r="U611" s="48" t="s">
        <v>1436</v>
      </c>
      <c r="V611" s="48" t="s">
        <v>1436</v>
      </c>
      <c r="W611" s="48" t="s">
        <v>1436</v>
      </c>
      <c r="X611" s="49" t="s">
        <v>193</v>
      </c>
      <c r="Y611" s="48" t="s">
        <v>1194</v>
      </c>
      <c r="Z611" s="49" t="s">
        <v>1321</v>
      </c>
      <c r="AA611" s="48" t="s">
        <v>1324</v>
      </c>
      <c r="AB611" s="48" t="s">
        <v>1325</v>
      </c>
      <c r="AC611" s="48" t="s">
        <v>1239</v>
      </c>
      <c r="AD611" s="48" t="s">
        <v>1231</v>
      </c>
      <c r="AE611" s="48" t="s">
        <v>1669</v>
      </c>
      <c r="AF611" s="48" t="s">
        <v>1436</v>
      </c>
      <c r="AG611" s="48" t="s">
        <v>1436</v>
      </c>
      <c r="AH611" s="48" t="s">
        <v>208</v>
      </c>
      <c r="AI611" s="50">
        <v>44562</v>
      </c>
      <c r="AJ611" s="50">
        <v>46387</v>
      </c>
      <c r="AK611" s="49" t="s">
        <v>1280</v>
      </c>
      <c r="AL611" s="48" t="s">
        <v>36</v>
      </c>
      <c r="AM611" s="48" t="s">
        <v>36</v>
      </c>
      <c r="AN611" s="51">
        <v>289.975145</v>
      </c>
      <c r="AO611" s="51"/>
      <c r="AP611" s="51"/>
      <c r="AQ611" s="72">
        <v>1600000</v>
      </c>
      <c r="AR611" s="72">
        <v>50000</v>
      </c>
      <c r="AS611" s="50">
        <v>46387</v>
      </c>
      <c r="AT611" s="50" t="s">
        <v>1436</v>
      </c>
      <c r="AU611" s="49" t="s">
        <v>1436</v>
      </c>
      <c r="AV611" s="49" t="s">
        <v>1670</v>
      </c>
      <c r="AW611" s="48" t="s">
        <v>1244</v>
      </c>
    </row>
    <row r="612" spans="1:49" x14ac:dyDescent="0.3">
      <c r="A612" s="48" t="s">
        <v>1320</v>
      </c>
      <c r="B612" s="48" t="s">
        <v>6</v>
      </c>
      <c r="C612" s="48" t="s">
        <v>1322</v>
      </c>
      <c r="D612" s="50">
        <v>46356</v>
      </c>
      <c r="E612" s="48" t="s">
        <v>36</v>
      </c>
      <c r="F612" s="48" t="s">
        <v>1433</v>
      </c>
      <c r="G612" s="48" t="s">
        <v>1447</v>
      </c>
      <c r="H612" s="49" t="s">
        <v>1448</v>
      </c>
      <c r="I612" s="48" t="s">
        <v>1413</v>
      </c>
      <c r="J612" s="48" t="s">
        <v>40</v>
      </c>
      <c r="K612" s="48" t="s">
        <v>58</v>
      </c>
      <c r="L612" s="48" t="s">
        <v>38</v>
      </c>
      <c r="M612" s="48" t="s">
        <v>37</v>
      </c>
      <c r="N612" s="48" t="s">
        <v>1436</v>
      </c>
      <c r="O612" s="48" t="s">
        <v>1436</v>
      </c>
      <c r="P612" s="48" t="s">
        <v>1436</v>
      </c>
      <c r="Q612" s="48" t="s">
        <v>38</v>
      </c>
      <c r="R612" s="48" t="s">
        <v>39</v>
      </c>
      <c r="S612" s="48" t="s">
        <v>40</v>
      </c>
      <c r="T612" s="48" t="s">
        <v>41</v>
      </c>
      <c r="U612" s="48" t="s">
        <v>1436</v>
      </c>
      <c r="V612" s="48" t="s">
        <v>1436</v>
      </c>
      <c r="W612" s="48" t="s">
        <v>1436</v>
      </c>
      <c r="X612" s="49" t="s">
        <v>193</v>
      </c>
      <c r="Y612" s="48" t="s">
        <v>1194</v>
      </c>
      <c r="Z612" s="49" t="s">
        <v>1321</v>
      </c>
      <c r="AA612" s="48" t="s">
        <v>1324</v>
      </c>
      <c r="AB612" s="48" t="s">
        <v>1325</v>
      </c>
      <c r="AC612" s="48" t="s">
        <v>1239</v>
      </c>
      <c r="AD612" s="48" t="s">
        <v>1231</v>
      </c>
      <c r="AE612" s="48" t="s">
        <v>1669</v>
      </c>
      <c r="AF612" s="48" t="s">
        <v>1436</v>
      </c>
      <c r="AG612" s="48" t="s">
        <v>1436</v>
      </c>
      <c r="AH612" s="48" t="s">
        <v>208</v>
      </c>
      <c r="AI612" s="50">
        <v>44562</v>
      </c>
      <c r="AJ612" s="50">
        <v>46387</v>
      </c>
      <c r="AK612" s="49" t="s">
        <v>1280</v>
      </c>
      <c r="AL612" s="48" t="s">
        <v>36</v>
      </c>
      <c r="AM612" s="48" t="s">
        <v>36</v>
      </c>
      <c r="AN612" s="51">
        <v>-50000</v>
      </c>
      <c r="AO612" s="51"/>
      <c r="AP612" s="51"/>
      <c r="AQ612" s="72">
        <v>1600000</v>
      </c>
      <c r="AR612" s="72">
        <v>50000</v>
      </c>
      <c r="AS612" s="50">
        <v>46387</v>
      </c>
      <c r="AT612" s="50" t="s">
        <v>1436</v>
      </c>
      <c r="AU612" s="49" t="s">
        <v>1436</v>
      </c>
      <c r="AV612" s="49" t="s">
        <v>1670</v>
      </c>
      <c r="AW612" s="48" t="s">
        <v>1244</v>
      </c>
    </row>
    <row r="613" spans="1:49" x14ac:dyDescent="0.3">
      <c r="A613" s="48" t="s">
        <v>1320</v>
      </c>
      <c r="B613" s="48" t="s">
        <v>6</v>
      </c>
      <c r="C613" s="48" t="s">
        <v>1322</v>
      </c>
      <c r="D613" s="50">
        <v>46356</v>
      </c>
      <c r="E613" s="48" t="s">
        <v>36</v>
      </c>
      <c r="F613" s="48" t="s">
        <v>1433</v>
      </c>
      <c r="G613" s="48" t="s">
        <v>1447</v>
      </c>
      <c r="H613" s="49" t="s">
        <v>1449</v>
      </c>
      <c r="I613" s="48" t="s">
        <v>1409</v>
      </c>
      <c r="J613" s="48" t="s">
        <v>40</v>
      </c>
      <c r="K613" s="48" t="s">
        <v>45</v>
      </c>
      <c r="L613" s="48" t="s">
        <v>38</v>
      </c>
      <c r="M613" s="48" t="s">
        <v>37</v>
      </c>
      <c r="N613" s="48" t="s">
        <v>1436</v>
      </c>
      <c r="O613" s="48" t="s">
        <v>1436</v>
      </c>
      <c r="P613" s="48" t="s">
        <v>1436</v>
      </c>
      <c r="Q613" s="48" t="s">
        <v>38</v>
      </c>
      <c r="R613" s="48" t="s">
        <v>39</v>
      </c>
      <c r="S613" s="48" t="s">
        <v>40</v>
      </c>
      <c r="T613" s="48" t="s">
        <v>41</v>
      </c>
      <c r="U613" s="48" t="s">
        <v>1436</v>
      </c>
      <c r="V613" s="48" t="s">
        <v>1436</v>
      </c>
      <c r="W613" s="48" t="s">
        <v>1436</v>
      </c>
      <c r="X613" s="49" t="s">
        <v>193</v>
      </c>
      <c r="Y613" s="48" t="s">
        <v>1194</v>
      </c>
      <c r="Z613" s="49" t="s">
        <v>1321</v>
      </c>
      <c r="AA613" s="48" t="s">
        <v>1324</v>
      </c>
      <c r="AB613" s="48" t="s">
        <v>1325</v>
      </c>
      <c r="AC613" s="48" t="s">
        <v>1239</v>
      </c>
      <c r="AD613" s="48" t="s">
        <v>1231</v>
      </c>
      <c r="AE613" s="48" t="s">
        <v>1669</v>
      </c>
      <c r="AF613" s="48" t="s">
        <v>1436</v>
      </c>
      <c r="AG613" s="48" t="s">
        <v>1436</v>
      </c>
      <c r="AH613" s="48" t="s">
        <v>208</v>
      </c>
      <c r="AI613" s="50">
        <v>44562</v>
      </c>
      <c r="AJ613" s="50">
        <v>46387</v>
      </c>
      <c r="AK613" s="49" t="s">
        <v>1280</v>
      </c>
      <c r="AL613" s="48" t="s">
        <v>36</v>
      </c>
      <c r="AM613" s="48" t="s">
        <v>36</v>
      </c>
      <c r="AN613" s="51">
        <v>0</v>
      </c>
      <c r="AO613" s="51"/>
      <c r="AP613" s="51"/>
      <c r="AQ613" s="72">
        <v>1600000</v>
      </c>
      <c r="AR613" s="72">
        <v>50000</v>
      </c>
      <c r="AS613" s="50">
        <v>46387</v>
      </c>
      <c r="AT613" s="50" t="s">
        <v>1436</v>
      </c>
      <c r="AU613" s="49" t="s">
        <v>1436</v>
      </c>
      <c r="AV613" s="49" t="s">
        <v>1670</v>
      </c>
      <c r="AW613" s="48" t="s">
        <v>1244</v>
      </c>
    </row>
    <row r="614" spans="1:49" x14ac:dyDescent="0.3">
      <c r="A614" s="48" t="s">
        <v>1320</v>
      </c>
      <c r="B614" s="48" t="s">
        <v>6</v>
      </c>
      <c r="C614" s="48" t="s">
        <v>1322</v>
      </c>
      <c r="D614" s="50">
        <v>46356</v>
      </c>
      <c r="E614" s="48" t="s">
        <v>36</v>
      </c>
      <c r="F614" s="48" t="s">
        <v>1433</v>
      </c>
      <c r="G614" s="48" t="s">
        <v>1447</v>
      </c>
      <c r="H614" s="49" t="s">
        <v>1450</v>
      </c>
      <c r="I614" s="48" t="s">
        <v>1408</v>
      </c>
      <c r="J614" s="48" t="s">
        <v>40</v>
      </c>
      <c r="K614" s="48" t="s">
        <v>54</v>
      </c>
      <c r="L614" s="48" t="s">
        <v>38</v>
      </c>
      <c r="M614" s="48" t="s">
        <v>37</v>
      </c>
      <c r="N614" s="48" t="s">
        <v>1436</v>
      </c>
      <c r="O614" s="48" t="s">
        <v>1436</v>
      </c>
      <c r="P614" s="48" t="s">
        <v>1436</v>
      </c>
      <c r="Q614" s="48" t="s">
        <v>38</v>
      </c>
      <c r="R614" s="48" t="s">
        <v>39</v>
      </c>
      <c r="S614" s="48" t="s">
        <v>40</v>
      </c>
      <c r="T614" s="48" t="s">
        <v>41</v>
      </c>
      <c r="U614" s="48" t="s">
        <v>1436</v>
      </c>
      <c r="V614" s="48" t="s">
        <v>1436</v>
      </c>
      <c r="W614" s="48" t="s">
        <v>1436</v>
      </c>
      <c r="X614" s="49" t="s">
        <v>193</v>
      </c>
      <c r="Y614" s="48" t="s">
        <v>1194</v>
      </c>
      <c r="Z614" s="49" t="s">
        <v>1321</v>
      </c>
      <c r="AA614" s="48" t="s">
        <v>1324</v>
      </c>
      <c r="AB614" s="48" t="s">
        <v>1325</v>
      </c>
      <c r="AC614" s="48" t="s">
        <v>1239</v>
      </c>
      <c r="AD614" s="48" t="s">
        <v>1231</v>
      </c>
      <c r="AE614" s="48" t="s">
        <v>1669</v>
      </c>
      <c r="AF614" s="48" t="s">
        <v>1436</v>
      </c>
      <c r="AG614" s="48" t="s">
        <v>1436</v>
      </c>
      <c r="AH614" s="48" t="s">
        <v>208</v>
      </c>
      <c r="AI614" s="50">
        <v>44562</v>
      </c>
      <c r="AJ614" s="50">
        <v>46387</v>
      </c>
      <c r="AK614" s="49" t="s">
        <v>1280</v>
      </c>
      <c r="AL614" s="48" t="s">
        <v>36</v>
      </c>
      <c r="AM614" s="48" t="s">
        <v>36</v>
      </c>
      <c r="AN614" s="51">
        <v>49421.731421999997</v>
      </c>
      <c r="AO614" s="51"/>
      <c r="AP614" s="51"/>
      <c r="AQ614" s="72">
        <v>1600000</v>
      </c>
      <c r="AR614" s="72">
        <v>50000</v>
      </c>
      <c r="AS614" s="50">
        <v>46387</v>
      </c>
      <c r="AT614" s="50" t="s">
        <v>1436</v>
      </c>
      <c r="AU614" s="49" t="s">
        <v>1436</v>
      </c>
      <c r="AV614" s="49" t="s">
        <v>1670</v>
      </c>
      <c r="AW614" s="48" t="s">
        <v>1244</v>
      </c>
    </row>
    <row r="615" spans="1:49" x14ac:dyDescent="0.3">
      <c r="A615" s="48" t="s">
        <v>1320</v>
      </c>
      <c r="B615" s="48" t="s">
        <v>6</v>
      </c>
      <c r="C615" s="48" t="s">
        <v>1322</v>
      </c>
      <c r="D615" s="50">
        <v>46356</v>
      </c>
      <c r="E615" s="48" t="s">
        <v>36</v>
      </c>
      <c r="F615" s="48" t="s">
        <v>1433</v>
      </c>
      <c r="G615" s="48" t="s">
        <v>1447</v>
      </c>
      <c r="H615" s="49" t="s">
        <v>1451</v>
      </c>
      <c r="I615" s="48" t="s">
        <v>1404</v>
      </c>
      <c r="J615" s="48" t="s">
        <v>38</v>
      </c>
      <c r="K615" s="48" t="s">
        <v>49</v>
      </c>
      <c r="L615" s="48" t="s">
        <v>38</v>
      </c>
      <c r="M615" s="48" t="s">
        <v>37</v>
      </c>
      <c r="N615" s="48" t="s">
        <v>1436</v>
      </c>
      <c r="O615" s="48" t="s">
        <v>1436</v>
      </c>
      <c r="P615" s="48" t="s">
        <v>1436</v>
      </c>
      <c r="Q615" s="48" t="s">
        <v>38</v>
      </c>
      <c r="R615" s="48" t="s">
        <v>39</v>
      </c>
      <c r="S615" s="48" t="s">
        <v>38</v>
      </c>
      <c r="T615" s="48" t="s">
        <v>41</v>
      </c>
      <c r="U615" s="48" t="s">
        <v>1436</v>
      </c>
      <c r="V615" s="48" t="s">
        <v>1436</v>
      </c>
      <c r="W615" s="48" t="s">
        <v>1436</v>
      </c>
      <c r="X615" s="49" t="s">
        <v>193</v>
      </c>
      <c r="Y615" s="48" t="s">
        <v>1194</v>
      </c>
      <c r="Z615" s="49" t="s">
        <v>1321</v>
      </c>
      <c r="AA615" s="48" t="s">
        <v>1324</v>
      </c>
      <c r="AB615" s="48" t="s">
        <v>1325</v>
      </c>
      <c r="AC615" s="48" t="s">
        <v>1239</v>
      </c>
      <c r="AD615" s="48" t="s">
        <v>1231</v>
      </c>
      <c r="AE615" s="48" t="s">
        <v>1669</v>
      </c>
      <c r="AF615" s="48" t="s">
        <v>1436</v>
      </c>
      <c r="AG615" s="48" t="s">
        <v>1436</v>
      </c>
      <c r="AH615" s="48" t="s">
        <v>208</v>
      </c>
      <c r="AI615" s="50">
        <v>44562</v>
      </c>
      <c r="AJ615" s="50">
        <v>46387</v>
      </c>
      <c r="AK615" s="49" t="s">
        <v>1280</v>
      </c>
      <c r="AL615" s="48" t="s">
        <v>36</v>
      </c>
      <c r="AM615" s="48" t="s">
        <v>36</v>
      </c>
      <c r="AN615" s="51">
        <v>288.29343299999999</v>
      </c>
      <c r="AO615" s="51"/>
      <c r="AP615" s="51"/>
      <c r="AQ615" s="72">
        <v>1600000</v>
      </c>
      <c r="AR615" s="72">
        <v>50000</v>
      </c>
      <c r="AS615" s="50">
        <v>46387</v>
      </c>
      <c r="AT615" s="50" t="s">
        <v>1436</v>
      </c>
      <c r="AU615" s="49" t="s">
        <v>1436</v>
      </c>
      <c r="AV615" s="49" t="s">
        <v>1670</v>
      </c>
      <c r="AW615" s="48" t="s">
        <v>1244</v>
      </c>
    </row>
    <row r="616" spans="1:49" x14ac:dyDescent="0.3">
      <c r="A616" s="48" t="s">
        <v>1320</v>
      </c>
      <c r="B616" s="48" t="s">
        <v>6</v>
      </c>
      <c r="C616" s="48" t="s">
        <v>1322</v>
      </c>
      <c r="D616" s="50">
        <v>46387</v>
      </c>
      <c r="E616" s="48" t="s">
        <v>36</v>
      </c>
      <c r="F616" s="48" t="s">
        <v>1433</v>
      </c>
      <c r="G616" s="48" t="s">
        <v>1434</v>
      </c>
      <c r="H616" s="49" t="s">
        <v>1435</v>
      </c>
      <c r="I616" s="48" t="s">
        <v>1412</v>
      </c>
      <c r="J616" s="48" t="s">
        <v>40</v>
      </c>
      <c r="K616" s="48" t="s">
        <v>52</v>
      </c>
      <c r="L616" s="48" t="s">
        <v>38</v>
      </c>
      <c r="M616" s="48" t="s">
        <v>37</v>
      </c>
      <c r="N616" s="48" t="s">
        <v>1436</v>
      </c>
      <c r="O616" s="48" t="s">
        <v>1436</v>
      </c>
      <c r="P616" s="48" t="s">
        <v>1436</v>
      </c>
      <c r="Q616" s="48" t="s">
        <v>38</v>
      </c>
      <c r="R616" s="48" t="s">
        <v>39</v>
      </c>
      <c r="S616" s="48" t="s">
        <v>40</v>
      </c>
      <c r="T616" s="48" t="s">
        <v>41</v>
      </c>
      <c r="U616" s="48" t="s">
        <v>1436</v>
      </c>
      <c r="V616" s="48" t="s">
        <v>1436</v>
      </c>
      <c r="W616" s="48" t="s">
        <v>1436</v>
      </c>
      <c r="X616" s="49" t="s">
        <v>193</v>
      </c>
      <c r="Y616" s="48" t="s">
        <v>1194</v>
      </c>
      <c r="Z616" s="49" t="s">
        <v>1321</v>
      </c>
      <c r="AA616" s="48" t="s">
        <v>1324</v>
      </c>
      <c r="AB616" s="48" t="s">
        <v>1325</v>
      </c>
      <c r="AC616" s="48" t="s">
        <v>1239</v>
      </c>
      <c r="AD616" s="48" t="s">
        <v>1231</v>
      </c>
      <c r="AE616" s="48" t="s">
        <v>1669</v>
      </c>
      <c r="AF616" s="48" t="s">
        <v>1436</v>
      </c>
      <c r="AG616" s="48" t="s">
        <v>1436</v>
      </c>
      <c r="AH616" s="48" t="s">
        <v>208</v>
      </c>
      <c r="AI616" s="50">
        <v>44562</v>
      </c>
      <c r="AJ616" s="50">
        <v>46387</v>
      </c>
      <c r="AK616" s="49" t="s">
        <v>1280</v>
      </c>
      <c r="AL616" s="48" t="s">
        <v>36</v>
      </c>
      <c r="AM616" s="48" t="s">
        <v>36</v>
      </c>
      <c r="AN616" s="51">
        <v>-42330.49</v>
      </c>
      <c r="AO616" s="51"/>
      <c r="AP616" s="51"/>
      <c r="AQ616" s="72">
        <v>1600000</v>
      </c>
      <c r="AR616" s="72">
        <v>50000</v>
      </c>
      <c r="AS616" s="50">
        <v>46387</v>
      </c>
      <c r="AT616" s="50" t="s">
        <v>1436</v>
      </c>
      <c r="AU616" s="49" t="s">
        <v>1436</v>
      </c>
      <c r="AV616" s="49" t="s">
        <v>1670</v>
      </c>
      <c r="AW616" s="48" t="s">
        <v>1244</v>
      </c>
    </row>
    <row r="617" spans="1:49" x14ac:dyDescent="0.3">
      <c r="A617" s="48" t="s">
        <v>1320</v>
      </c>
      <c r="B617" s="48" t="s">
        <v>6</v>
      </c>
      <c r="C617" s="48" t="s">
        <v>1322</v>
      </c>
      <c r="D617" s="50">
        <v>46387</v>
      </c>
      <c r="E617" s="48" t="s">
        <v>36</v>
      </c>
      <c r="F617" s="48" t="s">
        <v>1433</v>
      </c>
      <c r="G617" s="48" t="s">
        <v>1434</v>
      </c>
      <c r="H617" s="49" t="s">
        <v>1437</v>
      </c>
      <c r="I617" s="48" t="s">
        <v>1410</v>
      </c>
      <c r="J617" s="48" t="s">
        <v>40</v>
      </c>
      <c r="K617" s="48" t="s">
        <v>42</v>
      </c>
      <c r="L617" s="48" t="s">
        <v>38</v>
      </c>
      <c r="M617" s="48" t="s">
        <v>37</v>
      </c>
      <c r="N617" s="48" t="s">
        <v>1436</v>
      </c>
      <c r="O617" s="48" t="s">
        <v>1436</v>
      </c>
      <c r="P617" s="48" t="s">
        <v>1436</v>
      </c>
      <c r="Q617" s="48" t="s">
        <v>38</v>
      </c>
      <c r="R617" s="48" t="s">
        <v>39</v>
      </c>
      <c r="S617" s="48" t="s">
        <v>40</v>
      </c>
      <c r="T617" s="48" t="s">
        <v>41</v>
      </c>
      <c r="U617" s="48" t="s">
        <v>1436</v>
      </c>
      <c r="V617" s="48" t="s">
        <v>1436</v>
      </c>
      <c r="W617" s="48" t="s">
        <v>1436</v>
      </c>
      <c r="X617" s="49" t="s">
        <v>193</v>
      </c>
      <c r="Y617" s="48" t="s">
        <v>1194</v>
      </c>
      <c r="Z617" s="49" t="s">
        <v>1321</v>
      </c>
      <c r="AA617" s="48" t="s">
        <v>1324</v>
      </c>
      <c r="AB617" s="48" t="s">
        <v>1325</v>
      </c>
      <c r="AC617" s="48" t="s">
        <v>1239</v>
      </c>
      <c r="AD617" s="48" t="s">
        <v>1231</v>
      </c>
      <c r="AE617" s="48" t="s">
        <v>1669</v>
      </c>
      <c r="AF617" s="48" t="s">
        <v>1436</v>
      </c>
      <c r="AG617" s="48" t="s">
        <v>1436</v>
      </c>
      <c r="AH617" s="48" t="s">
        <v>208</v>
      </c>
      <c r="AI617" s="50">
        <v>44562</v>
      </c>
      <c r="AJ617" s="50">
        <v>46387</v>
      </c>
      <c r="AK617" s="49" t="s">
        <v>1280</v>
      </c>
      <c r="AL617" s="48" t="s">
        <v>36</v>
      </c>
      <c r="AM617" s="48" t="s">
        <v>36</v>
      </c>
      <c r="AN617" s="51">
        <v>0</v>
      </c>
      <c r="AO617" s="51"/>
      <c r="AP617" s="51"/>
      <c r="AQ617" s="72">
        <v>1600000</v>
      </c>
      <c r="AR617" s="72">
        <v>50000</v>
      </c>
      <c r="AS617" s="50">
        <v>46387</v>
      </c>
      <c r="AT617" s="50" t="s">
        <v>1436</v>
      </c>
      <c r="AU617" s="49" t="s">
        <v>1436</v>
      </c>
      <c r="AV617" s="49" t="s">
        <v>1670</v>
      </c>
      <c r="AW617" s="48" t="s">
        <v>1244</v>
      </c>
    </row>
    <row r="618" spans="1:49" x14ac:dyDescent="0.3">
      <c r="A618" s="48" t="s">
        <v>1320</v>
      </c>
      <c r="B618" s="48" t="s">
        <v>6</v>
      </c>
      <c r="C618" s="48" t="s">
        <v>1322</v>
      </c>
      <c r="D618" s="50">
        <v>46387</v>
      </c>
      <c r="E618" s="48" t="s">
        <v>36</v>
      </c>
      <c r="F618" s="48" t="s">
        <v>1438</v>
      </c>
      <c r="G618" s="48" t="s">
        <v>1439</v>
      </c>
      <c r="H618" s="49" t="s">
        <v>1440</v>
      </c>
      <c r="I618" s="48" t="s">
        <v>1406</v>
      </c>
      <c r="J618" s="48" t="s">
        <v>1194</v>
      </c>
      <c r="K618" s="48" t="s">
        <v>1441</v>
      </c>
      <c r="L618" s="48" t="s">
        <v>38</v>
      </c>
      <c r="M618" s="48" t="s">
        <v>37</v>
      </c>
      <c r="N618" s="48" t="s">
        <v>1436</v>
      </c>
      <c r="O618" s="48" t="s">
        <v>1436</v>
      </c>
      <c r="P618" s="48" t="s">
        <v>1436</v>
      </c>
      <c r="Q618" s="48" t="s">
        <v>38</v>
      </c>
      <c r="R618" s="48" t="s">
        <v>39</v>
      </c>
      <c r="S618" s="48" t="s">
        <v>1194</v>
      </c>
      <c r="T618" s="48" t="s">
        <v>41</v>
      </c>
      <c r="U618" s="48" t="s">
        <v>1436</v>
      </c>
      <c r="V618" s="48" t="s">
        <v>1436</v>
      </c>
      <c r="W618" s="48" t="s">
        <v>1436</v>
      </c>
      <c r="X618" s="49" t="s">
        <v>193</v>
      </c>
      <c r="Y618" s="48" t="s">
        <v>1194</v>
      </c>
      <c r="Z618" s="49" t="s">
        <v>1321</v>
      </c>
      <c r="AA618" s="48" t="s">
        <v>1324</v>
      </c>
      <c r="AB618" s="48" t="s">
        <v>1325</v>
      </c>
      <c r="AC618" s="48" t="s">
        <v>1239</v>
      </c>
      <c r="AD618" s="48" t="s">
        <v>1231</v>
      </c>
      <c r="AE618" s="48" t="s">
        <v>1669</v>
      </c>
      <c r="AF618" s="48" t="s">
        <v>1436</v>
      </c>
      <c r="AG618" s="48" t="s">
        <v>1436</v>
      </c>
      <c r="AH618" s="48" t="s">
        <v>208</v>
      </c>
      <c r="AI618" s="50">
        <v>44562</v>
      </c>
      <c r="AJ618" s="50">
        <v>46387</v>
      </c>
      <c r="AK618" s="49" t="s">
        <v>1280</v>
      </c>
      <c r="AL618" s="48" t="s">
        <v>36</v>
      </c>
      <c r="AM618" s="48" t="s">
        <v>36</v>
      </c>
      <c r="AN618" s="51">
        <v>0</v>
      </c>
      <c r="AO618" s="51"/>
      <c r="AP618" s="51"/>
      <c r="AQ618" s="72">
        <v>1600000</v>
      </c>
      <c r="AR618" s="72">
        <v>50000</v>
      </c>
      <c r="AS618" s="50">
        <v>46387</v>
      </c>
      <c r="AT618" s="50" t="s">
        <v>1436</v>
      </c>
      <c r="AU618" s="49" t="s">
        <v>1436</v>
      </c>
      <c r="AV618" s="49" t="s">
        <v>1670</v>
      </c>
      <c r="AW618" s="48" t="s">
        <v>1244</v>
      </c>
    </row>
    <row r="619" spans="1:49" x14ac:dyDescent="0.3">
      <c r="A619" s="48" t="s">
        <v>1320</v>
      </c>
      <c r="B619" s="48" t="s">
        <v>6</v>
      </c>
      <c r="C619" s="48" t="s">
        <v>1322</v>
      </c>
      <c r="D619" s="50">
        <v>46387</v>
      </c>
      <c r="E619" s="48" t="s">
        <v>36</v>
      </c>
      <c r="F619" s="48" t="s">
        <v>1438</v>
      </c>
      <c r="G619" s="48" t="s">
        <v>1439</v>
      </c>
      <c r="H619" s="49" t="s">
        <v>1442</v>
      </c>
      <c r="I619" s="48" t="s">
        <v>1405</v>
      </c>
      <c r="J619" s="48" t="s">
        <v>1194</v>
      </c>
      <c r="K619" s="48" t="s">
        <v>1443</v>
      </c>
      <c r="L619" s="48" t="s">
        <v>38</v>
      </c>
      <c r="M619" s="48" t="s">
        <v>37</v>
      </c>
      <c r="N619" s="48" t="s">
        <v>1436</v>
      </c>
      <c r="O619" s="48" t="s">
        <v>1436</v>
      </c>
      <c r="P619" s="48" t="s">
        <v>1436</v>
      </c>
      <c r="Q619" s="48" t="s">
        <v>38</v>
      </c>
      <c r="R619" s="48" t="s">
        <v>39</v>
      </c>
      <c r="S619" s="48" t="s">
        <v>1194</v>
      </c>
      <c r="T619" s="48" t="s">
        <v>41</v>
      </c>
      <c r="U619" s="48" t="s">
        <v>1436</v>
      </c>
      <c r="V619" s="48" t="s">
        <v>1436</v>
      </c>
      <c r="W619" s="48" t="s">
        <v>1436</v>
      </c>
      <c r="X619" s="49" t="s">
        <v>193</v>
      </c>
      <c r="Y619" s="48" t="s">
        <v>1194</v>
      </c>
      <c r="Z619" s="49" t="s">
        <v>1321</v>
      </c>
      <c r="AA619" s="48" t="s">
        <v>1324</v>
      </c>
      <c r="AB619" s="48" t="s">
        <v>1325</v>
      </c>
      <c r="AC619" s="48" t="s">
        <v>1239</v>
      </c>
      <c r="AD619" s="48" t="s">
        <v>1231</v>
      </c>
      <c r="AE619" s="48" t="s">
        <v>1669</v>
      </c>
      <c r="AF619" s="48" t="s">
        <v>1436</v>
      </c>
      <c r="AG619" s="48" t="s">
        <v>1436</v>
      </c>
      <c r="AH619" s="48" t="s">
        <v>208</v>
      </c>
      <c r="AI619" s="50">
        <v>44562</v>
      </c>
      <c r="AJ619" s="50">
        <v>46387</v>
      </c>
      <c r="AK619" s="49" t="s">
        <v>1280</v>
      </c>
      <c r="AL619" s="48" t="s">
        <v>36</v>
      </c>
      <c r="AM619" s="48" t="s">
        <v>36</v>
      </c>
      <c r="AN619" s="51">
        <v>0</v>
      </c>
      <c r="AO619" s="51"/>
      <c r="AP619" s="51"/>
      <c r="AQ619" s="72">
        <v>1600000</v>
      </c>
      <c r="AR619" s="72">
        <v>50000</v>
      </c>
      <c r="AS619" s="50">
        <v>46387</v>
      </c>
      <c r="AT619" s="50" t="s">
        <v>1436</v>
      </c>
      <c r="AU619" s="49" t="s">
        <v>1436</v>
      </c>
      <c r="AV619" s="49" t="s">
        <v>1670</v>
      </c>
      <c r="AW619" s="48" t="s">
        <v>1244</v>
      </c>
    </row>
    <row r="620" spans="1:49" x14ac:dyDescent="0.3">
      <c r="A620" s="48" t="s">
        <v>1320</v>
      </c>
      <c r="B620" s="48" t="s">
        <v>6</v>
      </c>
      <c r="C620" s="48" t="s">
        <v>1322</v>
      </c>
      <c r="D620" s="50">
        <v>46387</v>
      </c>
      <c r="E620" s="48" t="s">
        <v>36</v>
      </c>
      <c r="F620" s="48" t="s">
        <v>1438</v>
      </c>
      <c r="G620" s="48" t="s">
        <v>1444</v>
      </c>
      <c r="H620" s="49" t="s">
        <v>1445</v>
      </c>
      <c r="I620" s="48" t="s">
        <v>1411</v>
      </c>
      <c r="J620" s="48" t="s">
        <v>40</v>
      </c>
      <c r="K620" s="48" t="s">
        <v>50</v>
      </c>
      <c r="L620" s="48" t="s">
        <v>38</v>
      </c>
      <c r="M620" s="48" t="s">
        <v>37</v>
      </c>
      <c r="N620" s="48" t="s">
        <v>1436</v>
      </c>
      <c r="O620" s="48" t="s">
        <v>1436</v>
      </c>
      <c r="P620" s="48" t="s">
        <v>1436</v>
      </c>
      <c r="Q620" s="48" t="s">
        <v>38</v>
      </c>
      <c r="R620" s="48" t="s">
        <v>39</v>
      </c>
      <c r="S620" s="48" t="s">
        <v>40</v>
      </c>
      <c r="T620" s="48" t="s">
        <v>41</v>
      </c>
      <c r="U620" s="48" t="s">
        <v>1436</v>
      </c>
      <c r="V620" s="48" t="s">
        <v>1436</v>
      </c>
      <c r="W620" s="48" t="s">
        <v>1436</v>
      </c>
      <c r="X620" s="49" t="s">
        <v>193</v>
      </c>
      <c r="Y620" s="48" t="s">
        <v>1194</v>
      </c>
      <c r="Z620" s="49" t="s">
        <v>1321</v>
      </c>
      <c r="AA620" s="48" t="s">
        <v>1324</v>
      </c>
      <c r="AB620" s="48" t="s">
        <v>1325</v>
      </c>
      <c r="AC620" s="48" t="s">
        <v>1239</v>
      </c>
      <c r="AD620" s="48" t="s">
        <v>1231</v>
      </c>
      <c r="AE620" s="48" t="s">
        <v>1669</v>
      </c>
      <c r="AF620" s="48" t="s">
        <v>1436</v>
      </c>
      <c r="AG620" s="48" t="s">
        <v>1436</v>
      </c>
      <c r="AH620" s="48" t="s">
        <v>208</v>
      </c>
      <c r="AI620" s="50">
        <v>44562</v>
      </c>
      <c r="AJ620" s="50">
        <v>46387</v>
      </c>
      <c r="AK620" s="49" t="s">
        <v>1280</v>
      </c>
      <c r="AL620" s="48" t="s">
        <v>36</v>
      </c>
      <c r="AM620" s="48" t="s">
        <v>36</v>
      </c>
      <c r="AN620" s="51">
        <v>42330.49</v>
      </c>
      <c r="AO620" s="51"/>
      <c r="AP620" s="51"/>
      <c r="AQ620" s="72">
        <v>1600000</v>
      </c>
      <c r="AR620" s="72">
        <v>50000</v>
      </c>
      <c r="AS620" s="50">
        <v>46387</v>
      </c>
      <c r="AT620" s="50" t="s">
        <v>1436</v>
      </c>
      <c r="AU620" s="49" t="s">
        <v>1436</v>
      </c>
      <c r="AV620" s="49" t="s">
        <v>1670</v>
      </c>
      <c r="AW620" s="48" t="s">
        <v>1244</v>
      </c>
    </row>
    <row r="621" spans="1:49" x14ac:dyDescent="0.3">
      <c r="A621" s="48" t="s">
        <v>1320</v>
      </c>
      <c r="B621" s="48" t="s">
        <v>6</v>
      </c>
      <c r="C621" s="48" t="s">
        <v>1322</v>
      </c>
      <c r="D621" s="50">
        <v>46387</v>
      </c>
      <c r="E621" s="48" t="s">
        <v>36</v>
      </c>
      <c r="F621" s="48" t="s">
        <v>1438</v>
      </c>
      <c r="G621" s="48" t="s">
        <v>1444</v>
      </c>
      <c r="H621" s="49" t="s">
        <v>1446</v>
      </c>
      <c r="I621" s="48" t="s">
        <v>1407</v>
      </c>
      <c r="J621" s="48" t="s">
        <v>40</v>
      </c>
      <c r="K621" s="48" t="s">
        <v>47</v>
      </c>
      <c r="L621" s="48" t="s">
        <v>38</v>
      </c>
      <c r="M621" s="48" t="s">
        <v>37</v>
      </c>
      <c r="N621" s="48" t="s">
        <v>1436</v>
      </c>
      <c r="O621" s="48" t="s">
        <v>1436</v>
      </c>
      <c r="P621" s="48" t="s">
        <v>1436</v>
      </c>
      <c r="Q621" s="48" t="s">
        <v>38</v>
      </c>
      <c r="R621" s="48" t="s">
        <v>39</v>
      </c>
      <c r="S621" s="48" t="s">
        <v>40</v>
      </c>
      <c r="T621" s="48" t="s">
        <v>41</v>
      </c>
      <c r="U621" s="48" t="s">
        <v>1436</v>
      </c>
      <c r="V621" s="48" t="s">
        <v>1436</v>
      </c>
      <c r="W621" s="48" t="s">
        <v>1436</v>
      </c>
      <c r="X621" s="49" t="s">
        <v>193</v>
      </c>
      <c r="Y621" s="48" t="s">
        <v>1194</v>
      </c>
      <c r="Z621" s="49" t="s">
        <v>1321</v>
      </c>
      <c r="AA621" s="48" t="s">
        <v>1324</v>
      </c>
      <c r="AB621" s="48" t="s">
        <v>1325</v>
      </c>
      <c r="AC621" s="48" t="s">
        <v>1239</v>
      </c>
      <c r="AD621" s="48" t="s">
        <v>1231</v>
      </c>
      <c r="AE621" s="48" t="s">
        <v>1669</v>
      </c>
      <c r="AF621" s="48" t="s">
        <v>1436</v>
      </c>
      <c r="AG621" s="48" t="s">
        <v>1436</v>
      </c>
      <c r="AH621" s="48" t="s">
        <v>208</v>
      </c>
      <c r="AI621" s="50">
        <v>44562</v>
      </c>
      <c r="AJ621" s="50">
        <v>46387</v>
      </c>
      <c r="AK621" s="49" t="s">
        <v>1280</v>
      </c>
      <c r="AL621" s="48" t="s">
        <v>36</v>
      </c>
      <c r="AM621" s="48" t="s">
        <v>36</v>
      </c>
      <c r="AN621" s="51">
        <v>0</v>
      </c>
      <c r="AO621" s="51"/>
      <c r="AP621" s="51"/>
      <c r="AQ621" s="72">
        <v>1600000</v>
      </c>
      <c r="AR621" s="72">
        <v>50000</v>
      </c>
      <c r="AS621" s="50">
        <v>46387</v>
      </c>
      <c r="AT621" s="50" t="s">
        <v>1436</v>
      </c>
      <c r="AU621" s="49" t="s">
        <v>1436</v>
      </c>
      <c r="AV621" s="49" t="s">
        <v>1670</v>
      </c>
      <c r="AW621" s="48" t="s">
        <v>1244</v>
      </c>
    </row>
    <row r="622" spans="1:49" x14ac:dyDescent="0.3">
      <c r="A622" s="48" t="s">
        <v>1320</v>
      </c>
      <c r="B622" s="48" t="s">
        <v>6</v>
      </c>
      <c r="C622" s="48" t="s">
        <v>1322</v>
      </c>
      <c r="D622" s="50">
        <v>46387</v>
      </c>
      <c r="E622" s="48" t="s">
        <v>36</v>
      </c>
      <c r="F622" s="48" t="s">
        <v>1433</v>
      </c>
      <c r="G622" s="48" t="s">
        <v>1447</v>
      </c>
      <c r="H622" s="49" t="s">
        <v>1448</v>
      </c>
      <c r="I622" s="48" t="s">
        <v>1413</v>
      </c>
      <c r="J622" s="48" t="s">
        <v>40</v>
      </c>
      <c r="K622" s="48" t="s">
        <v>58</v>
      </c>
      <c r="L622" s="48" t="s">
        <v>38</v>
      </c>
      <c r="M622" s="48" t="s">
        <v>37</v>
      </c>
      <c r="N622" s="48" t="s">
        <v>1436</v>
      </c>
      <c r="O622" s="48" t="s">
        <v>1436</v>
      </c>
      <c r="P622" s="48" t="s">
        <v>1436</v>
      </c>
      <c r="Q622" s="48" t="s">
        <v>38</v>
      </c>
      <c r="R622" s="48" t="s">
        <v>39</v>
      </c>
      <c r="S622" s="48" t="s">
        <v>40</v>
      </c>
      <c r="T622" s="48" t="s">
        <v>41</v>
      </c>
      <c r="U622" s="48" t="s">
        <v>1436</v>
      </c>
      <c r="V622" s="48" t="s">
        <v>1436</v>
      </c>
      <c r="W622" s="48" t="s">
        <v>1436</v>
      </c>
      <c r="X622" s="49" t="s">
        <v>193</v>
      </c>
      <c r="Y622" s="48" t="s">
        <v>1194</v>
      </c>
      <c r="Z622" s="49" t="s">
        <v>1321</v>
      </c>
      <c r="AA622" s="48" t="s">
        <v>1324</v>
      </c>
      <c r="AB622" s="48" t="s">
        <v>1325</v>
      </c>
      <c r="AC622" s="48" t="s">
        <v>1239</v>
      </c>
      <c r="AD622" s="48" t="s">
        <v>1231</v>
      </c>
      <c r="AE622" s="48" t="s">
        <v>1669</v>
      </c>
      <c r="AF622" s="48" t="s">
        <v>1436</v>
      </c>
      <c r="AG622" s="48" t="s">
        <v>1436</v>
      </c>
      <c r="AH622" s="48" t="s">
        <v>208</v>
      </c>
      <c r="AI622" s="50">
        <v>44562</v>
      </c>
      <c r="AJ622" s="50">
        <v>46387</v>
      </c>
      <c r="AK622" s="49" t="s">
        <v>1280</v>
      </c>
      <c r="AL622" s="48" t="s">
        <v>36</v>
      </c>
      <c r="AM622" s="48" t="s">
        <v>36</v>
      </c>
      <c r="AN622" s="51">
        <v>-50000</v>
      </c>
      <c r="AO622" s="51"/>
      <c r="AP622" s="51"/>
      <c r="AQ622" s="72">
        <v>1600000</v>
      </c>
      <c r="AR622" s="72">
        <v>50000</v>
      </c>
      <c r="AS622" s="50">
        <v>46387</v>
      </c>
      <c r="AT622" s="50" t="s">
        <v>1436</v>
      </c>
      <c r="AU622" s="49" t="s">
        <v>1436</v>
      </c>
      <c r="AV622" s="49" t="s">
        <v>1670</v>
      </c>
      <c r="AW622" s="48" t="s">
        <v>1244</v>
      </c>
    </row>
    <row r="623" spans="1:49" x14ac:dyDescent="0.3">
      <c r="A623" s="48" t="s">
        <v>1320</v>
      </c>
      <c r="B623" s="48" t="s">
        <v>6</v>
      </c>
      <c r="C623" s="48" t="s">
        <v>1322</v>
      </c>
      <c r="D623" s="50">
        <v>46387</v>
      </c>
      <c r="E623" s="48" t="s">
        <v>36</v>
      </c>
      <c r="F623" s="48" t="s">
        <v>1433</v>
      </c>
      <c r="G623" s="48" t="s">
        <v>1447</v>
      </c>
      <c r="H623" s="49" t="s">
        <v>1449</v>
      </c>
      <c r="I623" s="48" t="s">
        <v>1409</v>
      </c>
      <c r="J623" s="48" t="s">
        <v>40</v>
      </c>
      <c r="K623" s="48" t="s">
        <v>45</v>
      </c>
      <c r="L623" s="48" t="s">
        <v>38</v>
      </c>
      <c r="M623" s="48" t="s">
        <v>37</v>
      </c>
      <c r="N623" s="48" t="s">
        <v>1436</v>
      </c>
      <c r="O623" s="48" t="s">
        <v>1436</v>
      </c>
      <c r="P623" s="48" t="s">
        <v>1436</v>
      </c>
      <c r="Q623" s="48" t="s">
        <v>38</v>
      </c>
      <c r="R623" s="48" t="s">
        <v>39</v>
      </c>
      <c r="S623" s="48" t="s">
        <v>40</v>
      </c>
      <c r="T623" s="48" t="s">
        <v>41</v>
      </c>
      <c r="U623" s="48" t="s">
        <v>1436</v>
      </c>
      <c r="V623" s="48" t="s">
        <v>1436</v>
      </c>
      <c r="W623" s="48" t="s">
        <v>1436</v>
      </c>
      <c r="X623" s="49" t="s">
        <v>193</v>
      </c>
      <c r="Y623" s="48" t="s">
        <v>1194</v>
      </c>
      <c r="Z623" s="49" t="s">
        <v>1321</v>
      </c>
      <c r="AA623" s="48" t="s">
        <v>1324</v>
      </c>
      <c r="AB623" s="48" t="s">
        <v>1325</v>
      </c>
      <c r="AC623" s="48" t="s">
        <v>1239</v>
      </c>
      <c r="AD623" s="48" t="s">
        <v>1231</v>
      </c>
      <c r="AE623" s="48" t="s">
        <v>1669</v>
      </c>
      <c r="AF623" s="48" t="s">
        <v>1436</v>
      </c>
      <c r="AG623" s="48" t="s">
        <v>1436</v>
      </c>
      <c r="AH623" s="48" t="s">
        <v>208</v>
      </c>
      <c r="AI623" s="50">
        <v>44562</v>
      </c>
      <c r="AJ623" s="50">
        <v>46387</v>
      </c>
      <c r="AK623" s="49" t="s">
        <v>1280</v>
      </c>
      <c r="AL623" s="48" t="s">
        <v>36</v>
      </c>
      <c r="AM623" s="48" t="s">
        <v>36</v>
      </c>
      <c r="AN623" s="51">
        <v>0</v>
      </c>
      <c r="AO623" s="51"/>
      <c r="AP623" s="51"/>
      <c r="AQ623" s="72">
        <v>1600000</v>
      </c>
      <c r="AR623" s="72">
        <v>50000</v>
      </c>
      <c r="AS623" s="50">
        <v>46387</v>
      </c>
      <c r="AT623" s="50" t="s">
        <v>1436</v>
      </c>
      <c r="AU623" s="49" t="s">
        <v>1436</v>
      </c>
      <c r="AV623" s="49" t="s">
        <v>1670</v>
      </c>
      <c r="AW623" s="48" t="s">
        <v>1244</v>
      </c>
    </row>
    <row r="624" spans="1:49" x14ac:dyDescent="0.3">
      <c r="A624" s="48" t="s">
        <v>1320</v>
      </c>
      <c r="B624" s="48" t="s">
        <v>6</v>
      </c>
      <c r="C624" s="48" t="s">
        <v>1322</v>
      </c>
      <c r="D624" s="50">
        <v>46387</v>
      </c>
      <c r="E624" s="48" t="s">
        <v>36</v>
      </c>
      <c r="F624" s="48" t="s">
        <v>1433</v>
      </c>
      <c r="G624" s="48" t="s">
        <v>1447</v>
      </c>
      <c r="H624" s="49" t="s">
        <v>1450</v>
      </c>
      <c r="I624" s="48" t="s">
        <v>1408</v>
      </c>
      <c r="J624" s="48" t="s">
        <v>40</v>
      </c>
      <c r="K624" s="48" t="s">
        <v>54</v>
      </c>
      <c r="L624" s="48" t="s">
        <v>38</v>
      </c>
      <c r="M624" s="48" t="s">
        <v>37</v>
      </c>
      <c r="N624" s="48" t="s">
        <v>1436</v>
      </c>
      <c r="O624" s="48" t="s">
        <v>1436</v>
      </c>
      <c r="P624" s="48" t="s">
        <v>1436</v>
      </c>
      <c r="Q624" s="48" t="s">
        <v>38</v>
      </c>
      <c r="R624" s="48" t="s">
        <v>39</v>
      </c>
      <c r="S624" s="48" t="s">
        <v>40</v>
      </c>
      <c r="T624" s="48" t="s">
        <v>41</v>
      </c>
      <c r="U624" s="48" t="s">
        <v>1436</v>
      </c>
      <c r="V624" s="48" t="s">
        <v>1436</v>
      </c>
      <c r="W624" s="48" t="s">
        <v>1436</v>
      </c>
      <c r="X624" s="49" t="s">
        <v>193</v>
      </c>
      <c r="Y624" s="48" t="s">
        <v>1194</v>
      </c>
      <c r="Z624" s="49" t="s">
        <v>1321</v>
      </c>
      <c r="AA624" s="48" t="s">
        <v>1324</v>
      </c>
      <c r="AB624" s="48" t="s">
        <v>1325</v>
      </c>
      <c r="AC624" s="48" t="s">
        <v>1239</v>
      </c>
      <c r="AD624" s="48" t="s">
        <v>1231</v>
      </c>
      <c r="AE624" s="48" t="s">
        <v>1669</v>
      </c>
      <c r="AF624" s="48" t="s">
        <v>1436</v>
      </c>
      <c r="AG624" s="48" t="s">
        <v>1436</v>
      </c>
      <c r="AH624" s="48" t="s">
        <v>208</v>
      </c>
      <c r="AI624" s="50">
        <v>44562</v>
      </c>
      <c r="AJ624" s="50">
        <v>46387</v>
      </c>
      <c r="AK624" s="49" t="s">
        <v>1280</v>
      </c>
      <c r="AL624" s="48" t="s">
        <v>36</v>
      </c>
      <c r="AM624" s="48" t="s">
        <v>36</v>
      </c>
      <c r="AN624" s="51">
        <v>49710.024855000003</v>
      </c>
      <c r="AO624" s="51"/>
      <c r="AP624" s="51"/>
      <c r="AQ624" s="72">
        <v>1600000</v>
      </c>
      <c r="AR624" s="72">
        <v>50000</v>
      </c>
      <c r="AS624" s="50">
        <v>46387</v>
      </c>
      <c r="AT624" s="50" t="s">
        <v>1436</v>
      </c>
      <c r="AU624" s="49" t="s">
        <v>1436</v>
      </c>
      <c r="AV624" s="49" t="s">
        <v>1670</v>
      </c>
      <c r="AW624" s="48" t="s">
        <v>1244</v>
      </c>
    </row>
    <row r="625" spans="1:51" x14ac:dyDescent="0.3">
      <c r="A625" s="48" t="s">
        <v>1320</v>
      </c>
      <c r="B625" s="48" t="s">
        <v>6</v>
      </c>
      <c r="C625" s="48" t="s">
        <v>1322</v>
      </c>
      <c r="D625" s="50">
        <v>46387</v>
      </c>
      <c r="E625" s="48" t="s">
        <v>36</v>
      </c>
      <c r="F625" s="48" t="s">
        <v>1433</v>
      </c>
      <c r="G625" s="48" t="s">
        <v>1447</v>
      </c>
      <c r="H625" s="49" t="s">
        <v>1451</v>
      </c>
      <c r="I625" s="48" t="s">
        <v>1404</v>
      </c>
      <c r="J625" s="48" t="s">
        <v>38</v>
      </c>
      <c r="K625" s="48" t="s">
        <v>49</v>
      </c>
      <c r="L625" s="48" t="s">
        <v>38</v>
      </c>
      <c r="M625" s="48" t="s">
        <v>37</v>
      </c>
      <c r="N625" s="48" t="s">
        <v>1436</v>
      </c>
      <c r="O625" s="48" t="s">
        <v>1436</v>
      </c>
      <c r="P625" s="48" t="s">
        <v>1436</v>
      </c>
      <c r="Q625" s="48" t="s">
        <v>38</v>
      </c>
      <c r="R625" s="48" t="s">
        <v>39</v>
      </c>
      <c r="S625" s="48" t="s">
        <v>38</v>
      </c>
      <c r="T625" s="48" t="s">
        <v>41</v>
      </c>
      <c r="U625" s="48" t="s">
        <v>1436</v>
      </c>
      <c r="V625" s="48" t="s">
        <v>1436</v>
      </c>
      <c r="W625" s="48" t="s">
        <v>1436</v>
      </c>
      <c r="X625" s="49" t="s">
        <v>193</v>
      </c>
      <c r="Y625" s="48" t="s">
        <v>1194</v>
      </c>
      <c r="Z625" s="49" t="s">
        <v>1321</v>
      </c>
      <c r="AA625" s="48" t="s">
        <v>1324</v>
      </c>
      <c r="AB625" s="48" t="s">
        <v>1325</v>
      </c>
      <c r="AC625" s="48" t="s">
        <v>1239</v>
      </c>
      <c r="AD625" s="48" t="s">
        <v>1231</v>
      </c>
      <c r="AE625" s="48" t="s">
        <v>1669</v>
      </c>
      <c r="AF625" s="48" t="s">
        <v>1436</v>
      </c>
      <c r="AG625" s="48" t="s">
        <v>1436</v>
      </c>
      <c r="AH625" s="48" t="s">
        <v>208</v>
      </c>
      <c r="AI625" s="50">
        <v>44562</v>
      </c>
      <c r="AJ625" s="50">
        <v>46387</v>
      </c>
      <c r="AK625" s="49" t="s">
        <v>1280</v>
      </c>
      <c r="AL625" s="48" t="s">
        <v>36</v>
      </c>
      <c r="AM625" s="48" t="s">
        <v>36</v>
      </c>
      <c r="AN625" s="51">
        <v>289.975145</v>
      </c>
      <c r="AO625" s="51"/>
      <c r="AP625" s="51"/>
      <c r="AQ625" s="72">
        <v>1600000</v>
      </c>
      <c r="AR625" s="72">
        <v>50000</v>
      </c>
      <c r="AS625" s="50">
        <v>46387</v>
      </c>
      <c r="AT625" s="50" t="s">
        <v>1436</v>
      </c>
      <c r="AU625" s="49" t="s">
        <v>1436</v>
      </c>
      <c r="AV625" s="49" t="s">
        <v>1670</v>
      </c>
      <c r="AW625" s="48" t="s">
        <v>1244</v>
      </c>
    </row>
    <row r="626" spans="1:51" x14ac:dyDescent="0.3">
      <c r="A626" s="52" t="s">
        <v>1209</v>
      </c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</row>
    <row r="627" spans="1:51" x14ac:dyDescent="0.3">
      <c r="A627" s="52" t="s">
        <v>1209</v>
      </c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D627" s="53"/>
      <c r="AE627" s="53"/>
      <c r="AF627" s="53"/>
      <c r="AG627" s="53"/>
      <c r="AH627" s="53"/>
      <c r="AI627" s="53"/>
      <c r="AJ627" s="53"/>
      <c r="AK627" s="53"/>
      <c r="AL627" s="53"/>
      <c r="AM627" s="53"/>
      <c r="AN627" s="53"/>
      <c r="AO627" s="53"/>
      <c r="AP627" s="53"/>
      <c r="AQ627" s="53"/>
      <c r="AR627" s="53"/>
      <c r="AS627" s="53"/>
      <c r="AT627" s="53"/>
      <c r="AU627" s="53"/>
      <c r="AV627" s="53"/>
      <c r="AW627" s="53"/>
      <c r="AX627" s="53"/>
      <c r="AY627" s="53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6618-FB1E-4D91-AC66-D8E5462C091F}">
  <sheetPr>
    <tabColor theme="5" tint="0.59999389629810485"/>
  </sheetPr>
  <dimension ref="A1:C28"/>
  <sheetViews>
    <sheetView workbookViewId="0">
      <selection activeCell="C17" sqref="C17"/>
    </sheetView>
  </sheetViews>
  <sheetFormatPr defaultColWidth="9.109375" defaultRowHeight="13.2" x14ac:dyDescent="0.25"/>
  <cols>
    <col min="1" max="1" width="23" style="39" bestFit="1" customWidth="1"/>
    <col min="2" max="2" width="23.109375" style="39" bestFit="1" customWidth="1"/>
    <col min="3" max="16384" width="9.109375" style="39"/>
  </cols>
  <sheetData>
    <row r="1" spans="1:3" ht="14.4" x14ac:dyDescent="0.3">
      <c r="B1" s="45" t="s">
        <v>1330</v>
      </c>
      <c r="C1" s="178" t="s">
        <v>2781</v>
      </c>
    </row>
    <row r="2" spans="1:3" x14ac:dyDescent="0.25">
      <c r="A2" s="45" t="s">
        <v>1331</v>
      </c>
      <c r="B2" s="45" t="s">
        <v>63</v>
      </c>
    </row>
    <row r="3" spans="1:3" x14ac:dyDescent="0.25">
      <c r="A3" s="45" t="s">
        <v>1663</v>
      </c>
      <c r="B3" s="45" t="s">
        <v>228</v>
      </c>
    </row>
    <row r="4" spans="1:3" x14ac:dyDescent="0.25">
      <c r="A4" s="45" t="s">
        <v>1420</v>
      </c>
      <c r="B4" s="45" t="s">
        <v>159</v>
      </c>
    </row>
    <row r="5" spans="1:3" x14ac:dyDescent="0.25">
      <c r="A5" s="45" t="s">
        <v>1334</v>
      </c>
      <c r="B5" s="45" t="s">
        <v>1209</v>
      </c>
    </row>
    <row r="6" spans="1:3" x14ac:dyDescent="0.25">
      <c r="A6" s="45" t="s">
        <v>1335</v>
      </c>
      <c r="B6" s="45" t="s">
        <v>1336</v>
      </c>
    </row>
    <row r="7" spans="1:3" x14ac:dyDescent="0.25">
      <c r="A7" s="45" t="s">
        <v>1299</v>
      </c>
      <c r="B7" s="45" t="s">
        <v>36</v>
      </c>
    </row>
    <row r="8" spans="1:3" x14ac:dyDescent="0.25">
      <c r="A8" s="45" t="s">
        <v>1337</v>
      </c>
      <c r="B8" s="45" t="s">
        <v>1209</v>
      </c>
    </row>
    <row r="9" spans="1:3" x14ac:dyDescent="0.25">
      <c r="A9" s="45" t="s">
        <v>1419</v>
      </c>
      <c r="B9" s="45" t="s">
        <v>194</v>
      </c>
    </row>
    <row r="10" spans="1:3" x14ac:dyDescent="0.25">
      <c r="A10" s="45" t="s">
        <v>1427</v>
      </c>
      <c r="B10" s="45" t="s">
        <v>1209</v>
      </c>
    </row>
    <row r="11" spans="1:3" x14ac:dyDescent="0.25">
      <c r="A11" s="45" t="s">
        <v>0</v>
      </c>
      <c r="B11" s="45" t="s">
        <v>6</v>
      </c>
    </row>
    <row r="12" spans="1:3" x14ac:dyDescent="0.25">
      <c r="A12" s="45" t="s">
        <v>187</v>
      </c>
      <c r="B12" s="45" t="s">
        <v>1209</v>
      </c>
    </row>
    <row r="13" spans="1:3" x14ac:dyDescent="0.25">
      <c r="A13" s="45" t="s">
        <v>1340</v>
      </c>
      <c r="B13" s="45" t="s">
        <v>1209</v>
      </c>
    </row>
    <row r="14" spans="1:3" x14ac:dyDescent="0.25">
      <c r="A14" s="45" t="s">
        <v>1417</v>
      </c>
      <c r="B14" s="45" t="s">
        <v>1209</v>
      </c>
    </row>
    <row r="15" spans="1:3" x14ac:dyDescent="0.25">
      <c r="A15" s="45" t="s">
        <v>189</v>
      </c>
      <c r="B15" s="45" t="s">
        <v>1209</v>
      </c>
    </row>
    <row r="16" spans="1:3" x14ac:dyDescent="0.25">
      <c r="A16" s="45" t="s">
        <v>188</v>
      </c>
      <c r="B16" s="45" t="s">
        <v>1209</v>
      </c>
    </row>
    <row r="17" spans="1:2" x14ac:dyDescent="0.25">
      <c r="A17" s="45" t="s">
        <v>1416</v>
      </c>
      <c r="B17" s="45" t="s">
        <v>1209</v>
      </c>
    </row>
    <row r="18" spans="1:2" x14ac:dyDescent="0.25">
      <c r="A18" s="45" t="s">
        <v>196</v>
      </c>
      <c r="B18" s="45" t="s">
        <v>1209</v>
      </c>
    </row>
    <row r="19" spans="1:2" x14ac:dyDescent="0.25">
      <c r="A19" s="45" t="s">
        <v>197</v>
      </c>
      <c r="B19" s="45" t="s">
        <v>1209</v>
      </c>
    </row>
    <row r="20" spans="1:2" x14ac:dyDescent="0.25">
      <c r="A20" s="45" t="s">
        <v>198</v>
      </c>
      <c r="B20" s="45" t="s">
        <v>1209</v>
      </c>
    </row>
    <row r="21" spans="1:2" x14ac:dyDescent="0.25">
      <c r="A21" s="45" t="s">
        <v>199</v>
      </c>
      <c r="B21" s="45" t="s">
        <v>1209</v>
      </c>
    </row>
    <row r="22" spans="1:2" x14ac:dyDescent="0.25">
      <c r="A22" s="45" t="s">
        <v>200</v>
      </c>
      <c r="B22" s="45" t="s">
        <v>1209</v>
      </c>
    </row>
    <row r="23" spans="1:2" x14ac:dyDescent="0.25">
      <c r="A23" s="45" t="s">
        <v>201</v>
      </c>
      <c r="B23" s="45" t="s">
        <v>1209</v>
      </c>
    </row>
    <row r="24" spans="1:2" x14ac:dyDescent="0.25">
      <c r="A24" s="45" t="s">
        <v>202</v>
      </c>
      <c r="B24" s="45" t="s">
        <v>1209</v>
      </c>
    </row>
    <row r="25" spans="1:2" x14ac:dyDescent="0.25">
      <c r="A25" s="45" t="s">
        <v>203</v>
      </c>
      <c r="B25" s="45" t="s">
        <v>1209</v>
      </c>
    </row>
    <row r="26" spans="1:2" x14ac:dyDescent="0.25">
      <c r="A26" s="45" t="s">
        <v>204</v>
      </c>
      <c r="B26" s="45" t="s">
        <v>1209</v>
      </c>
    </row>
    <row r="27" spans="1:2" x14ac:dyDescent="0.25">
      <c r="A27" s="45" t="s">
        <v>205</v>
      </c>
      <c r="B27" s="45" t="s">
        <v>1209</v>
      </c>
    </row>
    <row r="28" spans="1:2" x14ac:dyDescent="0.25">
      <c r="A28" s="45" t="s">
        <v>206</v>
      </c>
      <c r="B28" s="45" t="s">
        <v>1209</v>
      </c>
    </row>
  </sheetData>
  <hyperlinks>
    <hyperlink ref="C1" location="'Comparison-Sheet'!A1" display="'Comparison-Sheet'!A1" xr:uid="{A1A695E0-AC9B-44DA-821B-4B126BD2105B}"/>
  </hyperlinks>
  <pageMargins left="0.75" right="0.75" top="1" bottom="1" header="0.5" footer="0.5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99FC-3200-473C-93EF-1608253F316B}">
  <sheetPr>
    <tabColor rgb="FFFF66FF"/>
  </sheetPr>
  <dimension ref="A1:BO625"/>
  <sheetViews>
    <sheetView workbookViewId="0">
      <selection activeCell="B22" sqref="B22"/>
    </sheetView>
  </sheetViews>
  <sheetFormatPr defaultRowHeight="14.4" x14ac:dyDescent="0.3"/>
  <cols>
    <col min="1" max="1" width="30.21875" bestFit="1" customWidth="1"/>
    <col min="2" max="2" width="47.44140625" bestFit="1" customWidth="1"/>
    <col min="3" max="3" width="31.77734375" customWidth="1"/>
    <col min="4" max="4" width="12" bestFit="1" customWidth="1"/>
    <col min="5" max="5" width="43.77734375" bestFit="1" customWidth="1"/>
    <col min="6" max="6" width="11.44140625" customWidth="1"/>
    <col min="7" max="8" width="12" bestFit="1" customWidth="1"/>
    <col min="9" max="9" width="17.21875" customWidth="1"/>
    <col min="10" max="10" width="17.5546875" customWidth="1"/>
    <col min="11" max="11" width="14" bestFit="1" customWidth="1"/>
    <col min="12" max="12" width="14.77734375" bestFit="1" customWidth="1"/>
    <col min="13" max="13" width="14.77734375" customWidth="1"/>
    <col min="14" max="15" width="12" bestFit="1" customWidth="1"/>
    <col min="16" max="16" width="13.109375" bestFit="1" customWidth="1"/>
    <col min="17" max="17" width="12" bestFit="1" customWidth="1"/>
    <col min="18" max="18" width="12.5546875" bestFit="1" customWidth="1"/>
    <col min="19" max="19" width="12.44140625" bestFit="1" customWidth="1"/>
    <col min="20" max="27" width="12" bestFit="1" customWidth="1"/>
    <col min="28" max="28" width="13.109375" bestFit="1" customWidth="1"/>
    <col min="29" max="29" width="12" bestFit="1" customWidth="1"/>
    <col min="30" max="30" width="12.5546875" bestFit="1" customWidth="1"/>
    <col min="31" max="31" width="12.44140625" bestFit="1" customWidth="1"/>
    <col min="32" max="39" width="12" bestFit="1" customWidth="1"/>
    <col min="40" max="40" width="13.109375" bestFit="1" customWidth="1"/>
    <col min="41" max="41" width="12" bestFit="1" customWidth="1"/>
    <col min="42" max="42" width="12.5546875" bestFit="1" customWidth="1"/>
    <col min="43" max="43" width="12.44140625" bestFit="1" customWidth="1"/>
    <col min="44" max="51" width="12" bestFit="1" customWidth="1"/>
    <col min="52" max="52" width="13.109375" bestFit="1" customWidth="1"/>
    <col min="53" max="53" width="12" bestFit="1" customWidth="1"/>
    <col min="54" max="54" width="12.5546875" bestFit="1" customWidth="1"/>
    <col min="55" max="55" width="12.44140625" bestFit="1" customWidth="1"/>
    <col min="56" max="63" width="12" bestFit="1" customWidth="1"/>
    <col min="64" max="64" width="13.109375" bestFit="1" customWidth="1"/>
    <col min="65" max="65" width="12" bestFit="1" customWidth="1"/>
    <col min="66" max="66" width="12.5546875" bestFit="1" customWidth="1"/>
    <col min="67" max="67" width="12.44140625" bestFit="1" customWidth="1"/>
  </cols>
  <sheetData>
    <row r="1" spans="1:67" x14ac:dyDescent="0.3">
      <c r="A1" s="53"/>
      <c r="B1" s="54" t="s">
        <v>1595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</row>
    <row r="2" spans="1:67" x14ac:dyDescent="0.3">
      <c r="A2" s="66" t="s">
        <v>1296</v>
      </c>
      <c r="B2" s="66" t="s">
        <v>1299</v>
      </c>
      <c r="C2" s="66" t="s">
        <v>1424</v>
      </c>
      <c r="D2" s="66" t="s">
        <v>1596</v>
      </c>
      <c r="E2" s="110" t="s">
        <v>1662</v>
      </c>
      <c r="F2" s="110" t="s">
        <v>1594</v>
      </c>
      <c r="G2" s="66" t="s">
        <v>1597</v>
      </c>
      <c r="H2" s="66" t="s">
        <v>1598</v>
      </c>
      <c r="I2" s="66" t="s">
        <v>1599</v>
      </c>
      <c r="J2" s="66" t="s">
        <v>1600</v>
      </c>
      <c r="K2" s="66" t="s">
        <v>1601</v>
      </c>
      <c r="L2" s="66" t="s">
        <v>1602</v>
      </c>
      <c r="M2" s="66" t="s">
        <v>1603</v>
      </c>
      <c r="N2" s="66" t="s">
        <v>1604</v>
      </c>
      <c r="O2" s="66" t="s">
        <v>1605</v>
      </c>
      <c r="P2" s="66" t="s">
        <v>1606</v>
      </c>
      <c r="Q2" s="66" t="s">
        <v>1607</v>
      </c>
      <c r="R2" s="66" t="s">
        <v>1608</v>
      </c>
      <c r="S2" s="66" t="s">
        <v>1609</v>
      </c>
      <c r="T2" s="66" t="s">
        <v>1610</v>
      </c>
      <c r="U2" s="66" t="s">
        <v>1611</v>
      </c>
      <c r="V2" s="66" t="s">
        <v>1612</v>
      </c>
      <c r="W2" s="66" t="s">
        <v>1613</v>
      </c>
      <c r="X2" s="66" t="s">
        <v>1614</v>
      </c>
      <c r="Y2" s="66" t="s">
        <v>1615</v>
      </c>
      <c r="Z2" s="66" t="s">
        <v>1616</v>
      </c>
      <c r="AA2" s="66" t="s">
        <v>1617</v>
      </c>
      <c r="AB2" s="66" t="s">
        <v>1618</v>
      </c>
      <c r="AC2" s="66" t="s">
        <v>1619</v>
      </c>
      <c r="AD2" s="66" t="s">
        <v>1620</v>
      </c>
      <c r="AE2" s="66" t="s">
        <v>1621</v>
      </c>
      <c r="AF2" s="66" t="s">
        <v>1622</v>
      </c>
      <c r="AG2" s="66" t="s">
        <v>1623</v>
      </c>
      <c r="AH2" s="66" t="s">
        <v>1624</v>
      </c>
      <c r="AI2" s="66" t="s">
        <v>1625</v>
      </c>
      <c r="AJ2" s="66" t="s">
        <v>1626</v>
      </c>
      <c r="AK2" s="66" t="s">
        <v>1627</v>
      </c>
      <c r="AL2" s="66" t="s">
        <v>1628</v>
      </c>
      <c r="AM2" s="66" t="s">
        <v>1629</v>
      </c>
      <c r="AN2" s="66" t="s">
        <v>1630</v>
      </c>
      <c r="AO2" s="66" t="s">
        <v>1631</v>
      </c>
      <c r="AP2" s="66" t="s">
        <v>1632</v>
      </c>
      <c r="AQ2" s="66" t="s">
        <v>1633</v>
      </c>
      <c r="AR2" s="66" t="s">
        <v>1634</v>
      </c>
      <c r="AS2" s="66" t="s">
        <v>1635</v>
      </c>
      <c r="AT2" s="66" t="s">
        <v>1636</v>
      </c>
      <c r="AU2" s="66" t="s">
        <v>1637</v>
      </c>
      <c r="AV2" s="66" t="s">
        <v>1638</v>
      </c>
      <c r="AW2" s="66" t="s">
        <v>1639</v>
      </c>
      <c r="AX2" s="66" t="s">
        <v>1640</v>
      </c>
      <c r="AY2" s="66" t="s">
        <v>1641</v>
      </c>
      <c r="AZ2" s="66" t="s">
        <v>1642</v>
      </c>
      <c r="BA2" s="66" t="s">
        <v>1643</v>
      </c>
      <c r="BB2" s="66" t="s">
        <v>1644</v>
      </c>
      <c r="BC2" s="66" t="s">
        <v>1645</v>
      </c>
      <c r="BD2" s="66" t="s">
        <v>1646</v>
      </c>
      <c r="BE2" s="66" t="s">
        <v>1647</v>
      </c>
      <c r="BF2" s="66" t="s">
        <v>1648</v>
      </c>
      <c r="BG2" s="66" t="s">
        <v>1649</v>
      </c>
      <c r="BH2" s="66" t="s">
        <v>1650</v>
      </c>
      <c r="BI2" s="66" t="s">
        <v>1651</v>
      </c>
      <c r="BJ2" s="66" t="s">
        <v>1652</v>
      </c>
      <c r="BK2" s="66" t="s">
        <v>1653</v>
      </c>
      <c r="BL2" s="66" t="s">
        <v>1654</v>
      </c>
      <c r="BM2" s="66" t="s">
        <v>1655</v>
      </c>
    </row>
    <row r="3" spans="1:67" x14ac:dyDescent="0.3">
      <c r="A3" s="67" t="s">
        <v>1320</v>
      </c>
      <c r="B3" s="67" t="s">
        <v>36</v>
      </c>
      <c r="C3" s="67" t="s">
        <v>1447</v>
      </c>
      <c r="D3" s="68">
        <v>-2554353.4281310001</v>
      </c>
      <c r="E3" s="192">
        <f>SUMIFS($I$26:$I$35,$N$26:$N$35,C3)</f>
        <v>-2554353.4281310001</v>
      </c>
      <c r="F3" s="192">
        <f>D3-E3</f>
        <v>0</v>
      </c>
      <c r="G3" s="68">
        <v>-2568670.4897949998</v>
      </c>
      <c r="H3" s="68">
        <v>-2582779.4009850002</v>
      </c>
      <c r="I3" s="68">
        <v>-2596678.9474909999</v>
      </c>
      <c r="J3" s="68">
        <v>-2610367.908018</v>
      </c>
      <c r="K3" s="68">
        <v>-2623845.0541480002</v>
      </c>
      <c r="L3" s="68">
        <v>-2637109.1502970001</v>
      </c>
      <c r="M3" s="68">
        <v>-2650158.9536740002</v>
      </c>
      <c r="N3" s="68">
        <v>-2662993.2142369999</v>
      </c>
      <c r="O3" s="68">
        <v>-2675610.6746530002</v>
      </c>
      <c r="P3" s="68">
        <v>-2688010.0702550001</v>
      </c>
      <c r="Q3" s="68">
        <v>-2700190.1289980002</v>
      </c>
      <c r="R3" s="68">
        <v>-2712149.5714170001</v>
      </c>
      <c r="S3" s="68">
        <v>-2723887.1105840001</v>
      </c>
      <c r="T3" s="68">
        <v>-2735401.4520620001</v>
      </c>
      <c r="U3" s="68">
        <v>-2746691.2938660001</v>
      </c>
      <c r="V3" s="68">
        <v>-2757755.3264139998</v>
      </c>
      <c r="W3" s="68">
        <v>-2768592.232485</v>
      </c>
      <c r="X3" s="68">
        <v>-2779200.6871739998</v>
      </c>
      <c r="Y3" s="68">
        <v>-2789579.357849</v>
      </c>
      <c r="Z3" s="68">
        <v>-2799726.9041030002</v>
      </c>
      <c r="AA3" s="68">
        <v>-2809641.9777099998</v>
      </c>
      <c r="AB3" s="68">
        <v>-2819323.2225799998</v>
      </c>
      <c r="AC3" s="68">
        <v>-2828769.274712</v>
      </c>
      <c r="AD3" s="68">
        <v>-2837978.7621479998</v>
      </c>
      <c r="AE3" s="68">
        <v>-2846950.3049269998</v>
      </c>
      <c r="AF3" s="68">
        <v>-2855682.5150390002</v>
      </c>
      <c r="AG3" s="68">
        <v>-2864173.9963770001</v>
      </c>
      <c r="AH3" s="68">
        <v>-2872423.3446889999</v>
      </c>
      <c r="AI3" s="68">
        <v>-2880429.147533</v>
      </c>
      <c r="AJ3" s="68">
        <v>-2888189.9842269998</v>
      </c>
      <c r="AK3" s="68">
        <v>-2895704.4258019999</v>
      </c>
      <c r="AL3" s="68">
        <v>-2902971.034953</v>
      </c>
      <c r="AM3" s="68">
        <v>-2909988.3659899998</v>
      </c>
      <c r="AN3" s="68">
        <v>-2916754.9647920001</v>
      </c>
      <c r="AO3" s="68">
        <v>-2923269.3687530002</v>
      </c>
      <c r="AP3" s="68">
        <v>-2929530.1067369999</v>
      </c>
      <c r="AQ3" s="68">
        <v>-2935535.6990260002</v>
      </c>
      <c r="AR3" s="68">
        <v>-2941284.6572699999</v>
      </c>
      <c r="AS3" s="68">
        <v>-2946775.484437</v>
      </c>
      <c r="AT3" s="68">
        <v>-2952006.6747630001</v>
      </c>
      <c r="AU3" s="68">
        <v>-2956976.713699</v>
      </c>
      <c r="AV3" s="68">
        <v>-2961684.0778620001</v>
      </c>
      <c r="AW3" s="68">
        <v>-2966127.234983</v>
      </c>
      <c r="AX3" s="68">
        <v>-2970304.6438540001</v>
      </c>
      <c r="AY3" s="68">
        <v>-2974214.754276</v>
      </c>
      <c r="AZ3" s="68">
        <v>-2977856.0070090001</v>
      </c>
      <c r="BA3" s="68">
        <v>-2981226.8337170002</v>
      </c>
      <c r="BB3" s="68">
        <v>-2984325.6569139999</v>
      </c>
      <c r="BC3" s="68">
        <v>-2987150.8899130002</v>
      </c>
      <c r="BD3" s="68">
        <v>-2989700.9367709998</v>
      </c>
      <c r="BE3" s="68">
        <v>-2991974.192235</v>
      </c>
      <c r="BF3" s="68">
        <v>-2993969.0416899999</v>
      </c>
      <c r="BG3" s="68">
        <v>-2995683.8610999999</v>
      </c>
      <c r="BH3" s="68">
        <v>-2997117.0169560001</v>
      </c>
      <c r="BI3" s="68">
        <v>-2998266.8662220002</v>
      </c>
      <c r="BJ3" s="68">
        <v>-2999131.7562750001</v>
      </c>
      <c r="BK3" s="68">
        <v>-2999710.024853</v>
      </c>
      <c r="BL3" s="68">
        <v>-2999999.999998</v>
      </c>
      <c r="BM3" s="68">
        <v>-2999999.999998</v>
      </c>
    </row>
    <row r="4" spans="1:67" x14ac:dyDescent="0.3">
      <c r="A4" s="67" t="s">
        <v>1320</v>
      </c>
      <c r="B4" s="67" t="s">
        <v>36</v>
      </c>
      <c r="C4" s="67" t="s">
        <v>1434</v>
      </c>
      <c r="D4" s="68">
        <v>2497498.9331629998</v>
      </c>
      <c r="E4" s="192">
        <f>SUMIFS($I$26:$I$35,$N$26:$N$35,C4)</f>
        <v>2497498.9331629998</v>
      </c>
      <c r="F4" s="192">
        <f t="shared" ref="F4:F6" si="0">D4-E4</f>
        <v>0</v>
      </c>
      <c r="G4" s="68">
        <v>2455168.443163</v>
      </c>
      <c r="H4" s="68">
        <v>2412837.9531629998</v>
      </c>
      <c r="I4" s="68">
        <v>2370507.4631630001</v>
      </c>
      <c r="J4" s="68">
        <v>2328176.9731629998</v>
      </c>
      <c r="K4" s="68">
        <v>2285846.4831630001</v>
      </c>
      <c r="L4" s="68">
        <v>2243515.9931629999</v>
      </c>
      <c r="M4" s="68">
        <v>2201185.5031630001</v>
      </c>
      <c r="N4" s="68">
        <v>2158855.0131629999</v>
      </c>
      <c r="O4" s="68">
        <v>2116524.5231630001</v>
      </c>
      <c r="P4" s="68">
        <v>2074194.0331629999</v>
      </c>
      <c r="Q4" s="68">
        <v>2031863.5431629999</v>
      </c>
      <c r="R4" s="68">
        <v>1989533.0431629999</v>
      </c>
      <c r="S4" s="68">
        <v>1947202.5531629999</v>
      </c>
      <c r="T4" s="68">
        <v>1904872.0631629999</v>
      </c>
      <c r="U4" s="68">
        <v>1862541.5731629999</v>
      </c>
      <c r="V4" s="68">
        <v>1820211.0831629999</v>
      </c>
      <c r="W4" s="68">
        <v>1777880.593163</v>
      </c>
      <c r="X4" s="68">
        <v>1735550.103163</v>
      </c>
      <c r="Y4" s="68">
        <v>1693219.613163</v>
      </c>
      <c r="Z4" s="68">
        <v>1650889.123163</v>
      </c>
      <c r="AA4" s="68">
        <v>1608558.633163</v>
      </c>
      <c r="AB4" s="68">
        <v>1566228.143163</v>
      </c>
      <c r="AC4" s="68">
        <v>1523897.653163</v>
      </c>
      <c r="AD4" s="68">
        <v>1481567.163163</v>
      </c>
      <c r="AE4" s="68">
        <v>1439236.673163</v>
      </c>
      <c r="AF4" s="68">
        <v>1396906.183163</v>
      </c>
      <c r="AG4" s="68">
        <v>1354575.693163</v>
      </c>
      <c r="AH4" s="68">
        <v>1312245.2031630001</v>
      </c>
      <c r="AI4" s="68">
        <v>1269914.7131630001</v>
      </c>
      <c r="AJ4" s="68">
        <v>1227584.2231630001</v>
      </c>
      <c r="AK4" s="68">
        <v>1185253.7331630001</v>
      </c>
      <c r="AL4" s="68">
        <v>1142923.2431630001</v>
      </c>
      <c r="AM4" s="68">
        <v>1100592.7531630001</v>
      </c>
      <c r="AN4" s="68">
        <v>1058262.2631630001</v>
      </c>
      <c r="AO4" s="68">
        <v>1015931.773163</v>
      </c>
      <c r="AP4" s="68">
        <v>973601.28316300001</v>
      </c>
      <c r="AQ4" s="68">
        <v>931270.79316300002</v>
      </c>
      <c r="AR4" s="68">
        <v>888940.29316300002</v>
      </c>
      <c r="AS4" s="68">
        <v>846609.80316300003</v>
      </c>
      <c r="AT4" s="68">
        <v>804279.31316300004</v>
      </c>
      <c r="AU4" s="68">
        <v>761948.82316300005</v>
      </c>
      <c r="AV4" s="68">
        <v>719618.33316299994</v>
      </c>
      <c r="AW4" s="68">
        <v>677287.84316299995</v>
      </c>
      <c r="AX4" s="68">
        <v>634957.35316299996</v>
      </c>
      <c r="AY4" s="68">
        <v>592626.86316299997</v>
      </c>
      <c r="AZ4" s="68">
        <v>550296.37316299998</v>
      </c>
      <c r="BA4" s="68">
        <v>507965.88316299999</v>
      </c>
      <c r="BB4" s="68">
        <v>465635.393163</v>
      </c>
      <c r="BC4" s="68">
        <v>423304.90316300001</v>
      </c>
      <c r="BD4" s="68">
        <v>380974.41316300002</v>
      </c>
      <c r="BE4" s="68">
        <v>338643.92316300003</v>
      </c>
      <c r="BF4" s="68">
        <v>296313.43316299998</v>
      </c>
      <c r="BG4" s="68">
        <v>253982.94316299999</v>
      </c>
      <c r="BH4" s="68">
        <v>211652.453163</v>
      </c>
      <c r="BI4" s="68">
        <v>169321.96316300001</v>
      </c>
      <c r="BJ4" s="68">
        <v>126991.473163</v>
      </c>
      <c r="BK4" s="68">
        <v>84660.983162999997</v>
      </c>
      <c r="BL4" s="68">
        <v>42330.493162999999</v>
      </c>
      <c r="BM4" s="68">
        <v>3.163E-3</v>
      </c>
    </row>
    <row r="5" spans="1:67" x14ac:dyDescent="0.3">
      <c r="A5" s="67" t="s">
        <v>1320</v>
      </c>
      <c r="B5" s="67" t="s">
        <v>36</v>
      </c>
      <c r="C5" s="67" t="s">
        <v>1444</v>
      </c>
      <c r="D5" s="68">
        <v>56854.494967999999</v>
      </c>
      <c r="E5" s="192">
        <f>SUMIFS($I$26:$I$35,$N$26:$N$35,C5)</f>
        <v>56854.494967999999</v>
      </c>
      <c r="F5" s="192">
        <f t="shared" si="0"/>
        <v>0</v>
      </c>
      <c r="G5" s="68">
        <v>113502.046632</v>
      </c>
      <c r="H5" s="68">
        <v>169941.44782199999</v>
      </c>
      <c r="I5" s="68">
        <v>226171.48432799999</v>
      </c>
      <c r="J5" s="68">
        <v>282190.934855</v>
      </c>
      <c r="K5" s="68">
        <v>337998.570985</v>
      </c>
      <c r="L5" s="68">
        <v>393593.15713399998</v>
      </c>
      <c r="M5" s="68">
        <v>448973.450511</v>
      </c>
      <c r="N5" s="68">
        <v>504138.20107399998</v>
      </c>
      <c r="O5" s="68">
        <v>559086.15148999996</v>
      </c>
      <c r="P5" s="68">
        <v>613816.03709200001</v>
      </c>
      <c r="Q5" s="68">
        <v>668326.58583500003</v>
      </c>
      <c r="R5" s="68">
        <v>54289.942418999999</v>
      </c>
      <c r="S5" s="68">
        <v>108357.971586</v>
      </c>
      <c r="T5" s="68">
        <v>162202.80306400001</v>
      </c>
      <c r="U5" s="68">
        <v>215823.13486799999</v>
      </c>
      <c r="V5" s="68">
        <v>269217.65741599997</v>
      </c>
      <c r="W5" s="68">
        <v>322385.053487</v>
      </c>
      <c r="X5" s="68">
        <v>375323.99817600002</v>
      </c>
      <c r="Y5" s="68">
        <v>428033.15885100001</v>
      </c>
      <c r="Z5" s="68">
        <v>480511.19510499999</v>
      </c>
      <c r="AA5" s="68">
        <v>532756.75871199998</v>
      </c>
      <c r="AB5" s="68">
        <v>584768.49358200002</v>
      </c>
      <c r="AC5" s="68">
        <v>636545.035714</v>
      </c>
      <c r="AD5" s="68">
        <v>51539.977436000001</v>
      </c>
      <c r="AE5" s="68">
        <v>102842.010215</v>
      </c>
      <c r="AF5" s="68">
        <v>153904.71032700001</v>
      </c>
      <c r="AG5" s="68">
        <v>204726.68166500001</v>
      </c>
      <c r="AH5" s="68">
        <v>255306.51997699999</v>
      </c>
      <c r="AI5" s="68">
        <v>305642.812821</v>
      </c>
      <c r="AJ5" s="68">
        <v>355734.13951499999</v>
      </c>
      <c r="AK5" s="68">
        <v>405579.07108999998</v>
      </c>
      <c r="AL5" s="68">
        <v>455176.17024100001</v>
      </c>
      <c r="AM5" s="68">
        <v>504523.991278</v>
      </c>
      <c r="AN5" s="68">
        <v>553621.08007999999</v>
      </c>
      <c r="AO5" s="68">
        <v>602465.97404100001</v>
      </c>
      <c r="AP5" s="68">
        <v>48591.227983999997</v>
      </c>
      <c r="AQ5" s="68">
        <v>96927.310272999996</v>
      </c>
      <c r="AR5" s="68">
        <v>145006.76851699999</v>
      </c>
      <c r="AS5" s="68">
        <v>192828.08568399999</v>
      </c>
      <c r="AT5" s="68">
        <v>240389.76600999999</v>
      </c>
      <c r="AU5" s="68">
        <v>287690.29494599998</v>
      </c>
      <c r="AV5" s="68">
        <v>334728.14910899999</v>
      </c>
      <c r="AW5" s="68">
        <v>381501.79622999998</v>
      </c>
      <c r="AX5" s="68">
        <v>428009.69510100002</v>
      </c>
      <c r="AY5" s="68">
        <v>474250.29552300001</v>
      </c>
      <c r="AZ5" s="68">
        <v>520222.03825600003</v>
      </c>
      <c r="BA5" s="68">
        <v>565923.35496400006</v>
      </c>
      <c r="BB5" s="68">
        <v>45429.313197000003</v>
      </c>
      <c r="BC5" s="68">
        <v>90585.036196000001</v>
      </c>
      <c r="BD5" s="68">
        <v>135465.57305400001</v>
      </c>
      <c r="BE5" s="68">
        <v>180069.31851799999</v>
      </c>
      <c r="BF5" s="68">
        <v>224394.65797299999</v>
      </c>
      <c r="BG5" s="68">
        <v>268439.96738300001</v>
      </c>
      <c r="BH5" s="68">
        <v>312203.61323900003</v>
      </c>
      <c r="BI5" s="68">
        <v>355683.95250499999</v>
      </c>
      <c r="BJ5" s="68">
        <v>398879.33255799999</v>
      </c>
      <c r="BK5" s="68">
        <v>441788.091136</v>
      </c>
      <c r="BL5" s="68">
        <v>484408.55628100003</v>
      </c>
      <c r="BM5" s="68">
        <v>526739.04628100002</v>
      </c>
    </row>
    <row r="6" spans="1:67" x14ac:dyDescent="0.3">
      <c r="A6" s="67" t="s">
        <v>1320</v>
      </c>
      <c r="B6" s="67" t="s">
        <v>36</v>
      </c>
      <c r="C6" s="67" t="s">
        <v>1439</v>
      </c>
      <c r="D6" s="68">
        <v>0</v>
      </c>
      <c r="E6" s="192">
        <f>SUMIFS($I$26:$I$35,$N$26:$N$35,C6)</f>
        <v>0</v>
      </c>
      <c r="F6" s="192">
        <f t="shared" si="0"/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0</v>
      </c>
      <c r="Z6" s="68">
        <v>0</v>
      </c>
      <c r="AA6" s="68">
        <v>0</v>
      </c>
      <c r="AB6" s="68">
        <v>0</v>
      </c>
      <c r="AC6" s="68">
        <v>0</v>
      </c>
      <c r="AD6" s="68">
        <v>0</v>
      </c>
      <c r="AE6" s="68">
        <v>0</v>
      </c>
      <c r="AF6" s="68">
        <v>0</v>
      </c>
      <c r="AG6" s="68">
        <v>0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68">
        <v>0</v>
      </c>
      <c r="AN6" s="68">
        <v>0</v>
      </c>
      <c r="AO6" s="68">
        <v>0</v>
      </c>
      <c r="AP6" s="68">
        <v>0</v>
      </c>
      <c r="AQ6" s="68">
        <v>0</v>
      </c>
      <c r="AR6" s="68">
        <v>0</v>
      </c>
      <c r="AS6" s="68">
        <v>0</v>
      </c>
      <c r="AT6" s="68">
        <v>0</v>
      </c>
      <c r="AU6" s="68">
        <v>0</v>
      </c>
      <c r="AV6" s="68">
        <v>0</v>
      </c>
      <c r="AW6" s="68">
        <v>0</v>
      </c>
      <c r="AX6" s="68">
        <v>0</v>
      </c>
      <c r="AY6" s="68">
        <v>0</v>
      </c>
      <c r="AZ6" s="68">
        <v>0</v>
      </c>
      <c r="BA6" s="68">
        <v>0</v>
      </c>
      <c r="BB6" s="68">
        <v>0</v>
      </c>
      <c r="BC6" s="68">
        <v>0</v>
      </c>
      <c r="BD6" s="68">
        <v>0</v>
      </c>
      <c r="BE6" s="68">
        <v>0</v>
      </c>
      <c r="BF6" s="68">
        <v>0</v>
      </c>
      <c r="BG6" s="68">
        <v>0</v>
      </c>
      <c r="BH6" s="68">
        <v>0</v>
      </c>
      <c r="BI6" s="68">
        <v>0</v>
      </c>
      <c r="BJ6" s="68">
        <v>0</v>
      </c>
      <c r="BK6" s="68">
        <v>0</v>
      </c>
      <c r="BL6" s="68">
        <v>0</v>
      </c>
      <c r="BM6" s="68">
        <v>0</v>
      </c>
    </row>
    <row r="7" spans="1:67" x14ac:dyDescent="0.3">
      <c r="E7" s="193"/>
      <c r="F7" s="193"/>
    </row>
    <row r="8" spans="1:67" x14ac:dyDescent="0.3">
      <c r="A8" s="53"/>
      <c r="B8" s="54" t="s">
        <v>1656</v>
      </c>
      <c r="C8" s="53"/>
      <c r="D8" s="53"/>
      <c r="E8" s="113"/>
      <c r="F8" s="11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</row>
    <row r="9" spans="1:67" x14ac:dyDescent="0.3">
      <c r="A9" s="66" t="s">
        <v>1296</v>
      </c>
      <c r="B9" s="66" t="s">
        <v>1299</v>
      </c>
      <c r="C9" s="66" t="s">
        <v>1657</v>
      </c>
      <c r="D9" s="66" t="s">
        <v>1596</v>
      </c>
      <c r="E9" s="110" t="s">
        <v>1662</v>
      </c>
      <c r="F9" s="110" t="s">
        <v>1594</v>
      </c>
      <c r="G9" s="66" t="s">
        <v>1597</v>
      </c>
      <c r="H9" s="66" t="s">
        <v>1598</v>
      </c>
      <c r="I9" s="66" t="s">
        <v>1599</v>
      </c>
      <c r="J9" s="66" t="s">
        <v>1600</v>
      </c>
      <c r="K9" s="66" t="s">
        <v>1601</v>
      </c>
      <c r="L9" s="66" t="s">
        <v>1602</v>
      </c>
      <c r="M9" s="66" t="s">
        <v>1603</v>
      </c>
      <c r="N9" s="66" t="s">
        <v>1604</v>
      </c>
      <c r="O9" s="66" t="s">
        <v>1605</v>
      </c>
      <c r="P9" s="66" t="s">
        <v>1606</v>
      </c>
      <c r="Q9" s="66" t="s">
        <v>1607</v>
      </c>
      <c r="R9" s="66" t="s">
        <v>1608</v>
      </c>
      <c r="S9" s="66" t="s">
        <v>1609</v>
      </c>
      <c r="T9" s="66" t="s">
        <v>1610</v>
      </c>
      <c r="U9" s="66" t="s">
        <v>1611</v>
      </c>
      <c r="V9" s="66" t="s">
        <v>1612</v>
      </c>
      <c r="W9" s="66" t="s">
        <v>1613</v>
      </c>
      <c r="X9" s="66" t="s">
        <v>1614</v>
      </c>
      <c r="Y9" s="66" t="s">
        <v>1615</v>
      </c>
      <c r="Z9" s="66" t="s">
        <v>1616</v>
      </c>
      <c r="AA9" s="66" t="s">
        <v>1617</v>
      </c>
      <c r="AB9" s="66" t="s">
        <v>1618</v>
      </c>
      <c r="AC9" s="66" t="s">
        <v>1619</v>
      </c>
      <c r="AD9" s="66" t="s">
        <v>1620</v>
      </c>
      <c r="AE9" s="66" t="s">
        <v>1621</v>
      </c>
      <c r="AF9" s="66" t="s">
        <v>1622</v>
      </c>
      <c r="AG9" s="66" t="s">
        <v>1623</v>
      </c>
      <c r="AH9" s="66" t="s">
        <v>1624</v>
      </c>
      <c r="AI9" s="66" t="s">
        <v>1625</v>
      </c>
      <c r="AJ9" s="66" t="s">
        <v>1626</v>
      </c>
      <c r="AK9" s="66" t="s">
        <v>1627</v>
      </c>
      <c r="AL9" s="66" t="s">
        <v>1628</v>
      </c>
      <c r="AM9" s="66" t="s">
        <v>1629</v>
      </c>
      <c r="AN9" s="66" t="s">
        <v>1630</v>
      </c>
      <c r="AO9" s="66" t="s">
        <v>1631</v>
      </c>
      <c r="AP9" s="66" t="s">
        <v>1632</v>
      </c>
      <c r="AQ9" s="66" t="s">
        <v>1633</v>
      </c>
      <c r="AR9" s="66" t="s">
        <v>1634</v>
      </c>
      <c r="AS9" s="66" t="s">
        <v>1635</v>
      </c>
      <c r="AT9" s="66" t="s">
        <v>1636</v>
      </c>
      <c r="AU9" s="66" t="s">
        <v>1637</v>
      </c>
      <c r="AV9" s="66" t="s">
        <v>1638</v>
      </c>
      <c r="AW9" s="66" t="s">
        <v>1639</v>
      </c>
      <c r="AX9" s="66" t="s">
        <v>1640</v>
      </c>
      <c r="AY9" s="66" t="s">
        <v>1641</v>
      </c>
      <c r="AZ9" s="66" t="s">
        <v>1642</v>
      </c>
      <c r="BA9" s="66" t="s">
        <v>1643</v>
      </c>
      <c r="BB9" s="66" t="s">
        <v>1644</v>
      </c>
      <c r="BC9" s="66" t="s">
        <v>1645</v>
      </c>
      <c r="BD9" s="66" t="s">
        <v>1646</v>
      </c>
      <c r="BE9" s="66" t="s">
        <v>1647</v>
      </c>
      <c r="BF9" s="66" t="s">
        <v>1648</v>
      </c>
      <c r="BG9" s="66" t="s">
        <v>1649</v>
      </c>
      <c r="BH9" s="66" t="s">
        <v>1650</v>
      </c>
      <c r="BI9" s="66" t="s">
        <v>1651</v>
      </c>
      <c r="BJ9" s="66" t="s">
        <v>1652</v>
      </c>
      <c r="BK9" s="66" t="s">
        <v>1653</v>
      </c>
      <c r="BL9" s="66" t="s">
        <v>1654</v>
      </c>
      <c r="BM9" s="66" t="s">
        <v>1655</v>
      </c>
    </row>
    <row r="10" spans="1:67" x14ac:dyDescent="0.3">
      <c r="A10" s="67" t="s">
        <v>1320</v>
      </c>
      <c r="B10" s="67" t="s">
        <v>36</v>
      </c>
      <c r="C10" s="67" t="s">
        <v>1413</v>
      </c>
      <c r="D10" s="68">
        <v>-50000</v>
      </c>
      <c r="E10" s="192">
        <f t="shared" ref="E10:E19" si="1">_xlfn.XLOOKUP(C10,D26:D35,I26:I35)</f>
        <v>-50000</v>
      </c>
      <c r="F10" s="192">
        <f>D10-E10</f>
        <v>0</v>
      </c>
      <c r="G10" s="68">
        <v>-100000</v>
      </c>
      <c r="H10" s="68">
        <v>-150000</v>
      </c>
      <c r="I10" s="68">
        <v>-200000</v>
      </c>
      <c r="J10" s="68">
        <v>-250000</v>
      </c>
      <c r="K10" s="68">
        <v>-300000</v>
      </c>
      <c r="L10" s="68">
        <v>-350000</v>
      </c>
      <c r="M10" s="68">
        <v>-400000</v>
      </c>
      <c r="N10" s="68">
        <v>-450000</v>
      </c>
      <c r="O10" s="68">
        <v>-500000</v>
      </c>
      <c r="P10" s="68">
        <v>-550000</v>
      </c>
      <c r="Q10" s="68">
        <v>-600000</v>
      </c>
      <c r="R10" s="68">
        <v>-650000</v>
      </c>
      <c r="S10" s="68">
        <v>-700000</v>
      </c>
      <c r="T10" s="68">
        <v>-750000</v>
      </c>
      <c r="U10" s="68">
        <v>-800000</v>
      </c>
      <c r="V10" s="68">
        <v>-850000</v>
      </c>
      <c r="W10" s="68">
        <v>-900000</v>
      </c>
      <c r="X10" s="68">
        <v>-950000</v>
      </c>
      <c r="Y10" s="68">
        <v>-1000000</v>
      </c>
      <c r="Z10" s="68">
        <v>-1050000</v>
      </c>
      <c r="AA10" s="68">
        <v>-1100000</v>
      </c>
      <c r="AB10" s="68">
        <v>-1150000</v>
      </c>
      <c r="AC10" s="68">
        <v>-1200000</v>
      </c>
      <c r="AD10" s="68">
        <v>-1250000</v>
      </c>
      <c r="AE10" s="68">
        <v>-1300000</v>
      </c>
      <c r="AF10" s="68">
        <v>-1350000</v>
      </c>
      <c r="AG10" s="68">
        <v>-1400000</v>
      </c>
      <c r="AH10" s="68">
        <v>-1450000</v>
      </c>
      <c r="AI10" s="68">
        <v>-1500000</v>
      </c>
      <c r="AJ10" s="68">
        <v>-1550000</v>
      </c>
      <c r="AK10" s="68">
        <v>-1600000</v>
      </c>
      <c r="AL10" s="68">
        <v>-1650000</v>
      </c>
      <c r="AM10" s="68">
        <v>-1700000</v>
      </c>
      <c r="AN10" s="68">
        <v>-1750000</v>
      </c>
      <c r="AO10" s="68">
        <v>-1800000</v>
      </c>
      <c r="AP10" s="68">
        <v>-1850000</v>
      </c>
      <c r="AQ10" s="68">
        <v>-1900000</v>
      </c>
      <c r="AR10" s="68">
        <v>-1950000</v>
      </c>
      <c r="AS10" s="68">
        <v>-2000000</v>
      </c>
      <c r="AT10" s="68">
        <v>-2050000</v>
      </c>
      <c r="AU10" s="68">
        <v>-2100000</v>
      </c>
      <c r="AV10" s="68">
        <v>-2150000</v>
      </c>
      <c r="AW10" s="68">
        <v>-2200000</v>
      </c>
      <c r="AX10" s="68">
        <v>-2250000</v>
      </c>
      <c r="AY10" s="68">
        <v>-2300000</v>
      </c>
      <c r="AZ10" s="68">
        <v>-2350000</v>
      </c>
      <c r="BA10" s="68">
        <v>-2400000</v>
      </c>
      <c r="BB10" s="68">
        <v>-2450000</v>
      </c>
      <c r="BC10" s="68">
        <v>-2500000</v>
      </c>
      <c r="BD10" s="68">
        <v>-2550000</v>
      </c>
      <c r="BE10" s="68">
        <v>-2600000</v>
      </c>
      <c r="BF10" s="68">
        <v>-2650000</v>
      </c>
      <c r="BG10" s="68">
        <v>-2700000</v>
      </c>
      <c r="BH10" s="68">
        <v>-2750000</v>
      </c>
      <c r="BI10" s="68">
        <v>-2800000</v>
      </c>
      <c r="BJ10" s="68">
        <v>-2850000</v>
      </c>
      <c r="BK10" s="68">
        <v>-2900000</v>
      </c>
      <c r="BL10" s="68">
        <v>-2950000</v>
      </c>
      <c r="BM10" s="68">
        <v>-3000000</v>
      </c>
    </row>
    <row r="11" spans="1:67" x14ac:dyDescent="0.3">
      <c r="A11" s="67" t="s">
        <v>1320</v>
      </c>
      <c r="B11" s="67" t="s">
        <v>36</v>
      </c>
      <c r="C11" s="67" t="s">
        <v>1412</v>
      </c>
      <c r="D11" s="68">
        <v>-42330.49</v>
      </c>
      <c r="E11" s="192">
        <f t="shared" si="1"/>
        <v>-42330.49</v>
      </c>
      <c r="F11" s="192">
        <f t="shared" ref="F11:F19" si="2">D11-E11</f>
        <v>0</v>
      </c>
      <c r="G11" s="68">
        <v>-84660.98</v>
      </c>
      <c r="H11" s="68">
        <v>-126991.47</v>
      </c>
      <c r="I11" s="68">
        <v>-169321.96</v>
      </c>
      <c r="J11" s="68">
        <v>-211652.45</v>
      </c>
      <c r="K11" s="68">
        <v>-253982.94</v>
      </c>
      <c r="L11" s="68">
        <v>-296313.43</v>
      </c>
      <c r="M11" s="68">
        <v>-338643.92</v>
      </c>
      <c r="N11" s="68">
        <v>-380974.41</v>
      </c>
      <c r="O11" s="68">
        <v>-423304.9</v>
      </c>
      <c r="P11" s="68">
        <v>-465635.39</v>
      </c>
      <c r="Q11" s="68">
        <v>-507965.88</v>
      </c>
      <c r="R11" s="68">
        <v>-550296.38</v>
      </c>
      <c r="S11" s="68">
        <v>-592626.87</v>
      </c>
      <c r="T11" s="68">
        <v>-634957.36</v>
      </c>
      <c r="U11" s="68">
        <v>-677287.85</v>
      </c>
      <c r="V11" s="68">
        <v>-719618.34</v>
      </c>
      <c r="W11" s="68">
        <v>-761948.83</v>
      </c>
      <c r="X11" s="68">
        <v>-804279.32</v>
      </c>
      <c r="Y11" s="68">
        <v>-846609.81</v>
      </c>
      <c r="Z11" s="68">
        <v>-888940.3</v>
      </c>
      <c r="AA11" s="68">
        <v>-931270.79</v>
      </c>
      <c r="AB11" s="68">
        <v>-973601.28000000003</v>
      </c>
      <c r="AC11" s="68">
        <v>-1015931.77</v>
      </c>
      <c r="AD11" s="68">
        <v>-1058262.26</v>
      </c>
      <c r="AE11" s="68">
        <v>-1100592.75</v>
      </c>
      <c r="AF11" s="68">
        <v>-1142923.24</v>
      </c>
      <c r="AG11" s="68">
        <v>-1185253.73</v>
      </c>
      <c r="AH11" s="68">
        <v>-1227584.22</v>
      </c>
      <c r="AI11" s="68">
        <v>-1269914.71</v>
      </c>
      <c r="AJ11" s="68">
        <v>-1312245.2</v>
      </c>
      <c r="AK11" s="68">
        <v>-1354575.69</v>
      </c>
      <c r="AL11" s="68">
        <v>-1396906.18</v>
      </c>
      <c r="AM11" s="68">
        <v>-1439236.67</v>
      </c>
      <c r="AN11" s="68">
        <v>-1481567.16</v>
      </c>
      <c r="AO11" s="68">
        <v>-1523897.65</v>
      </c>
      <c r="AP11" s="68">
        <v>-1566228.14</v>
      </c>
      <c r="AQ11" s="68">
        <v>-1608558.63</v>
      </c>
      <c r="AR11" s="68">
        <v>-1650889.13</v>
      </c>
      <c r="AS11" s="68">
        <v>-1693219.62</v>
      </c>
      <c r="AT11" s="68">
        <v>-1735550.11</v>
      </c>
      <c r="AU11" s="68">
        <v>-1777880.6</v>
      </c>
      <c r="AV11" s="68">
        <v>-1820211.09</v>
      </c>
      <c r="AW11" s="68">
        <v>-1862541.58</v>
      </c>
      <c r="AX11" s="68">
        <v>-1904872.07</v>
      </c>
      <c r="AY11" s="68">
        <v>-1947202.5600000001</v>
      </c>
      <c r="AZ11" s="68">
        <v>-1989533.05</v>
      </c>
      <c r="BA11" s="68">
        <v>-2031863.54</v>
      </c>
      <c r="BB11" s="68">
        <v>-2074194.03</v>
      </c>
      <c r="BC11" s="68">
        <v>-2116524.52</v>
      </c>
      <c r="BD11" s="68">
        <v>-2158855.0099999998</v>
      </c>
      <c r="BE11" s="68">
        <v>-2201185.5</v>
      </c>
      <c r="BF11" s="68">
        <v>-2243515.9900000002</v>
      </c>
      <c r="BG11" s="68">
        <v>-2285846.48</v>
      </c>
      <c r="BH11" s="68">
        <v>-2328176.9700000002</v>
      </c>
      <c r="BI11" s="68">
        <v>-2370507.46</v>
      </c>
      <c r="BJ11" s="68">
        <v>-2412837.9500000002</v>
      </c>
      <c r="BK11" s="68">
        <v>-2455168.44</v>
      </c>
      <c r="BL11" s="68">
        <v>-2497498.9300000002</v>
      </c>
      <c r="BM11" s="68">
        <v>-2539829.42</v>
      </c>
    </row>
    <row r="12" spans="1:67" x14ac:dyDescent="0.3">
      <c r="A12" s="67" t="s">
        <v>1320</v>
      </c>
      <c r="B12" s="67" t="s">
        <v>36</v>
      </c>
      <c r="C12" s="67" t="s">
        <v>1411</v>
      </c>
      <c r="D12" s="68">
        <v>42330.49</v>
      </c>
      <c r="E12" s="192">
        <f t="shared" si="1"/>
        <v>42330.49</v>
      </c>
      <c r="F12" s="192">
        <f t="shared" si="2"/>
        <v>0</v>
      </c>
      <c r="G12" s="68">
        <v>84660.98</v>
      </c>
      <c r="H12" s="68">
        <v>126991.47</v>
      </c>
      <c r="I12" s="68">
        <v>169321.96</v>
      </c>
      <c r="J12" s="68">
        <v>211652.45</v>
      </c>
      <c r="K12" s="68">
        <v>253982.94</v>
      </c>
      <c r="L12" s="68">
        <v>296313.43</v>
      </c>
      <c r="M12" s="68">
        <v>338643.92</v>
      </c>
      <c r="N12" s="68">
        <v>380974.41</v>
      </c>
      <c r="O12" s="68">
        <v>423304.9</v>
      </c>
      <c r="P12" s="68">
        <v>465635.39</v>
      </c>
      <c r="Q12" s="68">
        <v>507965.88</v>
      </c>
      <c r="R12" s="68">
        <v>42330.5</v>
      </c>
      <c r="S12" s="68">
        <v>84660.99</v>
      </c>
      <c r="T12" s="68">
        <v>126991.48</v>
      </c>
      <c r="U12" s="68">
        <v>169321.97</v>
      </c>
      <c r="V12" s="68">
        <v>211652.46</v>
      </c>
      <c r="W12" s="68">
        <v>253982.95</v>
      </c>
      <c r="X12" s="68">
        <v>296313.44</v>
      </c>
      <c r="Y12" s="68">
        <v>338643.93</v>
      </c>
      <c r="Z12" s="68">
        <v>380974.42</v>
      </c>
      <c r="AA12" s="68">
        <v>423304.91</v>
      </c>
      <c r="AB12" s="68">
        <v>465635.4</v>
      </c>
      <c r="AC12" s="68">
        <v>507965.89</v>
      </c>
      <c r="AD12" s="68">
        <v>42330.49</v>
      </c>
      <c r="AE12" s="68">
        <v>84660.98</v>
      </c>
      <c r="AF12" s="68">
        <v>126991.47</v>
      </c>
      <c r="AG12" s="68">
        <v>169321.96</v>
      </c>
      <c r="AH12" s="68">
        <v>211652.45</v>
      </c>
      <c r="AI12" s="68">
        <v>253982.94</v>
      </c>
      <c r="AJ12" s="68">
        <v>296313.43</v>
      </c>
      <c r="AK12" s="68">
        <v>338643.92</v>
      </c>
      <c r="AL12" s="68">
        <v>380974.41</v>
      </c>
      <c r="AM12" s="68">
        <v>423304.9</v>
      </c>
      <c r="AN12" s="68">
        <v>465635.39</v>
      </c>
      <c r="AO12" s="68">
        <v>507965.88</v>
      </c>
      <c r="AP12" s="68">
        <v>42330.49</v>
      </c>
      <c r="AQ12" s="68">
        <v>84660.98</v>
      </c>
      <c r="AR12" s="68">
        <v>126991.48</v>
      </c>
      <c r="AS12" s="68">
        <v>169321.97</v>
      </c>
      <c r="AT12" s="68">
        <v>211652.46</v>
      </c>
      <c r="AU12" s="68">
        <v>253982.95</v>
      </c>
      <c r="AV12" s="68">
        <v>296313.44</v>
      </c>
      <c r="AW12" s="68">
        <v>338643.93</v>
      </c>
      <c r="AX12" s="68">
        <v>380974.42</v>
      </c>
      <c r="AY12" s="68">
        <v>423304.91</v>
      </c>
      <c r="AZ12" s="68">
        <v>465635.4</v>
      </c>
      <c r="BA12" s="68">
        <v>507965.89</v>
      </c>
      <c r="BB12" s="68">
        <v>42330.49</v>
      </c>
      <c r="BC12" s="68">
        <v>84660.98</v>
      </c>
      <c r="BD12" s="68">
        <v>126991.47</v>
      </c>
      <c r="BE12" s="68">
        <v>169321.96</v>
      </c>
      <c r="BF12" s="68">
        <v>211652.45</v>
      </c>
      <c r="BG12" s="68">
        <v>253982.94</v>
      </c>
      <c r="BH12" s="68">
        <v>296313.43</v>
      </c>
      <c r="BI12" s="68">
        <v>338643.92</v>
      </c>
      <c r="BJ12" s="68">
        <v>380974.41</v>
      </c>
      <c r="BK12" s="68">
        <v>423304.9</v>
      </c>
      <c r="BL12" s="68">
        <v>465635.39</v>
      </c>
      <c r="BM12" s="68">
        <v>507965.88</v>
      </c>
    </row>
    <row r="13" spans="1:67" x14ac:dyDescent="0.3">
      <c r="A13" s="67" t="s">
        <v>1320</v>
      </c>
      <c r="B13" s="67" t="s">
        <v>36</v>
      </c>
      <c r="C13" s="67" t="s">
        <v>1410</v>
      </c>
      <c r="D13" s="68">
        <v>2539829.423163</v>
      </c>
      <c r="E13" s="192">
        <f t="shared" si="1"/>
        <v>2539829.423163</v>
      </c>
      <c r="F13" s="192">
        <f t="shared" si="2"/>
        <v>0</v>
      </c>
      <c r="G13" s="68">
        <v>2539829.423163</v>
      </c>
      <c r="H13" s="68">
        <v>2539829.423163</v>
      </c>
      <c r="I13" s="68">
        <v>2539829.423163</v>
      </c>
      <c r="J13" s="68">
        <v>2539829.423163</v>
      </c>
      <c r="K13" s="68">
        <v>2539829.423163</v>
      </c>
      <c r="L13" s="68">
        <v>2539829.423163</v>
      </c>
      <c r="M13" s="68">
        <v>2539829.423163</v>
      </c>
      <c r="N13" s="68">
        <v>2539829.423163</v>
      </c>
      <c r="O13" s="68">
        <v>2539829.423163</v>
      </c>
      <c r="P13" s="68">
        <v>2539829.423163</v>
      </c>
      <c r="Q13" s="68">
        <v>2539829.423163</v>
      </c>
      <c r="R13" s="68">
        <v>2539829.423163</v>
      </c>
      <c r="S13" s="68">
        <v>2539829.423163</v>
      </c>
      <c r="T13" s="68">
        <v>2539829.423163</v>
      </c>
      <c r="U13" s="68">
        <v>2539829.423163</v>
      </c>
      <c r="V13" s="68">
        <v>2539829.423163</v>
      </c>
      <c r="W13" s="68">
        <v>2539829.423163</v>
      </c>
      <c r="X13" s="68">
        <v>2539829.423163</v>
      </c>
      <c r="Y13" s="68">
        <v>2539829.423163</v>
      </c>
      <c r="Z13" s="68">
        <v>2539829.423163</v>
      </c>
      <c r="AA13" s="68">
        <v>2539829.423163</v>
      </c>
      <c r="AB13" s="68">
        <v>2539829.423163</v>
      </c>
      <c r="AC13" s="68">
        <v>2539829.423163</v>
      </c>
      <c r="AD13" s="68">
        <v>2539829.423163</v>
      </c>
      <c r="AE13" s="68">
        <v>2539829.423163</v>
      </c>
      <c r="AF13" s="68">
        <v>2539829.423163</v>
      </c>
      <c r="AG13" s="68">
        <v>2539829.423163</v>
      </c>
      <c r="AH13" s="68">
        <v>2539829.423163</v>
      </c>
      <c r="AI13" s="68">
        <v>2539829.423163</v>
      </c>
      <c r="AJ13" s="68">
        <v>2539829.423163</v>
      </c>
      <c r="AK13" s="68">
        <v>2539829.423163</v>
      </c>
      <c r="AL13" s="68">
        <v>2539829.423163</v>
      </c>
      <c r="AM13" s="68">
        <v>2539829.423163</v>
      </c>
      <c r="AN13" s="68">
        <v>2539829.423163</v>
      </c>
      <c r="AO13" s="68">
        <v>2539829.423163</v>
      </c>
      <c r="AP13" s="68">
        <v>2539829.423163</v>
      </c>
      <c r="AQ13" s="68">
        <v>2539829.423163</v>
      </c>
      <c r="AR13" s="68">
        <v>2539829.423163</v>
      </c>
      <c r="AS13" s="68">
        <v>2539829.423163</v>
      </c>
      <c r="AT13" s="68">
        <v>2539829.423163</v>
      </c>
      <c r="AU13" s="68">
        <v>2539829.423163</v>
      </c>
      <c r="AV13" s="68">
        <v>2539829.423163</v>
      </c>
      <c r="AW13" s="68">
        <v>2539829.423163</v>
      </c>
      <c r="AX13" s="68">
        <v>2539829.423163</v>
      </c>
      <c r="AY13" s="68">
        <v>2539829.423163</v>
      </c>
      <c r="AZ13" s="68">
        <v>2539829.423163</v>
      </c>
      <c r="BA13" s="68">
        <v>2539829.423163</v>
      </c>
      <c r="BB13" s="68">
        <v>2539829.423163</v>
      </c>
      <c r="BC13" s="68">
        <v>2539829.423163</v>
      </c>
      <c r="BD13" s="68">
        <v>2539829.423163</v>
      </c>
      <c r="BE13" s="68">
        <v>2539829.423163</v>
      </c>
      <c r="BF13" s="68">
        <v>2539829.423163</v>
      </c>
      <c r="BG13" s="68">
        <v>2539829.423163</v>
      </c>
      <c r="BH13" s="68">
        <v>2539829.423163</v>
      </c>
      <c r="BI13" s="68">
        <v>2539829.423163</v>
      </c>
      <c r="BJ13" s="68">
        <v>2539829.423163</v>
      </c>
      <c r="BK13" s="68">
        <v>2539829.423163</v>
      </c>
      <c r="BL13" s="68">
        <v>2539829.423163</v>
      </c>
      <c r="BM13" s="68">
        <v>2539829.423163</v>
      </c>
    </row>
    <row r="14" spans="1:67" x14ac:dyDescent="0.3">
      <c r="A14" s="67" t="s">
        <v>1320</v>
      </c>
      <c r="B14" s="67" t="s">
        <v>36</v>
      </c>
      <c r="C14" s="67" t="s">
        <v>1409</v>
      </c>
      <c r="D14" s="68">
        <v>-2050190.133163</v>
      </c>
      <c r="E14" s="192">
        <f t="shared" si="1"/>
        <v>-2050190.133163</v>
      </c>
      <c r="F14" s="192">
        <f t="shared" si="2"/>
        <v>0</v>
      </c>
      <c r="G14" s="68">
        <v>-2012149.568131</v>
      </c>
      <c r="H14" s="68">
        <v>-1973887.1097949999</v>
      </c>
      <c r="I14" s="68">
        <v>-1935401.450985</v>
      </c>
      <c r="J14" s="68">
        <v>-1896691.297491</v>
      </c>
      <c r="K14" s="68">
        <v>-1857755.3280179999</v>
      </c>
      <c r="L14" s="68">
        <v>-1818592.2241479999</v>
      </c>
      <c r="M14" s="68">
        <v>-1779200.6902970001</v>
      </c>
      <c r="N14" s="68">
        <v>-1739579.3636739999</v>
      </c>
      <c r="O14" s="68">
        <v>-1699726.904237</v>
      </c>
      <c r="P14" s="68">
        <v>-1659641.974653</v>
      </c>
      <c r="Q14" s="68">
        <v>-1619323.2202550001</v>
      </c>
      <c r="R14" s="68">
        <v>-1578769.2789980001</v>
      </c>
      <c r="S14" s="68">
        <v>-1537978.7614170001</v>
      </c>
      <c r="T14" s="68">
        <v>-1496950.3005840001</v>
      </c>
      <c r="U14" s="68">
        <v>-1455682.5120620001</v>
      </c>
      <c r="V14" s="68">
        <v>-1414174.0038660001</v>
      </c>
      <c r="W14" s="68">
        <v>-1372423.336414</v>
      </c>
      <c r="X14" s="68">
        <v>-1330429.152485</v>
      </c>
      <c r="Y14" s="68">
        <v>-1288189.9871739999</v>
      </c>
      <c r="Z14" s="68">
        <v>-1245704.4178490001</v>
      </c>
      <c r="AA14" s="68">
        <v>-1202971.0441030001</v>
      </c>
      <c r="AB14" s="68">
        <v>-1159988.3577099999</v>
      </c>
      <c r="AC14" s="68">
        <v>-1116754.9725800001</v>
      </c>
      <c r="AD14" s="68">
        <v>-1073269.3647119999</v>
      </c>
      <c r="AE14" s="68">
        <v>-1029530.102148</v>
      </c>
      <c r="AF14" s="68">
        <v>-985535.70492699998</v>
      </c>
      <c r="AG14" s="68">
        <v>-941284.65503899998</v>
      </c>
      <c r="AH14" s="68">
        <v>-896775.48637699999</v>
      </c>
      <c r="AI14" s="68">
        <v>-852006.67468900001</v>
      </c>
      <c r="AJ14" s="68">
        <v>-806976.71753300005</v>
      </c>
      <c r="AK14" s="68">
        <v>-761684.074227</v>
      </c>
      <c r="AL14" s="68">
        <v>-716127.23580200004</v>
      </c>
      <c r="AM14" s="68">
        <v>-670304.64495300001</v>
      </c>
      <c r="AN14" s="68">
        <v>-624214.75598999998</v>
      </c>
      <c r="AO14" s="68">
        <v>-577856.00479200005</v>
      </c>
      <c r="AP14" s="68">
        <v>-531226.82875300001</v>
      </c>
      <c r="AQ14" s="68">
        <v>-484325.65673699998</v>
      </c>
      <c r="AR14" s="68">
        <v>-437150.88902599999</v>
      </c>
      <c r="AS14" s="68">
        <v>-389700.93726999999</v>
      </c>
      <c r="AT14" s="68">
        <v>-341974.19443700003</v>
      </c>
      <c r="AU14" s="68">
        <v>-293969.04476299998</v>
      </c>
      <c r="AV14" s="68">
        <v>-245683.86369900001</v>
      </c>
      <c r="AW14" s="68">
        <v>-197117.007862</v>
      </c>
      <c r="AX14" s="68">
        <v>-148266.87498299999</v>
      </c>
      <c r="AY14" s="68">
        <v>-99131.753853999995</v>
      </c>
      <c r="AZ14" s="68">
        <v>-49710.024275999996</v>
      </c>
      <c r="BA14" s="68">
        <v>2.9910000000000002E-3</v>
      </c>
      <c r="BB14" s="68">
        <v>1.9999999999999999E-6</v>
      </c>
      <c r="BC14" s="68">
        <v>1.9999999999999999E-6</v>
      </c>
      <c r="BD14" s="68">
        <v>1.9999999999999999E-6</v>
      </c>
      <c r="BE14" s="68">
        <v>1.9999999999999999E-6</v>
      </c>
      <c r="BF14" s="68">
        <v>1.9999999999999999E-6</v>
      </c>
      <c r="BG14" s="68">
        <v>1.9999999999999999E-6</v>
      </c>
      <c r="BH14" s="68">
        <v>1.9999999999999999E-6</v>
      </c>
      <c r="BI14" s="68">
        <v>1.9999999999999999E-6</v>
      </c>
      <c r="BJ14" s="68">
        <v>1.9999999999999999E-6</v>
      </c>
      <c r="BK14" s="68">
        <v>1.9999999999999999E-6</v>
      </c>
      <c r="BL14" s="68">
        <v>1.9999999999999999E-6</v>
      </c>
      <c r="BM14" s="68">
        <v>1.9999999999999999E-6</v>
      </c>
    </row>
    <row r="15" spans="1:67" x14ac:dyDescent="0.3">
      <c r="A15" s="67" t="s">
        <v>1320</v>
      </c>
      <c r="B15" s="67" t="s">
        <v>36</v>
      </c>
      <c r="C15" s="67" t="s">
        <v>1408</v>
      </c>
      <c r="D15" s="68">
        <v>-439639.29</v>
      </c>
      <c r="E15" s="192">
        <f t="shared" si="1"/>
        <v>-439639.29</v>
      </c>
      <c r="F15" s="192">
        <f t="shared" si="2"/>
        <v>0</v>
      </c>
      <c r="G15" s="68">
        <v>-442203.86</v>
      </c>
      <c r="H15" s="68">
        <v>-444783.38</v>
      </c>
      <c r="I15" s="68">
        <v>-447377.95</v>
      </c>
      <c r="J15" s="68">
        <v>-449987.65</v>
      </c>
      <c r="K15" s="68">
        <v>-452612.58</v>
      </c>
      <c r="L15" s="68">
        <v>-455252.83</v>
      </c>
      <c r="M15" s="68">
        <v>-457908.46</v>
      </c>
      <c r="N15" s="68">
        <v>-460579.59</v>
      </c>
      <c r="O15" s="68">
        <v>-463266.31</v>
      </c>
      <c r="P15" s="68">
        <v>-465968.7</v>
      </c>
      <c r="Q15" s="68">
        <v>-468686.85</v>
      </c>
      <c r="R15" s="68">
        <v>-471420.85</v>
      </c>
      <c r="S15" s="68">
        <v>-474170.81</v>
      </c>
      <c r="T15" s="68">
        <v>-476936.81</v>
      </c>
      <c r="U15" s="68">
        <v>-479718.94</v>
      </c>
      <c r="V15" s="68">
        <v>-482517.29</v>
      </c>
      <c r="W15" s="68">
        <v>-485331.99</v>
      </c>
      <c r="X15" s="68">
        <v>-488163.08</v>
      </c>
      <c r="Y15" s="68">
        <v>-491010.7</v>
      </c>
      <c r="Z15" s="68">
        <v>-493874.94</v>
      </c>
      <c r="AA15" s="68">
        <v>-496755.86</v>
      </c>
      <c r="AB15" s="68">
        <v>-499653.62</v>
      </c>
      <c r="AC15" s="68">
        <v>-502568.25</v>
      </c>
      <c r="AD15" s="68">
        <v>-505499.91</v>
      </c>
      <c r="AE15" s="68">
        <v>-508448.66</v>
      </c>
      <c r="AF15" s="68">
        <v>-511414.6</v>
      </c>
      <c r="AG15" s="68">
        <v>-514397.86</v>
      </c>
      <c r="AH15" s="68">
        <v>-517398.51</v>
      </c>
      <c r="AI15" s="68">
        <v>-520416.67</v>
      </c>
      <c r="AJ15" s="68">
        <v>-523452.43</v>
      </c>
      <c r="AK15" s="68">
        <v>-526505.91</v>
      </c>
      <c r="AL15" s="68">
        <v>-529577.18999999994</v>
      </c>
      <c r="AM15" s="68">
        <v>-532666.39</v>
      </c>
      <c r="AN15" s="68">
        <v>-535773.61</v>
      </c>
      <c r="AO15" s="68">
        <v>-538898.96</v>
      </c>
      <c r="AP15" s="68">
        <v>-542042.54</v>
      </c>
      <c r="AQ15" s="68">
        <v>-545204.44999999995</v>
      </c>
      <c r="AR15" s="68">
        <v>-548384.81000000006</v>
      </c>
      <c r="AS15" s="68">
        <v>-551583.72</v>
      </c>
      <c r="AT15" s="68">
        <v>-554801.29</v>
      </c>
      <c r="AU15" s="68">
        <v>-558037.63</v>
      </c>
      <c r="AV15" s="68">
        <v>-561292.85</v>
      </c>
      <c r="AW15" s="68">
        <v>-564567.06999999995</v>
      </c>
      <c r="AX15" s="68">
        <v>-567860.36</v>
      </c>
      <c r="AY15" s="68">
        <v>-571172.89</v>
      </c>
      <c r="AZ15" s="68">
        <v>-574504.73</v>
      </c>
      <c r="BA15" s="68">
        <v>-577856.01</v>
      </c>
      <c r="BB15" s="68">
        <v>-531226.83371899999</v>
      </c>
      <c r="BC15" s="68">
        <v>-484325.65691600001</v>
      </c>
      <c r="BD15" s="68">
        <v>-437150.88991500001</v>
      </c>
      <c r="BE15" s="68">
        <v>-389700.93677299999</v>
      </c>
      <c r="BF15" s="68">
        <v>-341974.19223699998</v>
      </c>
      <c r="BG15" s="68">
        <v>-293969.041692</v>
      </c>
      <c r="BH15" s="68">
        <v>-245683.861102</v>
      </c>
      <c r="BI15" s="68">
        <v>-197117.01695799999</v>
      </c>
      <c r="BJ15" s="68">
        <v>-148266.866224</v>
      </c>
      <c r="BK15" s="68">
        <v>-99131.756276999993</v>
      </c>
      <c r="BL15" s="68">
        <v>-49710.024855000003</v>
      </c>
      <c r="BM15" s="68">
        <v>0</v>
      </c>
    </row>
    <row r="16" spans="1:67" x14ac:dyDescent="0.3">
      <c r="A16" s="67" t="s">
        <v>1320</v>
      </c>
      <c r="B16" s="67" t="s">
        <v>36</v>
      </c>
      <c r="C16" s="67" t="s">
        <v>1407</v>
      </c>
      <c r="D16" s="68">
        <v>14524.004967999999</v>
      </c>
      <c r="E16" s="192">
        <f t="shared" si="1"/>
        <v>14524.004967999999</v>
      </c>
      <c r="F16" s="192">
        <f t="shared" si="2"/>
        <v>0</v>
      </c>
      <c r="G16" s="68">
        <v>28841.066631999998</v>
      </c>
      <c r="H16" s="68">
        <v>42949.977822000001</v>
      </c>
      <c r="I16" s="68">
        <v>56849.524328</v>
      </c>
      <c r="J16" s="68">
        <v>70538.484855000002</v>
      </c>
      <c r="K16" s="68">
        <v>84015.630984999996</v>
      </c>
      <c r="L16" s="68">
        <v>97279.727134000001</v>
      </c>
      <c r="M16" s="68">
        <v>110329.530511</v>
      </c>
      <c r="N16" s="68">
        <v>123163.79107399999</v>
      </c>
      <c r="O16" s="68">
        <v>135781.25149</v>
      </c>
      <c r="P16" s="68">
        <v>148180.647092</v>
      </c>
      <c r="Q16" s="68">
        <v>160360.705835</v>
      </c>
      <c r="R16" s="68">
        <v>11959.442419000001</v>
      </c>
      <c r="S16" s="68">
        <v>23696.981586000002</v>
      </c>
      <c r="T16" s="68">
        <v>35211.323063999997</v>
      </c>
      <c r="U16" s="68">
        <v>46501.164868</v>
      </c>
      <c r="V16" s="68">
        <v>57565.197416000003</v>
      </c>
      <c r="W16" s="68">
        <v>68402.103487</v>
      </c>
      <c r="X16" s="68">
        <v>79010.558176000006</v>
      </c>
      <c r="Y16" s="68">
        <v>89389.228851000007</v>
      </c>
      <c r="Z16" s="68">
        <v>99536.775104999993</v>
      </c>
      <c r="AA16" s="68">
        <v>109451.84871200001</v>
      </c>
      <c r="AB16" s="68">
        <v>119133.093582</v>
      </c>
      <c r="AC16" s="68">
        <v>128579.145714</v>
      </c>
      <c r="AD16" s="68">
        <v>9209.4874359999994</v>
      </c>
      <c r="AE16" s="68">
        <v>18181.030214999999</v>
      </c>
      <c r="AF16" s="68">
        <v>26913.240327</v>
      </c>
      <c r="AG16" s="68">
        <v>35404.721664999997</v>
      </c>
      <c r="AH16" s="68">
        <v>43654.069976999999</v>
      </c>
      <c r="AI16" s="68">
        <v>51659.872820999997</v>
      </c>
      <c r="AJ16" s="68">
        <v>59420.709515000002</v>
      </c>
      <c r="AK16" s="68">
        <v>66935.151089999999</v>
      </c>
      <c r="AL16" s="68">
        <v>74201.760240999996</v>
      </c>
      <c r="AM16" s="68">
        <v>81219.091278000007</v>
      </c>
      <c r="AN16" s="68">
        <v>87985.69008</v>
      </c>
      <c r="AO16" s="68">
        <v>94500.094041000004</v>
      </c>
      <c r="AP16" s="68">
        <v>6260.7379840000003</v>
      </c>
      <c r="AQ16" s="68">
        <v>12266.330273</v>
      </c>
      <c r="AR16" s="68">
        <v>18015.288517000001</v>
      </c>
      <c r="AS16" s="68">
        <v>23506.115684</v>
      </c>
      <c r="AT16" s="68">
        <v>28737.30601</v>
      </c>
      <c r="AU16" s="68">
        <v>33707.344945999997</v>
      </c>
      <c r="AV16" s="68">
        <v>38414.709109000003</v>
      </c>
      <c r="AW16" s="68">
        <v>42857.86623</v>
      </c>
      <c r="AX16" s="68">
        <v>47035.275100999999</v>
      </c>
      <c r="AY16" s="68">
        <v>50945.385522999997</v>
      </c>
      <c r="AZ16" s="68">
        <v>54586.638255999998</v>
      </c>
      <c r="BA16" s="68">
        <v>57957.464963999999</v>
      </c>
      <c r="BB16" s="68">
        <v>3098.8231970000002</v>
      </c>
      <c r="BC16" s="68">
        <v>5924.0561960000005</v>
      </c>
      <c r="BD16" s="68">
        <v>8474.1030539999992</v>
      </c>
      <c r="BE16" s="68">
        <v>10747.358517999999</v>
      </c>
      <c r="BF16" s="68">
        <v>12742.207973</v>
      </c>
      <c r="BG16" s="68">
        <v>14457.027383000001</v>
      </c>
      <c r="BH16" s="68">
        <v>15890.183239</v>
      </c>
      <c r="BI16" s="68">
        <v>17040.032504999999</v>
      </c>
      <c r="BJ16" s="68">
        <v>17904.922557999998</v>
      </c>
      <c r="BK16" s="68">
        <v>18483.191136000001</v>
      </c>
      <c r="BL16" s="68">
        <v>18773.166281000002</v>
      </c>
      <c r="BM16" s="68">
        <v>18773.166281000002</v>
      </c>
    </row>
    <row r="17" spans="1:65" x14ac:dyDescent="0.3">
      <c r="A17" s="67" t="s">
        <v>1320</v>
      </c>
      <c r="B17" s="67" t="s">
        <v>36</v>
      </c>
      <c r="C17" s="67" t="s">
        <v>1406</v>
      </c>
      <c r="D17" s="68">
        <v>0</v>
      </c>
      <c r="E17" s="192">
        <f t="shared" si="1"/>
        <v>0</v>
      </c>
      <c r="F17" s="192">
        <f t="shared" si="2"/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68">
        <v>0</v>
      </c>
      <c r="AN17" s="68">
        <v>0</v>
      </c>
      <c r="AO17" s="68">
        <v>0</v>
      </c>
      <c r="AP17" s="68">
        <v>0</v>
      </c>
      <c r="AQ17" s="68">
        <v>0</v>
      </c>
      <c r="AR17" s="68">
        <v>0</v>
      </c>
      <c r="AS17" s="68">
        <v>0</v>
      </c>
      <c r="AT17" s="68">
        <v>0</v>
      </c>
      <c r="AU17" s="68">
        <v>0</v>
      </c>
      <c r="AV17" s="68">
        <v>0</v>
      </c>
      <c r="AW17" s="68">
        <v>0</v>
      </c>
      <c r="AX17" s="68">
        <v>0</v>
      </c>
      <c r="AY17" s="68">
        <v>0</v>
      </c>
      <c r="AZ17" s="68">
        <v>0</v>
      </c>
      <c r="BA17" s="68">
        <v>0</v>
      </c>
      <c r="BB17" s="68">
        <v>0</v>
      </c>
      <c r="BC17" s="68">
        <v>0</v>
      </c>
      <c r="BD17" s="68">
        <v>0</v>
      </c>
      <c r="BE17" s="68">
        <v>0</v>
      </c>
      <c r="BF17" s="68">
        <v>0</v>
      </c>
      <c r="BG17" s="68">
        <v>0</v>
      </c>
      <c r="BH17" s="68">
        <v>0</v>
      </c>
      <c r="BI17" s="68">
        <v>0</v>
      </c>
      <c r="BJ17" s="68">
        <v>0</v>
      </c>
      <c r="BK17" s="68">
        <v>0</v>
      </c>
      <c r="BL17" s="68">
        <v>0</v>
      </c>
      <c r="BM17" s="68">
        <v>0</v>
      </c>
    </row>
    <row r="18" spans="1:65" x14ac:dyDescent="0.3">
      <c r="A18" s="67" t="s">
        <v>1320</v>
      </c>
      <c r="B18" s="67" t="s">
        <v>36</v>
      </c>
      <c r="C18" s="67" t="s">
        <v>1405</v>
      </c>
      <c r="D18" s="68">
        <v>0</v>
      </c>
      <c r="E18" s="192">
        <f t="shared" si="1"/>
        <v>0</v>
      </c>
      <c r="F18" s="192">
        <f t="shared" si="2"/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68">
        <v>0</v>
      </c>
      <c r="AN18" s="68">
        <v>0</v>
      </c>
      <c r="AO18" s="68">
        <v>0</v>
      </c>
      <c r="AP18" s="68">
        <v>0</v>
      </c>
      <c r="AQ18" s="68">
        <v>0</v>
      </c>
      <c r="AR18" s="68">
        <v>0</v>
      </c>
      <c r="AS18" s="68">
        <v>0</v>
      </c>
      <c r="AT18" s="68">
        <v>0</v>
      </c>
      <c r="AU18" s="68">
        <v>0</v>
      </c>
      <c r="AV18" s="68">
        <v>0</v>
      </c>
      <c r="AW18" s="68">
        <v>0</v>
      </c>
      <c r="AX18" s="68">
        <v>0</v>
      </c>
      <c r="AY18" s="68">
        <v>0</v>
      </c>
      <c r="AZ18" s="68">
        <v>0</v>
      </c>
      <c r="BA18" s="68">
        <v>0</v>
      </c>
      <c r="BB18" s="68">
        <v>0</v>
      </c>
      <c r="BC18" s="68">
        <v>0</v>
      </c>
      <c r="BD18" s="68">
        <v>0</v>
      </c>
      <c r="BE18" s="68">
        <v>0</v>
      </c>
      <c r="BF18" s="68">
        <v>0</v>
      </c>
      <c r="BG18" s="68">
        <v>0</v>
      </c>
      <c r="BH18" s="68">
        <v>0</v>
      </c>
      <c r="BI18" s="68">
        <v>0</v>
      </c>
      <c r="BJ18" s="68">
        <v>0</v>
      </c>
      <c r="BK18" s="68">
        <v>0</v>
      </c>
      <c r="BL18" s="68">
        <v>0</v>
      </c>
      <c r="BM18" s="68">
        <v>0</v>
      </c>
    </row>
    <row r="19" spans="1:65" x14ac:dyDescent="0.3">
      <c r="A19" s="67" t="s">
        <v>1320</v>
      </c>
      <c r="B19" s="67" t="s">
        <v>36</v>
      </c>
      <c r="C19" s="67" t="s">
        <v>1404</v>
      </c>
      <c r="D19" s="68">
        <v>-14524.004967999999</v>
      </c>
      <c r="E19" s="192">
        <f t="shared" si="1"/>
        <v>-14524.004967999999</v>
      </c>
      <c r="F19" s="192">
        <f t="shared" si="2"/>
        <v>0</v>
      </c>
      <c r="G19" s="68">
        <v>-14317.061664000001</v>
      </c>
      <c r="H19" s="68">
        <v>-14108.911190000001</v>
      </c>
      <c r="I19" s="68">
        <v>-13899.546506000001</v>
      </c>
      <c r="J19" s="68">
        <v>-13688.960526999999</v>
      </c>
      <c r="K19" s="68">
        <v>-13477.146129999999</v>
      </c>
      <c r="L19" s="68">
        <v>-13264.096149000001</v>
      </c>
      <c r="M19" s="68">
        <v>-13049.803377</v>
      </c>
      <c r="N19" s="68">
        <v>-12834.260563</v>
      </c>
      <c r="O19" s="68">
        <v>-12617.460416</v>
      </c>
      <c r="P19" s="68">
        <v>-12399.395602000001</v>
      </c>
      <c r="Q19" s="68">
        <v>-12180.058743</v>
      </c>
      <c r="R19" s="68">
        <v>-11959.442419000001</v>
      </c>
      <c r="S19" s="68">
        <v>-11737.539167000001</v>
      </c>
      <c r="T19" s="68">
        <v>-11514.341478</v>
      </c>
      <c r="U19" s="68">
        <v>-11289.841804</v>
      </c>
      <c r="V19" s="68">
        <v>-11064.032547999999</v>
      </c>
      <c r="W19" s="68">
        <v>-10836.906070999999</v>
      </c>
      <c r="X19" s="68">
        <v>-10608.454689</v>
      </c>
      <c r="Y19" s="68">
        <v>-10378.670674999999</v>
      </c>
      <c r="Z19" s="68">
        <v>-10147.546254000001</v>
      </c>
      <c r="AA19" s="68">
        <v>-9915.0736070000003</v>
      </c>
      <c r="AB19" s="68">
        <v>-9681.2448700000004</v>
      </c>
      <c r="AC19" s="68">
        <v>-9446.0521320000007</v>
      </c>
      <c r="AD19" s="68">
        <v>-9209.4874359999994</v>
      </c>
      <c r="AE19" s="68">
        <v>-8971.5427789999994</v>
      </c>
      <c r="AF19" s="68">
        <v>-8732.2101120000007</v>
      </c>
      <c r="AG19" s="68">
        <v>-8491.4813379999996</v>
      </c>
      <c r="AH19" s="68">
        <v>-8249.3483120000001</v>
      </c>
      <c r="AI19" s="68">
        <v>-8005.8028439999998</v>
      </c>
      <c r="AJ19" s="68">
        <v>-7760.8366939999996</v>
      </c>
      <c r="AK19" s="68">
        <v>-7514.4415749999998</v>
      </c>
      <c r="AL19" s="68">
        <v>-7266.6091509999997</v>
      </c>
      <c r="AM19" s="68">
        <v>-7017.3310369999999</v>
      </c>
      <c r="AN19" s="68">
        <v>-6766.5988020000004</v>
      </c>
      <c r="AO19" s="68">
        <v>-6514.403961</v>
      </c>
      <c r="AP19" s="68">
        <v>-6260.7379840000003</v>
      </c>
      <c r="AQ19" s="68">
        <v>-6005.5922890000002</v>
      </c>
      <c r="AR19" s="68">
        <v>-5748.9582440000004</v>
      </c>
      <c r="AS19" s="68">
        <v>-5490.8271670000004</v>
      </c>
      <c r="AT19" s="68">
        <v>-5231.1903259999999</v>
      </c>
      <c r="AU19" s="68">
        <v>-4970.0389359999999</v>
      </c>
      <c r="AV19" s="68">
        <v>-4707.3641630000002</v>
      </c>
      <c r="AW19" s="68">
        <v>-4443.1571210000002</v>
      </c>
      <c r="AX19" s="68">
        <v>-4177.4088709999996</v>
      </c>
      <c r="AY19" s="68">
        <v>-3910.1104220000002</v>
      </c>
      <c r="AZ19" s="68">
        <v>-3641.2527329999998</v>
      </c>
      <c r="BA19" s="68">
        <v>-3370.8267080000001</v>
      </c>
      <c r="BB19" s="68">
        <v>-3098.8231970000002</v>
      </c>
      <c r="BC19" s="68">
        <v>-2825.2329989999998</v>
      </c>
      <c r="BD19" s="68">
        <v>-2550.0468580000002</v>
      </c>
      <c r="BE19" s="68">
        <v>-2273.2554639999998</v>
      </c>
      <c r="BF19" s="68">
        <v>-1994.849455</v>
      </c>
      <c r="BG19" s="68">
        <v>-1714.8194100000001</v>
      </c>
      <c r="BH19" s="68">
        <v>-1433.1558560000001</v>
      </c>
      <c r="BI19" s="68">
        <v>-1149.8492659999999</v>
      </c>
      <c r="BJ19" s="68">
        <v>-864.89005299999997</v>
      </c>
      <c r="BK19" s="68">
        <v>-578.26857800000005</v>
      </c>
      <c r="BL19" s="68">
        <v>-289.975145</v>
      </c>
      <c r="BM19" s="68">
        <v>0</v>
      </c>
    </row>
    <row r="20" spans="1:65" x14ac:dyDescent="0.3">
      <c r="C20" s="69"/>
      <c r="D20" s="70"/>
    </row>
    <row r="21" spans="1:65" x14ac:dyDescent="0.3">
      <c r="C21" s="69"/>
      <c r="D21" s="70"/>
    </row>
    <row r="22" spans="1:65" x14ac:dyDescent="0.3">
      <c r="A22" s="53"/>
      <c r="C22" s="69"/>
      <c r="D22" s="71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</row>
    <row r="23" spans="1:65" x14ac:dyDescent="0.3">
      <c r="A23" s="53"/>
      <c r="B23" s="54" t="s">
        <v>1658</v>
      </c>
      <c r="C23" s="69"/>
      <c r="D23" s="71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</row>
    <row r="24" spans="1:65" x14ac:dyDescent="0.3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</row>
    <row r="25" spans="1:65" x14ac:dyDescent="0.3">
      <c r="A25" s="47" t="s">
        <v>1296</v>
      </c>
      <c r="B25" s="47" t="s">
        <v>1414</v>
      </c>
      <c r="C25" s="47" t="s">
        <v>1421</v>
      </c>
      <c r="D25" s="47" t="s">
        <v>1657</v>
      </c>
      <c r="E25" s="47" t="s">
        <v>1426</v>
      </c>
      <c r="F25" s="47" t="s">
        <v>1659</v>
      </c>
      <c r="G25" s="47" t="s">
        <v>1299</v>
      </c>
      <c r="H25" s="47" t="s">
        <v>1428</v>
      </c>
      <c r="I25" s="47" t="s">
        <v>1429</v>
      </c>
      <c r="J25" s="111" t="s">
        <v>1661</v>
      </c>
      <c r="K25" s="111" t="s">
        <v>1594</v>
      </c>
      <c r="L25" s="47" t="s">
        <v>1427</v>
      </c>
      <c r="M25" s="47" t="s">
        <v>1423</v>
      </c>
      <c r="N25" s="47" t="s">
        <v>1424</v>
      </c>
      <c r="O25" s="47" t="s">
        <v>1425</v>
      </c>
      <c r="P25" s="47" t="s">
        <v>188</v>
      </c>
      <c r="Q25" s="47" t="s">
        <v>196</v>
      </c>
      <c r="R25" s="47" t="s">
        <v>197</v>
      </c>
      <c r="S25" s="47" t="s">
        <v>198</v>
      </c>
      <c r="T25" s="47" t="s">
        <v>199</v>
      </c>
      <c r="U25" s="47" t="s">
        <v>200</v>
      </c>
      <c r="V25" s="47" t="s">
        <v>201</v>
      </c>
      <c r="W25" s="47" t="s">
        <v>202</v>
      </c>
      <c r="X25" s="47" t="s">
        <v>203</v>
      </c>
      <c r="Y25" s="47" t="s">
        <v>204</v>
      </c>
      <c r="Z25" s="47" t="s">
        <v>205</v>
      </c>
      <c r="AA25" s="47" t="s">
        <v>206</v>
      </c>
      <c r="AB25" s="47" t="s">
        <v>1660</v>
      </c>
      <c r="AC25" s="47" t="s">
        <v>1431</v>
      </c>
      <c r="AD25" s="47" t="s">
        <v>1274</v>
      </c>
      <c r="AE25" s="47" t="s">
        <v>11</v>
      </c>
    </row>
    <row r="26" spans="1:65" x14ac:dyDescent="0.3">
      <c r="A26" s="48" t="s">
        <v>1320</v>
      </c>
      <c r="B26" s="48" t="s">
        <v>6</v>
      </c>
      <c r="C26" s="48" t="s">
        <v>1322</v>
      </c>
      <c r="D26" s="48" t="s">
        <v>1413</v>
      </c>
      <c r="E26" s="50">
        <v>44592</v>
      </c>
      <c r="F26" s="49" t="s">
        <v>1321</v>
      </c>
      <c r="G26" s="48" t="s">
        <v>36</v>
      </c>
      <c r="H26" s="48" t="s">
        <v>58</v>
      </c>
      <c r="I26" s="51">
        <v>-50000</v>
      </c>
      <c r="J26" s="112">
        <f>-'Ledger Entries-schedule'!T6</f>
        <v>-50000</v>
      </c>
      <c r="K26" s="112">
        <f>I26-J26</f>
        <v>0</v>
      </c>
      <c r="L26" s="48" t="s">
        <v>40</v>
      </c>
      <c r="M26" s="48" t="s">
        <v>1433</v>
      </c>
      <c r="N26" s="48" t="s">
        <v>1447</v>
      </c>
      <c r="O26" s="49" t="s">
        <v>1448</v>
      </c>
      <c r="P26" s="48" t="s">
        <v>38</v>
      </c>
      <c r="Q26" s="48" t="s">
        <v>37</v>
      </c>
      <c r="R26" s="48" t="s">
        <v>1436</v>
      </c>
      <c r="S26" s="48" t="s">
        <v>1436</v>
      </c>
      <c r="T26" s="48" t="s">
        <v>1436</v>
      </c>
      <c r="U26" s="48" t="s">
        <v>38</v>
      </c>
      <c r="V26" s="48" t="s">
        <v>39</v>
      </c>
      <c r="W26" s="48" t="s">
        <v>40</v>
      </c>
      <c r="X26" s="48" t="s">
        <v>41</v>
      </c>
      <c r="Y26" s="48" t="s">
        <v>1436</v>
      </c>
      <c r="Z26" s="48" t="s">
        <v>1436</v>
      </c>
      <c r="AA26" s="48" t="s">
        <v>1436</v>
      </c>
      <c r="AB26" s="49" t="s">
        <v>193</v>
      </c>
      <c r="AC26" s="48" t="s">
        <v>1194</v>
      </c>
      <c r="AD26" s="48" t="s">
        <v>1244</v>
      </c>
      <c r="AE26" s="48" t="s">
        <v>36</v>
      </c>
    </row>
    <row r="27" spans="1:65" x14ac:dyDescent="0.3">
      <c r="A27" s="48" t="s">
        <v>1320</v>
      </c>
      <c r="B27" s="48" t="s">
        <v>6</v>
      </c>
      <c r="C27" s="48" t="s">
        <v>1322</v>
      </c>
      <c r="D27" s="48" t="s">
        <v>1412</v>
      </c>
      <c r="E27" s="50">
        <v>44592</v>
      </c>
      <c r="F27" s="49" t="s">
        <v>1321</v>
      </c>
      <c r="G27" s="48" t="s">
        <v>36</v>
      </c>
      <c r="H27" s="48" t="s">
        <v>52</v>
      </c>
      <c r="I27" s="51">
        <v>-42330.49</v>
      </c>
      <c r="J27" s="112">
        <f>-'Ledger Entries-schedule'!T12</f>
        <v>-42330.49</v>
      </c>
      <c r="K27" s="112">
        <f t="shared" ref="K27:K35" si="3">I27-J27</f>
        <v>0</v>
      </c>
      <c r="L27" s="48" t="s">
        <v>40</v>
      </c>
      <c r="M27" s="48" t="s">
        <v>1433</v>
      </c>
      <c r="N27" s="48" t="s">
        <v>1434</v>
      </c>
      <c r="O27" s="49" t="s">
        <v>1435</v>
      </c>
      <c r="P27" s="48" t="s">
        <v>38</v>
      </c>
      <c r="Q27" s="48" t="s">
        <v>37</v>
      </c>
      <c r="R27" s="48" t="s">
        <v>1436</v>
      </c>
      <c r="S27" s="48" t="s">
        <v>1436</v>
      </c>
      <c r="T27" s="48" t="s">
        <v>1436</v>
      </c>
      <c r="U27" s="48" t="s">
        <v>38</v>
      </c>
      <c r="V27" s="48" t="s">
        <v>39</v>
      </c>
      <c r="W27" s="48" t="s">
        <v>40</v>
      </c>
      <c r="X27" s="48" t="s">
        <v>41</v>
      </c>
      <c r="Y27" s="48" t="s">
        <v>1436</v>
      </c>
      <c r="Z27" s="48" t="s">
        <v>1436</v>
      </c>
      <c r="AA27" s="48" t="s">
        <v>1436</v>
      </c>
      <c r="AB27" s="49" t="s">
        <v>193</v>
      </c>
      <c r="AC27" s="48" t="s">
        <v>1194</v>
      </c>
      <c r="AD27" s="48" t="s">
        <v>1244</v>
      </c>
      <c r="AE27" s="48" t="s">
        <v>36</v>
      </c>
    </row>
    <row r="28" spans="1:65" x14ac:dyDescent="0.3">
      <c r="A28" s="48" t="s">
        <v>1320</v>
      </c>
      <c r="B28" s="48" t="s">
        <v>6</v>
      </c>
      <c r="C28" s="48" t="s">
        <v>1322</v>
      </c>
      <c r="D28" s="48" t="s">
        <v>1411</v>
      </c>
      <c r="E28" s="50">
        <v>44592</v>
      </c>
      <c r="F28" s="49" t="s">
        <v>1321</v>
      </c>
      <c r="G28" s="48" t="s">
        <v>36</v>
      </c>
      <c r="H28" s="48" t="s">
        <v>50</v>
      </c>
      <c r="I28" s="51">
        <v>42330.49</v>
      </c>
      <c r="J28" s="112">
        <f>'Ledger Entries-schedule'!S11</f>
        <v>42330.49</v>
      </c>
      <c r="K28" s="112">
        <f t="shared" si="3"/>
        <v>0</v>
      </c>
      <c r="L28" s="48" t="s">
        <v>40</v>
      </c>
      <c r="M28" s="48" t="s">
        <v>1438</v>
      </c>
      <c r="N28" s="48" t="s">
        <v>1444</v>
      </c>
      <c r="O28" s="49" t="s">
        <v>1445</v>
      </c>
      <c r="P28" s="48" t="s">
        <v>38</v>
      </c>
      <c r="Q28" s="48" t="s">
        <v>37</v>
      </c>
      <c r="R28" s="48" t="s">
        <v>1436</v>
      </c>
      <c r="S28" s="48" t="s">
        <v>1436</v>
      </c>
      <c r="T28" s="48" t="s">
        <v>1436</v>
      </c>
      <c r="U28" s="48" t="s">
        <v>38</v>
      </c>
      <c r="V28" s="48" t="s">
        <v>39</v>
      </c>
      <c r="W28" s="48" t="s">
        <v>40</v>
      </c>
      <c r="X28" s="48" t="s">
        <v>41</v>
      </c>
      <c r="Y28" s="48" t="s">
        <v>1436</v>
      </c>
      <c r="Z28" s="48" t="s">
        <v>1436</v>
      </c>
      <c r="AA28" s="48" t="s">
        <v>1436</v>
      </c>
      <c r="AB28" s="49" t="s">
        <v>193</v>
      </c>
      <c r="AC28" s="48" t="s">
        <v>1194</v>
      </c>
      <c r="AD28" s="48" t="s">
        <v>1244</v>
      </c>
      <c r="AE28" s="48" t="s">
        <v>36</v>
      </c>
    </row>
    <row r="29" spans="1:65" x14ac:dyDescent="0.3">
      <c r="A29" s="48" t="s">
        <v>1320</v>
      </c>
      <c r="B29" s="48" t="s">
        <v>6</v>
      </c>
      <c r="C29" s="48" t="s">
        <v>1322</v>
      </c>
      <c r="D29" s="48" t="s">
        <v>1410</v>
      </c>
      <c r="E29" s="50">
        <v>44592</v>
      </c>
      <c r="F29" s="49" t="s">
        <v>1321</v>
      </c>
      <c r="G29" s="48" t="s">
        <v>36</v>
      </c>
      <c r="H29" s="48" t="s">
        <v>42</v>
      </c>
      <c r="I29" s="51">
        <v>2539829.423163</v>
      </c>
      <c r="J29" s="112">
        <f>'Ledger Entries-schedule'!S2</f>
        <v>2539829.423163</v>
      </c>
      <c r="K29" s="112">
        <f t="shared" si="3"/>
        <v>0</v>
      </c>
      <c r="L29" s="48" t="s">
        <v>40</v>
      </c>
      <c r="M29" s="48" t="s">
        <v>1433</v>
      </c>
      <c r="N29" s="48" t="s">
        <v>1434</v>
      </c>
      <c r="O29" s="49" t="s">
        <v>1437</v>
      </c>
      <c r="P29" s="48" t="s">
        <v>38</v>
      </c>
      <c r="Q29" s="48" t="s">
        <v>37</v>
      </c>
      <c r="R29" s="48" t="s">
        <v>1436</v>
      </c>
      <c r="S29" s="48" t="s">
        <v>1436</v>
      </c>
      <c r="T29" s="48" t="s">
        <v>1436</v>
      </c>
      <c r="U29" s="48" t="s">
        <v>38</v>
      </c>
      <c r="V29" s="48" t="s">
        <v>39</v>
      </c>
      <c r="W29" s="48" t="s">
        <v>40</v>
      </c>
      <c r="X29" s="48" t="s">
        <v>41</v>
      </c>
      <c r="Y29" s="48" t="s">
        <v>1436</v>
      </c>
      <c r="Z29" s="48" t="s">
        <v>1436</v>
      </c>
      <c r="AA29" s="48" t="s">
        <v>1436</v>
      </c>
      <c r="AB29" s="49" t="s">
        <v>193</v>
      </c>
      <c r="AC29" s="48" t="s">
        <v>1194</v>
      </c>
      <c r="AD29" s="48" t="s">
        <v>1244</v>
      </c>
      <c r="AE29" s="48" t="s">
        <v>36</v>
      </c>
    </row>
    <row r="30" spans="1:65" x14ac:dyDescent="0.3">
      <c r="A30" s="48" t="s">
        <v>1320</v>
      </c>
      <c r="B30" s="48" t="s">
        <v>6</v>
      </c>
      <c r="C30" s="48" t="s">
        <v>1322</v>
      </c>
      <c r="D30" s="48" t="s">
        <v>1409</v>
      </c>
      <c r="E30" s="50">
        <v>44592</v>
      </c>
      <c r="F30" s="49" t="s">
        <v>1321</v>
      </c>
      <c r="G30" s="48" t="s">
        <v>36</v>
      </c>
      <c r="H30" s="48" t="s">
        <v>45</v>
      </c>
      <c r="I30" s="51">
        <v>-2050190.133163</v>
      </c>
      <c r="J30" s="112">
        <f>('Ledger Entries-schedule'!T3-'Ledger Entries-schedule'!S14-'Ledger Entries-schedule'!S5)*-1</f>
        <v>-2050190.133163</v>
      </c>
      <c r="K30" s="112">
        <f t="shared" si="3"/>
        <v>0</v>
      </c>
      <c r="L30" s="48" t="s">
        <v>40</v>
      </c>
      <c r="M30" s="48" t="s">
        <v>1433</v>
      </c>
      <c r="N30" s="48" t="s">
        <v>1447</v>
      </c>
      <c r="O30" s="49" t="s">
        <v>1449</v>
      </c>
      <c r="P30" s="48" t="s">
        <v>38</v>
      </c>
      <c r="Q30" s="48" t="s">
        <v>37</v>
      </c>
      <c r="R30" s="48" t="s">
        <v>1436</v>
      </c>
      <c r="S30" s="48" t="s">
        <v>1436</v>
      </c>
      <c r="T30" s="48" t="s">
        <v>1436</v>
      </c>
      <c r="U30" s="48" t="s">
        <v>38</v>
      </c>
      <c r="V30" s="48" t="s">
        <v>39</v>
      </c>
      <c r="W30" s="48" t="s">
        <v>40</v>
      </c>
      <c r="X30" s="48" t="s">
        <v>41</v>
      </c>
      <c r="Y30" s="48" t="s">
        <v>1436</v>
      </c>
      <c r="Z30" s="48" t="s">
        <v>1436</v>
      </c>
      <c r="AA30" s="48" t="s">
        <v>1436</v>
      </c>
      <c r="AB30" s="49" t="s">
        <v>193</v>
      </c>
      <c r="AC30" s="48" t="s">
        <v>1194</v>
      </c>
      <c r="AD30" s="48" t="s">
        <v>1244</v>
      </c>
      <c r="AE30" s="48" t="s">
        <v>36</v>
      </c>
    </row>
    <row r="31" spans="1:65" x14ac:dyDescent="0.3">
      <c r="A31" s="48" t="s">
        <v>1320</v>
      </c>
      <c r="B31" s="48" t="s">
        <v>6</v>
      </c>
      <c r="C31" s="48" t="s">
        <v>1322</v>
      </c>
      <c r="D31" s="48" t="s">
        <v>1408</v>
      </c>
      <c r="E31" s="50">
        <v>44592</v>
      </c>
      <c r="F31" s="49" t="s">
        <v>1321</v>
      </c>
      <c r="G31" s="48" t="s">
        <v>36</v>
      </c>
      <c r="H31" s="48" t="s">
        <v>54</v>
      </c>
      <c r="I31" s="51">
        <v>-439639.29</v>
      </c>
      <c r="J31" s="112">
        <f>-'Ledger Entries-schedule'!T15</f>
        <v>-439639.29</v>
      </c>
      <c r="K31" s="112">
        <f t="shared" si="3"/>
        <v>0</v>
      </c>
      <c r="L31" s="48" t="s">
        <v>40</v>
      </c>
      <c r="M31" s="48" t="s">
        <v>1433</v>
      </c>
      <c r="N31" s="48" t="s">
        <v>1447</v>
      </c>
      <c r="O31" s="49" t="s">
        <v>1450</v>
      </c>
      <c r="P31" s="48" t="s">
        <v>38</v>
      </c>
      <c r="Q31" s="48" t="s">
        <v>37</v>
      </c>
      <c r="R31" s="48" t="s">
        <v>1436</v>
      </c>
      <c r="S31" s="48" t="s">
        <v>1436</v>
      </c>
      <c r="T31" s="48" t="s">
        <v>1436</v>
      </c>
      <c r="U31" s="48" t="s">
        <v>38</v>
      </c>
      <c r="V31" s="48" t="s">
        <v>39</v>
      </c>
      <c r="W31" s="48" t="s">
        <v>40</v>
      </c>
      <c r="X31" s="48" t="s">
        <v>41</v>
      </c>
      <c r="Y31" s="48" t="s">
        <v>1436</v>
      </c>
      <c r="Z31" s="48" t="s">
        <v>1436</v>
      </c>
      <c r="AA31" s="48" t="s">
        <v>1436</v>
      </c>
      <c r="AB31" s="49" t="s">
        <v>193</v>
      </c>
      <c r="AC31" s="48" t="s">
        <v>1194</v>
      </c>
      <c r="AD31" s="48" t="s">
        <v>1244</v>
      </c>
      <c r="AE31" s="48" t="s">
        <v>36</v>
      </c>
    </row>
    <row r="32" spans="1:65" x14ac:dyDescent="0.3">
      <c r="A32" s="48" t="s">
        <v>1320</v>
      </c>
      <c r="B32" s="48" t="s">
        <v>6</v>
      </c>
      <c r="C32" s="48" t="s">
        <v>1322</v>
      </c>
      <c r="D32" s="48" t="s">
        <v>1407</v>
      </c>
      <c r="E32" s="50">
        <v>44592</v>
      </c>
      <c r="F32" s="49" t="s">
        <v>1321</v>
      </c>
      <c r="G32" s="48" t="s">
        <v>36</v>
      </c>
      <c r="H32" s="48" t="s">
        <v>47</v>
      </c>
      <c r="I32" s="51">
        <v>14524.004967999999</v>
      </c>
      <c r="J32" s="112">
        <f>'Ledger Entries-schedule'!S8</f>
        <v>14524.004967999999</v>
      </c>
      <c r="K32" s="112">
        <f t="shared" si="3"/>
        <v>0</v>
      </c>
      <c r="L32" s="48" t="s">
        <v>40</v>
      </c>
      <c r="M32" s="48" t="s">
        <v>1438</v>
      </c>
      <c r="N32" s="48" t="s">
        <v>1444</v>
      </c>
      <c r="O32" s="49" t="s">
        <v>1446</v>
      </c>
      <c r="P32" s="48" t="s">
        <v>38</v>
      </c>
      <c r="Q32" s="48" t="s">
        <v>37</v>
      </c>
      <c r="R32" s="48" t="s">
        <v>1436</v>
      </c>
      <c r="S32" s="48" t="s">
        <v>1436</v>
      </c>
      <c r="T32" s="48" t="s">
        <v>1436</v>
      </c>
      <c r="U32" s="48" t="s">
        <v>38</v>
      </c>
      <c r="V32" s="48" t="s">
        <v>39</v>
      </c>
      <c r="W32" s="48" t="s">
        <v>40</v>
      </c>
      <c r="X32" s="48" t="s">
        <v>41</v>
      </c>
      <c r="Y32" s="48" t="s">
        <v>1436</v>
      </c>
      <c r="Z32" s="48" t="s">
        <v>1436</v>
      </c>
      <c r="AA32" s="48" t="s">
        <v>1436</v>
      </c>
      <c r="AB32" s="49" t="s">
        <v>193</v>
      </c>
      <c r="AC32" s="48" t="s">
        <v>1194</v>
      </c>
      <c r="AD32" s="48" t="s">
        <v>1244</v>
      </c>
      <c r="AE32" s="48" t="s">
        <v>36</v>
      </c>
    </row>
    <row r="33" spans="1:31" x14ac:dyDescent="0.3">
      <c r="A33" s="48" t="s">
        <v>1320</v>
      </c>
      <c r="B33" s="48" t="s">
        <v>6</v>
      </c>
      <c r="C33" s="48" t="s">
        <v>1322</v>
      </c>
      <c r="D33" s="48" t="s">
        <v>1406</v>
      </c>
      <c r="E33" s="50">
        <v>44592</v>
      </c>
      <c r="F33" s="49" t="s">
        <v>1321</v>
      </c>
      <c r="G33" s="48" t="s">
        <v>36</v>
      </c>
      <c r="H33" s="48" t="s">
        <v>1441</v>
      </c>
      <c r="I33" s="51">
        <v>0</v>
      </c>
      <c r="J33" s="112">
        <v>0</v>
      </c>
      <c r="K33" s="112">
        <f t="shared" si="3"/>
        <v>0</v>
      </c>
      <c r="L33" s="48" t="s">
        <v>1194</v>
      </c>
      <c r="M33" s="48" t="s">
        <v>1438</v>
      </c>
      <c r="N33" s="48" t="s">
        <v>1439</v>
      </c>
      <c r="O33" s="49" t="s">
        <v>1440</v>
      </c>
      <c r="P33" s="48" t="s">
        <v>38</v>
      </c>
      <c r="Q33" s="48" t="s">
        <v>37</v>
      </c>
      <c r="R33" s="48" t="s">
        <v>1436</v>
      </c>
      <c r="S33" s="48" t="s">
        <v>1436</v>
      </c>
      <c r="T33" s="48" t="s">
        <v>1436</v>
      </c>
      <c r="U33" s="48" t="s">
        <v>38</v>
      </c>
      <c r="V33" s="48" t="s">
        <v>39</v>
      </c>
      <c r="W33" s="48" t="s">
        <v>1194</v>
      </c>
      <c r="X33" s="48" t="s">
        <v>41</v>
      </c>
      <c r="Y33" s="48" t="s">
        <v>1436</v>
      </c>
      <c r="Z33" s="48" t="s">
        <v>1436</v>
      </c>
      <c r="AA33" s="48" t="s">
        <v>1436</v>
      </c>
      <c r="AB33" s="49" t="s">
        <v>193</v>
      </c>
      <c r="AC33" s="48" t="s">
        <v>1194</v>
      </c>
      <c r="AD33" s="48" t="s">
        <v>1244</v>
      </c>
      <c r="AE33" s="48" t="s">
        <v>36</v>
      </c>
    </row>
    <row r="34" spans="1:31" x14ac:dyDescent="0.3">
      <c r="A34" s="48" t="s">
        <v>1320</v>
      </c>
      <c r="B34" s="48" t="s">
        <v>6</v>
      </c>
      <c r="C34" s="48" t="s">
        <v>1322</v>
      </c>
      <c r="D34" s="48" t="s">
        <v>1405</v>
      </c>
      <c r="E34" s="50">
        <v>44592</v>
      </c>
      <c r="F34" s="49" t="s">
        <v>1321</v>
      </c>
      <c r="G34" s="48" t="s">
        <v>36</v>
      </c>
      <c r="H34" s="48" t="s">
        <v>1443</v>
      </c>
      <c r="I34" s="51">
        <v>0</v>
      </c>
      <c r="J34" s="112">
        <v>0</v>
      </c>
      <c r="K34" s="112">
        <f t="shared" si="3"/>
        <v>0</v>
      </c>
      <c r="L34" s="48" t="s">
        <v>1194</v>
      </c>
      <c r="M34" s="48" t="s">
        <v>1438</v>
      </c>
      <c r="N34" s="48" t="s">
        <v>1439</v>
      </c>
      <c r="O34" s="49" t="s">
        <v>1442</v>
      </c>
      <c r="P34" s="48" t="s">
        <v>38</v>
      </c>
      <c r="Q34" s="48" t="s">
        <v>37</v>
      </c>
      <c r="R34" s="48" t="s">
        <v>1436</v>
      </c>
      <c r="S34" s="48" t="s">
        <v>1436</v>
      </c>
      <c r="T34" s="48" t="s">
        <v>1436</v>
      </c>
      <c r="U34" s="48" t="s">
        <v>38</v>
      </c>
      <c r="V34" s="48" t="s">
        <v>39</v>
      </c>
      <c r="W34" s="48" t="s">
        <v>1194</v>
      </c>
      <c r="X34" s="48" t="s">
        <v>41</v>
      </c>
      <c r="Y34" s="48" t="s">
        <v>1436</v>
      </c>
      <c r="Z34" s="48" t="s">
        <v>1436</v>
      </c>
      <c r="AA34" s="48" t="s">
        <v>1436</v>
      </c>
      <c r="AB34" s="49" t="s">
        <v>193</v>
      </c>
      <c r="AC34" s="48" t="s">
        <v>1194</v>
      </c>
      <c r="AD34" s="48" t="s">
        <v>1244</v>
      </c>
      <c r="AE34" s="48" t="s">
        <v>36</v>
      </c>
    </row>
    <row r="35" spans="1:31" x14ac:dyDescent="0.3">
      <c r="A35" s="48" t="s">
        <v>1320</v>
      </c>
      <c r="B35" s="48" t="s">
        <v>6</v>
      </c>
      <c r="C35" s="48" t="s">
        <v>1322</v>
      </c>
      <c r="D35" s="48" t="s">
        <v>1404</v>
      </c>
      <c r="E35" s="50">
        <v>44592</v>
      </c>
      <c r="F35" s="49" t="s">
        <v>1321</v>
      </c>
      <c r="G35" s="48" t="s">
        <v>36</v>
      </c>
      <c r="H35" s="48" t="s">
        <v>49</v>
      </c>
      <c r="I35" s="51">
        <v>-14524.004967999999</v>
      </c>
      <c r="J35" s="112">
        <f>-'Ledger Entries-schedule'!T9</f>
        <v>-14524.004967999999</v>
      </c>
      <c r="K35" s="112">
        <f t="shared" si="3"/>
        <v>0</v>
      </c>
      <c r="L35" s="48" t="s">
        <v>38</v>
      </c>
      <c r="M35" s="48" t="s">
        <v>1433</v>
      </c>
      <c r="N35" s="48" t="s">
        <v>1447</v>
      </c>
      <c r="O35" s="49" t="s">
        <v>1451</v>
      </c>
      <c r="P35" s="48" t="s">
        <v>38</v>
      </c>
      <c r="Q35" s="48" t="s">
        <v>37</v>
      </c>
      <c r="R35" s="48" t="s">
        <v>1436</v>
      </c>
      <c r="S35" s="48" t="s">
        <v>1436</v>
      </c>
      <c r="T35" s="48" t="s">
        <v>1436</v>
      </c>
      <c r="U35" s="48" t="s">
        <v>38</v>
      </c>
      <c r="V35" s="48" t="s">
        <v>39</v>
      </c>
      <c r="W35" s="48" t="s">
        <v>38</v>
      </c>
      <c r="X35" s="48" t="s">
        <v>41</v>
      </c>
      <c r="Y35" s="48" t="s">
        <v>1436</v>
      </c>
      <c r="Z35" s="48" t="s">
        <v>1436</v>
      </c>
      <c r="AA35" s="48" t="s">
        <v>1436</v>
      </c>
      <c r="AB35" s="49" t="s">
        <v>193</v>
      </c>
      <c r="AC35" s="48" t="s">
        <v>1194</v>
      </c>
      <c r="AD35" s="48" t="s">
        <v>1244</v>
      </c>
      <c r="AE35" s="48" t="s">
        <v>36</v>
      </c>
    </row>
    <row r="36" spans="1:31" x14ac:dyDescent="0.3">
      <c r="A36" s="48" t="s">
        <v>1320</v>
      </c>
      <c r="B36" s="48" t="s">
        <v>6</v>
      </c>
      <c r="C36" s="48" t="s">
        <v>1322</v>
      </c>
      <c r="D36" s="48" t="s">
        <v>1413</v>
      </c>
      <c r="E36" s="50">
        <v>44620</v>
      </c>
      <c r="F36" s="49" t="s">
        <v>1321</v>
      </c>
      <c r="G36" s="48" t="s">
        <v>36</v>
      </c>
      <c r="H36" s="48" t="s">
        <v>58</v>
      </c>
      <c r="I36" s="51">
        <v>-100000</v>
      </c>
      <c r="J36" s="51"/>
      <c r="K36" s="51"/>
      <c r="L36" s="48" t="s">
        <v>40</v>
      </c>
      <c r="M36" s="48" t="s">
        <v>1433</v>
      </c>
      <c r="N36" s="48" t="s">
        <v>1447</v>
      </c>
      <c r="O36" s="49" t="s">
        <v>1448</v>
      </c>
      <c r="P36" s="48" t="s">
        <v>38</v>
      </c>
      <c r="Q36" s="48" t="s">
        <v>37</v>
      </c>
      <c r="R36" s="48" t="s">
        <v>1436</v>
      </c>
      <c r="S36" s="48" t="s">
        <v>1436</v>
      </c>
      <c r="T36" s="48" t="s">
        <v>1436</v>
      </c>
      <c r="U36" s="48" t="s">
        <v>38</v>
      </c>
      <c r="V36" s="48" t="s">
        <v>39</v>
      </c>
      <c r="W36" s="48" t="s">
        <v>40</v>
      </c>
      <c r="X36" s="48" t="s">
        <v>41</v>
      </c>
      <c r="Y36" s="48" t="s">
        <v>1436</v>
      </c>
      <c r="Z36" s="48" t="s">
        <v>1436</v>
      </c>
      <c r="AA36" s="48" t="s">
        <v>1436</v>
      </c>
      <c r="AB36" s="49" t="s">
        <v>193</v>
      </c>
      <c r="AC36" s="48" t="s">
        <v>1194</v>
      </c>
      <c r="AD36" s="48" t="s">
        <v>1244</v>
      </c>
      <c r="AE36" s="48" t="s">
        <v>36</v>
      </c>
    </row>
    <row r="37" spans="1:31" x14ac:dyDescent="0.3">
      <c r="A37" s="48" t="s">
        <v>1320</v>
      </c>
      <c r="B37" s="48" t="s">
        <v>6</v>
      </c>
      <c r="C37" s="48" t="s">
        <v>1322</v>
      </c>
      <c r="D37" s="48" t="s">
        <v>1412</v>
      </c>
      <c r="E37" s="50">
        <v>44620</v>
      </c>
      <c r="F37" s="49" t="s">
        <v>1321</v>
      </c>
      <c r="G37" s="48" t="s">
        <v>36</v>
      </c>
      <c r="H37" s="48" t="s">
        <v>52</v>
      </c>
      <c r="I37" s="51">
        <v>-84660.98</v>
      </c>
      <c r="J37" s="51"/>
      <c r="K37" s="51"/>
      <c r="L37" s="48" t="s">
        <v>40</v>
      </c>
      <c r="M37" s="48" t="s">
        <v>1433</v>
      </c>
      <c r="N37" s="48" t="s">
        <v>1434</v>
      </c>
      <c r="O37" s="49" t="s">
        <v>1435</v>
      </c>
      <c r="P37" s="48" t="s">
        <v>38</v>
      </c>
      <c r="Q37" s="48" t="s">
        <v>37</v>
      </c>
      <c r="R37" s="48" t="s">
        <v>1436</v>
      </c>
      <c r="S37" s="48" t="s">
        <v>1436</v>
      </c>
      <c r="T37" s="48" t="s">
        <v>1436</v>
      </c>
      <c r="U37" s="48" t="s">
        <v>38</v>
      </c>
      <c r="V37" s="48" t="s">
        <v>39</v>
      </c>
      <c r="W37" s="48" t="s">
        <v>40</v>
      </c>
      <c r="X37" s="48" t="s">
        <v>41</v>
      </c>
      <c r="Y37" s="48" t="s">
        <v>1436</v>
      </c>
      <c r="Z37" s="48" t="s">
        <v>1436</v>
      </c>
      <c r="AA37" s="48" t="s">
        <v>1436</v>
      </c>
      <c r="AB37" s="49" t="s">
        <v>193</v>
      </c>
      <c r="AC37" s="48" t="s">
        <v>1194</v>
      </c>
      <c r="AD37" s="48" t="s">
        <v>1244</v>
      </c>
      <c r="AE37" s="48" t="s">
        <v>36</v>
      </c>
    </row>
    <row r="38" spans="1:31" x14ac:dyDescent="0.3">
      <c r="A38" s="48" t="s">
        <v>1320</v>
      </c>
      <c r="B38" s="48" t="s">
        <v>6</v>
      </c>
      <c r="C38" s="48" t="s">
        <v>1322</v>
      </c>
      <c r="D38" s="48" t="s">
        <v>1411</v>
      </c>
      <c r="E38" s="50">
        <v>44620</v>
      </c>
      <c r="F38" s="49" t="s">
        <v>1321</v>
      </c>
      <c r="G38" s="48" t="s">
        <v>36</v>
      </c>
      <c r="H38" s="48" t="s">
        <v>50</v>
      </c>
      <c r="I38" s="51">
        <v>84660.98</v>
      </c>
      <c r="J38" s="51"/>
      <c r="K38" s="51"/>
      <c r="L38" s="48" t="s">
        <v>40</v>
      </c>
      <c r="M38" s="48" t="s">
        <v>1438</v>
      </c>
      <c r="N38" s="48" t="s">
        <v>1444</v>
      </c>
      <c r="O38" s="49" t="s">
        <v>1445</v>
      </c>
      <c r="P38" s="48" t="s">
        <v>38</v>
      </c>
      <c r="Q38" s="48" t="s">
        <v>37</v>
      </c>
      <c r="R38" s="48" t="s">
        <v>1436</v>
      </c>
      <c r="S38" s="48" t="s">
        <v>1436</v>
      </c>
      <c r="T38" s="48" t="s">
        <v>1436</v>
      </c>
      <c r="U38" s="48" t="s">
        <v>38</v>
      </c>
      <c r="V38" s="48" t="s">
        <v>39</v>
      </c>
      <c r="W38" s="48" t="s">
        <v>40</v>
      </c>
      <c r="X38" s="48" t="s">
        <v>41</v>
      </c>
      <c r="Y38" s="48" t="s">
        <v>1436</v>
      </c>
      <c r="Z38" s="48" t="s">
        <v>1436</v>
      </c>
      <c r="AA38" s="48" t="s">
        <v>1436</v>
      </c>
      <c r="AB38" s="49" t="s">
        <v>193</v>
      </c>
      <c r="AC38" s="48" t="s">
        <v>1194</v>
      </c>
      <c r="AD38" s="48" t="s">
        <v>1244</v>
      </c>
      <c r="AE38" s="48" t="s">
        <v>36</v>
      </c>
    </row>
    <row r="39" spans="1:31" x14ac:dyDescent="0.3">
      <c r="A39" s="48" t="s">
        <v>1320</v>
      </c>
      <c r="B39" s="48" t="s">
        <v>6</v>
      </c>
      <c r="C39" s="48" t="s">
        <v>1322</v>
      </c>
      <c r="D39" s="48" t="s">
        <v>1410</v>
      </c>
      <c r="E39" s="50">
        <v>44620</v>
      </c>
      <c r="F39" s="49" t="s">
        <v>1321</v>
      </c>
      <c r="G39" s="48" t="s">
        <v>36</v>
      </c>
      <c r="H39" s="48" t="s">
        <v>42</v>
      </c>
      <c r="I39" s="51">
        <v>2539829.423163</v>
      </c>
      <c r="J39" s="51"/>
      <c r="K39" s="51"/>
      <c r="L39" s="48" t="s">
        <v>40</v>
      </c>
      <c r="M39" s="48" t="s">
        <v>1433</v>
      </c>
      <c r="N39" s="48" t="s">
        <v>1434</v>
      </c>
      <c r="O39" s="49" t="s">
        <v>1437</v>
      </c>
      <c r="P39" s="48" t="s">
        <v>38</v>
      </c>
      <c r="Q39" s="48" t="s">
        <v>37</v>
      </c>
      <c r="R39" s="48" t="s">
        <v>1436</v>
      </c>
      <c r="S39" s="48" t="s">
        <v>1436</v>
      </c>
      <c r="T39" s="48" t="s">
        <v>1436</v>
      </c>
      <c r="U39" s="48" t="s">
        <v>38</v>
      </c>
      <c r="V39" s="48" t="s">
        <v>39</v>
      </c>
      <c r="W39" s="48" t="s">
        <v>40</v>
      </c>
      <c r="X39" s="48" t="s">
        <v>41</v>
      </c>
      <c r="Y39" s="48" t="s">
        <v>1436</v>
      </c>
      <c r="Z39" s="48" t="s">
        <v>1436</v>
      </c>
      <c r="AA39" s="48" t="s">
        <v>1436</v>
      </c>
      <c r="AB39" s="49" t="s">
        <v>193</v>
      </c>
      <c r="AC39" s="48" t="s">
        <v>1194</v>
      </c>
      <c r="AD39" s="48" t="s">
        <v>1244</v>
      </c>
      <c r="AE39" s="48" t="s">
        <v>36</v>
      </c>
    </row>
    <row r="40" spans="1:31" x14ac:dyDescent="0.3">
      <c r="A40" s="48" t="s">
        <v>1320</v>
      </c>
      <c r="B40" s="48" t="s">
        <v>6</v>
      </c>
      <c r="C40" s="48" t="s">
        <v>1322</v>
      </c>
      <c r="D40" s="48" t="s">
        <v>1409</v>
      </c>
      <c r="E40" s="50">
        <v>44620</v>
      </c>
      <c r="F40" s="49" t="s">
        <v>1321</v>
      </c>
      <c r="G40" s="48" t="s">
        <v>36</v>
      </c>
      <c r="H40" s="48" t="s">
        <v>45</v>
      </c>
      <c r="I40" s="51">
        <v>-2012149.568131</v>
      </c>
      <c r="J40" s="51"/>
      <c r="K40" s="51"/>
      <c r="L40" s="48" t="s">
        <v>40</v>
      </c>
      <c r="M40" s="48" t="s">
        <v>1433</v>
      </c>
      <c r="N40" s="48" t="s">
        <v>1447</v>
      </c>
      <c r="O40" s="49" t="s">
        <v>1449</v>
      </c>
      <c r="P40" s="48" t="s">
        <v>38</v>
      </c>
      <c r="Q40" s="48" t="s">
        <v>37</v>
      </c>
      <c r="R40" s="48" t="s">
        <v>1436</v>
      </c>
      <c r="S40" s="48" t="s">
        <v>1436</v>
      </c>
      <c r="T40" s="48" t="s">
        <v>1436</v>
      </c>
      <c r="U40" s="48" t="s">
        <v>38</v>
      </c>
      <c r="V40" s="48" t="s">
        <v>39</v>
      </c>
      <c r="W40" s="48" t="s">
        <v>40</v>
      </c>
      <c r="X40" s="48" t="s">
        <v>41</v>
      </c>
      <c r="Y40" s="48" t="s">
        <v>1436</v>
      </c>
      <c r="Z40" s="48" t="s">
        <v>1436</v>
      </c>
      <c r="AA40" s="48" t="s">
        <v>1436</v>
      </c>
      <c r="AB40" s="49" t="s">
        <v>193</v>
      </c>
      <c r="AC40" s="48" t="s">
        <v>1194</v>
      </c>
      <c r="AD40" s="48" t="s">
        <v>1244</v>
      </c>
      <c r="AE40" s="48" t="s">
        <v>36</v>
      </c>
    </row>
    <row r="41" spans="1:31" x14ac:dyDescent="0.3">
      <c r="A41" s="48" t="s">
        <v>1320</v>
      </c>
      <c r="B41" s="48" t="s">
        <v>6</v>
      </c>
      <c r="C41" s="48" t="s">
        <v>1322</v>
      </c>
      <c r="D41" s="48" t="s">
        <v>1408</v>
      </c>
      <c r="E41" s="50">
        <v>44620</v>
      </c>
      <c r="F41" s="49" t="s">
        <v>1321</v>
      </c>
      <c r="G41" s="48" t="s">
        <v>36</v>
      </c>
      <c r="H41" s="48" t="s">
        <v>54</v>
      </c>
      <c r="I41" s="51">
        <v>-442203.86</v>
      </c>
      <c r="J41" s="51"/>
      <c r="K41" s="51"/>
      <c r="L41" s="48" t="s">
        <v>40</v>
      </c>
      <c r="M41" s="48" t="s">
        <v>1433</v>
      </c>
      <c r="N41" s="48" t="s">
        <v>1447</v>
      </c>
      <c r="O41" s="49" t="s">
        <v>1450</v>
      </c>
      <c r="P41" s="48" t="s">
        <v>38</v>
      </c>
      <c r="Q41" s="48" t="s">
        <v>37</v>
      </c>
      <c r="R41" s="48" t="s">
        <v>1436</v>
      </c>
      <c r="S41" s="48" t="s">
        <v>1436</v>
      </c>
      <c r="T41" s="48" t="s">
        <v>1436</v>
      </c>
      <c r="U41" s="48" t="s">
        <v>38</v>
      </c>
      <c r="V41" s="48" t="s">
        <v>39</v>
      </c>
      <c r="W41" s="48" t="s">
        <v>40</v>
      </c>
      <c r="X41" s="48" t="s">
        <v>41</v>
      </c>
      <c r="Y41" s="48" t="s">
        <v>1436</v>
      </c>
      <c r="Z41" s="48" t="s">
        <v>1436</v>
      </c>
      <c r="AA41" s="48" t="s">
        <v>1436</v>
      </c>
      <c r="AB41" s="49" t="s">
        <v>193</v>
      </c>
      <c r="AC41" s="48" t="s">
        <v>1194</v>
      </c>
      <c r="AD41" s="48" t="s">
        <v>1244</v>
      </c>
      <c r="AE41" s="48" t="s">
        <v>36</v>
      </c>
    </row>
    <row r="42" spans="1:31" x14ac:dyDescent="0.3">
      <c r="A42" s="48" t="s">
        <v>1320</v>
      </c>
      <c r="B42" s="48" t="s">
        <v>6</v>
      </c>
      <c r="C42" s="48" t="s">
        <v>1322</v>
      </c>
      <c r="D42" s="48" t="s">
        <v>1407</v>
      </c>
      <c r="E42" s="50">
        <v>44620</v>
      </c>
      <c r="F42" s="49" t="s">
        <v>1321</v>
      </c>
      <c r="G42" s="48" t="s">
        <v>36</v>
      </c>
      <c r="H42" s="48" t="s">
        <v>47</v>
      </c>
      <c r="I42" s="51">
        <v>28841.066631999998</v>
      </c>
      <c r="J42" s="51"/>
      <c r="K42" s="51"/>
      <c r="L42" s="48" t="s">
        <v>40</v>
      </c>
      <c r="M42" s="48" t="s">
        <v>1438</v>
      </c>
      <c r="N42" s="48" t="s">
        <v>1444</v>
      </c>
      <c r="O42" s="49" t="s">
        <v>1446</v>
      </c>
      <c r="P42" s="48" t="s">
        <v>38</v>
      </c>
      <c r="Q42" s="48" t="s">
        <v>37</v>
      </c>
      <c r="R42" s="48" t="s">
        <v>1436</v>
      </c>
      <c r="S42" s="48" t="s">
        <v>1436</v>
      </c>
      <c r="T42" s="48" t="s">
        <v>1436</v>
      </c>
      <c r="U42" s="48" t="s">
        <v>38</v>
      </c>
      <c r="V42" s="48" t="s">
        <v>39</v>
      </c>
      <c r="W42" s="48" t="s">
        <v>40</v>
      </c>
      <c r="X42" s="48" t="s">
        <v>41</v>
      </c>
      <c r="Y42" s="48" t="s">
        <v>1436</v>
      </c>
      <c r="Z42" s="48" t="s">
        <v>1436</v>
      </c>
      <c r="AA42" s="48" t="s">
        <v>1436</v>
      </c>
      <c r="AB42" s="49" t="s">
        <v>193</v>
      </c>
      <c r="AC42" s="48" t="s">
        <v>1194</v>
      </c>
      <c r="AD42" s="48" t="s">
        <v>1244</v>
      </c>
      <c r="AE42" s="48" t="s">
        <v>36</v>
      </c>
    </row>
    <row r="43" spans="1:31" x14ac:dyDescent="0.3">
      <c r="A43" s="48" t="s">
        <v>1320</v>
      </c>
      <c r="B43" s="48" t="s">
        <v>6</v>
      </c>
      <c r="C43" s="48" t="s">
        <v>1322</v>
      </c>
      <c r="D43" s="48" t="s">
        <v>1406</v>
      </c>
      <c r="E43" s="50">
        <v>44620</v>
      </c>
      <c r="F43" s="49" t="s">
        <v>1321</v>
      </c>
      <c r="G43" s="48" t="s">
        <v>36</v>
      </c>
      <c r="H43" s="48" t="s">
        <v>1441</v>
      </c>
      <c r="I43" s="51">
        <v>0</v>
      </c>
      <c r="J43" s="51"/>
      <c r="K43" s="51"/>
      <c r="L43" s="48" t="s">
        <v>1194</v>
      </c>
      <c r="M43" s="48" t="s">
        <v>1438</v>
      </c>
      <c r="N43" s="48" t="s">
        <v>1439</v>
      </c>
      <c r="O43" s="49" t="s">
        <v>1440</v>
      </c>
      <c r="P43" s="48" t="s">
        <v>38</v>
      </c>
      <c r="Q43" s="48" t="s">
        <v>37</v>
      </c>
      <c r="R43" s="48" t="s">
        <v>1436</v>
      </c>
      <c r="S43" s="48" t="s">
        <v>1436</v>
      </c>
      <c r="T43" s="48" t="s">
        <v>1436</v>
      </c>
      <c r="U43" s="48" t="s">
        <v>38</v>
      </c>
      <c r="V43" s="48" t="s">
        <v>39</v>
      </c>
      <c r="W43" s="48" t="s">
        <v>1194</v>
      </c>
      <c r="X43" s="48" t="s">
        <v>41</v>
      </c>
      <c r="Y43" s="48" t="s">
        <v>1436</v>
      </c>
      <c r="Z43" s="48" t="s">
        <v>1436</v>
      </c>
      <c r="AA43" s="48" t="s">
        <v>1436</v>
      </c>
      <c r="AB43" s="49" t="s">
        <v>193</v>
      </c>
      <c r="AC43" s="48" t="s">
        <v>1194</v>
      </c>
      <c r="AD43" s="48" t="s">
        <v>1244</v>
      </c>
      <c r="AE43" s="48" t="s">
        <v>36</v>
      </c>
    </row>
    <row r="44" spans="1:31" x14ac:dyDescent="0.3">
      <c r="A44" s="48" t="s">
        <v>1320</v>
      </c>
      <c r="B44" s="48" t="s">
        <v>6</v>
      </c>
      <c r="C44" s="48" t="s">
        <v>1322</v>
      </c>
      <c r="D44" s="48" t="s">
        <v>1405</v>
      </c>
      <c r="E44" s="50">
        <v>44620</v>
      </c>
      <c r="F44" s="49" t="s">
        <v>1321</v>
      </c>
      <c r="G44" s="48" t="s">
        <v>36</v>
      </c>
      <c r="H44" s="48" t="s">
        <v>1443</v>
      </c>
      <c r="I44" s="51">
        <v>0</v>
      </c>
      <c r="J44" s="51"/>
      <c r="K44" s="51"/>
      <c r="L44" s="48" t="s">
        <v>1194</v>
      </c>
      <c r="M44" s="48" t="s">
        <v>1438</v>
      </c>
      <c r="N44" s="48" t="s">
        <v>1439</v>
      </c>
      <c r="O44" s="49" t="s">
        <v>1442</v>
      </c>
      <c r="P44" s="48" t="s">
        <v>38</v>
      </c>
      <c r="Q44" s="48" t="s">
        <v>37</v>
      </c>
      <c r="R44" s="48" t="s">
        <v>1436</v>
      </c>
      <c r="S44" s="48" t="s">
        <v>1436</v>
      </c>
      <c r="T44" s="48" t="s">
        <v>1436</v>
      </c>
      <c r="U44" s="48" t="s">
        <v>38</v>
      </c>
      <c r="V44" s="48" t="s">
        <v>39</v>
      </c>
      <c r="W44" s="48" t="s">
        <v>1194</v>
      </c>
      <c r="X44" s="48" t="s">
        <v>41</v>
      </c>
      <c r="Y44" s="48" t="s">
        <v>1436</v>
      </c>
      <c r="Z44" s="48" t="s">
        <v>1436</v>
      </c>
      <c r="AA44" s="48" t="s">
        <v>1436</v>
      </c>
      <c r="AB44" s="49" t="s">
        <v>193</v>
      </c>
      <c r="AC44" s="48" t="s">
        <v>1194</v>
      </c>
      <c r="AD44" s="48" t="s">
        <v>1244</v>
      </c>
      <c r="AE44" s="48" t="s">
        <v>36</v>
      </c>
    </row>
    <row r="45" spans="1:31" x14ac:dyDescent="0.3">
      <c r="A45" s="48" t="s">
        <v>1320</v>
      </c>
      <c r="B45" s="48" t="s">
        <v>6</v>
      </c>
      <c r="C45" s="48" t="s">
        <v>1322</v>
      </c>
      <c r="D45" s="48" t="s">
        <v>1404</v>
      </c>
      <c r="E45" s="50">
        <v>44620</v>
      </c>
      <c r="F45" s="49" t="s">
        <v>1321</v>
      </c>
      <c r="G45" s="48" t="s">
        <v>36</v>
      </c>
      <c r="H45" s="48" t="s">
        <v>49</v>
      </c>
      <c r="I45" s="51">
        <v>-14317.061664000001</v>
      </c>
      <c r="J45" s="51"/>
      <c r="K45" s="51"/>
      <c r="L45" s="48" t="s">
        <v>38</v>
      </c>
      <c r="M45" s="48" t="s">
        <v>1433</v>
      </c>
      <c r="N45" s="48" t="s">
        <v>1447</v>
      </c>
      <c r="O45" s="49" t="s">
        <v>1451</v>
      </c>
      <c r="P45" s="48" t="s">
        <v>38</v>
      </c>
      <c r="Q45" s="48" t="s">
        <v>37</v>
      </c>
      <c r="R45" s="48" t="s">
        <v>1436</v>
      </c>
      <c r="S45" s="48" t="s">
        <v>1436</v>
      </c>
      <c r="T45" s="48" t="s">
        <v>1436</v>
      </c>
      <c r="U45" s="48" t="s">
        <v>38</v>
      </c>
      <c r="V45" s="48" t="s">
        <v>39</v>
      </c>
      <c r="W45" s="48" t="s">
        <v>38</v>
      </c>
      <c r="X45" s="48" t="s">
        <v>41</v>
      </c>
      <c r="Y45" s="48" t="s">
        <v>1436</v>
      </c>
      <c r="Z45" s="48" t="s">
        <v>1436</v>
      </c>
      <c r="AA45" s="48" t="s">
        <v>1436</v>
      </c>
      <c r="AB45" s="49" t="s">
        <v>193</v>
      </c>
      <c r="AC45" s="48" t="s">
        <v>1194</v>
      </c>
      <c r="AD45" s="48" t="s">
        <v>1244</v>
      </c>
      <c r="AE45" s="48" t="s">
        <v>36</v>
      </c>
    </row>
    <row r="46" spans="1:31" x14ac:dyDescent="0.3">
      <c r="A46" s="48" t="s">
        <v>1320</v>
      </c>
      <c r="B46" s="48" t="s">
        <v>6</v>
      </c>
      <c r="C46" s="48" t="s">
        <v>1322</v>
      </c>
      <c r="D46" s="48" t="s">
        <v>1413</v>
      </c>
      <c r="E46" s="50">
        <v>44651</v>
      </c>
      <c r="F46" s="49" t="s">
        <v>1321</v>
      </c>
      <c r="G46" s="48" t="s">
        <v>36</v>
      </c>
      <c r="H46" s="48" t="s">
        <v>58</v>
      </c>
      <c r="I46" s="51">
        <v>-150000</v>
      </c>
      <c r="J46" s="51"/>
      <c r="K46" s="51"/>
      <c r="L46" s="48" t="s">
        <v>40</v>
      </c>
      <c r="M46" s="48" t="s">
        <v>1433</v>
      </c>
      <c r="N46" s="48" t="s">
        <v>1447</v>
      </c>
      <c r="O46" s="49" t="s">
        <v>1448</v>
      </c>
      <c r="P46" s="48" t="s">
        <v>38</v>
      </c>
      <c r="Q46" s="48" t="s">
        <v>37</v>
      </c>
      <c r="R46" s="48" t="s">
        <v>1436</v>
      </c>
      <c r="S46" s="48" t="s">
        <v>1436</v>
      </c>
      <c r="T46" s="48" t="s">
        <v>1436</v>
      </c>
      <c r="U46" s="48" t="s">
        <v>38</v>
      </c>
      <c r="V46" s="48" t="s">
        <v>39</v>
      </c>
      <c r="W46" s="48" t="s">
        <v>40</v>
      </c>
      <c r="X46" s="48" t="s">
        <v>41</v>
      </c>
      <c r="Y46" s="48" t="s">
        <v>1436</v>
      </c>
      <c r="Z46" s="48" t="s">
        <v>1436</v>
      </c>
      <c r="AA46" s="48" t="s">
        <v>1436</v>
      </c>
      <c r="AB46" s="49" t="s">
        <v>193</v>
      </c>
      <c r="AC46" s="48" t="s">
        <v>1194</v>
      </c>
      <c r="AD46" s="48" t="s">
        <v>1244</v>
      </c>
      <c r="AE46" s="48" t="s">
        <v>36</v>
      </c>
    </row>
    <row r="47" spans="1:31" x14ac:dyDescent="0.3">
      <c r="A47" s="48" t="s">
        <v>1320</v>
      </c>
      <c r="B47" s="48" t="s">
        <v>6</v>
      </c>
      <c r="C47" s="48" t="s">
        <v>1322</v>
      </c>
      <c r="D47" s="48" t="s">
        <v>1412</v>
      </c>
      <c r="E47" s="50">
        <v>44651</v>
      </c>
      <c r="F47" s="49" t="s">
        <v>1321</v>
      </c>
      <c r="G47" s="48" t="s">
        <v>36</v>
      </c>
      <c r="H47" s="48" t="s">
        <v>52</v>
      </c>
      <c r="I47" s="51">
        <v>-126991.47</v>
      </c>
      <c r="J47" s="51"/>
      <c r="K47" s="51"/>
      <c r="L47" s="48" t="s">
        <v>40</v>
      </c>
      <c r="M47" s="48" t="s">
        <v>1433</v>
      </c>
      <c r="N47" s="48" t="s">
        <v>1434</v>
      </c>
      <c r="O47" s="49" t="s">
        <v>1435</v>
      </c>
      <c r="P47" s="48" t="s">
        <v>38</v>
      </c>
      <c r="Q47" s="48" t="s">
        <v>37</v>
      </c>
      <c r="R47" s="48" t="s">
        <v>1436</v>
      </c>
      <c r="S47" s="48" t="s">
        <v>1436</v>
      </c>
      <c r="T47" s="48" t="s">
        <v>1436</v>
      </c>
      <c r="U47" s="48" t="s">
        <v>38</v>
      </c>
      <c r="V47" s="48" t="s">
        <v>39</v>
      </c>
      <c r="W47" s="48" t="s">
        <v>40</v>
      </c>
      <c r="X47" s="48" t="s">
        <v>41</v>
      </c>
      <c r="Y47" s="48" t="s">
        <v>1436</v>
      </c>
      <c r="Z47" s="48" t="s">
        <v>1436</v>
      </c>
      <c r="AA47" s="48" t="s">
        <v>1436</v>
      </c>
      <c r="AB47" s="49" t="s">
        <v>193</v>
      </c>
      <c r="AC47" s="48" t="s">
        <v>1194</v>
      </c>
      <c r="AD47" s="48" t="s">
        <v>1244</v>
      </c>
      <c r="AE47" s="48" t="s">
        <v>36</v>
      </c>
    </row>
    <row r="48" spans="1:31" x14ac:dyDescent="0.3">
      <c r="A48" s="48" t="s">
        <v>1320</v>
      </c>
      <c r="B48" s="48" t="s">
        <v>6</v>
      </c>
      <c r="C48" s="48" t="s">
        <v>1322</v>
      </c>
      <c r="D48" s="48" t="s">
        <v>1411</v>
      </c>
      <c r="E48" s="50">
        <v>44651</v>
      </c>
      <c r="F48" s="49" t="s">
        <v>1321</v>
      </c>
      <c r="G48" s="48" t="s">
        <v>36</v>
      </c>
      <c r="H48" s="48" t="s">
        <v>50</v>
      </c>
      <c r="I48" s="51">
        <v>126991.47</v>
      </c>
      <c r="J48" s="51"/>
      <c r="K48" s="51"/>
      <c r="L48" s="48" t="s">
        <v>40</v>
      </c>
      <c r="M48" s="48" t="s">
        <v>1438</v>
      </c>
      <c r="N48" s="48" t="s">
        <v>1444</v>
      </c>
      <c r="O48" s="49" t="s">
        <v>1445</v>
      </c>
      <c r="P48" s="48" t="s">
        <v>38</v>
      </c>
      <c r="Q48" s="48" t="s">
        <v>37</v>
      </c>
      <c r="R48" s="48" t="s">
        <v>1436</v>
      </c>
      <c r="S48" s="48" t="s">
        <v>1436</v>
      </c>
      <c r="T48" s="48" t="s">
        <v>1436</v>
      </c>
      <c r="U48" s="48" t="s">
        <v>38</v>
      </c>
      <c r="V48" s="48" t="s">
        <v>39</v>
      </c>
      <c r="W48" s="48" t="s">
        <v>40</v>
      </c>
      <c r="X48" s="48" t="s">
        <v>41</v>
      </c>
      <c r="Y48" s="48" t="s">
        <v>1436</v>
      </c>
      <c r="Z48" s="48" t="s">
        <v>1436</v>
      </c>
      <c r="AA48" s="48" t="s">
        <v>1436</v>
      </c>
      <c r="AB48" s="49" t="s">
        <v>193</v>
      </c>
      <c r="AC48" s="48" t="s">
        <v>1194</v>
      </c>
      <c r="AD48" s="48" t="s">
        <v>1244</v>
      </c>
      <c r="AE48" s="48" t="s">
        <v>36</v>
      </c>
    </row>
    <row r="49" spans="1:31" x14ac:dyDescent="0.3">
      <c r="A49" s="48" t="s">
        <v>1320</v>
      </c>
      <c r="B49" s="48" t="s">
        <v>6</v>
      </c>
      <c r="C49" s="48" t="s">
        <v>1322</v>
      </c>
      <c r="D49" s="48" t="s">
        <v>1410</v>
      </c>
      <c r="E49" s="50">
        <v>44651</v>
      </c>
      <c r="F49" s="49" t="s">
        <v>1321</v>
      </c>
      <c r="G49" s="48" t="s">
        <v>36</v>
      </c>
      <c r="H49" s="48" t="s">
        <v>42</v>
      </c>
      <c r="I49" s="51">
        <v>2539829.423163</v>
      </c>
      <c r="J49" s="51"/>
      <c r="K49" s="51"/>
      <c r="L49" s="48" t="s">
        <v>40</v>
      </c>
      <c r="M49" s="48" t="s">
        <v>1433</v>
      </c>
      <c r="N49" s="48" t="s">
        <v>1434</v>
      </c>
      <c r="O49" s="49" t="s">
        <v>1437</v>
      </c>
      <c r="P49" s="48" t="s">
        <v>38</v>
      </c>
      <c r="Q49" s="48" t="s">
        <v>37</v>
      </c>
      <c r="R49" s="48" t="s">
        <v>1436</v>
      </c>
      <c r="S49" s="48" t="s">
        <v>1436</v>
      </c>
      <c r="T49" s="48" t="s">
        <v>1436</v>
      </c>
      <c r="U49" s="48" t="s">
        <v>38</v>
      </c>
      <c r="V49" s="48" t="s">
        <v>39</v>
      </c>
      <c r="W49" s="48" t="s">
        <v>40</v>
      </c>
      <c r="X49" s="48" t="s">
        <v>41</v>
      </c>
      <c r="Y49" s="48" t="s">
        <v>1436</v>
      </c>
      <c r="Z49" s="48" t="s">
        <v>1436</v>
      </c>
      <c r="AA49" s="48" t="s">
        <v>1436</v>
      </c>
      <c r="AB49" s="49" t="s">
        <v>193</v>
      </c>
      <c r="AC49" s="48" t="s">
        <v>1194</v>
      </c>
      <c r="AD49" s="48" t="s">
        <v>1244</v>
      </c>
      <c r="AE49" s="48" t="s">
        <v>36</v>
      </c>
    </row>
    <row r="50" spans="1:31" x14ac:dyDescent="0.3">
      <c r="A50" s="48" t="s">
        <v>1320</v>
      </c>
      <c r="B50" s="48" t="s">
        <v>6</v>
      </c>
      <c r="C50" s="48" t="s">
        <v>1322</v>
      </c>
      <c r="D50" s="48" t="s">
        <v>1409</v>
      </c>
      <c r="E50" s="50">
        <v>44651</v>
      </c>
      <c r="F50" s="49" t="s">
        <v>1321</v>
      </c>
      <c r="G50" s="48" t="s">
        <v>36</v>
      </c>
      <c r="H50" s="48" t="s">
        <v>45</v>
      </c>
      <c r="I50" s="51">
        <v>-1973887.1097949999</v>
      </c>
      <c r="J50" s="51"/>
      <c r="K50" s="51"/>
      <c r="L50" s="48" t="s">
        <v>40</v>
      </c>
      <c r="M50" s="48" t="s">
        <v>1433</v>
      </c>
      <c r="N50" s="48" t="s">
        <v>1447</v>
      </c>
      <c r="O50" s="49" t="s">
        <v>1449</v>
      </c>
      <c r="P50" s="48" t="s">
        <v>38</v>
      </c>
      <c r="Q50" s="48" t="s">
        <v>37</v>
      </c>
      <c r="R50" s="48" t="s">
        <v>1436</v>
      </c>
      <c r="S50" s="48" t="s">
        <v>1436</v>
      </c>
      <c r="T50" s="48" t="s">
        <v>1436</v>
      </c>
      <c r="U50" s="48" t="s">
        <v>38</v>
      </c>
      <c r="V50" s="48" t="s">
        <v>39</v>
      </c>
      <c r="W50" s="48" t="s">
        <v>40</v>
      </c>
      <c r="X50" s="48" t="s">
        <v>41</v>
      </c>
      <c r="Y50" s="48" t="s">
        <v>1436</v>
      </c>
      <c r="Z50" s="48" t="s">
        <v>1436</v>
      </c>
      <c r="AA50" s="48" t="s">
        <v>1436</v>
      </c>
      <c r="AB50" s="49" t="s">
        <v>193</v>
      </c>
      <c r="AC50" s="48" t="s">
        <v>1194</v>
      </c>
      <c r="AD50" s="48" t="s">
        <v>1244</v>
      </c>
      <c r="AE50" s="48" t="s">
        <v>36</v>
      </c>
    </row>
    <row r="51" spans="1:31" x14ac:dyDescent="0.3">
      <c r="A51" s="48" t="s">
        <v>1320</v>
      </c>
      <c r="B51" s="48" t="s">
        <v>6</v>
      </c>
      <c r="C51" s="48" t="s">
        <v>1322</v>
      </c>
      <c r="D51" s="48" t="s">
        <v>1408</v>
      </c>
      <c r="E51" s="50">
        <v>44651</v>
      </c>
      <c r="F51" s="49" t="s">
        <v>1321</v>
      </c>
      <c r="G51" s="48" t="s">
        <v>36</v>
      </c>
      <c r="H51" s="48" t="s">
        <v>54</v>
      </c>
      <c r="I51" s="51">
        <v>-444783.38</v>
      </c>
      <c r="J51" s="51"/>
      <c r="K51" s="51"/>
      <c r="L51" s="48" t="s">
        <v>40</v>
      </c>
      <c r="M51" s="48" t="s">
        <v>1433</v>
      </c>
      <c r="N51" s="48" t="s">
        <v>1447</v>
      </c>
      <c r="O51" s="49" t="s">
        <v>1450</v>
      </c>
      <c r="P51" s="48" t="s">
        <v>38</v>
      </c>
      <c r="Q51" s="48" t="s">
        <v>37</v>
      </c>
      <c r="R51" s="48" t="s">
        <v>1436</v>
      </c>
      <c r="S51" s="48" t="s">
        <v>1436</v>
      </c>
      <c r="T51" s="48" t="s">
        <v>1436</v>
      </c>
      <c r="U51" s="48" t="s">
        <v>38</v>
      </c>
      <c r="V51" s="48" t="s">
        <v>39</v>
      </c>
      <c r="W51" s="48" t="s">
        <v>40</v>
      </c>
      <c r="X51" s="48" t="s">
        <v>41</v>
      </c>
      <c r="Y51" s="48" t="s">
        <v>1436</v>
      </c>
      <c r="Z51" s="48" t="s">
        <v>1436</v>
      </c>
      <c r="AA51" s="48" t="s">
        <v>1436</v>
      </c>
      <c r="AB51" s="49" t="s">
        <v>193</v>
      </c>
      <c r="AC51" s="48" t="s">
        <v>1194</v>
      </c>
      <c r="AD51" s="48" t="s">
        <v>1244</v>
      </c>
      <c r="AE51" s="48" t="s">
        <v>36</v>
      </c>
    </row>
    <row r="52" spans="1:31" x14ac:dyDescent="0.3">
      <c r="A52" s="48" t="s">
        <v>1320</v>
      </c>
      <c r="B52" s="48" t="s">
        <v>6</v>
      </c>
      <c r="C52" s="48" t="s">
        <v>1322</v>
      </c>
      <c r="D52" s="48" t="s">
        <v>1407</v>
      </c>
      <c r="E52" s="50">
        <v>44651</v>
      </c>
      <c r="F52" s="49" t="s">
        <v>1321</v>
      </c>
      <c r="G52" s="48" t="s">
        <v>36</v>
      </c>
      <c r="H52" s="48" t="s">
        <v>47</v>
      </c>
      <c r="I52" s="51">
        <v>42949.977822000001</v>
      </c>
      <c r="J52" s="51"/>
      <c r="K52" s="51"/>
      <c r="L52" s="48" t="s">
        <v>40</v>
      </c>
      <c r="M52" s="48" t="s">
        <v>1438</v>
      </c>
      <c r="N52" s="48" t="s">
        <v>1444</v>
      </c>
      <c r="O52" s="49" t="s">
        <v>1446</v>
      </c>
      <c r="P52" s="48" t="s">
        <v>38</v>
      </c>
      <c r="Q52" s="48" t="s">
        <v>37</v>
      </c>
      <c r="R52" s="48" t="s">
        <v>1436</v>
      </c>
      <c r="S52" s="48" t="s">
        <v>1436</v>
      </c>
      <c r="T52" s="48" t="s">
        <v>1436</v>
      </c>
      <c r="U52" s="48" t="s">
        <v>38</v>
      </c>
      <c r="V52" s="48" t="s">
        <v>39</v>
      </c>
      <c r="W52" s="48" t="s">
        <v>40</v>
      </c>
      <c r="X52" s="48" t="s">
        <v>41</v>
      </c>
      <c r="Y52" s="48" t="s">
        <v>1436</v>
      </c>
      <c r="Z52" s="48" t="s">
        <v>1436</v>
      </c>
      <c r="AA52" s="48" t="s">
        <v>1436</v>
      </c>
      <c r="AB52" s="49" t="s">
        <v>193</v>
      </c>
      <c r="AC52" s="48" t="s">
        <v>1194</v>
      </c>
      <c r="AD52" s="48" t="s">
        <v>1244</v>
      </c>
      <c r="AE52" s="48" t="s">
        <v>36</v>
      </c>
    </row>
    <row r="53" spans="1:31" x14ac:dyDescent="0.3">
      <c r="A53" s="48" t="s">
        <v>1320</v>
      </c>
      <c r="B53" s="48" t="s">
        <v>6</v>
      </c>
      <c r="C53" s="48" t="s">
        <v>1322</v>
      </c>
      <c r="D53" s="48" t="s">
        <v>1406</v>
      </c>
      <c r="E53" s="50">
        <v>44651</v>
      </c>
      <c r="F53" s="49" t="s">
        <v>1321</v>
      </c>
      <c r="G53" s="48" t="s">
        <v>36</v>
      </c>
      <c r="H53" s="48" t="s">
        <v>1441</v>
      </c>
      <c r="I53" s="51">
        <v>0</v>
      </c>
      <c r="J53" s="51"/>
      <c r="K53" s="51"/>
      <c r="L53" s="48" t="s">
        <v>1194</v>
      </c>
      <c r="M53" s="48" t="s">
        <v>1438</v>
      </c>
      <c r="N53" s="48" t="s">
        <v>1439</v>
      </c>
      <c r="O53" s="49" t="s">
        <v>1440</v>
      </c>
      <c r="P53" s="48" t="s">
        <v>38</v>
      </c>
      <c r="Q53" s="48" t="s">
        <v>37</v>
      </c>
      <c r="R53" s="48" t="s">
        <v>1436</v>
      </c>
      <c r="S53" s="48" t="s">
        <v>1436</v>
      </c>
      <c r="T53" s="48" t="s">
        <v>1436</v>
      </c>
      <c r="U53" s="48" t="s">
        <v>38</v>
      </c>
      <c r="V53" s="48" t="s">
        <v>39</v>
      </c>
      <c r="W53" s="48" t="s">
        <v>1194</v>
      </c>
      <c r="X53" s="48" t="s">
        <v>41</v>
      </c>
      <c r="Y53" s="48" t="s">
        <v>1436</v>
      </c>
      <c r="Z53" s="48" t="s">
        <v>1436</v>
      </c>
      <c r="AA53" s="48" t="s">
        <v>1436</v>
      </c>
      <c r="AB53" s="49" t="s">
        <v>193</v>
      </c>
      <c r="AC53" s="48" t="s">
        <v>1194</v>
      </c>
      <c r="AD53" s="48" t="s">
        <v>1244</v>
      </c>
      <c r="AE53" s="48" t="s">
        <v>36</v>
      </c>
    </row>
    <row r="54" spans="1:31" x14ac:dyDescent="0.3">
      <c r="A54" s="48" t="s">
        <v>1320</v>
      </c>
      <c r="B54" s="48" t="s">
        <v>6</v>
      </c>
      <c r="C54" s="48" t="s">
        <v>1322</v>
      </c>
      <c r="D54" s="48" t="s">
        <v>1405</v>
      </c>
      <c r="E54" s="50">
        <v>44651</v>
      </c>
      <c r="F54" s="49" t="s">
        <v>1321</v>
      </c>
      <c r="G54" s="48" t="s">
        <v>36</v>
      </c>
      <c r="H54" s="48" t="s">
        <v>1443</v>
      </c>
      <c r="I54" s="51">
        <v>0</v>
      </c>
      <c r="J54" s="51"/>
      <c r="K54" s="51"/>
      <c r="L54" s="48" t="s">
        <v>1194</v>
      </c>
      <c r="M54" s="48" t="s">
        <v>1438</v>
      </c>
      <c r="N54" s="48" t="s">
        <v>1439</v>
      </c>
      <c r="O54" s="49" t="s">
        <v>1442</v>
      </c>
      <c r="P54" s="48" t="s">
        <v>38</v>
      </c>
      <c r="Q54" s="48" t="s">
        <v>37</v>
      </c>
      <c r="R54" s="48" t="s">
        <v>1436</v>
      </c>
      <c r="S54" s="48" t="s">
        <v>1436</v>
      </c>
      <c r="T54" s="48" t="s">
        <v>1436</v>
      </c>
      <c r="U54" s="48" t="s">
        <v>38</v>
      </c>
      <c r="V54" s="48" t="s">
        <v>39</v>
      </c>
      <c r="W54" s="48" t="s">
        <v>1194</v>
      </c>
      <c r="X54" s="48" t="s">
        <v>41</v>
      </c>
      <c r="Y54" s="48" t="s">
        <v>1436</v>
      </c>
      <c r="Z54" s="48" t="s">
        <v>1436</v>
      </c>
      <c r="AA54" s="48" t="s">
        <v>1436</v>
      </c>
      <c r="AB54" s="49" t="s">
        <v>193</v>
      </c>
      <c r="AC54" s="48" t="s">
        <v>1194</v>
      </c>
      <c r="AD54" s="48" t="s">
        <v>1244</v>
      </c>
      <c r="AE54" s="48" t="s">
        <v>36</v>
      </c>
    </row>
    <row r="55" spans="1:31" x14ac:dyDescent="0.3">
      <c r="A55" s="48" t="s">
        <v>1320</v>
      </c>
      <c r="B55" s="48" t="s">
        <v>6</v>
      </c>
      <c r="C55" s="48" t="s">
        <v>1322</v>
      </c>
      <c r="D55" s="48" t="s">
        <v>1404</v>
      </c>
      <c r="E55" s="50">
        <v>44651</v>
      </c>
      <c r="F55" s="49" t="s">
        <v>1321</v>
      </c>
      <c r="G55" s="48" t="s">
        <v>36</v>
      </c>
      <c r="H55" s="48" t="s">
        <v>49</v>
      </c>
      <c r="I55" s="51">
        <v>-14108.911190000001</v>
      </c>
      <c r="J55" s="51"/>
      <c r="K55" s="51"/>
      <c r="L55" s="48" t="s">
        <v>38</v>
      </c>
      <c r="M55" s="48" t="s">
        <v>1433</v>
      </c>
      <c r="N55" s="48" t="s">
        <v>1447</v>
      </c>
      <c r="O55" s="49" t="s">
        <v>1451</v>
      </c>
      <c r="P55" s="48" t="s">
        <v>38</v>
      </c>
      <c r="Q55" s="48" t="s">
        <v>37</v>
      </c>
      <c r="R55" s="48" t="s">
        <v>1436</v>
      </c>
      <c r="S55" s="48" t="s">
        <v>1436</v>
      </c>
      <c r="T55" s="48" t="s">
        <v>1436</v>
      </c>
      <c r="U55" s="48" t="s">
        <v>38</v>
      </c>
      <c r="V55" s="48" t="s">
        <v>39</v>
      </c>
      <c r="W55" s="48" t="s">
        <v>38</v>
      </c>
      <c r="X55" s="48" t="s">
        <v>41</v>
      </c>
      <c r="Y55" s="48" t="s">
        <v>1436</v>
      </c>
      <c r="Z55" s="48" t="s">
        <v>1436</v>
      </c>
      <c r="AA55" s="48" t="s">
        <v>1436</v>
      </c>
      <c r="AB55" s="49" t="s">
        <v>193</v>
      </c>
      <c r="AC55" s="48" t="s">
        <v>1194</v>
      </c>
      <c r="AD55" s="48" t="s">
        <v>1244</v>
      </c>
      <c r="AE55" s="48" t="s">
        <v>36</v>
      </c>
    </row>
    <row r="56" spans="1:31" x14ac:dyDescent="0.3">
      <c r="A56" s="48" t="s">
        <v>1320</v>
      </c>
      <c r="B56" s="48" t="s">
        <v>6</v>
      </c>
      <c r="C56" s="48" t="s">
        <v>1322</v>
      </c>
      <c r="D56" s="48" t="s">
        <v>1413</v>
      </c>
      <c r="E56" s="50">
        <v>44681</v>
      </c>
      <c r="F56" s="49" t="s">
        <v>1321</v>
      </c>
      <c r="G56" s="48" t="s">
        <v>36</v>
      </c>
      <c r="H56" s="48" t="s">
        <v>58</v>
      </c>
      <c r="I56" s="51">
        <v>-200000</v>
      </c>
      <c r="J56" s="51"/>
      <c r="K56" s="51"/>
      <c r="L56" s="48" t="s">
        <v>40</v>
      </c>
      <c r="M56" s="48" t="s">
        <v>1433</v>
      </c>
      <c r="N56" s="48" t="s">
        <v>1447</v>
      </c>
      <c r="O56" s="49" t="s">
        <v>1448</v>
      </c>
      <c r="P56" s="48" t="s">
        <v>38</v>
      </c>
      <c r="Q56" s="48" t="s">
        <v>37</v>
      </c>
      <c r="R56" s="48" t="s">
        <v>1436</v>
      </c>
      <c r="S56" s="48" t="s">
        <v>1436</v>
      </c>
      <c r="T56" s="48" t="s">
        <v>1436</v>
      </c>
      <c r="U56" s="48" t="s">
        <v>38</v>
      </c>
      <c r="V56" s="48" t="s">
        <v>39</v>
      </c>
      <c r="W56" s="48" t="s">
        <v>40</v>
      </c>
      <c r="X56" s="48" t="s">
        <v>41</v>
      </c>
      <c r="Y56" s="48" t="s">
        <v>1436</v>
      </c>
      <c r="Z56" s="48" t="s">
        <v>1436</v>
      </c>
      <c r="AA56" s="48" t="s">
        <v>1436</v>
      </c>
      <c r="AB56" s="49" t="s">
        <v>193</v>
      </c>
      <c r="AC56" s="48" t="s">
        <v>1194</v>
      </c>
      <c r="AD56" s="48" t="s">
        <v>1244</v>
      </c>
      <c r="AE56" s="48" t="s">
        <v>36</v>
      </c>
    </row>
    <row r="57" spans="1:31" x14ac:dyDescent="0.3">
      <c r="A57" s="48" t="s">
        <v>1320</v>
      </c>
      <c r="B57" s="48" t="s">
        <v>6</v>
      </c>
      <c r="C57" s="48" t="s">
        <v>1322</v>
      </c>
      <c r="D57" s="48" t="s">
        <v>1412</v>
      </c>
      <c r="E57" s="50">
        <v>44681</v>
      </c>
      <c r="F57" s="49" t="s">
        <v>1321</v>
      </c>
      <c r="G57" s="48" t="s">
        <v>36</v>
      </c>
      <c r="H57" s="48" t="s">
        <v>52</v>
      </c>
      <c r="I57" s="51">
        <v>-169321.96</v>
      </c>
      <c r="J57" s="51"/>
      <c r="K57" s="51"/>
      <c r="L57" s="48" t="s">
        <v>40</v>
      </c>
      <c r="M57" s="48" t="s">
        <v>1433</v>
      </c>
      <c r="N57" s="48" t="s">
        <v>1434</v>
      </c>
      <c r="O57" s="49" t="s">
        <v>1435</v>
      </c>
      <c r="P57" s="48" t="s">
        <v>38</v>
      </c>
      <c r="Q57" s="48" t="s">
        <v>37</v>
      </c>
      <c r="R57" s="48" t="s">
        <v>1436</v>
      </c>
      <c r="S57" s="48" t="s">
        <v>1436</v>
      </c>
      <c r="T57" s="48" t="s">
        <v>1436</v>
      </c>
      <c r="U57" s="48" t="s">
        <v>38</v>
      </c>
      <c r="V57" s="48" t="s">
        <v>39</v>
      </c>
      <c r="W57" s="48" t="s">
        <v>40</v>
      </c>
      <c r="X57" s="48" t="s">
        <v>41</v>
      </c>
      <c r="Y57" s="48" t="s">
        <v>1436</v>
      </c>
      <c r="Z57" s="48" t="s">
        <v>1436</v>
      </c>
      <c r="AA57" s="48" t="s">
        <v>1436</v>
      </c>
      <c r="AB57" s="49" t="s">
        <v>193</v>
      </c>
      <c r="AC57" s="48" t="s">
        <v>1194</v>
      </c>
      <c r="AD57" s="48" t="s">
        <v>1244</v>
      </c>
      <c r="AE57" s="48" t="s">
        <v>36</v>
      </c>
    </row>
    <row r="58" spans="1:31" x14ac:dyDescent="0.3">
      <c r="A58" s="48" t="s">
        <v>1320</v>
      </c>
      <c r="B58" s="48" t="s">
        <v>6</v>
      </c>
      <c r="C58" s="48" t="s">
        <v>1322</v>
      </c>
      <c r="D58" s="48" t="s">
        <v>1411</v>
      </c>
      <c r="E58" s="50">
        <v>44681</v>
      </c>
      <c r="F58" s="49" t="s">
        <v>1321</v>
      </c>
      <c r="G58" s="48" t="s">
        <v>36</v>
      </c>
      <c r="H58" s="48" t="s">
        <v>50</v>
      </c>
      <c r="I58" s="51">
        <v>169321.96</v>
      </c>
      <c r="J58" s="51"/>
      <c r="K58" s="51"/>
      <c r="L58" s="48" t="s">
        <v>40</v>
      </c>
      <c r="M58" s="48" t="s">
        <v>1438</v>
      </c>
      <c r="N58" s="48" t="s">
        <v>1444</v>
      </c>
      <c r="O58" s="49" t="s">
        <v>1445</v>
      </c>
      <c r="P58" s="48" t="s">
        <v>38</v>
      </c>
      <c r="Q58" s="48" t="s">
        <v>37</v>
      </c>
      <c r="R58" s="48" t="s">
        <v>1436</v>
      </c>
      <c r="S58" s="48" t="s">
        <v>1436</v>
      </c>
      <c r="T58" s="48" t="s">
        <v>1436</v>
      </c>
      <c r="U58" s="48" t="s">
        <v>38</v>
      </c>
      <c r="V58" s="48" t="s">
        <v>39</v>
      </c>
      <c r="W58" s="48" t="s">
        <v>40</v>
      </c>
      <c r="X58" s="48" t="s">
        <v>41</v>
      </c>
      <c r="Y58" s="48" t="s">
        <v>1436</v>
      </c>
      <c r="Z58" s="48" t="s">
        <v>1436</v>
      </c>
      <c r="AA58" s="48" t="s">
        <v>1436</v>
      </c>
      <c r="AB58" s="49" t="s">
        <v>193</v>
      </c>
      <c r="AC58" s="48" t="s">
        <v>1194</v>
      </c>
      <c r="AD58" s="48" t="s">
        <v>1244</v>
      </c>
      <c r="AE58" s="48" t="s">
        <v>36</v>
      </c>
    </row>
    <row r="59" spans="1:31" x14ac:dyDescent="0.3">
      <c r="A59" s="48" t="s">
        <v>1320</v>
      </c>
      <c r="B59" s="48" t="s">
        <v>6</v>
      </c>
      <c r="C59" s="48" t="s">
        <v>1322</v>
      </c>
      <c r="D59" s="48" t="s">
        <v>1410</v>
      </c>
      <c r="E59" s="50">
        <v>44681</v>
      </c>
      <c r="F59" s="49" t="s">
        <v>1321</v>
      </c>
      <c r="G59" s="48" t="s">
        <v>36</v>
      </c>
      <c r="H59" s="48" t="s">
        <v>42</v>
      </c>
      <c r="I59" s="51">
        <v>2539829.423163</v>
      </c>
      <c r="J59" s="51"/>
      <c r="K59" s="51"/>
      <c r="L59" s="48" t="s">
        <v>40</v>
      </c>
      <c r="M59" s="48" t="s">
        <v>1433</v>
      </c>
      <c r="N59" s="48" t="s">
        <v>1434</v>
      </c>
      <c r="O59" s="49" t="s">
        <v>1437</v>
      </c>
      <c r="P59" s="48" t="s">
        <v>38</v>
      </c>
      <c r="Q59" s="48" t="s">
        <v>37</v>
      </c>
      <c r="R59" s="48" t="s">
        <v>1436</v>
      </c>
      <c r="S59" s="48" t="s">
        <v>1436</v>
      </c>
      <c r="T59" s="48" t="s">
        <v>1436</v>
      </c>
      <c r="U59" s="48" t="s">
        <v>38</v>
      </c>
      <c r="V59" s="48" t="s">
        <v>39</v>
      </c>
      <c r="W59" s="48" t="s">
        <v>40</v>
      </c>
      <c r="X59" s="48" t="s">
        <v>41</v>
      </c>
      <c r="Y59" s="48" t="s">
        <v>1436</v>
      </c>
      <c r="Z59" s="48" t="s">
        <v>1436</v>
      </c>
      <c r="AA59" s="48" t="s">
        <v>1436</v>
      </c>
      <c r="AB59" s="49" t="s">
        <v>193</v>
      </c>
      <c r="AC59" s="48" t="s">
        <v>1194</v>
      </c>
      <c r="AD59" s="48" t="s">
        <v>1244</v>
      </c>
      <c r="AE59" s="48" t="s">
        <v>36</v>
      </c>
    </row>
    <row r="60" spans="1:31" x14ac:dyDescent="0.3">
      <c r="A60" s="48" t="s">
        <v>1320</v>
      </c>
      <c r="B60" s="48" t="s">
        <v>6</v>
      </c>
      <c r="C60" s="48" t="s">
        <v>1322</v>
      </c>
      <c r="D60" s="48" t="s">
        <v>1409</v>
      </c>
      <c r="E60" s="50">
        <v>44681</v>
      </c>
      <c r="F60" s="49" t="s">
        <v>1321</v>
      </c>
      <c r="G60" s="48" t="s">
        <v>36</v>
      </c>
      <c r="H60" s="48" t="s">
        <v>45</v>
      </c>
      <c r="I60" s="51">
        <v>-1935401.450985</v>
      </c>
      <c r="J60" s="51"/>
      <c r="K60" s="51"/>
      <c r="L60" s="48" t="s">
        <v>40</v>
      </c>
      <c r="M60" s="48" t="s">
        <v>1433</v>
      </c>
      <c r="N60" s="48" t="s">
        <v>1447</v>
      </c>
      <c r="O60" s="49" t="s">
        <v>1449</v>
      </c>
      <c r="P60" s="48" t="s">
        <v>38</v>
      </c>
      <c r="Q60" s="48" t="s">
        <v>37</v>
      </c>
      <c r="R60" s="48" t="s">
        <v>1436</v>
      </c>
      <c r="S60" s="48" t="s">
        <v>1436</v>
      </c>
      <c r="T60" s="48" t="s">
        <v>1436</v>
      </c>
      <c r="U60" s="48" t="s">
        <v>38</v>
      </c>
      <c r="V60" s="48" t="s">
        <v>39</v>
      </c>
      <c r="W60" s="48" t="s">
        <v>40</v>
      </c>
      <c r="X60" s="48" t="s">
        <v>41</v>
      </c>
      <c r="Y60" s="48" t="s">
        <v>1436</v>
      </c>
      <c r="Z60" s="48" t="s">
        <v>1436</v>
      </c>
      <c r="AA60" s="48" t="s">
        <v>1436</v>
      </c>
      <c r="AB60" s="49" t="s">
        <v>193</v>
      </c>
      <c r="AC60" s="48" t="s">
        <v>1194</v>
      </c>
      <c r="AD60" s="48" t="s">
        <v>1244</v>
      </c>
      <c r="AE60" s="48" t="s">
        <v>36</v>
      </c>
    </row>
    <row r="61" spans="1:31" x14ac:dyDescent="0.3">
      <c r="A61" s="48" t="s">
        <v>1320</v>
      </c>
      <c r="B61" s="48" t="s">
        <v>6</v>
      </c>
      <c r="C61" s="48" t="s">
        <v>1322</v>
      </c>
      <c r="D61" s="48" t="s">
        <v>1408</v>
      </c>
      <c r="E61" s="50">
        <v>44681</v>
      </c>
      <c r="F61" s="49" t="s">
        <v>1321</v>
      </c>
      <c r="G61" s="48" t="s">
        <v>36</v>
      </c>
      <c r="H61" s="48" t="s">
        <v>54</v>
      </c>
      <c r="I61" s="51">
        <v>-447377.95</v>
      </c>
      <c r="J61" s="51"/>
      <c r="K61" s="51"/>
      <c r="L61" s="48" t="s">
        <v>40</v>
      </c>
      <c r="M61" s="48" t="s">
        <v>1433</v>
      </c>
      <c r="N61" s="48" t="s">
        <v>1447</v>
      </c>
      <c r="O61" s="49" t="s">
        <v>1450</v>
      </c>
      <c r="P61" s="48" t="s">
        <v>38</v>
      </c>
      <c r="Q61" s="48" t="s">
        <v>37</v>
      </c>
      <c r="R61" s="48" t="s">
        <v>1436</v>
      </c>
      <c r="S61" s="48" t="s">
        <v>1436</v>
      </c>
      <c r="T61" s="48" t="s">
        <v>1436</v>
      </c>
      <c r="U61" s="48" t="s">
        <v>38</v>
      </c>
      <c r="V61" s="48" t="s">
        <v>39</v>
      </c>
      <c r="W61" s="48" t="s">
        <v>40</v>
      </c>
      <c r="X61" s="48" t="s">
        <v>41</v>
      </c>
      <c r="Y61" s="48" t="s">
        <v>1436</v>
      </c>
      <c r="Z61" s="48" t="s">
        <v>1436</v>
      </c>
      <c r="AA61" s="48" t="s">
        <v>1436</v>
      </c>
      <c r="AB61" s="49" t="s">
        <v>193</v>
      </c>
      <c r="AC61" s="48" t="s">
        <v>1194</v>
      </c>
      <c r="AD61" s="48" t="s">
        <v>1244</v>
      </c>
      <c r="AE61" s="48" t="s">
        <v>36</v>
      </c>
    </row>
    <row r="62" spans="1:31" x14ac:dyDescent="0.3">
      <c r="A62" s="48" t="s">
        <v>1320</v>
      </c>
      <c r="B62" s="48" t="s">
        <v>6</v>
      </c>
      <c r="C62" s="48" t="s">
        <v>1322</v>
      </c>
      <c r="D62" s="48" t="s">
        <v>1407</v>
      </c>
      <c r="E62" s="50">
        <v>44681</v>
      </c>
      <c r="F62" s="49" t="s">
        <v>1321</v>
      </c>
      <c r="G62" s="48" t="s">
        <v>36</v>
      </c>
      <c r="H62" s="48" t="s">
        <v>47</v>
      </c>
      <c r="I62" s="51">
        <v>56849.524328</v>
      </c>
      <c r="J62" s="51"/>
      <c r="K62" s="51"/>
      <c r="L62" s="48" t="s">
        <v>40</v>
      </c>
      <c r="M62" s="48" t="s">
        <v>1438</v>
      </c>
      <c r="N62" s="48" t="s">
        <v>1444</v>
      </c>
      <c r="O62" s="49" t="s">
        <v>1446</v>
      </c>
      <c r="P62" s="48" t="s">
        <v>38</v>
      </c>
      <c r="Q62" s="48" t="s">
        <v>37</v>
      </c>
      <c r="R62" s="48" t="s">
        <v>1436</v>
      </c>
      <c r="S62" s="48" t="s">
        <v>1436</v>
      </c>
      <c r="T62" s="48" t="s">
        <v>1436</v>
      </c>
      <c r="U62" s="48" t="s">
        <v>38</v>
      </c>
      <c r="V62" s="48" t="s">
        <v>39</v>
      </c>
      <c r="W62" s="48" t="s">
        <v>40</v>
      </c>
      <c r="X62" s="48" t="s">
        <v>41</v>
      </c>
      <c r="Y62" s="48" t="s">
        <v>1436</v>
      </c>
      <c r="Z62" s="48" t="s">
        <v>1436</v>
      </c>
      <c r="AA62" s="48" t="s">
        <v>1436</v>
      </c>
      <c r="AB62" s="49" t="s">
        <v>193</v>
      </c>
      <c r="AC62" s="48" t="s">
        <v>1194</v>
      </c>
      <c r="AD62" s="48" t="s">
        <v>1244</v>
      </c>
      <c r="AE62" s="48" t="s">
        <v>36</v>
      </c>
    </row>
    <row r="63" spans="1:31" x14ac:dyDescent="0.3">
      <c r="A63" s="48" t="s">
        <v>1320</v>
      </c>
      <c r="B63" s="48" t="s">
        <v>6</v>
      </c>
      <c r="C63" s="48" t="s">
        <v>1322</v>
      </c>
      <c r="D63" s="48" t="s">
        <v>1406</v>
      </c>
      <c r="E63" s="50">
        <v>44681</v>
      </c>
      <c r="F63" s="49" t="s">
        <v>1321</v>
      </c>
      <c r="G63" s="48" t="s">
        <v>36</v>
      </c>
      <c r="H63" s="48" t="s">
        <v>1441</v>
      </c>
      <c r="I63" s="51">
        <v>0</v>
      </c>
      <c r="J63" s="51"/>
      <c r="K63" s="51"/>
      <c r="L63" s="48" t="s">
        <v>1194</v>
      </c>
      <c r="M63" s="48" t="s">
        <v>1438</v>
      </c>
      <c r="N63" s="48" t="s">
        <v>1439</v>
      </c>
      <c r="O63" s="49" t="s">
        <v>1440</v>
      </c>
      <c r="P63" s="48" t="s">
        <v>38</v>
      </c>
      <c r="Q63" s="48" t="s">
        <v>37</v>
      </c>
      <c r="R63" s="48" t="s">
        <v>1436</v>
      </c>
      <c r="S63" s="48" t="s">
        <v>1436</v>
      </c>
      <c r="T63" s="48" t="s">
        <v>1436</v>
      </c>
      <c r="U63" s="48" t="s">
        <v>38</v>
      </c>
      <c r="V63" s="48" t="s">
        <v>39</v>
      </c>
      <c r="W63" s="48" t="s">
        <v>1194</v>
      </c>
      <c r="X63" s="48" t="s">
        <v>41</v>
      </c>
      <c r="Y63" s="48" t="s">
        <v>1436</v>
      </c>
      <c r="Z63" s="48" t="s">
        <v>1436</v>
      </c>
      <c r="AA63" s="48" t="s">
        <v>1436</v>
      </c>
      <c r="AB63" s="49" t="s">
        <v>193</v>
      </c>
      <c r="AC63" s="48" t="s">
        <v>1194</v>
      </c>
      <c r="AD63" s="48" t="s">
        <v>1244</v>
      </c>
      <c r="AE63" s="48" t="s">
        <v>36</v>
      </c>
    </row>
    <row r="64" spans="1:31" x14ac:dyDescent="0.3">
      <c r="A64" s="48" t="s">
        <v>1320</v>
      </c>
      <c r="B64" s="48" t="s">
        <v>6</v>
      </c>
      <c r="C64" s="48" t="s">
        <v>1322</v>
      </c>
      <c r="D64" s="48" t="s">
        <v>1405</v>
      </c>
      <c r="E64" s="50">
        <v>44681</v>
      </c>
      <c r="F64" s="49" t="s">
        <v>1321</v>
      </c>
      <c r="G64" s="48" t="s">
        <v>36</v>
      </c>
      <c r="H64" s="48" t="s">
        <v>1443</v>
      </c>
      <c r="I64" s="51">
        <v>0</v>
      </c>
      <c r="J64" s="51"/>
      <c r="K64" s="51"/>
      <c r="L64" s="48" t="s">
        <v>1194</v>
      </c>
      <c r="M64" s="48" t="s">
        <v>1438</v>
      </c>
      <c r="N64" s="48" t="s">
        <v>1439</v>
      </c>
      <c r="O64" s="49" t="s">
        <v>1442</v>
      </c>
      <c r="P64" s="48" t="s">
        <v>38</v>
      </c>
      <c r="Q64" s="48" t="s">
        <v>37</v>
      </c>
      <c r="R64" s="48" t="s">
        <v>1436</v>
      </c>
      <c r="S64" s="48" t="s">
        <v>1436</v>
      </c>
      <c r="T64" s="48" t="s">
        <v>1436</v>
      </c>
      <c r="U64" s="48" t="s">
        <v>38</v>
      </c>
      <c r="V64" s="48" t="s">
        <v>39</v>
      </c>
      <c r="W64" s="48" t="s">
        <v>1194</v>
      </c>
      <c r="X64" s="48" t="s">
        <v>41</v>
      </c>
      <c r="Y64" s="48" t="s">
        <v>1436</v>
      </c>
      <c r="Z64" s="48" t="s">
        <v>1436</v>
      </c>
      <c r="AA64" s="48" t="s">
        <v>1436</v>
      </c>
      <c r="AB64" s="49" t="s">
        <v>193</v>
      </c>
      <c r="AC64" s="48" t="s">
        <v>1194</v>
      </c>
      <c r="AD64" s="48" t="s">
        <v>1244</v>
      </c>
      <c r="AE64" s="48" t="s">
        <v>36</v>
      </c>
    </row>
    <row r="65" spans="1:31" x14ac:dyDescent="0.3">
      <c r="A65" s="48" t="s">
        <v>1320</v>
      </c>
      <c r="B65" s="48" t="s">
        <v>6</v>
      </c>
      <c r="C65" s="48" t="s">
        <v>1322</v>
      </c>
      <c r="D65" s="48" t="s">
        <v>1404</v>
      </c>
      <c r="E65" s="50">
        <v>44681</v>
      </c>
      <c r="F65" s="49" t="s">
        <v>1321</v>
      </c>
      <c r="G65" s="48" t="s">
        <v>36</v>
      </c>
      <c r="H65" s="48" t="s">
        <v>49</v>
      </c>
      <c r="I65" s="51">
        <v>-13899.546506000001</v>
      </c>
      <c r="J65" s="51"/>
      <c r="K65" s="51"/>
      <c r="L65" s="48" t="s">
        <v>38</v>
      </c>
      <c r="M65" s="48" t="s">
        <v>1433</v>
      </c>
      <c r="N65" s="48" t="s">
        <v>1447</v>
      </c>
      <c r="O65" s="49" t="s">
        <v>1451</v>
      </c>
      <c r="P65" s="48" t="s">
        <v>38</v>
      </c>
      <c r="Q65" s="48" t="s">
        <v>37</v>
      </c>
      <c r="R65" s="48" t="s">
        <v>1436</v>
      </c>
      <c r="S65" s="48" t="s">
        <v>1436</v>
      </c>
      <c r="T65" s="48" t="s">
        <v>1436</v>
      </c>
      <c r="U65" s="48" t="s">
        <v>38</v>
      </c>
      <c r="V65" s="48" t="s">
        <v>39</v>
      </c>
      <c r="W65" s="48" t="s">
        <v>38</v>
      </c>
      <c r="X65" s="48" t="s">
        <v>41</v>
      </c>
      <c r="Y65" s="48" t="s">
        <v>1436</v>
      </c>
      <c r="Z65" s="48" t="s">
        <v>1436</v>
      </c>
      <c r="AA65" s="48" t="s">
        <v>1436</v>
      </c>
      <c r="AB65" s="49" t="s">
        <v>193</v>
      </c>
      <c r="AC65" s="48" t="s">
        <v>1194</v>
      </c>
      <c r="AD65" s="48" t="s">
        <v>1244</v>
      </c>
      <c r="AE65" s="48" t="s">
        <v>36</v>
      </c>
    </row>
    <row r="66" spans="1:31" x14ac:dyDescent="0.3">
      <c r="A66" s="48" t="s">
        <v>1320</v>
      </c>
      <c r="B66" s="48" t="s">
        <v>6</v>
      </c>
      <c r="C66" s="48" t="s">
        <v>1322</v>
      </c>
      <c r="D66" s="48" t="s">
        <v>1413</v>
      </c>
      <c r="E66" s="50">
        <v>44712</v>
      </c>
      <c r="F66" s="49" t="s">
        <v>1321</v>
      </c>
      <c r="G66" s="48" t="s">
        <v>36</v>
      </c>
      <c r="H66" s="48" t="s">
        <v>58</v>
      </c>
      <c r="I66" s="51">
        <v>-250000</v>
      </c>
      <c r="J66" s="51"/>
      <c r="K66" s="51"/>
      <c r="L66" s="48" t="s">
        <v>40</v>
      </c>
      <c r="M66" s="48" t="s">
        <v>1433</v>
      </c>
      <c r="N66" s="48" t="s">
        <v>1447</v>
      </c>
      <c r="O66" s="49" t="s">
        <v>1448</v>
      </c>
      <c r="P66" s="48" t="s">
        <v>38</v>
      </c>
      <c r="Q66" s="48" t="s">
        <v>37</v>
      </c>
      <c r="R66" s="48" t="s">
        <v>1436</v>
      </c>
      <c r="S66" s="48" t="s">
        <v>1436</v>
      </c>
      <c r="T66" s="48" t="s">
        <v>1436</v>
      </c>
      <c r="U66" s="48" t="s">
        <v>38</v>
      </c>
      <c r="V66" s="48" t="s">
        <v>39</v>
      </c>
      <c r="W66" s="48" t="s">
        <v>40</v>
      </c>
      <c r="X66" s="48" t="s">
        <v>41</v>
      </c>
      <c r="Y66" s="48" t="s">
        <v>1436</v>
      </c>
      <c r="Z66" s="48" t="s">
        <v>1436</v>
      </c>
      <c r="AA66" s="48" t="s">
        <v>1436</v>
      </c>
      <c r="AB66" s="49" t="s">
        <v>193</v>
      </c>
      <c r="AC66" s="48" t="s">
        <v>1194</v>
      </c>
      <c r="AD66" s="48" t="s">
        <v>1244</v>
      </c>
      <c r="AE66" s="48" t="s">
        <v>36</v>
      </c>
    </row>
    <row r="67" spans="1:31" x14ac:dyDescent="0.3">
      <c r="A67" s="48" t="s">
        <v>1320</v>
      </c>
      <c r="B67" s="48" t="s">
        <v>6</v>
      </c>
      <c r="C67" s="48" t="s">
        <v>1322</v>
      </c>
      <c r="D67" s="48" t="s">
        <v>1412</v>
      </c>
      <c r="E67" s="50">
        <v>44712</v>
      </c>
      <c r="F67" s="49" t="s">
        <v>1321</v>
      </c>
      <c r="G67" s="48" t="s">
        <v>36</v>
      </c>
      <c r="H67" s="48" t="s">
        <v>52</v>
      </c>
      <c r="I67" s="51">
        <v>-211652.45</v>
      </c>
      <c r="J67" s="51"/>
      <c r="K67" s="51"/>
      <c r="L67" s="48" t="s">
        <v>40</v>
      </c>
      <c r="M67" s="48" t="s">
        <v>1433</v>
      </c>
      <c r="N67" s="48" t="s">
        <v>1434</v>
      </c>
      <c r="O67" s="49" t="s">
        <v>1435</v>
      </c>
      <c r="P67" s="48" t="s">
        <v>38</v>
      </c>
      <c r="Q67" s="48" t="s">
        <v>37</v>
      </c>
      <c r="R67" s="48" t="s">
        <v>1436</v>
      </c>
      <c r="S67" s="48" t="s">
        <v>1436</v>
      </c>
      <c r="T67" s="48" t="s">
        <v>1436</v>
      </c>
      <c r="U67" s="48" t="s">
        <v>38</v>
      </c>
      <c r="V67" s="48" t="s">
        <v>39</v>
      </c>
      <c r="W67" s="48" t="s">
        <v>40</v>
      </c>
      <c r="X67" s="48" t="s">
        <v>41</v>
      </c>
      <c r="Y67" s="48" t="s">
        <v>1436</v>
      </c>
      <c r="Z67" s="48" t="s">
        <v>1436</v>
      </c>
      <c r="AA67" s="48" t="s">
        <v>1436</v>
      </c>
      <c r="AB67" s="49" t="s">
        <v>193</v>
      </c>
      <c r="AC67" s="48" t="s">
        <v>1194</v>
      </c>
      <c r="AD67" s="48" t="s">
        <v>1244</v>
      </c>
      <c r="AE67" s="48" t="s">
        <v>36</v>
      </c>
    </row>
    <row r="68" spans="1:31" x14ac:dyDescent="0.3">
      <c r="A68" s="48" t="s">
        <v>1320</v>
      </c>
      <c r="B68" s="48" t="s">
        <v>6</v>
      </c>
      <c r="C68" s="48" t="s">
        <v>1322</v>
      </c>
      <c r="D68" s="48" t="s">
        <v>1411</v>
      </c>
      <c r="E68" s="50">
        <v>44712</v>
      </c>
      <c r="F68" s="49" t="s">
        <v>1321</v>
      </c>
      <c r="G68" s="48" t="s">
        <v>36</v>
      </c>
      <c r="H68" s="48" t="s">
        <v>50</v>
      </c>
      <c r="I68" s="51">
        <v>211652.45</v>
      </c>
      <c r="J68" s="51"/>
      <c r="K68" s="51"/>
      <c r="L68" s="48" t="s">
        <v>40</v>
      </c>
      <c r="M68" s="48" t="s">
        <v>1438</v>
      </c>
      <c r="N68" s="48" t="s">
        <v>1444</v>
      </c>
      <c r="O68" s="49" t="s">
        <v>1445</v>
      </c>
      <c r="P68" s="48" t="s">
        <v>38</v>
      </c>
      <c r="Q68" s="48" t="s">
        <v>37</v>
      </c>
      <c r="R68" s="48" t="s">
        <v>1436</v>
      </c>
      <c r="S68" s="48" t="s">
        <v>1436</v>
      </c>
      <c r="T68" s="48" t="s">
        <v>1436</v>
      </c>
      <c r="U68" s="48" t="s">
        <v>38</v>
      </c>
      <c r="V68" s="48" t="s">
        <v>39</v>
      </c>
      <c r="W68" s="48" t="s">
        <v>40</v>
      </c>
      <c r="X68" s="48" t="s">
        <v>41</v>
      </c>
      <c r="Y68" s="48" t="s">
        <v>1436</v>
      </c>
      <c r="Z68" s="48" t="s">
        <v>1436</v>
      </c>
      <c r="AA68" s="48" t="s">
        <v>1436</v>
      </c>
      <c r="AB68" s="49" t="s">
        <v>193</v>
      </c>
      <c r="AC68" s="48" t="s">
        <v>1194</v>
      </c>
      <c r="AD68" s="48" t="s">
        <v>1244</v>
      </c>
      <c r="AE68" s="48" t="s">
        <v>36</v>
      </c>
    </row>
    <row r="69" spans="1:31" x14ac:dyDescent="0.3">
      <c r="A69" s="48" t="s">
        <v>1320</v>
      </c>
      <c r="B69" s="48" t="s">
        <v>6</v>
      </c>
      <c r="C69" s="48" t="s">
        <v>1322</v>
      </c>
      <c r="D69" s="48" t="s">
        <v>1410</v>
      </c>
      <c r="E69" s="50">
        <v>44712</v>
      </c>
      <c r="F69" s="49" t="s">
        <v>1321</v>
      </c>
      <c r="G69" s="48" t="s">
        <v>36</v>
      </c>
      <c r="H69" s="48" t="s">
        <v>42</v>
      </c>
      <c r="I69" s="51">
        <v>2539829.423163</v>
      </c>
      <c r="J69" s="51"/>
      <c r="K69" s="51"/>
      <c r="L69" s="48" t="s">
        <v>40</v>
      </c>
      <c r="M69" s="48" t="s">
        <v>1433</v>
      </c>
      <c r="N69" s="48" t="s">
        <v>1434</v>
      </c>
      <c r="O69" s="49" t="s">
        <v>1437</v>
      </c>
      <c r="P69" s="48" t="s">
        <v>38</v>
      </c>
      <c r="Q69" s="48" t="s">
        <v>37</v>
      </c>
      <c r="R69" s="48" t="s">
        <v>1436</v>
      </c>
      <c r="S69" s="48" t="s">
        <v>1436</v>
      </c>
      <c r="T69" s="48" t="s">
        <v>1436</v>
      </c>
      <c r="U69" s="48" t="s">
        <v>38</v>
      </c>
      <c r="V69" s="48" t="s">
        <v>39</v>
      </c>
      <c r="W69" s="48" t="s">
        <v>40</v>
      </c>
      <c r="X69" s="48" t="s">
        <v>41</v>
      </c>
      <c r="Y69" s="48" t="s">
        <v>1436</v>
      </c>
      <c r="Z69" s="48" t="s">
        <v>1436</v>
      </c>
      <c r="AA69" s="48" t="s">
        <v>1436</v>
      </c>
      <c r="AB69" s="49" t="s">
        <v>193</v>
      </c>
      <c r="AC69" s="48" t="s">
        <v>1194</v>
      </c>
      <c r="AD69" s="48" t="s">
        <v>1244</v>
      </c>
      <c r="AE69" s="48" t="s">
        <v>36</v>
      </c>
    </row>
    <row r="70" spans="1:31" x14ac:dyDescent="0.3">
      <c r="A70" s="48" t="s">
        <v>1320</v>
      </c>
      <c r="B70" s="48" t="s">
        <v>6</v>
      </c>
      <c r="C70" s="48" t="s">
        <v>1322</v>
      </c>
      <c r="D70" s="48" t="s">
        <v>1409</v>
      </c>
      <c r="E70" s="50">
        <v>44712</v>
      </c>
      <c r="F70" s="49" t="s">
        <v>1321</v>
      </c>
      <c r="G70" s="48" t="s">
        <v>36</v>
      </c>
      <c r="H70" s="48" t="s">
        <v>45</v>
      </c>
      <c r="I70" s="51">
        <v>-1896691.297491</v>
      </c>
      <c r="J70" s="51"/>
      <c r="K70" s="51"/>
      <c r="L70" s="48" t="s">
        <v>40</v>
      </c>
      <c r="M70" s="48" t="s">
        <v>1433</v>
      </c>
      <c r="N70" s="48" t="s">
        <v>1447</v>
      </c>
      <c r="O70" s="49" t="s">
        <v>1449</v>
      </c>
      <c r="P70" s="48" t="s">
        <v>38</v>
      </c>
      <c r="Q70" s="48" t="s">
        <v>37</v>
      </c>
      <c r="R70" s="48" t="s">
        <v>1436</v>
      </c>
      <c r="S70" s="48" t="s">
        <v>1436</v>
      </c>
      <c r="T70" s="48" t="s">
        <v>1436</v>
      </c>
      <c r="U70" s="48" t="s">
        <v>38</v>
      </c>
      <c r="V70" s="48" t="s">
        <v>39</v>
      </c>
      <c r="W70" s="48" t="s">
        <v>40</v>
      </c>
      <c r="X70" s="48" t="s">
        <v>41</v>
      </c>
      <c r="Y70" s="48" t="s">
        <v>1436</v>
      </c>
      <c r="Z70" s="48" t="s">
        <v>1436</v>
      </c>
      <c r="AA70" s="48" t="s">
        <v>1436</v>
      </c>
      <c r="AB70" s="49" t="s">
        <v>193</v>
      </c>
      <c r="AC70" s="48" t="s">
        <v>1194</v>
      </c>
      <c r="AD70" s="48" t="s">
        <v>1244</v>
      </c>
      <c r="AE70" s="48" t="s">
        <v>36</v>
      </c>
    </row>
    <row r="71" spans="1:31" x14ac:dyDescent="0.3">
      <c r="A71" s="48" t="s">
        <v>1320</v>
      </c>
      <c r="B71" s="48" t="s">
        <v>6</v>
      </c>
      <c r="C71" s="48" t="s">
        <v>1322</v>
      </c>
      <c r="D71" s="48" t="s">
        <v>1408</v>
      </c>
      <c r="E71" s="50">
        <v>44712</v>
      </c>
      <c r="F71" s="49" t="s">
        <v>1321</v>
      </c>
      <c r="G71" s="48" t="s">
        <v>36</v>
      </c>
      <c r="H71" s="48" t="s">
        <v>54</v>
      </c>
      <c r="I71" s="51">
        <v>-449987.65</v>
      </c>
      <c r="J71" s="51"/>
      <c r="K71" s="51"/>
      <c r="L71" s="48" t="s">
        <v>40</v>
      </c>
      <c r="M71" s="48" t="s">
        <v>1433</v>
      </c>
      <c r="N71" s="48" t="s">
        <v>1447</v>
      </c>
      <c r="O71" s="49" t="s">
        <v>1450</v>
      </c>
      <c r="P71" s="48" t="s">
        <v>38</v>
      </c>
      <c r="Q71" s="48" t="s">
        <v>37</v>
      </c>
      <c r="R71" s="48" t="s">
        <v>1436</v>
      </c>
      <c r="S71" s="48" t="s">
        <v>1436</v>
      </c>
      <c r="T71" s="48" t="s">
        <v>1436</v>
      </c>
      <c r="U71" s="48" t="s">
        <v>38</v>
      </c>
      <c r="V71" s="48" t="s">
        <v>39</v>
      </c>
      <c r="W71" s="48" t="s">
        <v>40</v>
      </c>
      <c r="X71" s="48" t="s">
        <v>41</v>
      </c>
      <c r="Y71" s="48" t="s">
        <v>1436</v>
      </c>
      <c r="Z71" s="48" t="s">
        <v>1436</v>
      </c>
      <c r="AA71" s="48" t="s">
        <v>1436</v>
      </c>
      <c r="AB71" s="49" t="s">
        <v>193</v>
      </c>
      <c r="AC71" s="48" t="s">
        <v>1194</v>
      </c>
      <c r="AD71" s="48" t="s">
        <v>1244</v>
      </c>
      <c r="AE71" s="48" t="s">
        <v>36</v>
      </c>
    </row>
    <row r="72" spans="1:31" x14ac:dyDescent="0.3">
      <c r="A72" s="48" t="s">
        <v>1320</v>
      </c>
      <c r="B72" s="48" t="s">
        <v>6</v>
      </c>
      <c r="C72" s="48" t="s">
        <v>1322</v>
      </c>
      <c r="D72" s="48" t="s">
        <v>1407</v>
      </c>
      <c r="E72" s="50">
        <v>44712</v>
      </c>
      <c r="F72" s="49" t="s">
        <v>1321</v>
      </c>
      <c r="G72" s="48" t="s">
        <v>36</v>
      </c>
      <c r="H72" s="48" t="s">
        <v>47</v>
      </c>
      <c r="I72" s="51">
        <v>70538.484855000002</v>
      </c>
      <c r="J72" s="51"/>
      <c r="K72" s="51"/>
      <c r="L72" s="48" t="s">
        <v>40</v>
      </c>
      <c r="M72" s="48" t="s">
        <v>1438</v>
      </c>
      <c r="N72" s="48" t="s">
        <v>1444</v>
      </c>
      <c r="O72" s="49" t="s">
        <v>1446</v>
      </c>
      <c r="P72" s="48" t="s">
        <v>38</v>
      </c>
      <c r="Q72" s="48" t="s">
        <v>37</v>
      </c>
      <c r="R72" s="48" t="s">
        <v>1436</v>
      </c>
      <c r="S72" s="48" t="s">
        <v>1436</v>
      </c>
      <c r="T72" s="48" t="s">
        <v>1436</v>
      </c>
      <c r="U72" s="48" t="s">
        <v>38</v>
      </c>
      <c r="V72" s="48" t="s">
        <v>39</v>
      </c>
      <c r="W72" s="48" t="s">
        <v>40</v>
      </c>
      <c r="X72" s="48" t="s">
        <v>41</v>
      </c>
      <c r="Y72" s="48" t="s">
        <v>1436</v>
      </c>
      <c r="Z72" s="48" t="s">
        <v>1436</v>
      </c>
      <c r="AA72" s="48" t="s">
        <v>1436</v>
      </c>
      <c r="AB72" s="49" t="s">
        <v>193</v>
      </c>
      <c r="AC72" s="48" t="s">
        <v>1194</v>
      </c>
      <c r="AD72" s="48" t="s">
        <v>1244</v>
      </c>
      <c r="AE72" s="48" t="s">
        <v>36</v>
      </c>
    </row>
    <row r="73" spans="1:31" x14ac:dyDescent="0.3">
      <c r="A73" s="48" t="s">
        <v>1320</v>
      </c>
      <c r="B73" s="48" t="s">
        <v>6</v>
      </c>
      <c r="C73" s="48" t="s">
        <v>1322</v>
      </c>
      <c r="D73" s="48" t="s">
        <v>1406</v>
      </c>
      <c r="E73" s="50">
        <v>44712</v>
      </c>
      <c r="F73" s="49" t="s">
        <v>1321</v>
      </c>
      <c r="G73" s="48" t="s">
        <v>36</v>
      </c>
      <c r="H73" s="48" t="s">
        <v>1441</v>
      </c>
      <c r="I73" s="51">
        <v>0</v>
      </c>
      <c r="J73" s="51"/>
      <c r="K73" s="51"/>
      <c r="L73" s="48" t="s">
        <v>1194</v>
      </c>
      <c r="M73" s="48" t="s">
        <v>1438</v>
      </c>
      <c r="N73" s="48" t="s">
        <v>1439</v>
      </c>
      <c r="O73" s="49" t="s">
        <v>1440</v>
      </c>
      <c r="P73" s="48" t="s">
        <v>38</v>
      </c>
      <c r="Q73" s="48" t="s">
        <v>37</v>
      </c>
      <c r="R73" s="48" t="s">
        <v>1436</v>
      </c>
      <c r="S73" s="48" t="s">
        <v>1436</v>
      </c>
      <c r="T73" s="48" t="s">
        <v>1436</v>
      </c>
      <c r="U73" s="48" t="s">
        <v>38</v>
      </c>
      <c r="V73" s="48" t="s">
        <v>39</v>
      </c>
      <c r="W73" s="48" t="s">
        <v>1194</v>
      </c>
      <c r="X73" s="48" t="s">
        <v>41</v>
      </c>
      <c r="Y73" s="48" t="s">
        <v>1436</v>
      </c>
      <c r="Z73" s="48" t="s">
        <v>1436</v>
      </c>
      <c r="AA73" s="48" t="s">
        <v>1436</v>
      </c>
      <c r="AB73" s="49" t="s">
        <v>193</v>
      </c>
      <c r="AC73" s="48" t="s">
        <v>1194</v>
      </c>
      <c r="AD73" s="48" t="s">
        <v>1244</v>
      </c>
      <c r="AE73" s="48" t="s">
        <v>36</v>
      </c>
    </row>
    <row r="74" spans="1:31" x14ac:dyDescent="0.3">
      <c r="A74" s="48" t="s">
        <v>1320</v>
      </c>
      <c r="B74" s="48" t="s">
        <v>6</v>
      </c>
      <c r="C74" s="48" t="s">
        <v>1322</v>
      </c>
      <c r="D74" s="48" t="s">
        <v>1405</v>
      </c>
      <c r="E74" s="50">
        <v>44712</v>
      </c>
      <c r="F74" s="49" t="s">
        <v>1321</v>
      </c>
      <c r="G74" s="48" t="s">
        <v>36</v>
      </c>
      <c r="H74" s="48" t="s">
        <v>1443</v>
      </c>
      <c r="I74" s="51">
        <v>0</v>
      </c>
      <c r="J74" s="51"/>
      <c r="K74" s="51"/>
      <c r="L74" s="48" t="s">
        <v>1194</v>
      </c>
      <c r="M74" s="48" t="s">
        <v>1438</v>
      </c>
      <c r="N74" s="48" t="s">
        <v>1439</v>
      </c>
      <c r="O74" s="49" t="s">
        <v>1442</v>
      </c>
      <c r="P74" s="48" t="s">
        <v>38</v>
      </c>
      <c r="Q74" s="48" t="s">
        <v>37</v>
      </c>
      <c r="R74" s="48" t="s">
        <v>1436</v>
      </c>
      <c r="S74" s="48" t="s">
        <v>1436</v>
      </c>
      <c r="T74" s="48" t="s">
        <v>1436</v>
      </c>
      <c r="U74" s="48" t="s">
        <v>38</v>
      </c>
      <c r="V74" s="48" t="s">
        <v>39</v>
      </c>
      <c r="W74" s="48" t="s">
        <v>1194</v>
      </c>
      <c r="X74" s="48" t="s">
        <v>41</v>
      </c>
      <c r="Y74" s="48" t="s">
        <v>1436</v>
      </c>
      <c r="Z74" s="48" t="s">
        <v>1436</v>
      </c>
      <c r="AA74" s="48" t="s">
        <v>1436</v>
      </c>
      <c r="AB74" s="49" t="s">
        <v>193</v>
      </c>
      <c r="AC74" s="48" t="s">
        <v>1194</v>
      </c>
      <c r="AD74" s="48" t="s">
        <v>1244</v>
      </c>
      <c r="AE74" s="48" t="s">
        <v>36</v>
      </c>
    </row>
    <row r="75" spans="1:31" x14ac:dyDescent="0.3">
      <c r="A75" s="48" t="s">
        <v>1320</v>
      </c>
      <c r="B75" s="48" t="s">
        <v>6</v>
      </c>
      <c r="C75" s="48" t="s">
        <v>1322</v>
      </c>
      <c r="D75" s="48" t="s">
        <v>1404</v>
      </c>
      <c r="E75" s="50">
        <v>44712</v>
      </c>
      <c r="F75" s="49" t="s">
        <v>1321</v>
      </c>
      <c r="G75" s="48" t="s">
        <v>36</v>
      </c>
      <c r="H75" s="48" t="s">
        <v>49</v>
      </c>
      <c r="I75" s="51">
        <v>-13688.960526999999</v>
      </c>
      <c r="J75" s="51"/>
      <c r="K75" s="51"/>
      <c r="L75" s="48" t="s">
        <v>38</v>
      </c>
      <c r="M75" s="48" t="s">
        <v>1433</v>
      </c>
      <c r="N75" s="48" t="s">
        <v>1447</v>
      </c>
      <c r="O75" s="49" t="s">
        <v>1451</v>
      </c>
      <c r="P75" s="48" t="s">
        <v>38</v>
      </c>
      <c r="Q75" s="48" t="s">
        <v>37</v>
      </c>
      <c r="R75" s="48" t="s">
        <v>1436</v>
      </c>
      <c r="S75" s="48" t="s">
        <v>1436</v>
      </c>
      <c r="T75" s="48" t="s">
        <v>1436</v>
      </c>
      <c r="U75" s="48" t="s">
        <v>38</v>
      </c>
      <c r="V75" s="48" t="s">
        <v>39</v>
      </c>
      <c r="W75" s="48" t="s">
        <v>38</v>
      </c>
      <c r="X75" s="48" t="s">
        <v>41</v>
      </c>
      <c r="Y75" s="48" t="s">
        <v>1436</v>
      </c>
      <c r="Z75" s="48" t="s">
        <v>1436</v>
      </c>
      <c r="AA75" s="48" t="s">
        <v>1436</v>
      </c>
      <c r="AB75" s="49" t="s">
        <v>193</v>
      </c>
      <c r="AC75" s="48" t="s">
        <v>1194</v>
      </c>
      <c r="AD75" s="48" t="s">
        <v>1244</v>
      </c>
      <c r="AE75" s="48" t="s">
        <v>36</v>
      </c>
    </row>
    <row r="76" spans="1:31" x14ac:dyDescent="0.3">
      <c r="A76" s="48" t="s">
        <v>1320</v>
      </c>
      <c r="B76" s="48" t="s">
        <v>6</v>
      </c>
      <c r="C76" s="48" t="s">
        <v>1322</v>
      </c>
      <c r="D76" s="48" t="s">
        <v>1413</v>
      </c>
      <c r="E76" s="50">
        <v>44742</v>
      </c>
      <c r="F76" s="49" t="s">
        <v>1321</v>
      </c>
      <c r="G76" s="48" t="s">
        <v>36</v>
      </c>
      <c r="H76" s="48" t="s">
        <v>58</v>
      </c>
      <c r="I76" s="51">
        <v>-300000</v>
      </c>
      <c r="J76" s="51"/>
      <c r="K76" s="51"/>
      <c r="L76" s="48" t="s">
        <v>40</v>
      </c>
      <c r="M76" s="48" t="s">
        <v>1433</v>
      </c>
      <c r="N76" s="48" t="s">
        <v>1447</v>
      </c>
      <c r="O76" s="49" t="s">
        <v>1448</v>
      </c>
      <c r="P76" s="48" t="s">
        <v>38</v>
      </c>
      <c r="Q76" s="48" t="s">
        <v>37</v>
      </c>
      <c r="R76" s="48" t="s">
        <v>1436</v>
      </c>
      <c r="S76" s="48" t="s">
        <v>1436</v>
      </c>
      <c r="T76" s="48" t="s">
        <v>1436</v>
      </c>
      <c r="U76" s="48" t="s">
        <v>38</v>
      </c>
      <c r="V76" s="48" t="s">
        <v>39</v>
      </c>
      <c r="W76" s="48" t="s">
        <v>40</v>
      </c>
      <c r="X76" s="48" t="s">
        <v>41</v>
      </c>
      <c r="Y76" s="48" t="s">
        <v>1436</v>
      </c>
      <c r="Z76" s="48" t="s">
        <v>1436</v>
      </c>
      <c r="AA76" s="48" t="s">
        <v>1436</v>
      </c>
      <c r="AB76" s="49" t="s">
        <v>193</v>
      </c>
      <c r="AC76" s="48" t="s">
        <v>1194</v>
      </c>
      <c r="AD76" s="48" t="s">
        <v>1244</v>
      </c>
      <c r="AE76" s="48" t="s">
        <v>36</v>
      </c>
    </row>
    <row r="77" spans="1:31" x14ac:dyDescent="0.3">
      <c r="A77" s="48" t="s">
        <v>1320</v>
      </c>
      <c r="B77" s="48" t="s">
        <v>6</v>
      </c>
      <c r="C77" s="48" t="s">
        <v>1322</v>
      </c>
      <c r="D77" s="48" t="s">
        <v>1412</v>
      </c>
      <c r="E77" s="50">
        <v>44742</v>
      </c>
      <c r="F77" s="49" t="s">
        <v>1321</v>
      </c>
      <c r="G77" s="48" t="s">
        <v>36</v>
      </c>
      <c r="H77" s="48" t="s">
        <v>52</v>
      </c>
      <c r="I77" s="51">
        <v>-253982.94</v>
      </c>
      <c r="J77" s="51"/>
      <c r="K77" s="51"/>
      <c r="L77" s="48" t="s">
        <v>40</v>
      </c>
      <c r="M77" s="48" t="s">
        <v>1433</v>
      </c>
      <c r="N77" s="48" t="s">
        <v>1434</v>
      </c>
      <c r="O77" s="49" t="s">
        <v>1435</v>
      </c>
      <c r="P77" s="48" t="s">
        <v>38</v>
      </c>
      <c r="Q77" s="48" t="s">
        <v>37</v>
      </c>
      <c r="R77" s="48" t="s">
        <v>1436</v>
      </c>
      <c r="S77" s="48" t="s">
        <v>1436</v>
      </c>
      <c r="T77" s="48" t="s">
        <v>1436</v>
      </c>
      <c r="U77" s="48" t="s">
        <v>38</v>
      </c>
      <c r="V77" s="48" t="s">
        <v>39</v>
      </c>
      <c r="W77" s="48" t="s">
        <v>40</v>
      </c>
      <c r="X77" s="48" t="s">
        <v>41</v>
      </c>
      <c r="Y77" s="48" t="s">
        <v>1436</v>
      </c>
      <c r="Z77" s="48" t="s">
        <v>1436</v>
      </c>
      <c r="AA77" s="48" t="s">
        <v>1436</v>
      </c>
      <c r="AB77" s="49" t="s">
        <v>193</v>
      </c>
      <c r="AC77" s="48" t="s">
        <v>1194</v>
      </c>
      <c r="AD77" s="48" t="s">
        <v>1244</v>
      </c>
      <c r="AE77" s="48" t="s">
        <v>36</v>
      </c>
    </row>
    <row r="78" spans="1:31" x14ac:dyDescent="0.3">
      <c r="A78" s="48" t="s">
        <v>1320</v>
      </c>
      <c r="B78" s="48" t="s">
        <v>6</v>
      </c>
      <c r="C78" s="48" t="s">
        <v>1322</v>
      </c>
      <c r="D78" s="48" t="s">
        <v>1411</v>
      </c>
      <c r="E78" s="50">
        <v>44742</v>
      </c>
      <c r="F78" s="49" t="s">
        <v>1321</v>
      </c>
      <c r="G78" s="48" t="s">
        <v>36</v>
      </c>
      <c r="H78" s="48" t="s">
        <v>50</v>
      </c>
      <c r="I78" s="51">
        <v>253982.94</v>
      </c>
      <c r="J78" s="51"/>
      <c r="K78" s="51"/>
      <c r="L78" s="48" t="s">
        <v>40</v>
      </c>
      <c r="M78" s="48" t="s">
        <v>1438</v>
      </c>
      <c r="N78" s="48" t="s">
        <v>1444</v>
      </c>
      <c r="O78" s="49" t="s">
        <v>1445</v>
      </c>
      <c r="P78" s="48" t="s">
        <v>38</v>
      </c>
      <c r="Q78" s="48" t="s">
        <v>37</v>
      </c>
      <c r="R78" s="48" t="s">
        <v>1436</v>
      </c>
      <c r="S78" s="48" t="s">
        <v>1436</v>
      </c>
      <c r="T78" s="48" t="s">
        <v>1436</v>
      </c>
      <c r="U78" s="48" t="s">
        <v>38</v>
      </c>
      <c r="V78" s="48" t="s">
        <v>39</v>
      </c>
      <c r="W78" s="48" t="s">
        <v>40</v>
      </c>
      <c r="X78" s="48" t="s">
        <v>41</v>
      </c>
      <c r="Y78" s="48" t="s">
        <v>1436</v>
      </c>
      <c r="Z78" s="48" t="s">
        <v>1436</v>
      </c>
      <c r="AA78" s="48" t="s">
        <v>1436</v>
      </c>
      <c r="AB78" s="49" t="s">
        <v>193</v>
      </c>
      <c r="AC78" s="48" t="s">
        <v>1194</v>
      </c>
      <c r="AD78" s="48" t="s">
        <v>1244</v>
      </c>
      <c r="AE78" s="48" t="s">
        <v>36</v>
      </c>
    </row>
    <row r="79" spans="1:31" x14ac:dyDescent="0.3">
      <c r="A79" s="48" t="s">
        <v>1320</v>
      </c>
      <c r="B79" s="48" t="s">
        <v>6</v>
      </c>
      <c r="C79" s="48" t="s">
        <v>1322</v>
      </c>
      <c r="D79" s="48" t="s">
        <v>1410</v>
      </c>
      <c r="E79" s="50">
        <v>44742</v>
      </c>
      <c r="F79" s="49" t="s">
        <v>1321</v>
      </c>
      <c r="G79" s="48" t="s">
        <v>36</v>
      </c>
      <c r="H79" s="48" t="s">
        <v>42</v>
      </c>
      <c r="I79" s="51">
        <v>2539829.423163</v>
      </c>
      <c r="J79" s="51"/>
      <c r="K79" s="51"/>
      <c r="L79" s="48" t="s">
        <v>40</v>
      </c>
      <c r="M79" s="48" t="s">
        <v>1433</v>
      </c>
      <c r="N79" s="48" t="s">
        <v>1434</v>
      </c>
      <c r="O79" s="49" t="s">
        <v>1437</v>
      </c>
      <c r="P79" s="48" t="s">
        <v>38</v>
      </c>
      <c r="Q79" s="48" t="s">
        <v>37</v>
      </c>
      <c r="R79" s="48" t="s">
        <v>1436</v>
      </c>
      <c r="S79" s="48" t="s">
        <v>1436</v>
      </c>
      <c r="T79" s="48" t="s">
        <v>1436</v>
      </c>
      <c r="U79" s="48" t="s">
        <v>38</v>
      </c>
      <c r="V79" s="48" t="s">
        <v>39</v>
      </c>
      <c r="W79" s="48" t="s">
        <v>40</v>
      </c>
      <c r="X79" s="48" t="s">
        <v>41</v>
      </c>
      <c r="Y79" s="48" t="s">
        <v>1436</v>
      </c>
      <c r="Z79" s="48" t="s">
        <v>1436</v>
      </c>
      <c r="AA79" s="48" t="s">
        <v>1436</v>
      </c>
      <c r="AB79" s="49" t="s">
        <v>193</v>
      </c>
      <c r="AC79" s="48" t="s">
        <v>1194</v>
      </c>
      <c r="AD79" s="48" t="s">
        <v>1244</v>
      </c>
      <c r="AE79" s="48" t="s">
        <v>36</v>
      </c>
    </row>
    <row r="80" spans="1:31" x14ac:dyDescent="0.3">
      <c r="A80" s="48" t="s">
        <v>1320</v>
      </c>
      <c r="B80" s="48" t="s">
        <v>6</v>
      </c>
      <c r="C80" s="48" t="s">
        <v>1322</v>
      </c>
      <c r="D80" s="48" t="s">
        <v>1409</v>
      </c>
      <c r="E80" s="50">
        <v>44742</v>
      </c>
      <c r="F80" s="49" t="s">
        <v>1321</v>
      </c>
      <c r="G80" s="48" t="s">
        <v>36</v>
      </c>
      <c r="H80" s="48" t="s">
        <v>45</v>
      </c>
      <c r="I80" s="51">
        <v>-1857755.3280179999</v>
      </c>
      <c r="J80" s="51"/>
      <c r="K80" s="51"/>
      <c r="L80" s="48" t="s">
        <v>40</v>
      </c>
      <c r="M80" s="48" t="s">
        <v>1433</v>
      </c>
      <c r="N80" s="48" t="s">
        <v>1447</v>
      </c>
      <c r="O80" s="49" t="s">
        <v>1449</v>
      </c>
      <c r="P80" s="48" t="s">
        <v>38</v>
      </c>
      <c r="Q80" s="48" t="s">
        <v>37</v>
      </c>
      <c r="R80" s="48" t="s">
        <v>1436</v>
      </c>
      <c r="S80" s="48" t="s">
        <v>1436</v>
      </c>
      <c r="T80" s="48" t="s">
        <v>1436</v>
      </c>
      <c r="U80" s="48" t="s">
        <v>38</v>
      </c>
      <c r="V80" s="48" t="s">
        <v>39</v>
      </c>
      <c r="W80" s="48" t="s">
        <v>40</v>
      </c>
      <c r="X80" s="48" t="s">
        <v>41</v>
      </c>
      <c r="Y80" s="48" t="s">
        <v>1436</v>
      </c>
      <c r="Z80" s="48" t="s">
        <v>1436</v>
      </c>
      <c r="AA80" s="48" t="s">
        <v>1436</v>
      </c>
      <c r="AB80" s="49" t="s">
        <v>193</v>
      </c>
      <c r="AC80" s="48" t="s">
        <v>1194</v>
      </c>
      <c r="AD80" s="48" t="s">
        <v>1244</v>
      </c>
      <c r="AE80" s="48" t="s">
        <v>36</v>
      </c>
    </row>
    <row r="81" spans="1:31" x14ac:dyDescent="0.3">
      <c r="A81" s="48" t="s">
        <v>1320</v>
      </c>
      <c r="B81" s="48" t="s">
        <v>6</v>
      </c>
      <c r="C81" s="48" t="s">
        <v>1322</v>
      </c>
      <c r="D81" s="48" t="s">
        <v>1408</v>
      </c>
      <c r="E81" s="50">
        <v>44742</v>
      </c>
      <c r="F81" s="49" t="s">
        <v>1321</v>
      </c>
      <c r="G81" s="48" t="s">
        <v>36</v>
      </c>
      <c r="H81" s="48" t="s">
        <v>54</v>
      </c>
      <c r="I81" s="51">
        <v>-452612.58</v>
      </c>
      <c r="J81" s="51"/>
      <c r="K81" s="51"/>
      <c r="L81" s="48" t="s">
        <v>40</v>
      </c>
      <c r="M81" s="48" t="s">
        <v>1433</v>
      </c>
      <c r="N81" s="48" t="s">
        <v>1447</v>
      </c>
      <c r="O81" s="49" t="s">
        <v>1450</v>
      </c>
      <c r="P81" s="48" t="s">
        <v>38</v>
      </c>
      <c r="Q81" s="48" t="s">
        <v>37</v>
      </c>
      <c r="R81" s="48" t="s">
        <v>1436</v>
      </c>
      <c r="S81" s="48" t="s">
        <v>1436</v>
      </c>
      <c r="T81" s="48" t="s">
        <v>1436</v>
      </c>
      <c r="U81" s="48" t="s">
        <v>38</v>
      </c>
      <c r="V81" s="48" t="s">
        <v>39</v>
      </c>
      <c r="W81" s="48" t="s">
        <v>40</v>
      </c>
      <c r="X81" s="48" t="s">
        <v>41</v>
      </c>
      <c r="Y81" s="48" t="s">
        <v>1436</v>
      </c>
      <c r="Z81" s="48" t="s">
        <v>1436</v>
      </c>
      <c r="AA81" s="48" t="s">
        <v>1436</v>
      </c>
      <c r="AB81" s="49" t="s">
        <v>193</v>
      </c>
      <c r="AC81" s="48" t="s">
        <v>1194</v>
      </c>
      <c r="AD81" s="48" t="s">
        <v>1244</v>
      </c>
      <c r="AE81" s="48" t="s">
        <v>36</v>
      </c>
    </row>
    <row r="82" spans="1:31" x14ac:dyDescent="0.3">
      <c r="A82" s="48" t="s">
        <v>1320</v>
      </c>
      <c r="B82" s="48" t="s">
        <v>6</v>
      </c>
      <c r="C82" s="48" t="s">
        <v>1322</v>
      </c>
      <c r="D82" s="48" t="s">
        <v>1407</v>
      </c>
      <c r="E82" s="50">
        <v>44742</v>
      </c>
      <c r="F82" s="49" t="s">
        <v>1321</v>
      </c>
      <c r="G82" s="48" t="s">
        <v>36</v>
      </c>
      <c r="H82" s="48" t="s">
        <v>47</v>
      </c>
      <c r="I82" s="51">
        <v>84015.630984999996</v>
      </c>
      <c r="J82" s="51"/>
      <c r="K82" s="51"/>
      <c r="L82" s="48" t="s">
        <v>40</v>
      </c>
      <c r="M82" s="48" t="s">
        <v>1438</v>
      </c>
      <c r="N82" s="48" t="s">
        <v>1444</v>
      </c>
      <c r="O82" s="49" t="s">
        <v>1446</v>
      </c>
      <c r="P82" s="48" t="s">
        <v>38</v>
      </c>
      <c r="Q82" s="48" t="s">
        <v>37</v>
      </c>
      <c r="R82" s="48" t="s">
        <v>1436</v>
      </c>
      <c r="S82" s="48" t="s">
        <v>1436</v>
      </c>
      <c r="T82" s="48" t="s">
        <v>1436</v>
      </c>
      <c r="U82" s="48" t="s">
        <v>38</v>
      </c>
      <c r="V82" s="48" t="s">
        <v>39</v>
      </c>
      <c r="W82" s="48" t="s">
        <v>40</v>
      </c>
      <c r="X82" s="48" t="s">
        <v>41</v>
      </c>
      <c r="Y82" s="48" t="s">
        <v>1436</v>
      </c>
      <c r="Z82" s="48" t="s">
        <v>1436</v>
      </c>
      <c r="AA82" s="48" t="s">
        <v>1436</v>
      </c>
      <c r="AB82" s="49" t="s">
        <v>193</v>
      </c>
      <c r="AC82" s="48" t="s">
        <v>1194</v>
      </c>
      <c r="AD82" s="48" t="s">
        <v>1244</v>
      </c>
      <c r="AE82" s="48" t="s">
        <v>36</v>
      </c>
    </row>
    <row r="83" spans="1:31" x14ac:dyDescent="0.3">
      <c r="A83" s="48" t="s">
        <v>1320</v>
      </c>
      <c r="B83" s="48" t="s">
        <v>6</v>
      </c>
      <c r="C83" s="48" t="s">
        <v>1322</v>
      </c>
      <c r="D83" s="48" t="s">
        <v>1406</v>
      </c>
      <c r="E83" s="50">
        <v>44742</v>
      </c>
      <c r="F83" s="49" t="s">
        <v>1321</v>
      </c>
      <c r="G83" s="48" t="s">
        <v>36</v>
      </c>
      <c r="H83" s="48" t="s">
        <v>1441</v>
      </c>
      <c r="I83" s="51">
        <v>0</v>
      </c>
      <c r="J83" s="51"/>
      <c r="K83" s="51"/>
      <c r="L83" s="48" t="s">
        <v>1194</v>
      </c>
      <c r="M83" s="48" t="s">
        <v>1438</v>
      </c>
      <c r="N83" s="48" t="s">
        <v>1439</v>
      </c>
      <c r="O83" s="49" t="s">
        <v>1440</v>
      </c>
      <c r="P83" s="48" t="s">
        <v>38</v>
      </c>
      <c r="Q83" s="48" t="s">
        <v>37</v>
      </c>
      <c r="R83" s="48" t="s">
        <v>1436</v>
      </c>
      <c r="S83" s="48" t="s">
        <v>1436</v>
      </c>
      <c r="T83" s="48" t="s">
        <v>1436</v>
      </c>
      <c r="U83" s="48" t="s">
        <v>38</v>
      </c>
      <c r="V83" s="48" t="s">
        <v>39</v>
      </c>
      <c r="W83" s="48" t="s">
        <v>1194</v>
      </c>
      <c r="X83" s="48" t="s">
        <v>41</v>
      </c>
      <c r="Y83" s="48" t="s">
        <v>1436</v>
      </c>
      <c r="Z83" s="48" t="s">
        <v>1436</v>
      </c>
      <c r="AA83" s="48" t="s">
        <v>1436</v>
      </c>
      <c r="AB83" s="49" t="s">
        <v>193</v>
      </c>
      <c r="AC83" s="48" t="s">
        <v>1194</v>
      </c>
      <c r="AD83" s="48" t="s">
        <v>1244</v>
      </c>
      <c r="AE83" s="48" t="s">
        <v>36</v>
      </c>
    </row>
    <row r="84" spans="1:31" x14ac:dyDescent="0.3">
      <c r="A84" s="48" t="s">
        <v>1320</v>
      </c>
      <c r="B84" s="48" t="s">
        <v>6</v>
      </c>
      <c r="C84" s="48" t="s">
        <v>1322</v>
      </c>
      <c r="D84" s="48" t="s">
        <v>1405</v>
      </c>
      <c r="E84" s="50">
        <v>44742</v>
      </c>
      <c r="F84" s="49" t="s">
        <v>1321</v>
      </c>
      <c r="G84" s="48" t="s">
        <v>36</v>
      </c>
      <c r="H84" s="48" t="s">
        <v>1443</v>
      </c>
      <c r="I84" s="51">
        <v>0</v>
      </c>
      <c r="J84" s="51"/>
      <c r="K84" s="51"/>
      <c r="L84" s="48" t="s">
        <v>1194</v>
      </c>
      <c r="M84" s="48" t="s">
        <v>1438</v>
      </c>
      <c r="N84" s="48" t="s">
        <v>1439</v>
      </c>
      <c r="O84" s="49" t="s">
        <v>1442</v>
      </c>
      <c r="P84" s="48" t="s">
        <v>38</v>
      </c>
      <c r="Q84" s="48" t="s">
        <v>37</v>
      </c>
      <c r="R84" s="48" t="s">
        <v>1436</v>
      </c>
      <c r="S84" s="48" t="s">
        <v>1436</v>
      </c>
      <c r="T84" s="48" t="s">
        <v>1436</v>
      </c>
      <c r="U84" s="48" t="s">
        <v>38</v>
      </c>
      <c r="V84" s="48" t="s">
        <v>39</v>
      </c>
      <c r="W84" s="48" t="s">
        <v>1194</v>
      </c>
      <c r="X84" s="48" t="s">
        <v>41</v>
      </c>
      <c r="Y84" s="48" t="s">
        <v>1436</v>
      </c>
      <c r="Z84" s="48" t="s">
        <v>1436</v>
      </c>
      <c r="AA84" s="48" t="s">
        <v>1436</v>
      </c>
      <c r="AB84" s="49" t="s">
        <v>193</v>
      </c>
      <c r="AC84" s="48" t="s">
        <v>1194</v>
      </c>
      <c r="AD84" s="48" t="s">
        <v>1244</v>
      </c>
      <c r="AE84" s="48" t="s">
        <v>36</v>
      </c>
    </row>
    <row r="85" spans="1:31" x14ac:dyDescent="0.3">
      <c r="A85" s="48" t="s">
        <v>1320</v>
      </c>
      <c r="B85" s="48" t="s">
        <v>6</v>
      </c>
      <c r="C85" s="48" t="s">
        <v>1322</v>
      </c>
      <c r="D85" s="48" t="s">
        <v>1404</v>
      </c>
      <c r="E85" s="50">
        <v>44742</v>
      </c>
      <c r="F85" s="49" t="s">
        <v>1321</v>
      </c>
      <c r="G85" s="48" t="s">
        <v>36</v>
      </c>
      <c r="H85" s="48" t="s">
        <v>49</v>
      </c>
      <c r="I85" s="51">
        <v>-13477.146129999999</v>
      </c>
      <c r="J85" s="51"/>
      <c r="K85" s="51"/>
      <c r="L85" s="48" t="s">
        <v>38</v>
      </c>
      <c r="M85" s="48" t="s">
        <v>1433</v>
      </c>
      <c r="N85" s="48" t="s">
        <v>1447</v>
      </c>
      <c r="O85" s="49" t="s">
        <v>1451</v>
      </c>
      <c r="P85" s="48" t="s">
        <v>38</v>
      </c>
      <c r="Q85" s="48" t="s">
        <v>37</v>
      </c>
      <c r="R85" s="48" t="s">
        <v>1436</v>
      </c>
      <c r="S85" s="48" t="s">
        <v>1436</v>
      </c>
      <c r="T85" s="48" t="s">
        <v>1436</v>
      </c>
      <c r="U85" s="48" t="s">
        <v>38</v>
      </c>
      <c r="V85" s="48" t="s">
        <v>39</v>
      </c>
      <c r="W85" s="48" t="s">
        <v>38</v>
      </c>
      <c r="X85" s="48" t="s">
        <v>41</v>
      </c>
      <c r="Y85" s="48" t="s">
        <v>1436</v>
      </c>
      <c r="Z85" s="48" t="s">
        <v>1436</v>
      </c>
      <c r="AA85" s="48" t="s">
        <v>1436</v>
      </c>
      <c r="AB85" s="49" t="s">
        <v>193</v>
      </c>
      <c r="AC85" s="48" t="s">
        <v>1194</v>
      </c>
      <c r="AD85" s="48" t="s">
        <v>1244</v>
      </c>
      <c r="AE85" s="48" t="s">
        <v>36</v>
      </c>
    </row>
    <row r="86" spans="1:31" x14ac:dyDescent="0.3">
      <c r="A86" s="48" t="s">
        <v>1320</v>
      </c>
      <c r="B86" s="48" t="s">
        <v>6</v>
      </c>
      <c r="C86" s="48" t="s">
        <v>1322</v>
      </c>
      <c r="D86" s="48" t="s">
        <v>1413</v>
      </c>
      <c r="E86" s="50">
        <v>44773</v>
      </c>
      <c r="F86" s="49" t="s">
        <v>1321</v>
      </c>
      <c r="G86" s="48" t="s">
        <v>36</v>
      </c>
      <c r="H86" s="48" t="s">
        <v>58</v>
      </c>
      <c r="I86" s="51">
        <v>-350000</v>
      </c>
      <c r="J86" s="51"/>
      <c r="K86" s="51"/>
      <c r="L86" s="48" t="s">
        <v>40</v>
      </c>
      <c r="M86" s="48" t="s">
        <v>1433</v>
      </c>
      <c r="N86" s="48" t="s">
        <v>1447</v>
      </c>
      <c r="O86" s="49" t="s">
        <v>1448</v>
      </c>
      <c r="P86" s="48" t="s">
        <v>38</v>
      </c>
      <c r="Q86" s="48" t="s">
        <v>37</v>
      </c>
      <c r="R86" s="48" t="s">
        <v>1436</v>
      </c>
      <c r="S86" s="48" t="s">
        <v>1436</v>
      </c>
      <c r="T86" s="48" t="s">
        <v>1436</v>
      </c>
      <c r="U86" s="48" t="s">
        <v>38</v>
      </c>
      <c r="V86" s="48" t="s">
        <v>39</v>
      </c>
      <c r="W86" s="48" t="s">
        <v>40</v>
      </c>
      <c r="X86" s="48" t="s">
        <v>41</v>
      </c>
      <c r="Y86" s="48" t="s">
        <v>1436</v>
      </c>
      <c r="Z86" s="48" t="s">
        <v>1436</v>
      </c>
      <c r="AA86" s="48" t="s">
        <v>1436</v>
      </c>
      <c r="AB86" s="49" t="s">
        <v>193</v>
      </c>
      <c r="AC86" s="48" t="s">
        <v>1194</v>
      </c>
      <c r="AD86" s="48" t="s">
        <v>1244</v>
      </c>
      <c r="AE86" s="48" t="s">
        <v>36</v>
      </c>
    </row>
    <row r="87" spans="1:31" x14ac:dyDescent="0.3">
      <c r="A87" s="48" t="s">
        <v>1320</v>
      </c>
      <c r="B87" s="48" t="s">
        <v>6</v>
      </c>
      <c r="C87" s="48" t="s">
        <v>1322</v>
      </c>
      <c r="D87" s="48" t="s">
        <v>1412</v>
      </c>
      <c r="E87" s="50">
        <v>44773</v>
      </c>
      <c r="F87" s="49" t="s">
        <v>1321</v>
      </c>
      <c r="G87" s="48" t="s">
        <v>36</v>
      </c>
      <c r="H87" s="48" t="s">
        <v>52</v>
      </c>
      <c r="I87" s="51">
        <v>-296313.43</v>
      </c>
      <c r="J87" s="51"/>
      <c r="K87" s="51"/>
      <c r="L87" s="48" t="s">
        <v>40</v>
      </c>
      <c r="M87" s="48" t="s">
        <v>1433</v>
      </c>
      <c r="N87" s="48" t="s">
        <v>1434</v>
      </c>
      <c r="O87" s="49" t="s">
        <v>1435</v>
      </c>
      <c r="P87" s="48" t="s">
        <v>38</v>
      </c>
      <c r="Q87" s="48" t="s">
        <v>37</v>
      </c>
      <c r="R87" s="48" t="s">
        <v>1436</v>
      </c>
      <c r="S87" s="48" t="s">
        <v>1436</v>
      </c>
      <c r="T87" s="48" t="s">
        <v>1436</v>
      </c>
      <c r="U87" s="48" t="s">
        <v>38</v>
      </c>
      <c r="V87" s="48" t="s">
        <v>39</v>
      </c>
      <c r="W87" s="48" t="s">
        <v>40</v>
      </c>
      <c r="X87" s="48" t="s">
        <v>41</v>
      </c>
      <c r="Y87" s="48" t="s">
        <v>1436</v>
      </c>
      <c r="Z87" s="48" t="s">
        <v>1436</v>
      </c>
      <c r="AA87" s="48" t="s">
        <v>1436</v>
      </c>
      <c r="AB87" s="49" t="s">
        <v>193</v>
      </c>
      <c r="AC87" s="48" t="s">
        <v>1194</v>
      </c>
      <c r="AD87" s="48" t="s">
        <v>1244</v>
      </c>
      <c r="AE87" s="48" t="s">
        <v>36</v>
      </c>
    </row>
    <row r="88" spans="1:31" x14ac:dyDescent="0.3">
      <c r="A88" s="48" t="s">
        <v>1320</v>
      </c>
      <c r="B88" s="48" t="s">
        <v>6</v>
      </c>
      <c r="C88" s="48" t="s">
        <v>1322</v>
      </c>
      <c r="D88" s="48" t="s">
        <v>1411</v>
      </c>
      <c r="E88" s="50">
        <v>44773</v>
      </c>
      <c r="F88" s="49" t="s">
        <v>1321</v>
      </c>
      <c r="G88" s="48" t="s">
        <v>36</v>
      </c>
      <c r="H88" s="48" t="s">
        <v>50</v>
      </c>
      <c r="I88" s="51">
        <v>296313.43</v>
      </c>
      <c r="J88" s="51"/>
      <c r="K88" s="51"/>
      <c r="L88" s="48" t="s">
        <v>40</v>
      </c>
      <c r="M88" s="48" t="s">
        <v>1438</v>
      </c>
      <c r="N88" s="48" t="s">
        <v>1444</v>
      </c>
      <c r="O88" s="49" t="s">
        <v>1445</v>
      </c>
      <c r="P88" s="48" t="s">
        <v>38</v>
      </c>
      <c r="Q88" s="48" t="s">
        <v>37</v>
      </c>
      <c r="R88" s="48" t="s">
        <v>1436</v>
      </c>
      <c r="S88" s="48" t="s">
        <v>1436</v>
      </c>
      <c r="T88" s="48" t="s">
        <v>1436</v>
      </c>
      <c r="U88" s="48" t="s">
        <v>38</v>
      </c>
      <c r="V88" s="48" t="s">
        <v>39</v>
      </c>
      <c r="W88" s="48" t="s">
        <v>40</v>
      </c>
      <c r="X88" s="48" t="s">
        <v>41</v>
      </c>
      <c r="Y88" s="48" t="s">
        <v>1436</v>
      </c>
      <c r="Z88" s="48" t="s">
        <v>1436</v>
      </c>
      <c r="AA88" s="48" t="s">
        <v>1436</v>
      </c>
      <c r="AB88" s="49" t="s">
        <v>193</v>
      </c>
      <c r="AC88" s="48" t="s">
        <v>1194</v>
      </c>
      <c r="AD88" s="48" t="s">
        <v>1244</v>
      </c>
      <c r="AE88" s="48" t="s">
        <v>36</v>
      </c>
    </row>
    <row r="89" spans="1:31" x14ac:dyDescent="0.3">
      <c r="A89" s="48" t="s">
        <v>1320</v>
      </c>
      <c r="B89" s="48" t="s">
        <v>6</v>
      </c>
      <c r="C89" s="48" t="s">
        <v>1322</v>
      </c>
      <c r="D89" s="48" t="s">
        <v>1410</v>
      </c>
      <c r="E89" s="50">
        <v>44773</v>
      </c>
      <c r="F89" s="49" t="s">
        <v>1321</v>
      </c>
      <c r="G89" s="48" t="s">
        <v>36</v>
      </c>
      <c r="H89" s="48" t="s">
        <v>42</v>
      </c>
      <c r="I89" s="51">
        <v>2539829.423163</v>
      </c>
      <c r="J89" s="51"/>
      <c r="K89" s="51"/>
      <c r="L89" s="48" t="s">
        <v>40</v>
      </c>
      <c r="M89" s="48" t="s">
        <v>1433</v>
      </c>
      <c r="N89" s="48" t="s">
        <v>1434</v>
      </c>
      <c r="O89" s="49" t="s">
        <v>1437</v>
      </c>
      <c r="P89" s="48" t="s">
        <v>38</v>
      </c>
      <c r="Q89" s="48" t="s">
        <v>37</v>
      </c>
      <c r="R89" s="48" t="s">
        <v>1436</v>
      </c>
      <c r="S89" s="48" t="s">
        <v>1436</v>
      </c>
      <c r="T89" s="48" t="s">
        <v>1436</v>
      </c>
      <c r="U89" s="48" t="s">
        <v>38</v>
      </c>
      <c r="V89" s="48" t="s">
        <v>39</v>
      </c>
      <c r="W89" s="48" t="s">
        <v>40</v>
      </c>
      <c r="X89" s="48" t="s">
        <v>41</v>
      </c>
      <c r="Y89" s="48" t="s">
        <v>1436</v>
      </c>
      <c r="Z89" s="48" t="s">
        <v>1436</v>
      </c>
      <c r="AA89" s="48" t="s">
        <v>1436</v>
      </c>
      <c r="AB89" s="49" t="s">
        <v>193</v>
      </c>
      <c r="AC89" s="48" t="s">
        <v>1194</v>
      </c>
      <c r="AD89" s="48" t="s">
        <v>1244</v>
      </c>
      <c r="AE89" s="48" t="s">
        <v>36</v>
      </c>
    </row>
    <row r="90" spans="1:31" x14ac:dyDescent="0.3">
      <c r="A90" s="48" t="s">
        <v>1320</v>
      </c>
      <c r="B90" s="48" t="s">
        <v>6</v>
      </c>
      <c r="C90" s="48" t="s">
        <v>1322</v>
      </c>
      <c r="D90" s="48" t="s">
        <v>1409</v>
      </c>
      <c r="E90" s="50">
        <v>44773</v>
      </c>
      <c r="F90" s="49" t="s">
        <v>1321</v>
      </c>
      <c r="G90" s="48" t="s">
        <v>36</v>
      </c>
      <c r="H90" s="48" t="s">
        <v>45</v>
      </c>
      <c r="I90" s="51">
        <v>-1818592.2241479999</v>
      </c>
      <c r="J90" s="51"/>
      <c r="K90" s="51"/>
      <c r="L90" s="48" t="s">
        <v>40</v>
      </c>
      <c r="M90" s="48" t="s">
        <v>1433</v>
      </c>
      <c r="N90" s="48" t="s">
        <v>1447</v>
      </c>
      <c r="O90" s="49" t="s">
        <v>1449</v>
      </c>
      <c r="P90" s="48" t="s">
        <v>38</v>
      </c>
      <c r="Q90" s="48" t="s">
        <v>37</v>
      </c>
      <c r="R90" s="48" t="s">
        <v>1436</v>
      </c>
      <c r="S90" s="48" t="s">
        <v>1436</v>
      </c>
      <c r="T90" s="48" t="s">
        <v>1436</v>
      </c>
      <c r="U90" s="48" t="s">
        <v>38</v>
      </c>
      <c r="V90" s="48" t="s">
        <v>39</v>
      </c>
      <c r="W90" s="48" t="s">
        <v>40</v>
      </c>
      <c r="X90" s="48" t="s">
        <v>41</v>
      </c>
      <c r="Y90" s="48" t="s">
        <v>1436</v>
      </c>
      <c r="Z90" s="48" t="s">
        <v>1436</v>
      </c>
      <c r="AA90" s="48" t="s">
        <v>1436</v>
      </c>
      <c r="AB90" s="49" t="s">
        <v>193</v>
      </c>
      <c r="AC90" s="48" t="s">
        <v>1194</v>
      </c>
      <c r="AD90" s="48" t="s">
        <v>1244</v>
      </c>
      <c r="AE90" s="48" t="s">
        <v>36</v>
      </c>
    </row>
    <row r="91" spans="1:31" x14ac:dyDescent="0.3">
      <c r="A91" s="48" t="s">
        <v>1320</v>
      </c>
      <c r="B91" s="48" t="s">
        <v>6</v>
      </c>
      <c r="C91" s="48" t="s">
        <v>1322</v>
      </c>
      <c r="D91" s="48" t="s">
        <v>1408</v>
      </c>
      <c r="E91" s="50">
        <v>44773</v>
      </c>
      <c r="F91" s="49" t="s">
        <v>1321</v>
      </c>
      <c r="G91" s="48" t="s">
        <v>36</v>
      </c>
      <c r="H91" s="48" t="s">
        <v>54</v>
      </c>
      <c r="I91" s="51">
        <v>-455252.83</v>
      </c>
      <c r="J91" s="51"/>
      <c r="K91" s="51"/>
      <c r="L91" s="48" t="s">
        <v>40</v>
      </c>
      <c r="M91" s="48" t="s">
        <v>1433</v>
      </c>
      <c r="N91" s="48" t="s">
        <v>1447</v>
      </c>
      <c r="O91" s="49" t="s">
        <v>1450</v>
      </c>
      <c r="P91" s="48" t="s">
        <v>38</v>
      </c>
      <c r="Q91" s="48" t="s">
        <v>37</v>
      </c>
      <c r="R91" s="48" t="s">
        <v>1436</v>
      </c>
      <c r="S91" s="48" t="s">
        <v>1436</v>
      </c>
      <c r="T91" s="48" t="s">
        <v>1436</v>
      </c>
      <c r="U91" s="48" t="s">
        <v>38</v>
      </c>
      <c r="V91" s="48" t="s">
        <v>39</v>
      </c>
      <c r="W91" s="48" t="s">
        <v>40</v>
      </c>
      <c r="X91" s="48" t="s">
        <v>41</v>
      </c>
      <c r="Y91" s="48" t="s">
        <v>1436</v>
      </c>
      <c r="Z91" s="48" t="s">
        <v>1436</v>
      </c>
      <c r="AA91" s="48" t="s">
        <v>1436</v>
      </c>
      <c r="AB91" s="49" t="s">
        <v>193</v>
      </c>
      <c r="AC91" s="48" t="s">
        <v>1194</v>
      </c>
      <c r="AD91" s="48" t="s">
        <v>1244</v>
      </c>
      <c r="AE91" s="48" t="s">
        <v>36</v>
      </c>
    </row>
    <row r="92" spans="1:31" x14ac:dyDescent="0.3">
      <c r="A92" s="48" t="s">
        <v>1320</v>
      </c>
      <c r="B92" s="48" t="s">
        <v>6</v>
      </c>
      <c r="C92" s="48" t="s">
        <v>1322</v>
      </c>
      <c r="D92" s="48" t="s">
        <v>1407</v>
      </c>
      <c r="E92" s="50">
        <v>44773</v>
      </c>
      <c r="F92" s="49" t="s">
        <v>1321</v>
      </c>
      <c r="G92" s="48" t="s">
        <v>36</v>
      </c>
      <c r="H92" s="48" t="s">
        <v>47</v>
      </c>
      <c r="I92" s="51">
        <v>97279.727134000001</v>
      </c>
      <c r="J92" s="51"/>
      <c r="K92" s="51"/>
      <c r="L92" s="48" t="s">
        <v>40</v>
      </c>
      <c r="M92" s="48" t="s">
        <v>1438</v>
      </c>
      <c r="N92" s="48" t="s">
        <v>1444</v>
      </c>
      <c r="O92" s="49" t="s">
        <v>1446</v>
      </c>
      <c r="P92" s="48" t="s">
        <v>38</v>
      </c>
      <c r="Q92" s="48" t="s">
        <v>37</v>
      </c>
      <c r="R92" s="48" t="s">
        <v>1436</v>
      </c>
      <c r="S92" s="48" t="s">
        <v>1436</v>
      </c>
      <c r="T92" s="48" t="s">
        <v>1436</v>
      </c>
      <c r="U92" s="48" t="s">
        <v>38</v>
      </c>
      <c r="V92" s="48" t="s">
        <v>39</v>
      </c>
      <c r="W92" s="48" t="s">
        <v>40</v>
      </c>
      <c r="X92" s="48" t="s">
        <v>41</v>
      </c>
      <c r="Y92" s="48" t="s">
        <v>1436</v>
      </c>
      <c r="Z92" s="48" t="s">
        <v>1436</v>
      </c>
      <c r="AA92" s="48" t="s">
        <v>1436</v>
      </c>
      <c r="AB92" s="49" t="s">
        <v>193</v>
      </c>
      <c r="AC92" s="48" t="s">
        <v>1194</v>
      </c>
      <c r="AD92" s="48" t="s">
        <v>1244</v>
      </c>
      <c r="AE92" s="48" t="s">
        <v>36</v>
      </c>
    </row>
    <row r="93" spans="1:31" x14ac:dyDescent="0.3">
      <c r="A93" s="48" t="s">
        <v>1320</v>
      </c>
      <c r="B93" s="48" t="s">
        <v>6</v>
      </c>
      <c r="C93" s="48" t="s">
        <v>1322</v>
      </c>
      <c r="D93" s="48" t="s">
        <v>1406</v>
      </c>
      <c r="E93" s="50">
        <v>44773</v>
      </c>
      <c r="F93" s="49" t="s">
        <v>1321</v>
      </c>
      <c r="G93" s="48" t="s">
        <v>36</v>
      </c>
      <c r="H93" s="48" t="s">
        <v>1441</v>
      </c>
      <c r="I93" s="51">
        <v>0</v>
      </c>
      <c r="J93" s="51"/>
      <c r="K93" s="51"/>
      <c r="L93" s="48" t="s">
        <v>1194</v>
      </c>
      <c r="M93" s="48" t="s">
        <v>1438</v>
      </c>
      <c r="N93" s="48" t="s">
        <v>1439</v>
      </c>
      <c r="O93" s="49" t="s">
        <v>1440</v>
      </c>
      <c r="P93" s="48" t="s">
        <v>38</v>
      </c>
      <c r="Q93" s="48" t="s">
        <v>37</v>
      </c>
      <c r="R93" s="48" t="s">
        <v>1436</v>
      </c>
      <c r="S93" s="48" t="s">
        <v>1436</v>
      </c>
      <c r="T93" s="48" t="s">
        <v>1436</v>
      </c>
      <c r="U93" s="48" t="s">
        <v>38</v>
      </c>
      <c r="V93" s="48" t="s">
        <v>39</v>
      </c>
      <c r="W93" s="48" t="s">
        <v>1194</v>
      </c>
      <c r="X93" s="48" t="s">
        <v>41</v>
      </c>
      <c r="Y93" s="48" t="s">
        <v>1436</v>
      </c>
      <c r="Z93" s="48" t="s">
        <v>1436</v>
      </c>
      <c r="AA93" s="48" t="s">
        <v>1436</v>
      </c>
      <c r="AB93" s="49" t="s">
        <v>193</v>
      </c>
      <c r="AC93" s="48" t="s">
        <v>1194</v>
      </c>
      <c r="AD93" s="48" t="s">
        <v>1244</v>
      </c>
      <c r="AE93" s="48" t="s">
        <v>36</v>
      </c>
    </row>
    <row r="94" spans="1:31" x14ac:dyDescent="0.3">
      <c r="A94" s="48" t="s">
        <v>1320</v>
      </c>
      <c r="B94" s="48" t="s">
        <v>6</v>
      </c>
      <c r="C94" s="48" t="s">
        <v>1322</v>
      </c>
      <c r="D94" s="48" t="s">
        <v>1405</v>
      </c>
      <c r="E94" s="50">
        <v>44773</v>
      </c>
      <c r="F94" s="49" t="s">
        <v>1321</v>
      </c>
      <c r="G94" s="48" t="s">
        <v>36</v>
      </c>
      <c r="H94" s="48" t="s">
        <v>1443</v>
      </c>
      <c r="I94" s="51">
        <v>0</v>
      </c>
      <c r="J94" s="51"/>
      <c r="K94" s="51"/>
      <c r="L94" s="48" t="s">
        <v>1194</v>
      </c>
      <c r="M94" s="48" t="s">
        <v>1438</v>
      </c>
      <c r="N94" s="48" t="s">
        <v>1439</v>
      </c>
      <c r="O94" s="49" t="s">
        <v>1442</v>
      </c>
      <c r="P94" s="48" t="s">
        <v>38</v>
      </c>
      <c r="Q94" s="48" t="s">
        <v>37</v>
      </c>
      <c r="R94" s="48" t="s">
        <v>1436</v>
      </c>
      <c r="S94" s="48" t="s">
        <v>1436</v>
      </c>
      <c r="T94" s="48" t="s">
        <v>1436</v>
      </c>
      <c r="U94" s="48" t="s">
        <v>38</v>
      </c>
      <c r="V94" s="48" t="s">
        <v>39</v>
      </c>
      <c r="W94" s="48" t="s">
        <v>1194</v>
      </c>
      <c r="X94" s="48" t="s">
        <v>41</v>
      </c>
      <c r="Y94" s="48" t="s">
        <v>1436</v>
      </c>
      <c r="Z94" s="48" t="s">
        <v>1436</v>
      </c>
      <c r="AA94" s="48" t="s">
        <v>1436</v>
      </c>
      <c r="AB94" s="49" t="s">
        <v>193</v>
      </c>
      <c r="AC94" s="48" t="s">
        <v>1194</v>
      </c>
      <c r="AD94" s="48" t="s">
        <v>1244</v>
      </c>
      <c r="AE94" s="48" t="s">
        <v>36</v>
      </c>
    </row>
    <row r="95" spans="1:31" x14ac:dyDescent="0.3">
      <c r="A95" s="48" t="s">
        <v>1320</v>
      </c>
      <c r="B95" s="48" t="s">
        <v>6</v>
      </c>
      <c r="C95" s="48" t="s">
        <v>1322</v>
      </c>
      <c r="D95" s="48" t="s">
        <v>1404</v>
      </c>
      <c r="E95" s="50">
        <v>44773</v>
      </c>
      <c r="F95" s="49" t="s">
        <v>1321</v>
      </c>
      <c r="G95" s="48" t="s">
        <v>36</v>
      </c>
      <c r="H95" s="48" t="s">
        <v>49</v>
      </c>
      <c r="I95" s="51">
        <v>-13264.096149000001</v>
      </c>
      <c r="J95" s="51"/>
      <c r="K95" s="51"/>
      <c r="L95" s="48" t="s">
        <v>38</v>
      </c>
      <c r="M95" s="48" t="s">
        <v>1433</v>
      </c>
      <c r="N95" s="48" t="s">
        <v>1447</v>
      </c>
      <c r="O95" s="49" t="s">
        <v>1451</v>
      </c>
      <c r="P95" s="48" t="s">
        <v>38</v>
      </c>
      <c r="Q95" s="48" t="s">
        <v>37</v>
      </c>
      <c r="R95" s="48" t="s">
        <v>1436</v>
      </c>
      <c r="S95" s="48" t="s">
        <v>1436</v>
      </c>
      <c r="T95" s="48" t="s">
        <v>1436</v>
      </c>
      <c r="U95" s="48" t="s">
        <v>38</v>
      </c>
      <c r="V95" s="48" t="s">
        <v>39</v>
      </c>
      <c r="W95" s="48" t="s">
        <v>38</v>
      </c>
      <c r="X95" s="48" t="s">
        <v>41</v>
      </c>
      <c r="Y95" s="48" t="s">
        <v>1436</v>
      </c>
      <c r="Z95" s="48" t="s">
        <v>1436</v>
      </c>
      <c r="AA95" s="48" t="s">
        <v>1436</v>
      </c>
      <c r="AB95" s="49" t="s">
        <v>193</v>
      </c>
      <c r="AC95" s="48" t="s">
        <v>1194</v>
      </c>
      <c r="AD95" s="48" t="s">
        <v>1244</v>
      </c>
      <c r="AE95" s="48" t="s">
        <v>36</v>
      </c>
    </row>
    <row r="96" spans="1:31" x14ac:dyDescent="0.3">
      <c r="A96" s="48" t="s">
        <v>1320</v>
      </c>
      <c r="B96" s="48" t="s">
        <v>6</v>
      </c>
      <c r="C96" s="48" t="s">
        <v>1322</v>
      </c>
      <c r="D96" s="48" t="s">
        <v>1413</v>
      </c>
      <c r="E96" s="50">
        <v>44804</v>
      </c>
      <c r="F96" s="49" t="s">
        <v>1321</v>
      </c>
      <c r="G96" s="48" t="s">
        <v>36</v>
      </c>
      <c r="H96" s="48" t="s">
        <v>58</v>
      </c>
      <c r="I96" s="51">
        <v>-400000</v>
      </c>
      <c r="J96" s="51"/>
      <c r="K96" s="51"/>
      <c r="L96" s="48" t="s">
        <v>40</v>
      </c>
      <c r="M96" s="48" t="s">
        <v>1433</v>
      </c>
      <c r="N96" s="48" t="s">
        <v>1447</v>
      </c>
      <c r="O96" s="49" t="s">
        <v>1448</v>
      </c>
      <c r="P96" s="48" t="s">
        <v>38</v>
      </c>
      <c r="Q96" s="48" t="s">
        <v>37</v>
      </c>
      <c r="R96" s="48" t="s">
        <v>1436</v>
      </c>
      <c r="S96" s="48" t="s">
        <v>1436</v>
      </c>
      <c r="T96" s="48" t="s">
        <v>1436</v>
      </c>
      <c r="U96" s="48" t="s">
        <v>38</v>
      </c>
      <c r="V96" s="48" t="s">
        <v>39</v>
      </c>
      <c r="W96" s="48" t="s">
        <v>40</v>
      </c>
      <c r="X96" s="48" t="s">
        <v>41</v>
      </c>
      <c r="Y96" s="48" t="s">
        <v>1436</v>
      </c>
      <c r="Z96" s="48" t="s">
        <v>1436</v>
      </c>
      <c r="AA96" s="48" t="s">
        <v>1436</v>
      </c>
      <c r="AB96" s="49" t="s">
        <v>193</v>
      </c>
      <c r="AC96" s="48" t="s">
        <v>1194</v>
      </c>
      <c r="AD96" s="48" t="s">
        <v>1244</v>
      </c>
      <c r="AE96" s="48" t="s">
        <v>36</v>
      </c>
    </row>
    <row r="97" spans="1:31" x14ac:dyDescent="0.3">
      <c r="A97" s="48" t="s">
        <v>1320</v>
      </c>
      <c r="B97" s="48" t="s">
        <v>6</v>
      </c>
      <c r="C97" s="48" t="s">
        <v>1322</v>
      </c>
      <c r="D97" s="48" t="s">
        <v>1412</v>
      </c>
      <c r="E97" s="50">
        <v>44804</v>
      </c>
      <c r="F97" s="49" t="s">
        <v>1321</v>
      </c>
      <c r="G97" s="48" t="s">
        <v>36</v>
      </c>
      <c r="H97" s="48" t="s">
        <v>52</v>
      </c>
      <c r="I97" s="51">
        <v>-338643.92</v>
      </c>
      <c r="J97" s="51"/>
      <c r="K97" s="51"/>
      <c r="L97" s="48" t="s">
        <v>40</v>
      </c>
      <c r="M97" s="48" t="s">
        <v>1433</v>
      </c>
      <c r="N97" s="48" t="s">
        <v>1434</v>
      </c>
      <c r="O97" s="49" t="s">
        <v>1435</v>
      </c>
      <c r="P97" s="48" t="s">
        <v>38</v>
      </c>
      <c r="Q97" s="48" t="s">
        <v>37</v>
      </c>
      <c r="R97" s="48" t="s">
        <v>1436</v>
      </c>
      <c r="S97" s="48" t="s">
        <v>1436</v>
      </c>
      <c r="T97" s="48" t="s">
        <v>1436</v>
      </c>
      <c r="U97" s="48" t="s">
        <v>38</v>
      </c>
      <c r="V97" s="48" t="s">
        <v>39</v>
      </c>
      <c r="W97" s="48" t="s">
        <v>40</v>
      </c>
      <c r="X97" s="48" t="s">
        <v>41</v>
      </c>
      <c r="Y97" s="48" t="s">
        <v>1436</v>
      </c>
      <c r="Z97" s="48" t="s">
        <v>1436</v>
      </c>
      <c r="AA97" s="48" t="s">
        <v>1436</v>
      </c>
      <c r="AB97" s="49" t="s">
        <v>193</v>
      </c>
      <c r="AC97" s="48" t="s">
        <v>1194</v>
      </c>
      <c r="AD97" s="48" t="s">
        <v>1244</v>
      </c>
      <c r="AE97" s="48" t="s">
        <v>36</v>
      </c>
    </row>
    <row r="98" spans="1:31" x14ac:dyDescent="0.3">
      <c r="A98" s="48" t="s">
        <v>1320</v>
      </c>
      <c r="B98" s="48" t="s">
        <v>6</v>
      </c>
      <c r="C98" s="48" t="s">
        <v>1322</v>
      </c>
      <c r="D98" s="48" t="s">
        <v>1411</v>
      </c>
      <c r="E98" s="50">
        <v>44804</v>
      </c>
      <c r="F98" s="49" t="s">
        <v>1321</v>
      </c>
      <c r="G98" s="48" t="s">
        <v>36</v>
      </c>
      <c r="H98" s="48" t="s">
        <v>50</v>
      </c>
      <c r="I98" s="51">
        <v>338643.92</v>
      </c>
      <c r="J98" s="51"/>
      <c r="K98" s="51"/>
      <c r="L98" s="48" t="s">
        <v>40</v>
      </c>
      <c r="M98" s="48" t="s">
        <v>1438</v>
      </c>
      <c r="N98" s="48" t="s">
        <v>1444</v>
      </c>
      <c r="O98" s="49" t="s">
        <v>1445</v>
      </c>
      <c r="P98" s="48" t="s">
        <v>38</v>
      </c>
      <c r="Q98" s="48" t="s">
        <v>37</v>
      </c>
      <c r="R98" s="48" t="s">
        <v>1436</v>
      </c>
      <c r="S98" s="48" t="s">
        <v>1436</v>
      </c>
      <c r="T98" s="48" t="s">
        <v>1436</v>
      </c>
      <c r="U98" s="48" t="s">
        <v>38</v>
      </c>
      <c r="V98" s="48" t="s">
        <v>39</v>
      </c>
      <c r="W98" s="48" t="s">
        <v>40</v>
      </c>
      <c r="X98" s="48" t="s">
        <v>41</v>
      </c>
      <c r="Y98" s="48" t="s">
        <v>1436</v>
      </c>
      <c r="Z98" s="48" t="s">
        <v>1436</v>
      </c>
      <c r="AA98" s="48" t="s">
        <v>1436</v>
      </c>
      <c r="AB98" s="49" t="s">
        <v>193</v>
      </c>
      <c r="AC98" s="48" t="s">
        <v>1194</v>
      </c>
      <c r="AD98" s="48" t="s">
        <v>1244</v>
      </c>
      <c r="AE98" s="48" t="s">
        <v>36</v>
      </c>
    </row>
    <row r="99" spans="1:31" x14ac:dyDescent="0.3">
      <c r="A99" s="48" t="s">
        <v>1320</v>
      </c>
      <c r="B99" s="48" t="s">
        <v>6</v>
      </c>
      <c r="C99" s="48" t="s">
        <v>1322</v>
      </c>
      <c r="D99" s="48" t="s">
        <v>1410</v>
      </c>
      <c r="E99" s="50">
        <v>44804</v>
      </c>
      <c r="F99" s="49" t="s">
        <v>1321</v>
      </c>
      <c r="G99" s="48" t="s">
        <v>36</v>
      </c>
      <c r="H99" s="48" t="s">
        <v>42</v>
      </c>
      <c r="I99" s="51">
        <v>2539829.423163</v>
      </c>
      <c r="J99" s="51"/>
      <c r="K99" s="51"/>
      <c r="L99" s="48" t="s">
        <v>40</v>
      </c>
      <c r="M99" s="48" t="s">
        <v>1433</v>
      </c>
      <c r="N99" s="48" t="s">
        <v>1434</v>
      </c>
      <c r="O99" s="49" t="s">
        <v>1437</v>
      </c>
      <c r="P99" s="48" t="s">
        <v>38</v>
      </c>
      <c r="Q99" s="48" t="s">
        <v>37</v>
      </c>
      <c r="R99" s="48" t="s">
        <v>1436</v>
      </c>
      <c r="S99" s="48" t="s">
        <v>1436</v>
      </c>
      <c r="T99" s="48" t="s">
        <v>1436</v>
      </c>
      <c r="U99" s="48" t="s">
        <v>38</v>
      </c>
      <c r="V99" s="48" t="s">
        <v>39</v>
      </c>
      <c r="W99" s="48" t="s">
        <v>40</v>
      </c>
      <c r="X99" s="48" t="s">
        <v>41</v>
      </c>
      <c r="Y99" s="48" t="s">
        <v>1436</v>
      </c>
      <c r="Z99" s="48" t="s">
        <v>1436</v>
      </c>
      <c r="AA99" s="48" t="s">
        <v>1436</v>
      </c>
      <c r="AB99" s="49" t="s">
        <v>193</v>
      </c>
      <c r="AC99" s="48" t="s">
        <v>1194</v>
      </c>
      <c r="AD99" s="48" t="s">
        <v>1244</v>
      </c>
      <c r="AE99" s="48" t="s">
        <v>36</v>
      </c>
    </row>
    <row r="100" spans="1:31" x14ac:dyDescent="0.3">
      <c r="A100" s="48" t="s">
        <v>1320</v>
      </c>
      <c r="B100" s="48" t="s">
        <v>6</v>
      </c>
      <c r="C100" s="48" t="s">
        <v>1322</v>
      </c>
      <c r="D100" s="48" t="s">
        <v>1409</v>
      </c>
      <c r="E100" s="50">
        <v>44804</v>
      </c>
      <c r="F100" s="49" t="s">
        <v>1321</v>
      </c>
      <c r="G100" s="48" t="s">
        <v>36</v>
      </c>
      <c r="H100" s="48" t="s">
        <v>45</v>
      </c>
      <c r="I100" s="51">
        <v>-1779200.6902970001</v>
      </c>
      <c r="J100" s="51"/>
      <c r="K100" s="51"/>
      <c r="L100" s="48" t="s">
        <v>40</v>
      </c>
      <c r="M100" s="48" t="s">
        <v>1433</v>
      </c>
      <c r="N100" s="48" t="s">
        <v>1447</v>
      </c>
      <c r="O100" s="49" t="s">
        <v>1449</v>
      </c>
      <c r="P100" s="48" t="s">
        <v>38</v>
      </c>
      <c r="Q100" s="48" t="s">
        <v>37</v>
      </c>
      <c r="R100" s="48" t="s">
        <v>1436</v>
      </c>
      <c r="S100" s="48" t="s">
        <v>1436</v>
      </c>
      <c r="T100" s="48" t="s">
        <v>1436</v>
      </c>
      <c r="U100" s="48" t="s">
        <v>38</v>
      </c>
      <c r="V100" s="48" t="s">
        <v>39</v>
      </c>
      <c r="W100" s="48" t="s">
        <v>40</v>
      </c>
      <c r="X100" s="48" t="s">
        <v>41</v>
      </c>
      <c r="Y100" s="48" t="s">
        <v>1436</v>
      </c>
      <c r="Z100" s="48" t="s">
        <v>1436</v>
      </c>
      <c r="AA100" s="48" t="s">
        <v>1436</v>
      </c>
      <c r="AB100" s="49" t="s">
        <v>193</v>
      </c>
      <c r="AC100" s="48" t="s">
        <v>1194</v>
      </c>
      <c r="AD100" s="48" t="s">
        <v>1244</v>
      </c>
      <c r="AE100" s="48" t="s">
        <v>36</v>
      </c>
    </row>
    <row r="101" spans="1:31" x14ac:dyDescent="0.3">
      <c r="A101" s="48" t="s">
        <v>1320</v>
      </c>
      <c r="B101" s="48" t="s">
        <v>6</v>
      </c>
      <c r="C101" s="48" t="s">
        <v>1322</v>
      </c>
      <c r="D101" s="48" t="s">
        <v>1408</v>
      </c>
      <c r="E101" s="50">
        <v>44804</v>
      </c>
      <c r="F101" s="49" t="s">
        <v>1321</v>
      </c>
      <c r="G101" s="48" t="s">
        <v>36</v>
      </c>
      <c r="H101" s="48" t="s">
        <v>54</v>
      </c>
      <c r="I101" s="51">
        <v>-457908.46</v>
      </c>
      <c r="J101" s="51"/>
      <c r="K101" s="51"/>
      <c r="L101" s="48" t="s">
        <v>40</v>
      </c>
      <c r="M101" s="48" t="s">
        <v>1433</v>
      </c>
      <c r="N101" s="48" t="s">
        <v>1447</v>
      </c>
      <c r="O101" s="49" t="s">
        <v>1450</v>
      </c>
      <c r="P101" s="48" t="s">
        <v>38</v>
      </c>
      <c r="Q101" s="48" t="s">
        <v>37</v>
      </c>
      <c r="R101" s="48" t="s">
        <v>1436</v>
      </c>
      <c r="S101" s="48" t="s">
        <v>1436</v>
      </c>
      <c r="T101" s="48" t="s">
        <v>1436</v>
      </c>
      <c r="U101" s="48" t="s">
        <v>38</v>
      </c>
      <c r="V101" s="48" t="s">
        <v>39</v>
      </c>
      <c r="W101" s="48" t="s">
        <v>40</v>
      </c>
      <c r="X101" s="48" t="s">
        <v>41</v>
      </c>
      <c r="Y101" s="48" t="s">
        <v>1436</v>
      </c>
      <c r="Z101" s="48" t="s">
        <v>1436</v>
      </c>
      <c r="AA101" s="48" t="s">
        <v>1436</v>
      </c>
      <c r="AB101" s="49" t="s">
        <v>193</v>
      </c>
      <c r="AC101" s="48" t="s">
        <v>1194</v>
      </c>
      <c r="AD101" s="48" t="s">
        <v>1244</v>
      </c>
      <c r="AE101" s="48" t="s">
        <v>36</v>
      </c>
    </row>
    <row r="102" spans="1:31" x14ac:dyDescent="0.3">
      <c r="A102" s="48" t="s">
        <v>1320</v>
      </c>
      <c r="B102" s="48" t="s">
        <v>6</v>
      </c>
      <c r="C102" s="48" t="s">
        <v>1322</v>
      </c>
      <c r="D102" s="48" t="s">
        <v>1407</v>
      </c>
      <c r="E102" s="50">
        <v>44804</v>
      </c>
      <c r="F102" s="49" t="s">
        <v>1321</v>
      </c>
      <c r="G102" s="48" t="s">
        <v>36</v>
      </c>
      <c r="H102" s="48" t="s">
        <v>47</v>
      </c>
      <c r="I102" s="51">
        <v>110329.530511</v>
      </c>
      <c r="J102" s="51"/>
      <c r="K102" s="51"/>
      <c r="L102" s="48" t="s">
        <v>40</v>
      </c>
      <c r="M102" s="48" t="s">
        <v>1438</v>
      </c>
      <c r="N102" s="48" t="s">
        <v>1444</v>
      </c>
      <c r="O102" s="49" t="s">
        <v>1446</v>
      </c>
      <c r="P102" s="48" t="s">
        <v>38</v>
      </c>
      <c r="Q102" s="48" t="s">
        <v>37</v>
      </c>
      <c r="R102" s="48" t="s">
        <v>1436</v>
      </c>
      <c r="S102" s="48" t="s">
        <v>1436</v>
      </c>
      <c r="T102" s="48" t="s">
        <v>1436</v>
      </c>
      <c r="U102" s="48" t="s">
        <v>38</v>
      </c>
      <c r="V102" s="48" t="s">
        <v>39</v>
      </c>
      <c r="W102" s="48" t="s">
        <v>40</v>
      </c>
      <c r="X102" s="48" t="s">
        <v>41</v>
      </c>
      <c r="Y102" s="48" t="s">
        <v>1436</v>
      </c>
      <c r="Z102" s="48" t="s">
        <v>1436</v>
      </c>
      <c r="AA102" s="48" t="s">
        <v>1436</v>
      </c>
      <c r="AB102" s="49" t="s">
        <v>193</v>
      </c>
      <c r="AC102" s="48" t="s">
        <v>1194</v>
      </c>
      <c r="AD102" s="48" t="s">
        <v>1244</v>
      </c>
      <c r="AE102" s="48" t="s">
        <v>36</v>
      </c>
    </row>
    <row r="103" spans="1:31" x14ac:dyDescent="0.3">
      <c r="A103" s="48" t="s">
        <v>1320</v>
      </c>
      <c r="B103" s="48" t="s">
        <v>6</v>
      </c>
      <c r="C103" s="48" t="s">
        <v>1322</v>
      </c>
      <c r="D103" s="48" t="s">
        <v>1406</v>
      </c>
      <c r="E103" s="50">
        <v>44804</v>
      </c>
      <c r="F103" s="49" t="s">
        <v>1321</v>
      </c>
      <c r="G103" s="48" t="s">
        <v>36</v>
      </c>
      <c r="H103" s="48" t="s">
        <v>1441</v>
      </c>
      <c r="I103" s="51">
        <v>0</v>
      </c>
      <c r="J103" s="51"/>
      <c r="K103" s="51"/>
      <c r="L103" s="48" t="s">
        <v>1194</v>
      </c>
      <c r="M103" s="48" t="s">
        <v>1438</v>
      </c>
      <c r="N103" s="48" t="s">
        <v>1439</v>
      </c>
      <c r="O103" s="49" t="s">
        <v>1440</v>
      </c>
      <c r="P103" s="48" t="s">
        <v>38</v>
      </c>
      <c r="Q103" s="48" t="s">
        <v>37</v>
      </c>
      <c r="R103" s="48" t="s">
        <v>1436</v>
      </c>
      <c r="S103" s="48" t="s">
        <v>1436</v>
      </c>
      <c r="T103" s="48" t="s">
        <v>1436</v>
      </c>
      <c r="U103" s="48" t="s">
        <v>38</v>
      </c>
      <c r="V103" s="48" t="s">
        <v>39</v>
      </c>
      <c r="W103" s="48" t="s">
        <v>1194</v>
      </c>
      <c r="X103" s="48" t="s">
        <v>41</v>
      </c>
      <c r="Y103" s="48" t="s">
        <v>1436</v>
      </c>
      <c r="Z103" s="48" t="s">
        <v>1436</v>
      </c>
      <c r="AA103" s="48" t="s">
        <v>1436</v>
      </c>
      <c r="AB103" s="49" t="s">
        <v>193</v>
      </c>
      <c r="AC103" s="48" t="s">
        <v>1194</v>
      </c>
      <c r="AD103" s="48" t="s">
        <v>1244</v>
      </c>
      <c r="AE103" s="48" t="s">
        <v>36</v>
      </c>
    </row>
    <row r="104" spans="1:31" x14ac:dyDescent="0.3">
      <c r="A104" s="48" t="s">
        <v>1320</v>
      </c>
      <c r="B104" s="48" t="s">
        <v>6</v>
      </c>
      <c r="C104" s="48" t="s">
        <v>1322</v>
      </c>
      <c r="D104" s="48" t="s">
        <v>1405</v>
      </c>
      <c r="E104" s="50">
        <v>44804</v>
      </c>
      <c r="F104" s="49" t="s">
        <v>1321</v>
      </c>
      <c r="G104" s="48" t="s">
        <v>36</v>
      </c>
      <c r="H104" s="48" t="s">
        <v>1443</v>
      </c>
      <c r="I104" s="51">
        <v>0</v>
      </c>
      <c r="J104" s="51"/>
      <c r="K104" s="51"/>
      <c r="L104" s="48" t="s">
        <v>1194</v>
      </c>
      <c r="M104" s="48" t="s">
        <v>1438</v>
      </c>
      <c r="N104" s="48" t="s">
        <v>1439</v>
      </c>
      <c r="O104" s="49" t="s">
        <v>1442</v>
      </c>
      <c r="P104" s="48" t="s">
        <v>38</v>
      </c>
      <c r="Q104" s="48" t="s">
        <v>37</v>
      </c>
      <c r="R104" s="48" t="s">
        <v>1436</v>
      </c>
      <c r="S104" s="48" t="s">
        <v>1436</v>
      </c>
      <c r="T104" s="48" t="s">
        <v>1436</v>
      </c>
      <c r="U104" s="48" t="s">
        <v>38</v>
      </c>
      <c r="V104" s="48" t="s">
        <v>39</v>
      </c>
      <c r="W104" s="48" t="s">
        <v>1194</v>
      </c>
      <c r="X104" s="48" t="s">
        <v>41</v>
      </c>
      <c r="Y104" s="48" t="s">
        <v>1436</v>
      </c>
      <c r="Z104" s="48" t="s">
        <v>1436</v>
      </c>
      <c r="AA104" s="48" t="s">
        <v>1436</v>
      </c>
      <c r="AB104" s="49" t="s">
        <v>193</v>
      </c>
      <c r="AC104" s="48" t="s">
        <v>1194</v>
      </c>
      <c r="AD104" s="48" t="s">
        <v>1244</v>
      </c>
      <c r="AE104" s="48" t="s">
        <v>36</v>
      </c>
    </row>
    <row r="105" spans="1:31" x14ac:dyDescent="0.3">
      <c r="A105" s="48" t="s">
        <v>1320</v>
      </c>
      <c r="B105" s="48" t="s">
        <v>6</v>
      </c>
      <c r="C105" s="48" t="s">
        <v>1322</v>
      </c>
      <c r="D105" s="48" t="s">
        <v>1404</v>
      </c>
      <c r="E105" s="50">
        <v>44804</v>
      </c>
      <c r="F105" s="49" t="s">
        <v>1321</v>
      </c>
      <c r="G105" s="48" t="s">
        <v>36</v>
      </c>
      <c r="H105" s="48" t="s">
        <v>49</v>
      </c>
      <c r="I105" s="51">
        <v>-13049.803377</v>
      </c>
      <c r="J105" s="51"/>
      <c r="K105" s="51"/>
      <c r="L105" s="48" t="s">
        <v>38</v>
      </c>
      <c r="M105" s="48" t="s">
        <v>1433</v>
      </c>
      <c r="N105" s="48" t="s">
        <v>1447</v>
      </c>
      <c r="O105" s="49" t="s">
        <v>1451</v>
      </c>
      <c r="P105" s="48" t="s">
        <v>38</v>
      </c>
      <c r="Q105" s="48" t="s">
        <v>37</v>
      </c>
      <c r="R105" s="48" t="s">
        <v>1436</v>
      </c>
      <c r="S105" s="48" t="s">
        <v>1436</v>
      </c>
      <c r="T105" s="48" t="s">
        <v>1436</v>
      </c>
      <c r="U105" s="48" t="s">
        <v>38</v>
      </c>
      <c r="V105" s="48" t="s">
        <v>39</v>
      </c>
      <c r="W105" s="48" t="s">
        <v>38</v>
      </c>
      <c r="X105" s="48" t="s">
        <v>41</v>
      </c>
      <c r="Y105" s="48" t="s">
        <v>1436</v>
      </c>
      <c r="Z105" s="48" t="s">
        <v>1436</v>
      </c>
      <c r="AA105" s="48" t="s">
        <v>1436</v>
      </c>
      <c r="AB105" s="49" t="s">
        <v>193</v>
      </c>
      <c r="AC105" s="48" t="s">
        <v>1194</v>
      </c>
      <c r="AD105" s="48" t="s">
        <v>1244</v>
      </c>
      <c r="AE105" s="48" t="s">
        <v>36</v>
      </c>
    </row>
    <row r="106" spans="1:31" x14ac:dyDescent="0.3">
      <c r="A106" s="48" t="s">
        <v>1320</v>
      </c>
      <c r="B106" s="48" t="s">
        <v>6</v>
      </c>
      <c r="C106" s="48" t="s">
        <v>1322</v>
      </c>
      <c r="D106" s="48" t="s">
        <v>1413</v>
      </c>
      <c r="E106" s="50">
        <v>44834</v>
      </c>
      <c r="F106" s="49" t="s">
        <v>1321</v>
      </c>
      <c r="G106" s="48" t="s">
        <v>36</v>
      </c>
      <c r="H106" s="48" t="s">
        <v>58</v>
      </c>
      <c r="I106" s="51">
        <v>-450000</v>
      </c>
      <c r="J106" s="51"/>
      <c r="K106" s="51"/>
      <c r="L106" s="48" t="s">
        <v>40</v>
      </c>
      <c r="M106" s="48" t="s">
        <v>1433</v>
      </c>
      <c r="N106" s="48" t="s">
        <v>1447</v>
      </c>
      <c r="O106" s="49" t="s">
        <v>1448</v>
      </c>
      <c r="P106" s="48" t="s">
        <v>38</v>
      </c>
      <c r="Q106" s="48" t="s">
        <v>37</v>
      </c>
      <c r="R106" s="48" t="s">
        <v>1436</v>
      </c>
      <c r="S106" s="48" t="s">
        <v>1436</v>
      </c>
      <c r="T106" s="48" t="s">
        <v>1436</v>
      </c>
      <c r="U106" s="48" t="s">
        <v>38</v>
      </c>
      <c r="V106" s="48" t="s">
        <v>39</v>
      </c>
      <c r="W106" s="48" t="s">
        <v>40</v>
      </c>
      <c r="X106" s="48" t="s">
        <v>41</v>
      </c>
      <c r="Y106" s="48" t="s">
        <v>1436</v>
      </c>
      <c r="Z106" s="48" t="s">
        <v>1436</v>
      </c>
      <c r="AA106" s="48" t="s">
        <v>1436</v>
      </c>
      <c r="AB106" s="49" t="s">
        <v>193</v>
      </c>
      <c r="AC106" s="48" t="s">
        <v>1194</v>
      </c>
      <c r="AD106" s="48" t="s">
        <v>1244</v>
      </c>
      <c r="AE106" s="48" t="s">
        <v>36</v>
      </c>
    </row>
    <row r="107" spans="1:31" x14ac:dyDescent="0.3">
      <c r="A107" s="48" t="s">
        <v>1320</v>
      </c>
      <c r="B107" s="48" t="s">
        <v>6</v>
      </c>
      <c r="C107" s="48" t="s">
        <v>1322</v>
      </c>
      <c r="D107" s="48" t="s">
        <v>1412</v>
      </c>
      <c r="E107" s="50">
        <v>44834</v>
      </c>
      <c r="F107" s="49" t="s">
        <v>1321</v>
      </c>
      <c r="G107" s="48" t="s">
        <v>36</v>
      </c>
      <c r="H107" s="48" t="s">
        <v>52</v>
      </c>
      <c r="I107" s="51">
        <v>-380974.41</v>
      </c>
      <c r="J107" s="51"/>
      <c r="K107" s="51"/>
      <c r="L107" s="48" t="s">
        <v>40</v>
      </c>
      <c r="M107" s="48" t="s">
        <v>1433</v>
      </c>
      <c r="N107" s="48" t="s">
        <v>1434</v>
      </c>
      <c r="O107" s="49" t="s">
        <v>1435</v>
      </c>
      <c r="P107" s="48" t="s">
        <v>38</v>
      </c>
      <c r="Q107" s="48" t="s">
        <v>37</v>
      </c>
      <c r="R107" s="48" t="s">
        <v>1436</v>
      </c>
      <c r="S107" s="48" t="s">
        <v>1436</v>
      </c>
      <c r="T107" s="48" t="s">
        <v>1436</v>
      </c>
      <c r="U107" s="48" t="s">
        <v>38</v>
      </c>
      <c r="V107" s="48" t="s">
        <v>39</v>
      </c>
      <c r="W107" s="48" t="s">
        <v>40</v>
      </c>
      <c r="X107" s="48" t="s">
        <v>41</v>
      </c>
      <c r="Y107" s="48" t="s">
        <v>1436</v>
      </c>
      <c r="Z107" s="48" t="s">
        <v>1436</v>
      </c>
      <c r="AA107" s="48" t="s">
        <v>1436</v>
      </c>
      <c r="AB107" s="49" t="s">
        <v>193</v>
      </c>
      <c r="AC107" s="48" t="s">
        <v>1194</v>
      </c>
      <c r="AD107" s="48" t="s">
        <v>1244</v>
      </c>
      <c r="AE107" s="48" t="s">
        <v>36</v>
      </c>
    </row>
    <row r="108" spans="1:31" x14ac:dyDescent="0.3">
      <c r="A108" s="48" t="s">
        <v>1320</v>
      </c>
      <c r="B108" s="48" t="s">
        <v>6</v>
      </c>
      <c r="C108" s="48" t="s">
        <v>1322</v>
      </c>
      <c r="D108" s="48" t="s">
        <v>1411</v>
      </c>
      <c r="E108" s="50">
        <v>44834</v>
      </c>
      <c r="F108" s="49" t="s">
        <v>1321</v>
      </c>
      <c r="G108" s="48" t="s">
        <v>36</v>
      </c>
      <c r="H108" s="48" t="s">
        <v>50</v>
      </c>
      <c r="I108" s="51">
        <v>380974.41</v>
      </c>
      <c r="J108" s="51"/>
      <c r="K108" s="51"/>
      <c r="L108" s="48" t="s">
        <v>40</v>
      </c>
      <c r="M108" s="48" t="s">
        <v>1438</v>
      </c>
      <c r="N108" s="48" t="s">
        <v>1444</v>
      </c>
      <c r="O108" s="49" t="s">
        <v>1445</v>
      </c>
      <c r="P108" s="48" t="s">
        <v>38</v>
      </c>
      <c r="Q108" s="48" t="s">
        <v>37</v>
      </c>
      <c r="R108" s="48" t="s">
        <v>1436</v>
      </c>
      <c r="S108" s="48" t="s">
        <v>1436</v>
      </c>
      <c r="T108" s="48" t="s">
        <v>1436</v>
      </c>
      <c r="U108" s="48" t="s">
        <v>38</v>
      </c>
      <c r="V108" s="48" t="s">
        <v>39</v>
      </c>
      <c r="W108" s="48" t="s">
        <v>40</v>
      </c>
      <c r="X108" s="48" t="s">
        <v>41</v>
      </c>
      <c r="Y108" s="48" t="s">
        <v>1436</v>
      </c>
      <c r="Z108" s="48" t="s">
        <v>1436</v>
      </c>
      <c r="AA108" s="48" t="s">
        <v>1436</v>
      </c>
      <c r="AB108" s="49" t="s">
        <v>193</v>
      </c>
      <c r="AC108" s="48" t="s">
        <v>1194</v>
      </c>
      <c r="AD108" s="48" t="s">
        <v>1244</v>
      </c>
      <c r="AE108" s="48" t="s">
        <v>36</v>
      </c>
    </row>
    <row r="109" spans="1:31" x14ac:dyDescent="0.3">
      <c r="A109" s="48" t="s">
        <v>1320</v>
      </c>
      <c r="B109" s="48" t="s">
        <v>6</v>
      </c>
      <c r="C109" s="48" t="s">
        <v>1322</v>
      </c>
      <c r="D109" s="48" t="s">
        <v>1410</v>
      </c>
      <c r="E109" s="50">
        <v>44834</v>
      </c>
      <c r="F109" s="49" t="s">
        <v>1321</v>
      </c>
      <c r="G109" s="48" t="s">
        <v>36</v>
      </c>
      <c r="H109" s="48" t="s">
        <v>42</v>
      </c>
      <c r="I109" s="51">
        <v>2539829.423163</v>
      </c>
      <c r="J109" s="51"/>
      <c r="K109" s="51"/>
      <c r="L109" s="48" t="s">
        <v>40</v>
      </c>
      <c r="M109" s="48" t="s">
        <v>1433</v>
      </c>
      <c r="N109" s="48" t="s">
        <v>1434</v>
      </c>
      <c r="O109" s="49" t="s">
        <v>1437</v>
      </c>
      <c r="P109" s="48" t="s">
        <v>38</v>
      </c>
      <c r="Q109" s="48" t="s">
        <v>37</v>
      </c>
      <c r="R109" s="48" t="s">
        <v>1436</v>
      </c>
      <c r="S109" s="48" t="s">
        <v>1436</v>
      </c>
      <c r="T109" s="48" t="s">
        <v>1436</v>
      </c>
      <c r="U109" s="48" t="s">
        <v>38</v>
      </c>
      <c r="V109" s="48" t="s">
        <v>39</v>
      </c>
      <c r="W109" s="48" t="s">
        <v>40</v>
      </c>
      <c r="X109" s="48" t="s">
        <v>41</v>
      </c>
      <c r="Y109" s="48" t="s">
        <v>1436</v>
      </c>
      <c r="Z109" s="48" t="s">
        <v>1436</v>
      </c>
      <c r="AA109" s="48" t="s">
        <v>1436</v>
      </c>
      <c r="AB109" s="49" t="s">
        <v>193</v>
      </c>
      <c r="AC109" s="48" t="s">
        <v>1194</v>
      </c>
      <c r="AD109" s="48" t="s">
        <v>1244</v>
      </c>
      <c r="AE109" s="48" t="s">
        <v>36</v>
      </c>
    </row>
    <row r="110" spans="1:31" x14ac:dyDescent="0.3">
      <c r="A110" s="48" t="s">
        <v>1320</v>
      </c>
      <c r="B110" s="48" t="s">
        <v>6</v>
      </c>
      <c r="C110" s="48" t="s">
        <v>1322</v>
      </c>
      <c r="D110" s="48" t="s">
        <v>1409</v>
      </c>
      <c r="E110" s="50">
        <v>44834</v>
      </c>
      <c r="F110" s="49" t="s">
        <v>1321</v>
      </c>
      <c r="G110" s="48" t="s">
        <v>36</v>
      </c>
      <c r="H110" s="48" t="s">
        <v>45</v>
      </c>
      <c r="I110" s="51">
        <v>-1739579.3636739999</v>
      </c>
      <c r="J110" s="51"/>
      <c r="K110" s="51"/>
      <c r="L110" s="48" t="s">
        <v>40</v>
      </c>
      <c r="M110" s="48" t="s">
        <v>1433</v>
      </c>
      <c r="N110" s="48" t="s">
        <v>1447</v>
      </c>
      <c r="O110" s="49" t="s">
        <v>1449</v>
      </c>
      <c r="P110" s="48" t="s">
        <v>38</v>
      </c>
      <c r="Q110" s="48" t="s">
        <v>37</v>
      </c>
      <c r="R110" s="48" t="s">
        <v>1436</v>
      </c>
      <c r="S110" s="48" t="s">
        <v>1436</v>
      </c>
      <c r="T110" s="48" t="s">
        <v>1436</v>
      </c>
      <c r="U110" s="48" t="s">
        <v>38</v>
      </c>
      <c r="V110" s="48" t="s">
        <v>39</v>
      </c>
      <c r="W110" s="48" t="s">
        <v>40</v>
      </c>
      <c r="X110" s="48" t="s">
        <v>41</v>
      </c>
      <c r="Y110" s="48" t="s">
        <v>1436</v>
      </c>
      <c r="Z110" s="48" t="s">
        <v>1436</v>
      </c>
      <c r="AA110" s="48" t="s">
        <v>1436</v>
      </c>
      <c r="AB110" s="49" t="s">
        <v>193</v>
      </c>
      <c r="AC110" s="48" t="s">
        <v>1194</v>
      </c>
      <c r="AD110" s="48" t="s">
        <v>1244</v>
      </c>
      <c r="AE110" s="48" t="s">
        <v>36</v>
      </c>
    </row>
    <row r="111" spans="1:31" x14ac:dyDescent="0.3">
      <c r="A111" s="48" t="s">
        <v>1320</v>
      </c>
      <c r="B111" s="48" t="s">
        <v>6</v>
      </c>
      <c r="C111" s="48" t="s">
        <v>1322</v>
      </c>
      <c r="D111" s="48" t="s">
        <v>1408</v>
      </c>
      <c r="E111" s="50">
        <v>44834</v>
      </c>
      <c r="F111" s="49" t="s">
        <v>1321</v>
      </c>
      <c r="G111" s="48" t="s">
        <v>36</v>
      </c>
      <c r="H111" s="48" t="s">
        <v>54</v>
      </c>
      <c r="I111" s="51">
        <v>-460579.59</v>
      </c>
      <c r="J111" s="51"/>
      <c r="K111" s="51"/>
      <c r="L111" s="48" t="s">
        <v>40</v>
      </c>
      <c r="M111" s="48" t="s">
        <v>1433</v>
      </c>
      <c r="N111" s="48" t="s">
        <v>1447</v>
      </c>
      <c r="O111" s="49" t="s">
        <v>1450</v>
      </c>
      <c r="P111" s="48" t="s">
        <v>38</v>
      </c>
      <c r="Q111" s="48" t="s">
        <v>37</v>
      </c>
      <c r="R111" s="48" t="s">
        <v>1436</v>
      </c>
      <c r="S111" s="48" t="s">
        <v>1436</v>
      </c>
      <c r="T111" s="48" t="s">
        <v>1436</v>
      </c>
      <c r="U111" s="48" t="s">
        <v>38</v>
      </c>
      <c r="V111" s="48" t="s">
        <v>39</v>
      </c>
      <c r="W111" s="48" t="s">
        <v>40</v>
      </c>
      <c r="X111" s="48" t="s">
        <v>41</v>
      </c>
      <c r="Y111" s="48" t="s">
        <v>1436</v>
      </c>
      <c r="Z111" s="48" t="s">
        <v>1436</v>
      </c>
      <c r="AA111" s="48" t="s">
        <v>1436</v>
      </c>
      <c r="AB111" s="49" t="s">
        <v>193</v>
      </c>
      <c r="AC111" s="48" t="s">
        <v>1194</v>
      </c>
      <c r="AD111" s="48" t="s">
        <v>1244</v>
      </c>
      <c r="AE111" s="48" t="s">
        <v>36</v>
      </c>
    </row>
    <row r="112" spans="1:31" x14ac:dyDescent="0.3">
      <c r="A112" s="48" t="s">
        <v>1320</v>
      </c>
      <c r="B112" s="48" t="s">
        <v>6</v>
      </c>
      <c r="C112" s="48" t="s">
        <v>1322</v>
      </c>
      <c r="D112" s="48" t="s">
        <v>1407</v>
      </c>
      <c r="E112" s="50">
        <v>44834</v>
      </c>
      <c r="F112" s="49" t="s">
        <v>1321</v>
      </c>
      <c r="G112" s="48" t="s">
        <v>36</v>
      </c>
      <c r="H112" s="48" t="s">
        <v>47</v>
      </c>
      <c r="I112" s="51">
        <v>123163.79107399999</v>
      </c>
      <c r="J112" s="51"/>
      <c r="K112" s="51"/>
      <c r="L112" s="48" t="s">
        <v>40</v>
      </c>
      <c r="M112" s="48" t="s">
        <v>1438</v>
      </c>
      <c r="N112" s="48" t="s">
        <v>1444</v>
      </c>
      <c r="O112" s="49" t="s">
        <v>1446</v>
      </c>
      <c r="P112" s="48" t="s">
        <v>38</v>
      </c>
      <c r="Q112" s="48" t="s">
        <v>37</v>
      </c>
      <c r="R112" s="48" t="s">
        <v>1436</v>
      </c>
      <c r="S112" s="48" t="s">
        <v>1436</v>
      </c>
      <c r="T112" s="48" t="s">
        <v>1436</v>
      </c>
      <c r="U112" s="48" t="s">
        <v>38</v>
      </c>
      <c r="V112" s="48" t="s">
        <v>39</v>
      </c>
      <c r="W112" s="48" t="s">
        <v>40</v>
      </c>
      <c r="X112" s="48" t="s">
        <v>41</v>
      </c>
      <c r="Y112" s="48" t="s">
        <v>1436</v>
      </c>
      <c r="Z112" s="48" t="s">
        <v>1436</v>
      </c>
      <c r="AA112" s="48" t="s">
        <v>1436</v>
      </c>
      <c r="AB112" s="49" t="s">
        <v>193</v>
      </c>
      <c r="AC112" s="48" t="s">
        <v>1194</v>
      </c>
      <c r="AD112" s="48" t="s">
        <v>1244</v>
      </c>
      <c r="AE112" s="48" t="s">
        <v>36</v>
      </c>
    </row>
    <row r="113" spans="1:31" x14ac:dyDescent="0.3">
      <c r="A113" s="48" t="s">
        <v>1320</v>
      </c>
      <c r="B113" s="48" t="s">
        <v>6</v>
      </c>
      <c r="C113" s="48" t="s">
        <v>1322</v>
      </c>
      <c r="D113" s="48" t="s">
        <v>1406</v>
      </c>
      <c r="E113" s="50">
        <v>44834</v>
      </c>
      <c r="F113" s="49" t="s">
        <v>1321</v>
      </c>
      <c r="G113" s="48" t="s">
        <v>36</v>
      </c>
      <c r="H113" s="48" t="s">
        <v>1441</v>
      </c>
      <c r="I113" s="51">
        <v>0</v>
      </c>
      <c r="J113" s="51"/>
      <c r="K113" s="51"/>
      <c r="L113" s="48" t="s">
        <v>1194</v>
      </c>
      <c r="M113" s="48" t="s">
        <v>1438</v>
      </c>
      <c r="N113" s="48" t="s">
        <v>1439</v>
      </c>
      <c r="O113" s="49" t="s">
        <v>1440</v>
      </c>
      <c r="P113" s="48" t="s">
        <v>38</v>
      </c>
      <c r="Q113" s="48" t="s">
        <v>37</v>
      </c>
      <c r="R113" s="48" t="s">
        <v>1436</v>
      </c>
      <c r="S113" s="48" t="s">
        <v>1436</v>
      </c>
      <c r="T113" s="48" t="s">
        <v>1436</v>
      </c>
      <c r="U113" s="48" t="s">
        <v>38</v>
      </c>
      <c r="V113" s="48" t="s">
        <v>39</v>
      </c>
      <c r="W113" s="48" t="s">
        <v>1194</v>
      </c>
      <c r="X113" s="48" t="s">
        <v>41</v>
      </c>
      <c r="Y113" s="48" t="s">
        <v>1436</v>
      </c>
      <c r="Z113" s="48" t="s">
        <v>1436</v>
      </c>
      <c r="AA113" s="48" t="s">
        <v>1436</v>
      </c>
      <c r="AB113" s="49" t="s">
        <v>193</v>
      </c>
      <c r="AC113" s="48" t="s">
        <v>1194</v>
      </c>
      <c r="AD113" s="48" t="s">
        <v>1244</v>
      </c>
      <c r="AE113" s="48" t="s">
        <v>36</v>
      </c>
    </row>
    <row r="114" spans="1:31" x14ac:dyDescent="0.3">
      <c r="A114" s="48" t="s">
        <v>1320</v>
      </c>
      <c r="B114" s="48" t="s">
        <v>6</v>
      </c>
      <c r="C114" s="48" t="s">
        <v>1322</v>
      </c>
      <c r="D114" s="48" t="s">
        <v>1405</v>
      </c>
      <c r="E114" s="50">
        <v>44834</v>
      </c>
      <c r="F114" s="49" t="s">
        <v>1321</v>
      </c>
      <c r="G114" s="48" t="s">
        <v>36</v>
      </c>
      <c r="H114" s="48" t="s">
        <v>1443</v>
      </c>
      <c r="I114" s="51">
        <v>0</v>
      </c>
      <c r="J114" s="51"/>
      <c r="K114" s="51"/>
      <c r="L114" s="48" t="s">
        <v>1194</v>
      </c>
      <c r="M114" s="48" t="s">
        <v>1438</v>
      </c>
      <c r="N114" s="48" t="s">
        <v>1439</v>
      </c>
      <c r="O114" s="49" t="s">
        <v>1442</v>
      </c>
      <c r="P114" s="48" t="s">
        <v>38</v>
      </c>
      <c r="Q114" s="48" t="s">
        <v>37</v>
      </c>
      <c r="R114" s="48" t="s">
        <v>1436</v>
      </c>
      <c r="S114" s="48" t="s">
        <v>1436</v>
      </c>
      <c r="T114" s="48" t="s">
        <v>1436</v>
      </c>
      <c r="U114" s="48" t="s">
        <v>38</v>
      </c>
      <c r="V114" s="48" t="s">
        <v>39</v>
      </c>
      <c r="W114" s="48" t="s">
        <v>1194</v>
      </c>
      <c r="X114" s="48" t="s">
        <v>41</v>
      </c>
      <c r="Y114" s="48" t="s">
        <v>1436</v>
      </c>
      <c r="Z114" s="48" t="s">
        <v>1436</v>
      </c>
      <c r="AA114" s="48" t="s">
        <v>1436</v>
      </c>
      <c r="AB114" s="49" t="s">
        <v>193</v>
      </c>
      <c r="AC114" s="48" t="s">
        <v>1194</v>
      </c>
      <c r="AD114" s="48" t="s">
        <v>1244</v>
      </c>
      <c r="AE114" s="48" t="s">
        <v>36</v>
      </c>
    </row>
    <row r="115" spans="1:31" x14ac:dyDescent="0.3">
      <c r="A115" s="48" t="s">
        <v>1320</v>
      </c>
      <c r="B115" s="48" t="s">
        <v>6</v>
      </c>
      <c r="C115" s="48" t="s">
        <v>1322</v>
      </c>
      <c r="D115" s="48" t="s">
        <v>1404</v>
      </c>
      <c r="E115" s="50">
        <v>44834</v>
      </c>
      <c r="F115" s="49" t="s">
        <v>1321</v>
      </c>
      <c r="G115" s="48" t="s">
        <v>36</v>
      </c>
      <c r="H115" s="48" t="s">
        <v>49</v>
      </c>
      <c r="I115" s="51">
        <v>-12834.260563</v>
      </c>
      <c r="J115" s="51"/>
      <c r="K115" s="51"/>
      <c r="L115" s="48" t="s">
        <v>38</v>
      </c>
      <c r="M115" s="48" t="s">
        <v>1433</v>
      </c>
      <c r="N115" s="48" t="s">
        <v>1447</v>
      </c>
      <c r="O115" s="49" t="s">
        <v>1451</v>
      </c>
      <c r="P115" s="48" t="s">
        <v>38</v>
      </c>
      <c r="Q115" s="48" t="s">
        <v>37</v>
      </c>
      <c r="R115" s="48" t="s">
        <v>1436</v>
      </c>
      <c r="S115" s="48" t="s">
        <v>1436</v>
      </c>
      <c r="T115" s="48" t="s">
        <v>1436</v>
      </c>
      <c r="U115" s="48" t="s">
        <v>38</v>
      </c>
      <c r="V115" s="48" t="s">
        <v>39</v>
      </c>
      <c r="W115" s="48" t="s">
        <v>38</v>
      </c>
      <c r="X115" s="48" t="s">
        <v>41</v>
      </c>
      <c r="Y115" s="48" t="s">
        <v>1436</v>
      </c>
      <c r="Z115" s="48" t="s">
        <v>1436</v>
      </c>
      <c r="AA115" s="48" t="s">
        <v>1436</v>
      </c>
      <c r="AB115" s="49" t="s">
        <v>193</v>
      </c>
      <c r="AC115" s="48" t="s">
        <v>1194</v>
      </c>
      <c r="AD115" s="48" t="s">
        <v>1244</v>
      </c>
      <c r="AE115" s="48" t="s">
        <v>36</v>
      </c>
    </row>
    <row r="116" spans="1:31" x14ac:dyDescent="0.3">
      <c r="A116" s="48" t="s">
        <v>1320</v>
      </c>
      <c r="B116" s="48" t="s">
        <v>6</v>
      </c>
      <c r="C116" s="48" t="s">
        <v>1322</v>
      </c>
      <c r="D116" s="48" t="s">
        <v>1413</v>
      </c>
      <c r="E116" s="50">
        <v>44865</v>
      </c>
      <c r="F116" s="49" t="s">
        <v>1321</v>
      </c>
      <c r="G116" s="48" t="s">
        <v>36</v>
      </c>
      <c r="H116" s="48" t="s">
        <v>58</v>
      </c>
      <c r="I116" s="51">
        <v>-500000</v>
      </c>
      <c r="J116" s="51"/>
      <c r="K116" s="51"/>
      <c r="L116" s="48" t="s">
        <v>40</v>
      </c>
      <c r="M116" s="48" t="s">
        <v>1433</v>
      </c>
      <c r="N116" s="48" t="s">
        <v>1447</v>
      </c>
      <c r="O116" s="49" t="s">
        <v>1448</v>
      </c>
      <c r="P116" s="48" t="s">
        <v>38</v>
      </c>
      <c r="Q116" s="48" t="s">
        <v>37</v>
      </c>
      <c r="R116" s="48" t="s">
        <v>1436</v>
      </c>
      <c r="S116" s="48" t="s">
        <v>1436</v>
      </c>
      <c r="T116" s="48" t="s">
        <v>1436</v>
      </c>
      <c r="U116" s="48" t="s">
        <v>38</v>
      </c>
      <c r="V116" s="48" t="s">
        <v>39</v>
      </c>
      <c r="W116" s="48" t="s">
        <v>40</v>
      </c>
      <c r="X116" s="48" t="s">
        <v>41</v>
      </c>
      <c r="Y116" s="48" t="s">
        <v>1436</v>
      </c>
      <c r="Z116" s="48" t="s">
        <v>1436</v>
      </c>
      <c r="AA116" s="48" t="s">
        <v>1436</v>
      </c>
      <c r="AB116" s="49" t="s">
        <v>193</v>
      </c>
      <c r="AC116" s="48" t="s">
        <v>1194</v>
      </c>
      <c r="AD116" s="48" t="s">
        <v>1244</v>
      </c>
      <c r="AE116" s="48" t="s">
        <v>36</v>
      </c>
    </row>
    <row r="117" spans="1:31" x14ac:dyDescent="0.3">
      <c r="A117" s="48" t="s">
        <v>1320</v>
      </c>
      <c r="B117" s="48" t="s">
        <v>6</v>
      </c>
      <c r="C117" s="48" t="s">
        <v>1322</v>
      </c>
      <c r="D117" s="48" t="s">
        <v>1412</v>
      </c>
      <c r="E117" s="50">
        <v>44865</v>
      </c>
      <c r="F117" s="49" t="s">
        <v>1321</v>
      </c>
      <c r="G117" s="48" t="s">
        <v>36</v>
      </c>
      <c r="H117" s="48" t="s">
        <v>52</v>
      </c>
      <c r="I117" s="51">
        <v>-423304.9</v>
      </c>
      <c r="J117" s="51"/>
      <c r="K117" s="51"/>
      <c r="L117" s="48" t="s">
        <v>40</v>
      </c>
      <c r="M117" s="48" t="s">
        <v>1433</v>
      </c>
      <c r="N117" s="48" t="s">
        <v>1434</v>
      </c>
      <c r="O117" s="49" t="s">
        <v>1435</v>
      </c>
      <c r="P117" s="48" t="s">
        <v>38</v>
      </c>
      <c r="Q117" s="48" t="s">
        <v>37</v>
      </c>
      <c r="R117" s="48" t="s">
        <v>1436</v>
      </c>
      <c r="S117" s="48" t="s">
        <v>1436</v>
      </c>
      <c r="T117" s="48" t="s">
        <v>1436</v>
      </c>
      <c r="U117" s="48" t="s">
        <v>38</v>
      </c>
      <c r="V117" s="48" t="s">
        <v>39</v>
      </c>
      <c r="W117" s="48" t="s">
        <v>40</v>
      </c>
      <c r="X117" s="48" t="s">
        <v>41</v>
      </c>
      <c r="Y117" s="48" t="s">
        <v>1436</v>
      </c>
      <c r="Z117" s="48" t="s">
        <v>1436</v>
      </c>
      <c r="AA117" s="48" t="s">
        <v>1436</v>
      </c>
      <c r="AB117" s="49" t="s">
        <v>193</v>
      </c>
      <c r="AC117" s="48" t="s">
        <v>1194</v>
      </c>
      <c r="AD117" s="48" t="s">
        <v>1244</v>
      </c>
      <c r="AE117" s="48" t="s">
        <v>36</v>
      </c>
    </row>
    <row r="118" spans="1:31" x14ac:dyDescent="0.3">
      <c r="A118" s="48" t="s">
        <v>1320</v>
      </c>
      <c r="B118" s="48" t="s">
        <v>6</v>
      </c>
      <c r="C118" s="48" t="s">
        <v>1322</v>
      </c>
      <c r="D118" s="48" t="s">
        <v>1411</v>
      </c>
      <c r="E118" s="50">
        <v>44865</v>
      </c>
      <c r="F118" s="49" t="s">
        <v>1321</v>
      </c>
      <c r="G118" s="48" t="s">
        <v>36</v>
      </c>
      <c r="H118" s="48" t="s">
        <v>50</v>
      </c>
      <c r="I118" s="51">
        <v>423304.9</v>
      </c>
      <c r="J118" s="51"/>
      <c r="K118" s="51"/>
      <c r="L118" s="48" t="s">
        <v>40</v>
      </c>
      <c r="M118" s="48" t="s">
        <v>1438</v>
      </c>
      <c r="N118" s="48" t="s">
        <v>1444</v>
      </c>
      <c r="O118" s="49" t="s">
        <v>1445</v>
      </c>
      <c r="P118" s="48" t="s">
        <v>38</v>
      </c>
      <c r="Q118" s="48" t="s">
        <v>37</v>
      </c>
      <c r="R118" s="48" t="s">
        <v>1436</v>
      </c>
      <c r="S118" s="48" t="s">
        <v>1436</v>
      </c>
      <c r="T118" s="48" t="s">
        <v>1436</v>
      </c>
      <c r="U118" s="48" t="s">
        <v>38</v>
      </c>
      <c r="V118" s="48" t="s">
        <v>39</v>
      </c>
      <c r="W118" s="48" t="s">
        <v>40</v>
      </c>
      <c r="X118" s="48" t="s">
        <v>41</v>
      </c>
      <c r="Y118" s="48" t="s">
        <v>1436</v>
      </c>
      <c r="Z118" s="48" t="s">
        <v>1436</v>
      </c>
      <c r="AA118" s="48" t="s">
        <v>1436</v>
      </c>
      <c r="AB118" s="49" t="s">
        <v>193</v>
      </c>
      <c r="AC118" s="48" t="s">
        <v>1194</v>
      </c>
      <c r="AD118" s="48" t="s">
        <v>1244</v>
      </c>
      <c r="AE118" s="48" t="s">
        <v>36</v>
      </c>
    </row>
    <row r="119" spans="1:31" x14ac:dyDescent="0.3">
      <c r="A119" s="48" t="s">
        <v>1320</v>
      </c>
      <c r="B119" s="48" t="s">
        <v>6</v>
      </c>
      <c r="C119" s="48" t="s">
        <v>1322</v>
      </c>
      <c r="D119" s="48" t="s">
        <v>1410</v>
      </c>
      <c r="E119" s="50">
        <v>44865</v>
      </c>
      <c r="F119" s="49" t="s">
        <v>1321</v>
      </c>
      <c r="G119" s="48" t="s">
        <v>36</v>
      </c>
      <c r="H119" s="48" t="s">
        <v>42</v>
      </c>
      <c r="I119" s="51">
        <v>2539829.423163</v>
      </c>
      <c r="J119" s="51"/>
      <c r="K119" s="51"/>
      <c r="L119" s="48" t="s">
        <v>40</v>
      </c>
      <c r="M119" s="48" t="s">
        <v>1433</v>
      </c>
      <c r="N119" s="48" t="s">
        <v>1434</v>
      </c>
      <c r="O119" s="49" t="s">
        <v>1437</v>
      </c>
      <c r="P119" s="48" t="s">
        <v>38</v>
      </c>
      <c r="Q119" s="48" t="s">
        <v>37</v>
      </c>
      <c r="R119" s="48" t="s">
        <v>1436</v>
      </c>
      <c r="S119" s="48" t="s">
        <v>1436</v>
      </c>
      <c r="T119" s="48" t="s">
        <v>1436</v>
      </c>
      <c r="U119" s="48" t="s">
        <v>38</v>
      </c>
      <c r="V119" s="48" t="s">
        <v>39</v>
      </c>
      <c r="W119" s="48" t="s">
        <v>40</v>
      </c>
      <c r="X119" s="48" t="s">
        <v>41</v>
      </c>
      <c r="Y119" s="48" t="s">
        <v>1436</v>
      </c>
      <c r="Z119" s="48" t="s">
        <v>1436</v>
      </c>
      <c r="AA119" s="48" t="s">
        <v>1436</v>
      </c>
      <c r="AB119" s="49" t="s">
        <v>193</v>
      </c>
      <c r="AC119" s="48" t="s">
        <v>1194</v>
      </c>
      <c r="AD119" s="48" t="s">
        <v>1244</v>
      </c>
      <c r="AE119" s="48" t="s">
        <v>36</v>
      </c>
    </row>
    <row r="120" spans="1:31" x14ac:dyDescent="0.3">
      <c r="A120" s="48" t="s">
        <v>1320</v>
      </c>
      <c r="B120" s="48" t="s">
        <v>6</v>
      </c>
      <c r="C120" s="48" t="s">
        <v>1322</v>
      </c>
      <c r="D120" s="48" t="s">
        <v>1409</v>
      </c>
      <c r="E120" s="50">
        <v>44865</v>
      </c>
      <c r="F120" s="49" t="s">
        <v>1321</v>
      </c>
      <c r="G120" s="48" t="s">
        <v>36</v>
      </c>
      <c r="H120" s="48" t="s">
        <v>45</v>
      </c>
      <c r="I120" s="51">
        <v>-1699726.904237</v>
      </c>
      <c r="J120" s="51"/>
      <c r="K120" s="51"/>
      <c r="L120" s="48" t="s">
        <v>40</v>
      </c>
      <c r="M120" s="48" t="s">
        <v>1433</v>
      </c>
      <c r="N120" s="48" t="s">
        <v>1447</v>
      </c>
      <c r="O120" s="49" t="s">
        <v>1449</v>
      </c>
      <c r="P120" s="48" t="s">
        <v>38</v>
      </c>
      <c r="Q120" s="48" t="s">
        <v>37</v>
      </c>
      <c r="R120" s="48" t="s">
        <v>1436</v>
      </c>
      <c r="S120" s="48" t="s">
        <v>1436</v>
      </c>
      <c r="T120" s="48" t="s">
        <v>1436</v>
      </c>
      <c r="U120" s="48" t="s">
        <v>38</v>
      </c>
      <c r="V120" s="48" t="s">
        <v>39</v>
      </c>
      <c r="W120" s="48" t="s">
        <v>40</v>
      </c>
      <c r="X120" s="48" t="s">
        <v>41</v>
      </c>
      <c r="Y120" s="48" t="s">
        <v>1436</v>
      </c>
      <c r="Z120" s="48" t="s">
        <v>1436</v>
      </c>
      <c r="AA120" s="48" t="s">
        <v>1436</v>
      </c>
      <c r="AB120" s="49" t="s">
        <v>193</v>
      </c>
      <c r="AC120" s="48" t="s">
        <v>1194</v>
      </c>
      <c r="AD120" s="48" t="s">
        <v>1244</v>
      </c>
      <c r="AE120" s="48" t="s">
        <v>36</v>
      </c>
    </row>
    <row r="121" spans="1:31" x14ac:dyDescent="0.3">
      <c r="A121" s="48" t="s">
        <v>1320</v>
      </c>
      <c r="B121" s="48" t="s">
        <v>6</v>
      </c>
      <c r="C121" s="48" t="s">
        <v>1322</v>
      </c>
      <c r="D121" s="48" t="s">
        <v>1408</v>
      </c>
      <c r="E121" s="50">
        <v>44865</v>
      </c>
      <c r="F121" s="49" t="s">
        <v>1321</v>
      </c>
      <c r="G121" s="48" t="s">
        <v>36</v>
      </c>
      <c r="H121" s="48" t="s">
        <v>54</v>
      </c>
      <c r="I121" s="51">
        <v>-463266.31</v>
      </c>
      <c r="J121" s="51"/>
      <c r="K121" s="51"/>
      <c r="L121" s="48" t="s">
        <v>40</v>
      </c>
      <c r="M121" s="48" t="s">
        <v>1433</v>
      </c>
      <c r="N121" s="48" t="s">
        <v>1447</v>
      </c>
      <c r="O121" s="49" t="s">
        <v>1450</v>
      </c>
      <c r="P121" s="48" t="s">
        <v>38</v>
      </c>
      <c r="Q121" s="48" t="s">
        <v>37</v>
      </c>
      <c r="R121" s="48" t="s">
        <v>1436</v>
      </c>
      <c r="S121" s="48" t="s">
        <v>1436</v>
      </c>
      <c r="T121" s="48" t="s">
        <v>1436</v>
      </c>
      <c r="U121" s="48" t="s">
        <v>38</v>
      </c>
      <c r="V121" s="48" t="s">
        <v>39</v>
      </c>
      <c r="W121" s="48" t="s">
        <v>40</v>
      </c>
      <c r="X121" s="48" t="s">
        <v>41</v>
      </c>
      <c r="Y121" s="48" t="s">
        <v>1436</v>
      </c>
      <c r="Z121" s="48" t="s">
        <v>1436</v>
      </c>
      <c r="AA121" s="48" t="s">
        <v>1436</v>
      </c>
      <c r="AB121" s="49" t="s">
        <v>193</v>
      </c>
      <c r="AC121" s="48" t="s">
        <v>1194</v>
      </c>
      <c r="AD121" s="48" t="s">
        <v>1244</v>
      </c>
      <c r="AE121" s="48" t="s">
        <v>36</v>
      </c>
    </row>
    <row r="122" spans="1:31" x14ac:dyDescent="0.3">
      <c r="A122" s="48" t="s">
        <v>1320</v>
      </c>
      <c r="B122" s="48" t="s">
        <v>6</v>
      </c>
      <c r="C122" s="48" t="s">
        <v>1322</v>
      </c>
      <c r="D122" s="48" t="s">
        <v>1407</v>
      </c>
      <c r="E122" s="50">
        <v>44865</v>
      </c>
      <c r="F122" s="49" t="s">
        <v>1321</v>
      </c>
      <c r="G122" s="48" t="s">
        <v>36</v>
      </c>
      <c r="H122" s="48" t="s">
        <v>47</v>
      </c>
      <c r="I122" s="51">
        <v>135781.25149</v>
      </c>
      <c r="J122" s="51"/>
      <c r="K122" s="51"/>
      <c r="L122" s="48" t="s">
        <v>40</v>
      </c>
      <c r="M122" s="48" t="s">
        <v>1438</v>
      </c>
      <c r="N122" s="48" t="s">
        <v>1444</v>
      </c>
      <c r="O122" s="49" t="s">
        <v>1446</v>
      </c>
      <c r="P122" s="48" t="s">
        <v>38</v>
      </c>
      <c r="Q122" s="48" t="s">
        <v>37</v>
      </c>
      <c r="R122" s="48" t="s">
        <v>1436</v>
      </c>
      <c r="S122" s="48" t="s">
        <v>1436</v>
      </c>
      <c r="T122" s="48" t="s">
        <v>1436</v>
      </c>
      <c r="U122" s="48" t="s">
        <v>38</v>
      </c>
      <c r="V122" s="48" t="s">
        <v>39</v>
      </c>
      <c r="W122" s="48" t="s">
        <v>40</v>
      </c>
      <c r="X122" s="48" t="s">
        <v>41</v>
      </c>
      <c r="Y122" s="48" t="s">
        <v>1436</v>
      </c>
      <c r="Z122" s="48" t="s">
        <v>1436</v>
      </c>
      <c r="AA122" s="48" t="s">
        <v>1436</v>
      </c>
      <c r="AB122" s="49" t="s">
        <v>193</v>
      </c>
      <c r="AC122" s="48" t="s">
        <v>1194</v>
      </c>
      <c r="AD122" s="48" t="s">
        <v>1244</v>
      </c>
      <c r="AE122" s="48" t="s">
        <v>36</v>
      </c>
    </row>
    <row r="123" spans="1:31" x14ac:dyDescent="0.3">
      <c r="A123" s="48" t="s">
        <v>1320</v>
      </c>
      <c r="B123" s="48" t="s">
        <v>6</v>
      </c>
      <c r="C123" s="48" t="s">
        <v>1322</v>
      </c>
      <c r="D123" s="48" t="s">
        <v>1406</v>
      </c>
      <c r="E123" s="50">
        <v>44865</v>
      </c>
      <c r="F123" s="49" t="s">
        <v>1321</v>
      </c>
      <c r="G123" s="48" t="s">
        <v>36</v>
      </c>
      <c r="H123" s="48" t="s">
        <v>1441</v>
      </c>
      <c r="I123" s="51">
        <v>0</v>
      </c>
      <c r="J123" s="51"/>
      <c r="K123" s="51"/>
      <c r="L123" s="48" t="s">
        <v>1194</v>
      </c>
      <c r="M123" s="48" t="s">
        <v>1438</v>
      </c>
      <c r="N123" s="48" t="s">
        <v>1439</v>
      </c>
      <c r="O123" s="49" t="s">
        <v>1440</v>
      </c>
      <c r="P123" s="48" t="s">
        <v>38</v>
      </c>
      <c r="Q123" s="48" t="s">
        <v>37</v>
      </c>
      <c r="R123" s="48" t="s">
        <v>1436</v>
      </c>
      <c r="S123" s="48" t="s">
        <v>1436</v>
      </c>
      <c r="T123" s="48" t="s">
        <v>1436</v>
      </c>
      <c r="U123" s="48" t="s">
        <v>38</v>
      </c>
      <c r="V123" s="48" t="s">
        <v>39</v>
      </c>
      <c r="W123" s="48" t="s">
        <v>1194</v>
      </c>
      <c r="X123" s="48" t="s">
        <v>41</v>
      </c>
      <c r="Y123" s="48" t="s">
        <v>1436</v>
      </c>
      <c r="Z123" s="48" t="s">
        <v>1436</v>
      </c>
      <c r="AA123" s="48" t="s">
        <v>1436</v>
      </c>
      <c r="AB123" s="49" t="s">
        <v>193</v>
      </c>
      <c r="AC123" s="48" t="s">
        <v>1194</v>
      </c>
      <c r="AD123" s="48" t="s">
        <v>1244</v>
      </c>
      <c r="AE123" s="48" t="s">
        <v>36</v>
      </c>
    </row>
    <row r="124" spans="1:31" x14ac:dyDescent="0.3">
      <c r="A124" s="48" t="s">
        <v>1320</v>
      </c>
      <c r="B124" s="48" t="s">
        <v>6</v>
      </c>
      <c r="C124" s="48" t="s">
        <v>1322</v>
      </c>
      <c r="D124" s="48" t="s">
        <v>1405</v>
      </c>
      <c r="E124" s="50">
        <v>44865</v>
      </c>
      <c r="F124" s="49" t="s">
        <v>1321</v>
      </c>
      <c r="G124" s="48" t="s">
        <v>36</v>
      </c>
      <c r="H124" s="48" t="s">
        <v>1443</v>
      </c>
      <c r="I124" s="51">
        <v>0</v>
      </c>
      <c r="J124" s="51"/>
      <c r="K124" s="51"/>
      <c r="L124" s="48" t="s">
        <v>1194</v>
      </c>
      <c r="M124" s="48" t="s">
        <v>1438</v>
      </c>
      <c r="N124" s="48" t="s">
        <v>1439</v>
      </c>
      <c r="O124" s="49" t="s">
        <v>1442</v>
      </c>
      <c r="P124" s="48" t="s">
        <v>38</v>
      </c>
      <c r="Q124" s="48" t="s">
        <v>37</v>
      </c>
      <c r="R124" s="48" t="s">
        <v>1436</v>
      </c>
      <c r="S124" s="48" t="s">
        <v>1436</v>
      </c>
      <c r="T124" s="48" t="s">
        <v>1436</v>
      </c>
      <c r="U124" s="48" t="s">
        <v>38</v>
      </c>
      <c r="V124" s="48" t="s">
        <v>39</v>
      </c>
      <c r="W124" s="48" t="s">
        <v>1194</v>
      </c>
      <c r="X124" s="48" t="s">
        <v>41</v>
      </c>
      <c r="Y124" s="48" t="s">
        <v>1436</v>
      </c>
      <c r="Z124" s="48" t="s">
        <v>1436</v>
      </c>
      <c r="AA124" s="48" t="s">
        <v>1436</v>
      </c>
      <c r="AB124" s="49" t="s">
        <v>193</v>
      </c>
      <c r="AC124" s="48" t="s">
        <v>1194</v>
      </c>
      <c r="AD124" s="48" t="s">
        <v>1244</v>
      </c>
      <c r="AE124" s="48" t="s">
        <v>36</v>
      </c>
    </row>
    <row r="125" spans="1:31" x14ac:dyDescent="0.3">
      <c r="A125" s="48" t="s">
        <v>1320</v>
      </c>
      <c r="B125" s="48" t="s">
        <v>6</v>
      </c>
      <c r="C125" s="48" t="s">
        <v>1322</v>
      </c>
      <c r="D125" s="48" t="s">
        <v>1404</v>
      </c>
      <c r="E125" s="50">
        <v>44865</v>
      </c>
      <c r="F125" s="49" t="s">
        <v>1321</v>
      </c>
      <c r="G125" s="48" t="s">
        <v>36</v>
      </c>
      <c r="H125" s="48" t="s">
        <v>49</v>
      </c>
      <c r="I125" s="51">
        <v>-12617.460416</v>
      </c>
      <c r="J125" s="51"/>
      <c r="K125" s="51"/>
      <c r="L125" s="48" t="s">
        <v>38</v>
      </c>
      <c r="M125" s="48" t="s">
        <v>1433</v>
      </c>
      <c r="N125" s="48" t="s">
        <v>1447</v>
      </c>
      <c r="O125" s="49" t="s">
        <v>1451</v>
      </c>
      <c r="P125" s="48" t="s">
        <v>38</v>
      </c>
      <c r="Q125" s="48" t="s">
        <v>37</v>
      </c>
      <c r="R125" s="48" t="s">
        <v>1436</v>
      </c>
      <c r="S125" s="48" t="s">
        <v>1436</v>
      </c>
      <c r="T125" s="48" t="s">
        <v>1436</v>
      </c>
      <c r="U125" s="48" t="s">
        <v>38</v>
      </c>
      <c r="V125" s="48" t="s">
        <v>39</v>
      </c>
      <c r="W125" s="48" t="s">
        <v>38</v>
      </c>
      <c r="X125" s="48" t="s">
        <v>41</v>
      </c>
      <c r="Y125" s="48" t="s">
        <v>1436</v>
      </c>
      <c r="Z125" s="48" t="s">
        <v>1436</v>
      </c>
      <c r="AA125" s="48" t="s">
        <v>1436</v>
      </c>
      <c r="AB125" s="49" t="s">
        <v>193</v>
      </c>
      <c r="AC125" s="48" t="s">
        <v>1194</v>
      </c>
      <c r="AD125" s="48" t="s">
        <v>1244</v>
      </c>
      <c r="AE125" s="48" t="s">
        <v>36</v>
      </c>
    </row>
    <row r="126" spans="1:31" x14ac:dyDescent="0.3">
      <c r="A126" s="48" t="s">
        <v>1320</v>
      </c>
      <c r="B126" s="48" t="s">
        <v>6</v>
      </c>
      <c r="C126" s="48" t="s">
        <v>1322</v>
      </c>
      <c r="D126" s="48" t="s">
        <v>1413</v>
      </c>
      <c r="E126" s="50">
        <v>44895</v>
      </c>
      <c r="F126" s="49" t="s">
        <v>1321</v>
      </c>
      <c r="G126" s="48" t="s">
        <v>36</v>
      </c>
      <c r="H126" s="48" t="s">
        <v>58</v>
      </c>
      <c r="I126" s="51">
        <v>-550000</v>
      </c>
      <c r="J126" s="51"/>
      <c r="K126" s="51"/>
      <c r="L126" s="48" t="s">
        <v>40</v>
      </c>
      <c r="M126" s="48" t="s">
        <v>1433</v>
      </c>
      <c r="N126" s="48" t="s">
        <v>1447</v>
      </c>
      <c r="O126" s="49" t="s">
        <v>1448</v>
      </c>
      <c r="P126" s="48" t="s">
        <v>38</v>
      </c>
      <c r="Q126" s="48" t="s">
        <v>37</v>
      </c>
      <c r="R126" s="48" t="s">
        <v>1436</v>
      </c>
      <c r="S126" s="48" t="s">
        <v>1436</v>
      </c>
      <c r="T126" s="48" t="s">
        <v>1436</v>
      </c>
      <c r="U126" s="48" t="s">
        <v>38</v>
      </c>
      <c r="V126" s="48" t="s">
        <v>39</v>
      </c>
      <c r="W126" s="48" t="s">
        <v>40</v>
      </c>
      <c r="X126" s="48" t="s">
        <v>41</v>
      </c>
      <c r="Y126" s="48" t="s">
        <v>1436</v>
      </c>
      <c r="Z126" s="48" t="s">
        <v>1436</v>
      </c>
      <c r="AA126" s="48" t="s">
        <v>1436</v>
      </c>
      <c r="AB126" s="49" t="s">
        <v>193</v>
      </c>
      <c r="AC126" s="48" t="s">
        <v>1194</v>
      </c>
      <c r="AD126" s="48" t="s">
        <v>1244</v>
      </c>
      <c r="AE126" s="48" t="s">
        <v>36</v>
      </c>
    </row>
    <row r="127" spans="1:31" x14ac:dyDescent="0.3">
      <c r="A127" s="48" t="s">
        <v>1320</v>
      </c>
      <c r="B127" s="48" t="s">
        <v>6</v>
      </c>
      <c r="C127" s="48" t="s">
        <v>1322</v>
      </c>
      <c r="D127" s="48" t="s">
        <v>1412</v>
      </c>
      <c r="E127" s="50">
        <v>44895</v>
      </c>
      <c r="F127" s="49" t="s">
        <v>1321</v>
      </c>
      <c r="G127" s="48" t="s">
        <v>36</v>
      </c>
      <c r="H127" s="48" t="s">
        <v>52</v>
      </c>
      <c r="I127" s="51">
        <v>-465635.39</v>
      </c>
      <c r="J127" s="51"/>
      <c r="K127" s="51"/>
      <c r="L127" s="48" t="s">
        <v>40</v>
      </c>
      <c r="M127" s="48" t="s">
        <v>1433</v>
      </c>
      <c r="N127" s="48" t="s">
        <v>1434</v>
      </c>
      <c r="O127" s="49" t="s">
        <v>1435</v>
      </c>
      <c r="P127" s="48" t="s">
        <v>38</v>
      </c>
      <c r="Q127" s="48" t="s">
        <v>37</v>
      </c>
      <c r="R127" s="48" t="s">
        <v>1436</v>
      </c>
      <c r="S127" s="48" t="s">
        <v>1436</v>
      </c>
      <c r="T127" s="48" t="s">
        <v>1436</v>
      </c>
      <c r="U127" s="48" t="s">
        <v>38</v>
      </c>
      <c r="V127" s="48" t="s">
        <v>39</v>
      </c>
      <c r="W127" s="48" t="s">
        <v>40</v>
      </c>
      <c r="X127" s="48" t="s">
        <v>41</v>
      </c>
      <c r="Y127" s="48" t="s">
        <v>1436</v>
      </c>
      <c r="Z127" s="48" t="s">
        <v>1436</v>
      </c>
      <c r="AA127" s="48" t="s">
        <v>1436</v>
      </c>
      <c r="AB127" s="49" t="s">
        <v>193</v>
      </c>
      <c r="AC127" s="48" t="s">
        <v>1194</v>
      </c>
      <c r="AD127" s="48" t="s">
        <v>1244</v>
      </c>
      <c r="AE127" s="48" t="s">
        <v>36</v>
      </c>
    </row>
    <row r="128" spans="1:31" x14ac:dyDescent="0.3">
      <c r="A128" s="48" t="s">
        <v>1320</v>
      </c>
      <c r="B128" s="48" t="s">
        <v>6</v>
      </c>
      <c r="C128" s="48" t="s">
        <v>1322</v>
      </c>
      <c r="D128" s="48" t="s">
        <v>1411</v>
      </c>
      <c r="E128" s="50">
        <v>44895</v>
      </c>
      <c r="F128" s="49" t="s">
        <v>1321</v>
      </c>
      <c r="G128" s="48" t="s">
        <v>36</v>
      </c>
      <c r="H128" s="48" t="s">
        <v>50</v>
      </c>
      <c r="I128" s="51">
        <v>465635.39</v>
      </c>
      <c r="J128" s="51"/>
      <c r="K128" s="51"/>
      <c r="L128" s="48" t="s">
        <v>40</v>
      </c>
      <c r="M128" s="48" t="s">
        <v>1438</v>
      </c>
      <c r="N128" s="48" t="s">
        <v>1444</v>
      </c>
      <c r="O128" s="49" t="s">
        <v>1445</v>
      </c>
      <c r="P128" s="48" t="s">
        <v>38</v>
      </c>
      <c r="Q128" s="48" t="s">
        <v>37</v>
      </c>
      <c r="R128" s="48" t="s">
        <v>1436</v>
      </c>
      <c r="S128" s="48" t="s">
        <v>1436</v>
      </c>
      <c r="T128" s="48" t="s">
        <v>1436</v>
      </c>
      <c r="U128" s="48" t="s">
        <v>38</v>
      </c>
      <c r="V128" s="48" t="s">
        <v>39</v>
      </c>
      <c r="W128" s="48" t="s">
        <v>40</v>
      </c>
      <c r="X128" s="48" t="s">
        <v>41</v>
      </c>
      <c r="Y128" s="48" t="s">
        <v>1436</v>
      </c>
      <c r="Z128" s="48" t="s">
        <v>1436</v>
      </c>
      <c r="AA128" s="48" t="s">
        <v>1436</v>
      </c>
      <c r="AB128" s="49" t="s">
        <v>193</v>
      </c>
      <c r="AC128" s="48" t="s">
        <v>1194</v>
      </c>
      <c r="AD128" s="48" t="s">
        <v>1244</v>
      </c>
      <c r="AE128" s="48" t="s">
        <v>36</v>
      </c>
    </row>
    <row r="129" spans="1:31" x14ac:dyDescent="0.3">
      <c r="A129" s="48" t="s">
        <v>1320</v>
      </c>
      <c r="B129" s="48" t="s">
        <v>6</v>
      </c>
      <c r="C129" s="48" t="s">
        <v>1322</v>
      </c>
      <c r="D129" s="48" t="s">
        <v>1410</v>
      </c>
      <c r="E129" s="50">
        <v>44895</v>
      </c>
      <c r="F129" s="49" t="s">
        <v>1321</v>
      </c>
      <c r="G129" s="48" t="s">
        <v>36</v>
      </c>
      <c r="H129" s="48" t="s">
        <v>42</v>
      </c>
      <c r="I129" s="51">
        <v>2539829.423163</v>
      </c>
      <c r="J129" s="51"/>
      <c r="K129" s="51"/>
      <c r="L129" s="48" t="s">
        <v>40</v>
      </c>
      <c r="M129" s="48" t="s">
        <v>1433</v>
      </c>
      <c r="N129" s="48" t="s">
        <v>1434</v>
      </c>
      <c r="O129" s="49" t="s">
        <v>1437</v>
      </c>
      <c r="P129" s="48" t="s">
        <v>38</v>
      </c>
      <c r="Q129" s="48" t="s">
        <v>37</v>
      </c>
      <c r="R129" s="48" t="s">
        <v>1436</v>
      </c>
      <c r="S129" s="48" t="s">
        <v>1436</v>
      </c>
      <c r="T129" s="48" t="s">
        <v>1436</v>
      </c>
      <c r="U129" s="48" t="s">
        <v>38</v>
      </c>
      <c r="V129" s="48" t="s">
        <v>39</v>
      </c>
      <c r="W129" s="48" t="s">
        <v>40</v>
      </c>
      <c r="X129" s="48" t="s">
        <v>41</v>
      </c>
      <c r="Y129" s="48" t="s">
        <v>1436</v>
      </c>
      <c r="Z129" s="48" t="s">
        <v>1436</v>
      </c>
      <c r="AA129" s="48" t="s">
        <v>1436</v>
      </c>
      <c r="AB129" s="49" t="s">
        <v>193</v>
      </c>
      <c r="AC129" s="48" t="s">
        <v>1194</v>
      </c>
      <c r="AD129" s="48" t="s">
        <v>1244</v>
      </c>
      <c r="AE129" s="48" t="s">
        <v>36</v>
      </c>
    </row>
    <row r="130" spans="1:31" x14ac:dyDescent="0.3">
      <c r="A130" s="48" t="s">
        <v>1320</v>
      </c>
      <c r="B130" s="48" t="s">
        <v>6</v>
      </c>
      <c r="C130" s="48" t="s">
        <v>1322</v>
      </c>
      <c r="D130" s="48" t="s">
        <v>1409</v>
      </c>
      <c r="E130" s="50">
        <v>44895</v>
      </c>
      <c r="F130" s="49" t="s">
        <v>1321</v>
      </c>
      <c r="G130" s="48" t="s">
        <v>36</v>
      </c>
      <c r="H130" s="48" t="s">
        <v>45</v>
      </c>
      <c r="I130" s="51">
        <v>-1659641.974653</v>
      </c>
      <c r="J130" s="51"/>
      <c r="K130" s="51"/>
      <c r="L130" s="48" t="s">
        <v>40</v>
      </c>
      <c r="M130" s="48" t="s">
        <v>1433</v>
      </c>
      <c r="N130" s="48" t="s">
        <v>1447</v>
      </c>
      <c r="O130" s="49" t="s">
        <v>1449</v>
      </c>
      <c r="P130" s="48" t="s">
        <v>38</v>
      </c>
      <c r="Q130" s="48" t="s">
        <v>37</v>
      </c>
      <c r="R130" s="48" t="s">
        <v>1436</v>
      </c>
      <c r="S130" s="48" t="s">
        <v>1436</v>
      </c>
      <c r="T130" s="48" t="s">
        <v>1436</v>
      </c>
      <c r="U130" s="48" t="s">
        <v>38</v>
      </c>
      <c r="V130" s="48" t="s">
        <v>39</v>
      </c>
      <c r="W130" s="48" t="s">
        <v>40</v>
      </c>
      <c r="X130" s="48" t="s">
        <v>41</v>
      </c>
      <c r="Y130" s="48" t="s">
        <v>1436</v>
      </c>
      <c r="Z130" s="48" t="s">
        <v>1436</v>
      </c>
      <c r="AA130" s="48" t="s">
        <v>1436</v>
      </c>
      <c r="AB130" s="49" t="s">
        <v>193</v>
      </c>
      <c r="AC130" s="48" t="s">
        <v>1194</v>
      </c>
      <c r="AD130" s="48" t="s">
        <v>1244</v>
      </c>
      <c r="AE130" s="48" t="s">
        <v>36</v>
      </c>
    </row>
    <row r="131" spans="1:31" x14ac:dyDescent="0.3">
      <c r="A131" s="48" t="s">
        <v>1320</v>
      </c>
      <c r="B131" s="48" t="s">
        <v>6</v>
      </c>
      <c r="C131" s="48" t="s">
        <v>1322</v>
      </c>
      <c r="D131" s="48" t="s">
        <v>1408</v>
      </c>
      <c r="E131" s="50">
        <v>44895</v>
      </c>
      <c r="F131" s="49" t="s">
        <v>1321</v>
      </c>
      <c r="G131" s="48" t="s">
        <v>36</v>
      </c>
      <c r="H131" s="48" t="s">
        <v>54</v>
      </c>
      <c r="I131" s="51">
        <v>-465968.7</v>
      </c>
      <c r="J131" s="51"/>
      <c r="K131" s="51"/>
      <c r="L131" s="48" t="s">
        <v>40</v>
      </c>
      <c r="M131" s="48" t="s">
        <v>1433</v>
      </c>
      <c r="N131" s="48" t="s">
        <v>1447</v>
      </c>
      <c r="O131" s="49" t="s">
        <v>1450</v>
      </c>
      <c r="P131" s="48" t="s">
        <v>38</v>
      </c>
      <c r="Q131" s="48" t="s">
        <v>37</v>
      </c>
      <c r="R131" s="48" t="s">
        <v>1436</v>
      </c>
      <c r="S131" s="48" t="s">
        <v>1436</v>
      </c>
      <c r="T131" s="48" t="s">
        <v>1436</v>
      </c>
      <c r="U131" s="48" t="s">
        <v>38</v>
      </c>
      <c r="V131" s="48" t="s">
        <v>39</v>
      </c>
      <c r="W131" s="48" t="s">
        <v>40</v>
      </c>
      <c r="X131" s="48" t="s">
        <v>41</v>
      </c>
      <c r="Y131" s="48" t="s">
        <v>1436</v>
      </c>
      <c r="Z131" s="48" t="s">
        <v>1436</v>
      </c>
      <c r="AA131" s="48" t="s">
        <v>1436</v>
      </c>
      <c r="AB131" s="49" t="s">
        <v>193</v>
      </c>
      <c r="AC131" s="48" t="s">
        <v>1194</v>
      </c>
      <c r="AD131" s="48" t="s">
        <v>1244</v>
      </c>
      <c r="AE131" s="48" t="s">
        <v>36</v>
      </c>
    </row>
    <row r="132" spans="1:31" x14ac:dyDescent="0.3">
      <c r="A132" s="48" t="s">
        <v>1320</v>
      </c>
      <c r="B132" s="48" t="s">
        <v>6</v>
      </c>
      <c r="C132" s="48" t="s">
        <v>1322</v>
      </c>
      <c r="D132" s="48" t="s">
        <v>1407</v>
      </c>
      <c r="E132" s="50">
        <v>44895</v>
      </c>
      <c r="F132" s="49" t="s">
        <v>1321</v>
      </c>
      <c r="G132" s="48" t="s">
        <v>36</v>
      </c>
      <c r="H132" s="48" t="s">
        <v>47</v>
      </c>
      <c r="I132" s="51">
        <v>148180.647092</v>
      </c>
      <c r="J132" s="51"/>
      <c r="K132" s="51"/>
      <c r="L132" s="48" t="s">
        <v>40</v>
      </c>
      <c r="M132" s="48" t="s">
        <v>1438</v>
      </c>
      <c r="N132" s="48" t="s">
        <v>1444</v>
      </c>
      <c r="O132" s="49" t="s">
        <v>1446</v>
      </c>
      <c r="P132" s="48" t="s">
        <v>38</v>
      </c>
      <c r="Q132" s="48" t="s">
        <v>37</v>
      </c>
      <c r="R132" s="48" t="s">
        <v>1436</v>
      </c>
      <c r="S132" s="48" t="s">
        <v>1436</v>
      </c>
      <c r="T132" s="48" t="s">
        <v>1436</v>
      </c>
      <c r="U132" s="48" t="s">
        <v>38</v>
      </c>
      <c r="V132" s="48" t="s">
        <v>39</v>
      </c>
      <c r="W132" s="48" t="s">
        <v>40</v>
      </c>
      <c r="X132" s="48" t="s">
        <v>41</v>
      </c>
      <c r="Y132" s="48" t="s">
        <v>1436</v>
      </c>
      <c r="Z132" s="48" t="s">
        <v>1436</v>
      </c>
      <c r="AA132" s="48" t="s">
        <v>1436</v>
      </c>
      <c r="AB132" s="49" t="s">
        <v>193</v>
      </c>
      <c r="AC132" s="48" t="s">
        <v>1194</v>
      </c>
      <c r="AD132" s="48" t="s">
        <v>1244</v>
      </c>
      <c r="AE132" s="48" t="s">
        <v>36</v>
      </c>
    </row>
    <row r="133" spans="1:31" x14ac:dyDescent="0.3">
      <c r="A133" s="48" t="s">
        <v>1320</v>
      </c>
      <c r="B133" s="48" t="s">
        <v>6</v>
      </c>
      <c r="C133" s="48" t="s">
        <v>1322</v>
      </c>
      <c r="D133" s="48" t="s">
        <v>1406</v>
      </c>
      <c r="E133" s="50">
        <v>44895</v>
      </c>
      <c r="F133" s="49" t="s">
        <v>1321</v>
      </c>
      <c r="G133" s="48" t="s">
        <v>36</v>
      </c>
      <c r="H133" s="48" t="s">
        <v>1441</v>
      </c>
      <c r="I133" s="51">
        <v>0</v>
      </c>
      <c r="J133" s="51"/>
      <c r="K133" s="51"/>
      <c r="L133" s="48" t="s">
        <v>1194</v>
      </c>
      <c r="M133" s="48" t="s">
        <v>1438</v>
      </c>
      <c r="N133" s="48" t="s">
        <v>1439</v>
      </c>
      <c r="O133" s="49" t="s">
        <v>1440</v>
      </c>
      <c r="P133" s="48" t="s">
        <v>38</v>
      </c>
      <c r="Q133" s="48" t="s">
        <v>37</v>
      </c>
      <c r="R133" s="48" t="s">
        <v>1436</v>
      </c>
      <c r="S133" s="48" t="s">
        <v>1436</v>
      </c>
      <c r="T133" s="48" t="s">
        <v>1436</v>
      </c>
      <c r="U133" s="48" t="s">
        <v>38</v>
      </c>
      <c r="V133" s="48" t="s">
        <v>39</v>
      </c>
      <c r="W133" s="48" t="s">
        <v>1194</v>
      </c>
      <c r="X133" s="48" t="s">
        <v>41</v>
      </c>
      <c r="Y133" s="48" t="s">
        <v>1436</v>
      </c>
      <c r="Z133" s="48" t="s">
        <v>1436</v>
      </c>
      <c r="AA133" s="48" t="s">
        <v>1436</v>
      </c>
      <c r="AB133" s="49" t="s">
        <v>193</v>
      </c>
      <c r="AC133" s="48" t="s">
        <v>1194</v>
      </c>
      <c r="AD133" s="48" t="s">
        <v>1244</v>
      </c>
      <c r="AE133" s="48" t="s">
        <v>36</v>
      </c>
    </row>
    <row r="134" spans="1:31" x14ac:dyDescent="0.3">
      <c r="A134" s="48" t="s">
        <v>1320</v>
      </c>
      <c r="B134" s="48" t="s">
        <v>6</v>
      </c>
      <c r="C134" s="48" t="s">
        <v>1322</v>
      </c>
      <c r="D134" s="48" t="s">
        <v>1405</v>
      </c>
      <c r="E134" s="50">
        <v>44895</v>
      </c>
      <c r="F134" s="49" t="s">
        <v>1321</v>
      </c>
      <c r="G134" s="48" t="s">
        <v>36</v>
      </c>
      <c r="H134" s="48" t="s">
        <v>1443</v>
      </c>
      <c r="I134" s="51">
        <v>0</v>
      </c>
      <c r="J134" s="51"/>
      <c r="K134" s="51"/>
      <c r="L134" s="48" t="s">
        <v>1194</v>
      </c>
      <c r="M134" s="48" t="s">
        <v>1438</v>
      </c>
      <c r="N134" s="48" t="s">
        <v>1439</v>
      </c>
      <c r="O134" s="49" t="s">
        <v>1442</v>
      </c>
      <c r="P134" s="48" t="s">
        <v>38</v>
      </c>
      <c r="Q134" s="48" t="s">
        <v>37</v>
      </c>
      <c r="R134" s="48" t="s">
        <v>1436</v>
      </c>
      <c r="S134" s="48" t="s">
        <v>1436</v>
      </c>
      <c r="T134" s="48" t="s">
        <v>1436</v>
      </c>
      <c r="U134" s="48" t="s">
        <v>38</v>
      </c>
      <c r="V134" s="48" t="s">
        <v>39</v>
      </c>
      <c r="W134" s="48" t="s">
        <v>1194</v>
      </c>
      <c r="X134" s="48" t="s">
        <v>41</v>
      </c>
      <c r="Y134" s="48" t="s">
        <v>1436</v>
      </c>
      <c r="Z134" s="48" t="s">
        <v>1436</v>
      </c>
      <c r="AA134" s="48" t="s">
        <v>1436</v>
      </c>
      <c r="AB134" s="49" t="s">
        <v>193</v>
      </c>
      <c r="AC134" s="48" t="s">
        <v>1194</v>
      </c>
      <c r="AD134" s="48" t="s">
        <v>1244</v>
      </c>
      <c r="AE134" s="48" t="s">
        <v>36</v>
      </c>
    </row>
    <row r="135" spans="1:31" x14ac:dyDescent="0.3">
      <c r="A135" s="48" t="s">
        <v>1320</v>
      </c>
      <c r="B135" s="48" t="s">
        <v>6</v>
      </c>
      <c r="C135" s="48" t="s">
        <v>1322</v>
      </c>
      <c r="D135" s="48" t="s">
        <v>1404</v>
      </c>
      <c r="E135" s="50">
        <v>44895</v>
      </c>
      <c r="F135" s="49" t="s">
        <v>1321</v>
      </c>
      <c r="G135" s="48" t="s">
        <v>36</v>
      </c>
      <c r="H135" s="48" t="s">
        <v>49</v>
      </c>
      <c r="I135" s="51">
        <v>-12399.395602000001</v>
      </c>
      <c r="J135" s="51"/>
      <c r="K135" s="51"/>
      <c r="L135" s="48" t="s">
        <v>38</v>
      </c>
      <c r="M135" s="48" t="s">
        <v>1433</v>
      </c>
      <c r="N135" s="48" t="s">
        <v>1447</v>
      </c>
      <c r="O135" s="49" t="s">
        <v>1451</v>
      </c>
      <c r="P135" s="48" t="s">
        <v>38</v>
      </c>
      <c r="Q135" s="48" t="s">
        <v>37</v>
      </c>
      <c r="R135" s="48" t="s">
        <v>1436</v>
      </c>
      <c r="S135" s="48" t="s">
        <v>1436</v>
      </c>
      <c r="T135" s="48" t="s">
        <v>1436</v>
      </c>
      <c r="U135" s="48" t="s">
        <v>38</v>
      </c>
      <c r="V135" s="48" t="s">
        <v>39</v>
      </c>
      <c r="W135" s="48" t="s">
        <v>38</v>
      </c>
      <c r="X135" s="48" t="s">
        <v>41</v>
      </c>
      <c r="Y135" s="48" t="s">
        <v>1436</v>
      </c>
      <c r="Z135" s="48" t="s">
        <v>1436</v>
      </c>
      <c r="AA135" s="48" t="s">
        <v>1436</v>
      </c>
      <c r="AB135" s="49" t="s">
        <v>193</v>
      </c>
      <c r="AC135" s="48" t="s">
        <v>1194</v>
      </c>
      <c r="AD135" s="48" t="s">
        <v>1244</v>
      </c>
      <c r="AE135" s="48" t="s">
        <v>36</v>
      </c>
    </row>
    <row r="136" spans="1:31" x14ac:dyDescent="0.3">
      <c r="A136" s="48" t="s">
        <v>1320</v>
      </c>
      <c r="B136" s="48" t="s">
        <v>6</v>
      </c>
      <c r="C136" s="48" t="s">
        <v>1322</v>
      </c>
      <c r="D136" s="48" t="s">
        <v>1413</v>
      </c>
      <c r="E136" s="50">
        <v>44926</v>
      </c>
      <c r="F136" s="49" t="s">
        <v>1321</v>
      </c>
      <c r="G136" s="48" t="s">
        <v>36</v>
      </c>
      <c r="H136" s="48" t="s">
        <v>58</v>
      </c>
      <c r="I136" s="51">
        <v>-600000</v>
      </c>
      <c r="J136" s="51"/>
      <c r="K136" s="51"/>
      <c r="L136" s="48" t="s">
        <v>40</v>
      </c>
      <c r="M136" s="48" t="s">
        <v>1433</v>
      </c>
      <c r="N136" s="48" t="s">
        <v>1447</v>
      </c>
      <c r="O136" s="49" t="s">
        <v>1448</v>
      </c>
      <c r="P136" s="48" t="s">
        <v>38</v>
      </c>
      <c r="Q136" s="48" t="s">
        <v>37</v>
      </c>
      <c r="R136" s="48" t="s">
        <v>1436</v>
      </c>
      <c r="S136" s="48" t="s">
        <v>1436</v>
      </c>
      <c r="T136" s="48" t="s">
        <v>1436</v>
      </c>
      <c r="U136" s="48" t="s">
        <v>38</v>
      </c>
      <c r="V136" s="48" t="s">
        <v>39</v>
      </c>
      <c r="W136" s="48" t="s">
        <v>40</v>
      </c>
      <c r="X136" s="48" t="s">
        <v>41</v>
      </c>
      <c r="Y136" s="48" t="s">
        <v>1436</v>
      </c>
      <c r="Z136" s="48" t="s">
        <v>1436</v>
      </c>
      <c r="AA136" s="48" t="s">
        <v>1436</v>
      </c>
      <c r="AB136" s="49" t="s">
        <v>193</v>
      </c>
      <c r="AC136" s="48" t="s">
        <v>1194</v>
      </c>
      <c r="AD136" s="48" t="s">
        <v>1244</v>
      </c>
      <c r="AE136" s="48" t="s">
        <v>36</v>
      </c>
    </row>
    <row r="137" spans="1:31" x14ac:dyDescent="0.3">
      <c r="A137" s="48" t="s">
        <v>1320</v>
      </c>
      <c r="B137" s="48" t="s">
        <v>6</v>
      </c>
      <c r="C137" s="48" t="s">
        <v>1322</v>
      </c>
      <c r="D137" s="48" t="s">
        <v>1412</v>
      </c>
      <c r="E137" s="50">
        <v>44926</v>
      </c>
      <c r="F137" s="49" t="s">
        <v>1321</v>
      </c>
      <c r="G137" s="48" t="s">
        <v>36</v>
      </c>
      <c r="H137" s="48" t="s">
        <v>52</v>
      </c>
      <c r="I137" s="51">
        <v>-507965.88</v>
      </c>
      <c r="J137" s="51"/>
      <c r="K137" s="51"/>
      <c r="L137" s="48" t="s">
        <v>40</v>
      </c>
      <c r="M137" s="48" t="s">
        <v>1433</v>
      </c>
      <c r="N137" s="48" t="s">
        <v>1434</v>
      </c>
      <c r="O137" s="49" t="s">
        <v>1435</v>
      </c>
      <c r="P137" s="48" t="s">
        <v>38</v>
      </c>
      <c r="Q137" s="48" t="s">
        <v>37</v>
      </c>
      <c r="R137" s="48" t="s">
        <v>1436</v>
      </c>
      <c r="S137" s="48" t="s">
        <v>1436</v>
      </c>
      <c r="T137" s="48" t="s">
        <v>1436</v>
      </c>
      <c r="U137" s="48" t="s">
        <v>38</v>
      </c>
      <c r="V137" s="48" t="s">
        <v>39</v>
      </c>
      <c r="W137" s="48" t="s">
        <v>40</v>
      </c>
      <c r="X137" s="48" t="s">
        <v>41</v>
      </c>
      <c r="Y137" s="48" t="s">
        <v>1436</v>
      </c>
      <c r="Z137" s="48" t="s">
        <v>1436</v>
      </c>
      <c r="AA137" s="48" t="s">
        <v>1436</v>
      </c>
      <c r="AB137" s="49" t="s">
        <v>193</v>
      </c>
      <c r="AC137" s="48" t="s">
        <v>1194</v>
      </c>
      <c r="AD137" s="48" t="s">
        <v>1244</v>
      </c>
      <c r="AE137" s="48" t="s">
        <v>36</v>
      </c>
    </row>
    <row r="138" spans="1:31" x14ac:dyDescent="0.3">
      <c r="A138" s="48" t="s">
        <v>1320</v>
      </c>
      <c r="B138" s="48" t="s">
        <v>6</v>
      </c>
      <c r="C138" s="48" t="s">
        <v>1322</v>
      </c>
      <c r="D138" s="48" t="s">
        <v>1411</v>
      </c>
      <c r="E138" s="50">
        <v>44926</v>
      </c>
      <c r="F138" s="49" t="s">
        <v>1321</v>
      </c>
      <c r="G138" s="48" t="s">
        <v>36</v>
      </c>
      <c r="H138" s="48" t="s">
        <v>50</v>
      </c>
      <c r="I138" s="51">
        <v>507965.88</v>
      </c>
      <c r="J138" s="51"/>
      <c r="K138" s="51"/>
      <c r="L138" s="48" t="s">
        <v>40</v>
      </c>
      <c r="M138" s="48" t="s">
        <v>1438</v>
      </c>
      <c r="N138" s="48" t="s">
        <v>1444</v>
      </c>
      <c r="O138" s="49" t="s">
        <v>1445</v>
      </c>
      <c r="P138" s="48" t="s">
        <v>38</v>
      </c>
      <c r="Q138" s="48" t="s">
        <v>37</v>
      </c>
      <c r="R138" s="48" t="s">
        <v>1436</v>
      </c>
      <c r="S138" s="48" t="s">
        <v>1436</v>
      </c>
      <c r="T138" s="48" t="s">
        <v>1436</v>
      </c>
      <c r="U138" s="48" t="s">
        <v>38</v>
      </c>
      <c r="V138" s="48" t="s">
        <v>39</v>
      </c>
      <c r="W138" s="48" t="s">
        <v>40</v>
      </c>
      <c r="X138" s="48" t="s">
        <v>41</v>
      </c>
      <c r="Y138" s="48" t="s">
        <v>1436</v>
      </c>
      <c r="Z138" s="48" t="s">
        <v>1436</v>
      </c>
      <c r="AA138" s="48" t="s">
        <v>1436</v>
      </c>
      <c r="AB138" s="49" t="s">
        <v>193</v>
      </c>
      <c r="AC138" s="48" t="s">
        <v>1194</v>
      </c>
      <c r="AD138" s="48" t="s">
        <v>1244</v>
      </c>
      <c r="AE138" s="48" t="s">
        <v>36</v>
      </c>
    </row>
    <row r="139" spans="1:31" x14ac:dyDescent="0.3">
      <c r="A139" s="48" t="s">
        <v>1320</v>
      </c>
      <c r="B139" s="48" t="s">
        <v>6</v>
      </c>
      <c r="C139" s="48" t="s">
        <v>1322</v>
      </c>
      <c r="D139" s="48" t="s">
        <v>1410</v>
      </c>
      <c r="E139" s="50">
        <v>44926</v>
      </c>
      <c r="F139" s="49" t="s">
        <v>1321</v>
      </c>
      <c r="G139" s="48" t="s">
        <v>36</v>
      </c>
      <c r="H139" s="48" t="s">
        <v>42</v>
      </c>
      <c r="I139" s="51">
        <v>2539829.423163</v>
      </c>
      <c r="J139" s="51"/>
      <c r="K139" s="51"/>
      <c r="L139" s="48" t="s">
        <v>40</v>
      </c>
      <c r="M139" s="48" t="s">
        <v>1433</v>
      </c>
      <c r="N139" s="48" t="s">
        <v>1434</v>
      </c>
      <c r="O139" s="49" t="s">
        <v>1437</v>
      </c>
      <c r="P139" s="48" t="s">
        <v>38</v>
      </c>
      <c r="Q139" s="48" t="s">
        <v>37</v>
      </c>
      <c r="R139" s="48" t="s">
        <v>1436</v>
      </c>
      <c r="S139" s="48" t="s">
        <v>1436</v>
      </c>
      <c r="T139" s="48" t="s">
        <v>1436</v>
      </c>
      <c r="U139" s="48" t="s">
        <v>38</v>
      </c>
      <c r="V139" s="48" t="s">
        <v>39</v>
      </c>
      <c r="W139" s="48" t="s">
        <v>40</v>
      </c>
      <c r="X139" s="48" t="s">
        <v>41</v>
      </c>
      <c r="Y139" s="48" t="s">
        <v>1436</v>
      </c>
      <c r="Z139" s="48" t="s">
        <v>1436</v>
      </c>
      <c r="AA139" s="48" t="s">
        <v>1436</v>
      </c>
      <c r="AB139" s="49" t="s">
        <v>193</v>
      </c>
      <c r="AC139" s="48" t="s">
        <v>1194</v>
      </c>
      <c r="AD139" s="48" t="s">
        <v>1244</v>
      </c>
      <c r="AE139" s="48" t="s">
        <v>36</v>
      </c>
    </row>
    <row r="140" spans="1:31" x14ac:dyDescent="0.3">
      <c r="A140" s="48" t="s">
        <v>1320</v>
      </c>
      <c r="B140" s="48" t="s">
        <v>6</v>
      </c>
      <c r="C140" s="48" t="s">
        <v>1322</v>
      </c>
      <c r="D140" s="48" t="s">
        <v>1409</v>
      </c>
      <c r="E140" s="50">
        <v>44926</v>
      </c>
      <c r="F140" s="49" t="s">
        <v>1321</v>
      </c>
      <c r="G140" s="48" t="s">
        <v>36</v>
      </c>
      <c r="H140" s="48" t="s">
        <v>45</v>
      </c>
      <c r="I140" s="51">
        <v>-1619323.2202550001</v>
      </c>
      <c r="J140" s="51"/>
      <c r="K140" s="51"/>
      <c r="L140" s="48" t="s">
        <v>40</v>
      </c>
      <c r="M140" s="48" t="s">
        <v>1433</v>
      </c>
      <c r="N140" s="48" t="s">
        <v>1447</v>
      </c>
      <c r="O140" s="49" t="s">
        <v>1449</v>
      </c>
      <c r="P140" s="48" t="s">
        <v>38</v>
      </c>
      <c r="Q140" s="48" t="s">
        <v>37</v>
      </c>
      <c r="R140" s="48" t="s">
        <v>1436</v>
      </c>
      <c r="S140" s="48" t="s">
        <v>1436</v>
      </c>
      <c r="T140" s="48" t="s">
        <v>1436</v>
      </c>
      <c r="U140" s="48" t="s">
        <v>38</v>
      </c>
      <c r="V140" s="48" t="s">
        <v>39</v>
      </c>
      <c r="W140" s="48" t="s">
        <v>40</v>
      </c>
      <c r="X140" s="48" t="s">
        <v>41</v>
      </c>
      <c r="Y140" s="48" t="s">
        <v>1436</v>
      </c>
      <c r="Z140" s="48" t="s">
        <v>1436</v>
      </c>
      <c r="AA140" s="48" t="s">
        <v>1436</v>
      </c>
      <c r="AB140" s="49" t="s">
        <v>193</v>
      </c>
      <c r="AC140" s="48" t="s">
        <v>1194</v>
      </c>
      <c r="AD140" s="48" t="s">
        <v>1244</v>
      </c>
      <c r="AE140" s="48" t="s">
        <v>36</v>
      </c>
    </row>
    <row r="141" spans="1:31" x14ac:dyDescent="0.3">
      <c r="A141" s="48" t="s">
        <v>1320</v>
      </c>
      <c r="B141" s="48" t="s">
        <v>6</v>
      </c>
      <c r="C141" s="48" t="s">
        <v>1322</v>
      </c>
      <c r="D141" s="48" t="s">
        <v>1408</v>
      </c>
      <c r="E141" s="50">
        <v>44926</v>
      </c>
      <c r="F141" s="49" t="s">
        <v>1321</v>
      </c>
      <c r="G141" s="48" t="s">
        <v>36</v>
      </c>
      <c r="H141" s="48" t="s">
        <v>54</v>
      </c>
      <c r="I141" s="51">
        <v>-468686.85</v>
      </c>
      <c r="J141" s="51"/>
      <c r="K141" s="51"/>
      <c r="L141" s="48" t="s">
        <v>40</v>
      </c>
      <c r="M141" s="48" t="s">
        <v>1433</v>
      </c>
      <c r="N141" s="48" t="s">
        <v>1447</v>
      </c>
      <c r="O141" s="49" t="s">
        <v>1450</v>
      </c>
      <c r="P141" s="48" t="s">
        <v>38</v>
      </c>
      <c r="Q141" s="48" t="s">
        <v>37</v>
      </c>
      <c r="R141" s="48" t="s">
        <v>1436</v>
      </c>
      <c r="S141" s="48" t="s">
        <v>1436</v>
      </c>
      <c r="T141" s="48" t="s">
        <v>1436</v>
      </c>
      <c r="U141" s="48" t="s">
        <v>38</v>
      </c>
      <c r="V141" s="48" t="s">
        <v>39</v>
      </c>
      <c r="W141" s="48" t="s">
        <v>40</v>
      </c>
      <c r="X141" s="48" t="s">
        <v>41</v>
      </c>
      <c r="Y141" s="48" t="s">
        <v>1436</v>
      </c>
      <c r="Z141" s="48" t="s">
        <v>1436</v>
      </c>
      <c r="AA141" s="48" t="s">
        <v>1436</v>
      </c>
      <c r="AB141" s="49" t="s">
        <v>193</v>
      </c>
      <c r="AC141" s="48" t="s">
        <v>1194</v>
      </c>
      <c r="AD141" s="48" t="s">
        <v>1244</v>
      </c>
      <c r="AE141" s="48" t="s">
        <v>36</v>
      </c>
    </row>
    <row r="142" spans="1:31" x14ac:dyDescent="0.3">
      <c r="A142" s="48" t="s">
        <v>1320</v>
      </c>
      <c r="B142" s="48" t="s">
        <v>6</v>
      </c>
      <c r="C142" s="48" t="s">
        <v>1322</v>
      </c>
      <c r="D142" s="48" t="s">
        <v>1407</v>
      </c>
      <c r="E142" s="50">
        <v>44926</v>
      </c>
      <c r="F142" s="49" t="s">
        <v>1321</v>
      </c>
      <c r="G142" s="48" t="s">
        <v>36</v>
      </c>
      <c r="H142" s="48" t="s">
        <v>47</v>
      </c>
      <c r="I142" s="51">
        <v>160360.705835</v>
      </c>
      <c r="J142" s="51"/>
      <c r="K142" s="51"/>
      <c r="L142" s="48" t="s">
        <v>40</v>
      </c>
      <c r="M142" s="48" t="s">
        <v>1438</v>
      </c>
      <c r="N142" s="48" t="s">
        <v>1444</v>
      </c>
      <c r="O142" s="49" t="s">
        <v>1446</v>
      </c>
      <c r="P142" s="48" t="s">
        <v>38</v>
      </c>
      <c r="Q142" s="48" t="s">
        <v>37</v>
      </c>
      <c r="R142" s="48" t="s">
        <v>1436</v>
      </c>
      <c r="S142" s="48" t="s">
        <v>1436</v>
      </c>
      <c r="T142" s="48" t="s">
        <v>1436</v>
      </c>
      <c r="U142" s="48" t="s">
        <v>38</v>
      </c>
      <c r="V142" s="48" t="s">
        <v>39</v>
      </c>
      <c r="W142" s="48" t="s">
        <v>40</v>
      </c>
      <c r="X142" s="48" t="s">
        <v>41</v>
      </c>
      <c r="Y142" s="48" t="s">
        <v>1436</v>
      </c>
      <c r="Z142" s="48" t="s">
        <v>1436</v>
      </c>
      <c r="AA142" s="48" t="s">
        <v>1436</v>
      </c>
      <c r="AB142" s="49" t="s">
        <v>193</v>
      </c>
      <c r="AC142" s="48" t="s">
        <v>1194</v>
      </c>
      <c r="AD142" s="48" t="s">
        <v>1244</v>
      </c>
      <c r="AE142" s="48" t="s">
        <v>36</v>
      </c>
    </row>
    <row r="143" spans="1:31" x14ac:dyDescent="0.3">
      <c r="A143" s="48" t="s">
        <v>1320</v>
      </c>
      <c r="B143" s="48" t="s">
        <v>6</v>
      </c>
      <c r="C143" s="48" t="s">
        <v>1322</v>
      </c>
      <c r="D143" s="48" t="s">
        <v>1406</v>
      </c>
      <c r="E143" s="50">
        <v>44926</v>
      </c>
      <c r="F143" s="49" t="s">
        <v>1321</v>
      </c>
      <c r="G143" s="48" t="s">
        <v>36</v>
      </c>
      <c r="H143" s="48" t="s">
        <v>1441</v>
      </c>
      <c r="I143" s="51">
        <v>0</v>
      </c>
      <c r="J143" s="51"/>
      <c r="K143" s="51"/>
      <c r="L143" s="48" t="s">
        <v>1194</v>
      </c>
      <c r="M143" s="48" t="s">
        <v>1438</v>
      </c>
      <c r="N143" s="48" t="s">
        <v>1439</v>
      </c>
      <c r="O143" s="49" t="s">
        <v>1440</v>
      </c>
      <c r="P143" s="48" t="s">
        <v>38</v>
      </c>
      <c r="Q143" s="48" t="s">
        <v>37</v>
      </c>
      <c r="R143" s="48" t="s">
        <v>1436</v>
      </c>
      <c r="S143" s="48" t="s">
        <v>1436</v>
      </c>
      <c r="T143" s="48" t="s">
        <v>1436</v>
      </c>
      <c r="U143" s="48" t="s">
        <v>38</v>
      </c>
      <c r="V143" s="48" t="s">
        <v>39</v>
      </c>
      <c r="W143" s="48" t="s">
        <v>1194</v>
      </c>
      <c r="X143" s="48" t="s">
        <v>41</v>
      </c>
      <c r="Y143" s="48" t="s">
        <v>1436</v>
      </c>
      <c r="Z143" s="48" t="s">
        <v>1436</v>
      </c>
      <c r="AA143" s="48" t="s">
        <v>1436</v>
      </c>
      <c r="AB143" s="49" t="s">
        <v>193</v>
      </c>
      <c r="AC143" s="48" t="s">
        <v>1194</v>
      </c>
      <c r="AD143" s="48" t="s">
        <v>1244</v>
      </c>
      <c r="AE143" s="48" t="s">
        <v>36</v>
      </c>
    </row>
    <row r="144" spans="1:31" x14ac:dyDescent="0.3">
      <c r="A144" s="48" t="s">
        <v>1320</v>
      </c>
      <c r="B144" s="48" t="s">
        <v>6</v>
      </c>
      <c r="C144" s="48" t="s">
        <v>1322</v>
      </c>
      <c r="D144" s="48" t="s">
        <v>1405</v>
      </c>
      <c r="E144" s="50">
        <v>44926</v>
      </c>
      <c r="F144" s="49" t="s">
        <v>1321</v>
      </c>
      <c r="G144" s="48" t="s">
        <v>36</v>
      </c>
      <c r="H144" s="48" t="s">
        <v>1443</v>
      </c>
      <c r="I144" s="51">
        <v>0</v>
      </c>
      <c r="J144" s="51"/>
      <c r="K144" s="51"/>
      <c r="L144" s="48" t="s">
        <v>1194</v>
      </c>
      <c r="M144" s="48" t="s">
        <v>1438</v>
      </c>
      <c r="N144" s="48" t="s">
        <v>1439</v>
      </c>
      <c r="O144" s="49" t="s">
        <v>1442</v>
      </c>
      <c r="P144" s="48" t="s">
        <v>38</v>
      </c>
      <c r="Q144" s="48" t="s">
        <v>37</v>
      </c>
      <c r="R144" s="48" t="s">
        <v>1436</v>
      </c>
      <c r="S144" s="48" t="s">
        <v>1436</v>
      </c>
      <c r="T144" s="48" t="s">
        <v>1436</v>
      </c>
      <c r="U144" s="48" t="s">
        <v>38</v>
      </c>
      <c r="V144" s="48" t="s">
        <v>39</v>
      </c>
      <c r="W144" s="48" t="s">
        <v>1194</v>
      </c>
      <c r="X144" s="48" t="s">
        <v>41</v>
      </c>
      <c r="Y144" s="48" t="s">
        <v>1436</v>
      </c>
      <c r="Z144" s="48" t="s">
        <v>1436</v>
      </c>
      <c r="AA144" s="48" t="s">
        <v>1436</v>
      </c>
      <c r="AB144" s="49" t="s">
        <v>193</v>
      </c>
      <c r="AC144" s="48" t="s">
        <v>1194</v>
      </c>
      <c r="AD144" s="48" t="s">
        <v>1244</v>
      </c>
      <c r="AE144" s="48" t="s">
        <v>36</v>
      </c>
    </row>
    <row r="145" spans="1:31" x14ac:dyDescent="0.3">
      <c r="A145" s="48" t="s">
        <v>1320</v>
      </c>
      <c r="B145" s="48" t="s">
        <v>6</v>
      </c>
      <c r="C145" s="48" t="s">
        <v>1322</v>
      </c>
      <c r="D145" s="48" t="s">
        <v>1404</v>
      </c>
      <c r="E145" s="50">
        <v>44926</v>
      </c>
      <c r="F145" s="49" t="s">
        <v>1321</v>
      </c>
      <c r="G145" s="48" t="s">
        <v>36</v>
      </c>
      <c r="H145" s="48" t="s">
        <v>49</v>
      </c>
      <c r="I145" s="51">
        <v>-12180.058743</v>
      </c>
      <c r="J145" s="51"/>
      <c r="K145" s="51"/>
      <c r="L145" s="48" t="s">
        <v>38</v>
      </c>
      <c r="M145" s="48" t="s">
        <v>1433</v>
      </c>
      <c r="N145" s="48" t="s">
        <v>1447</v>
      </c>
      <c r="O145" s="49" t="s">
        <v>1451</v>
      </c>
      <c r="P145" s="48" t="s">
        <v>38</v>
      </c>
      <c r="Q145" s="48" t="s">
        <v>37</v>
      </c>
      <c r="R145" s="48" t="s">
        <v>1436</v>
      </c>
      <c r="S145" s="48" t="s">
        <v>1436</v>
      </c>
      <c r="T145" s="48" t="s">
        <v>1436</v>
      </c>
      <c r="U145" s="48" t="s">
        <v>38</v>
      </c>
      <c r="V145" s="48" t="s">
        <v>39</v>
      </c>
      <c r="W145" s="48" t="s">
        <v>38</v>
      </c>
      <c r="X145" s="48" t="s">
        <v>41</v>
      </c>
      <c r="Y145" s="48" t="s">
        <v>1436</v>
      </c>
      <c r="Z145" s="48" t="s">
        <v>1436</v>
      </c>
      <c r="AA145" s="48" t="s">
        <v>1436</v>
      </c>
      <c r="AB145" s="49" t="s">
        <v>193</v>
      </c>
      <c r="AC145" s="48" t="s">
        <v>1194</v>
      </c>
      <c r="AD145" s="48" t="s">
        <v>1244</v>
      </c>
      <c r="AE145" s="48" t="s">
        <v>36</v>
      </c>
    </row>
    <row r="146" spans="1:31" x14ac:dyDescent="0.3">
      <c r="A146" s="48" t="s">
        <v>1320</v>
      </c>
      <c r="B146" s="48" t="s">
        <v>6</v>
      </c>
      <c r="C146" s="48" t="s">
        <v>1322</v>
      </c>
      <c r="D146" s="48" t="s">
        <v>1413</v>
      </c>
      <c r="E146" s="50">
        <v>44957</v>
      </c>
      <c r="F146" s="49" t="s">
        <v>1321</v>
      </c>
      <c r="G146" s="48" t="s">
        <v>36</v>
      </c>
      <c r="H146" s="48" t="s">
        <v>58</v>
      </c>
      <c r="I146" s="51">
        <v>-650000</v>
      </c>
      <c r="J146" s="51"/>
      <c r="K146" s="51"/>
      <c r="L146" s="48" t="s">
        <v>40</v>
      </c>
      <c r="M146" s="48" t="s">
        <v>1433</v>
      </c>
      <c r="N146" s="48" t="s">
        <v>1447</v>
      </c>
      <c r="O146" s="49" t="s">
        <v>1448</v>
      </c>
      <c r="P146" s="48" t="s">
        <v>38</v>
      </c>
      <c r="Q146" s="48" t="s">
        <v>37</v>
      </c>
      <c r="R146" s="48" t="s">
        <v>1436</v>
      </c>
      <c r="S146" s="48" t="s">
        <v>1436</v>
      </c>
      <c r="T146" s="48" t="s">
        <v>1436</v>
      </c>
      <c r="U146" s="48" t="s">
        <v>38</v>
      </c>
      <c r="V146" s="48" t="s">
        <v>39</v>
      </c>
      <c r="W146" s="48" t="s">
        <v>40</v>
      </c>
      <c r="X146" s="48" t="s">
        <v>41</v>
      </c>
      <c r="Y146" s="48" t="s">
        <v>1436</v>
      </c>
      <c r="Z146" s="48" t="s">
        <v>1436</v>
      </c>
      <c r="AA146" s="48" t="s">
        <v>1436</v>
      </c>
      <c r="AB146" s="49" t="s">
        <v>193</v>
      </c>
      <c r="AC146" s="48" t="s">
        <v>1194</v>
      </c>
      <c r="AD146" s="48" t="s">
        <v>1244</v>
      </c>
      <c r="AE146" s="48" t="s">
        <v>36</v>
      </c>
    </row>
    <row r="147" spans="1:31" x14ac:dyDescent="0.3">
      <c r="A147" s="48" t="s">
        <v>1320</v>
      </c>
      <c r="B147" s="48" t="s">
        <v>6</v>
      </c>
      <c r="C147" s="48" t="s">
        <v>1322</v>
      </c>
      <c r="D147" s="48" t="s">
        <v>1412</v>
      </c>
      <c r="E147" s="50">
        <v>44957</v>
      </c>
      <c r="F147" s="49" t="s">
        <v>1321</v>
      </c>
      <c r="G147" s="48" t="s">
        <v>36</v>
      </c>
      <c r="H147" s="48" t="s">
        <v>52</v>
      </c>
      <c r="I147" s="51">
        <v>-550296.38</v>
      </c>
      <c r="J147" s="51"/>
      <c r="K147" s="51"/>
      <c r="L147" s="48" t="s">
        <v>40</v>
      </c>
      <c r="M147" s="48" t="s">
        <v>1433</v>
      </c>
      <c r="N147" s="48" t="s">
        <v>1434</v>
      </c>
      <c r="O147" s="49" t="s">
        <v>1435</v>
      </c>
      <c r="P147" s="48" t="s">
        <v>38</v>
      </c>
      <c r="Q147" s="48" t="s">
        <v>37</v>
      </c>
      <c r="R147" s="48" t="s">
        <v>1436</v>
      </c>
      <c r="S147" s="48" t="s">
        <v>1436</v>
      </c>
      <c r="T147" s="48" t="s">
        <v>1436</v>
      </c>
      <c r="U147" s="48" t="s">
        <v>38</v>
      </c>
      <c r="V147" s="48" t="s">
        <v>39</v>
      </c>
      <c r="W147" s="48" t="s">
        <v>40</v>
      </c>
      <c r="X147" s="48" t="s">
        <v>41</v>
      </c>
      <c r="Y147" s="48" t="s">
        <v>1436</v>
      </c>
      <c r="Z147" s="48" t="s">
        <v>1436</v>
      </c>
      <c r="AA147" s="48" t="s">
        <v>1436</v>
      </c>
      <c r="AB147" s="49" t="s">
        <v>193</v>
      </c>
      <c r="AC147" s="48" t="s">
        <v>1194</v>
      </c>
      <c r="AD147" s="48" t="s">
        <v>1244</v>
      </c>
      <c r="AE147" s="48" t="s">
        <v>36</v>
      </c>
    </row>
    <row r="148" spans="1:31" x14ac:dyDescent="0.3">
      <c r="A148" s="48" t="s">
        <v>1320</v>
      </c>
      <c r="B148" s="48" t="s">
        <v>6</v>
      </c>
      <c r="C148" s="48" t="s">
        <v>1322</v>
      </c>
      <c r="D148" s="48" t="s">
        <v>1411</v>
      </c>
      <c r="E148" s="50">
        <v>44957</v>
      </c>
      <c r="F148" s="49" t="s">
        <v>1321</v>
      </c>
      <c r="G148" s="48" t="s">
        <v>36</v>
      </c>
      <c r="H148" s="48" t="s">
        <v>50</v>
      </c>
      <c r="I148" s="51">
        <v>42330.5</v>
      </c>
      <c r="J148" s="51"/>
      <c r="K148" s="51"/>
      <c r="L148" s="48" t="s">
        <v>40</v>
      </c>
      <c r="M148" s="48" t="s">
        <v>1438</v>
      </c>
      <c r="N148" s="48" t="s">
        <v>1444</v>
      </c>
      <c r="O148" s="49" t="s">
        <v>1445</v>
      </c>
      <c r="P148" s="48" t="s">
        <v>38</v>
      </c>
      <c r="Q148" s="48" t="s">
        <v>37</v>
      </c>
      <c r="R148" s="48" t="s">
        <v>1436</v>
      </c>
      <c r="S148" s="48" t="s">
        <v>1436</v>
      </c>
      <c r="T148" s="48" t="s">
        <v>1436</v>
      </c>
      <c r="U148" s="48" t="s">
        <v>38</v>
      </c>
      <c r="V148" s="48" t="s">
        <v>39</v>
      </c>
      <c r="W148" s="48" t="s">
        <v>40</v>
      </c>
      <c r="X148" s="48" t="s">
        <v>41</v>
      </c>
      <c r="Y148" s="48" t="s">
        <v>1436</v>
      </c>
      <c r="Z148" s="48" t="s">
        <v>1436</v>
      </c>
      <c r="AA148" s="48" t="s">
        <v>1436</v>
      </c>
      <c r="AB148" s="49" t="s">
        <v>193</v>
      </c>
      <c r="AC148" s="48" t="s">
        <v>1194</v>
      </c>
      <c r="AD148" s="48" t="s">
        <v>1244</v>
      </c>
      <c r="AE148" s="48" t="s">
        <v>36</v>
      </c>
    </row>
    <row r="149" spans="1:31" x14ac:dyDescent="0.3">
      <c r="A149" s="48" t="s">
        <v>1320</v>
      </c>
      <c r="B149" s="48" t="s">
        <v>6</v>
      </c>
      <c r="C149" s="48" t="s">
        <v>1322</v>
      </c>
      <c r="D149" s="48" t="s">
        <v>1410</v>
      </c>
      <c r="E149" s="50">
        <v>44957</v>
      </c>
      <c r="F149" s="49" t="s">
        <v>1321</v>
      </c>
      <c r="G149" s="48" t="s">
        <v>36</v>
      </c>
      <c r="H149" s="48" t="s">
        <v>42</v>
      </c>
      <c r="I149" s="51">
        <v>2539829.423163</v>
      </c>
      <c r="J149" s="51"/>
      <c r="K149" s="51"/>
      <c r="L149" s="48" t="s">
        <v>40</v>
      </c>
      <c r="M149" s="48" t="s">
        <v>1433</v>
      </c>
      <c r="N149" s="48" t="s">
        <v>1434</v>
      </c>
      <c r="O149" s="49" t="s">
        <v>1437</v>
      </c>
      <c r="P149" s="48" t="s">
        <v>38</v>
      </c>
      <c r="Q149" s="48" t="s">
        <v>37</v>
      </c>
      <c r="R149" s="48" t="s">
        <v>1436</v>
      </c>
      <c r="S149" s="48" t="s">
        <v>1436</v>
      </c>
      <c r="T149" s="48" t="s">
        <v>1436</v>
      </c>
      <c r="U149" s="48" t="s">
        <v>38</v>
      </c>
      <c r="V149" s="48" t="s">
        <v>39</v>
      </c>
      <c r="W149" s="48" t="s">
        <v>40</v>
      </c>
      <c r="X149" s="48" t="s">
        <v>41</v>
      </c>
      <c r="Y149" s="48" t="s">
        <v>1436</v>
      </c>
      <c r="Z149" s="48" t="s">
        <v>1436</v>
      </c>
      <c r="AA149" s="48" t="s">
        <v>1436</v>
      </c>
      <c r="AB149" s="49" t="s">
        <v>193</v>
      </c>
      <c r="AC149" s="48" t="s">
        <v>1194</v>
      </c>
      <c r="AD149" s="48" t="s">
        <v>1244</v>
      </c>
      <c r="AE149" s="48" t="s">
        <v>36</v>
      </c>
    </row>
    <row r="150" spans="1:31" x14ac:dyDescent="0.3">
      <c r="A150" s="48" t="s">
        <v>1320</v>
      </c>
      <c r="B150" s="48" t="s">
        <v>6</v>
      </c>
      <c r="C150" s="48" t="s">
        <v>1322</v>
      </c>
      <c r="D150" s="48" t="s">
        <v>1409</v>
      </c>
      <c r="E150" s="50">
        <v>44957</v>
      </c>
      <c r="F150" s="49" t="s">
        <v>1321</v>
      </c>
      <c r="G150" s="48" t="s">
        <v>36</v>
      </c>
      <c r="H150" s="48" t="s">
        <v>45</v>
      </c>
      <c r="I150" s="51">
        <v>-1578769.2789980001</v>
      </c>
      <c r="J150" s="51"/>
      <c r="K150" s="51"/>
      <c r="L150" s="48" t="s">
        <v>40</v>
      </c>
      <c r="M150" s="48" t="s">
        <v>1433</v>
      </c>
      <c r="N150" s="48" t="s">
        <v>1447</v>
      </c>
      <c r="O150" s="49" t="s">
        <v>1449</v>
      </c>
      <c r="P150" s="48" t="s">
        <v>38</v>
      </c>
      <c r="Q150" s="48" t="s">
        <v>37</v>
      </c>
      <c r="R150" s="48" t="s">
        <v>1436</v>
      </c>
      <c r="S150" s="48" t="s">
        <v>1436</v>
      </c>
      <c r="T150" s="48" t="s">
        <v>1436</v>
      </c>
      <c r="U150" s="48" t="s">
        <v>38</v>
      </c>
      <c r="V150" s="48" t="s">
        <v>39</v>
      </c>
      <c r="W150" s="48" t="s">
        <v>40</v>
      </c>
      <c r="X150" s="48" t="s">
        <v>41</v>
      </c>
      <c r="Y150" s="48" t="s">
        <v>1436</v>
      </c>
      <c r="Z150" s="48" t="s">
        <v>1436</v>
      </c>
      <c r="AA150" s="48" t="s">
        <v>1436</v>
      </c>
      <c r="AB150" s="49" t="s">
        <v>193</v>
      </c>
      <c r="AC150" s="48" t="s">
        <v>1194</v>
      </c>
      <c r="AD150" s="48" t="s">
        <v>1244</v>
      </c>
      <c r="AE150" s="48" t="s">
        <v>36</v>
      </c>
    </row>
    <row r="151" spans="1:31" x14ac:dyDescent="0.3">
      <c r="A151" s="48" t="s">
        <v>1320</v>
      </c>
      <c r="B151" s="48" t="s">
        <v>6</v>
      </c>
      <c r="C151" s="48" t="s">
        <v>1322</v>
      </c>
      <c r="D151" s="48" t="s">
        <v>1408</v>
      </c>
      <c r="E151" s="50">
        <v>44957</v>
      </c>
      <c r="F151" s="49" t="s">
        <v>1321</v>
      </c>
      <c r="G151" s="48" t="s">
        <v>36</v>
      </c>
      <c r="H151" s="48" t="s">
        <v>54</v>
      </c>
      <c r="I151" s="51">
        <v>-471420.85</v>
      </c>
      <c r="J151" s="51"/>
      <c r="K151" s="51"/>
      <c r="L151" s="48" t="s">
        <v>40</v>
      </c>
      <c r="M151" s="48" t="s">
        <v>1433</v>
      </c>
      <c r="N151" s="48" t="s">
        <v>1447</v>
      </c>
      <c r="O151" s="49" t="s">
        <v>1450</v>
      </c>
      <c r="P151" s="48" t="s">
        <v>38</v>
      </c>
      <c r="Q151" s="48" t="s">
        <v>37</v>
      </c>
      <c r="R151" s="48" t="s">
        <v>1436</v>
      </c>
      <c r="S151" s="48" t="s">
        <v>1436</v>
      </c>
      <c r="T151" s="48" t="s">
        <v>1436</v>
      </c>
      <c r="U151" s="48" t="s">
        <v>38</v>
      </c>
      <c r="V151" s="48" t="s">
        <v>39</v>
      </c>
      <c r="W151" s="48" t="s">
        <v>40</v>
      </c>
      <c r="X151" s="48" t="s">
        <v>41</v>
      </c>
      <c r="Y151" s="48" t="s">
        <v>1436</v>
      </c>
      <c r="Z151" s="48" t="s">
        <v>1436</v>
      </c>
      <c r="AA151" s="48" t="s">
        <v>1436</v>
      </c>
      <c r="AB151" s="49" t="s">
        <v>193</v>
      </c>
      <c r="AC151" s="48" t="s">
        <v>1194</v>
      </c>
      <c r="AD151" s="48" t="s">
        <v>1244</v>
      </c>
      <c r="AE151" s="48" t="s">
        <v>36</v>
      </c>
    </row>
    <row r="152" spans="1:31" x14ac:dyDescent="0.3">
      <c r="A152" s="48" t="s">
        <v>1320</v>
      </c>
      <c r="B152" s="48" t="s">
        <v>6</v>
      </c>
      <c r="C152" s="48" t="s">
        <v>1322</v>
      </c>
      <c r="D152" s="48" t="s">
        <v>1407</v>
      </c>
      <c r="E152" s="50">
        <v>44957</v>
      </c>
      <c r="F152" s="49" t="s">
        <v>1321</v>
      </c>
      <c r="G152" s="48" t="s">
        <v>36</v>
      </c>
      <c r="H152" s="48" t="s">
        <v>47</v>
      </c>
      <c r="I152" s="51">
        <v>11959.442419000001</v>
      </c>
      <c r="J152" s="51"/>
      <c r="K152" s="51"/>
      <c r="L152" s="48" t="s">
        <v>40</v>
      </c>
      <c r="M152" s="48" t="s">
        <v>1438</v>
      </c>
      <c r="N152" s="48" t="s">
        <v>1444</v>
      </c>
      <c r="O152" s="49" t="s">
        <v>1446</v>
      </c>
      <c r="P152" s="48" t="s">
        <v>38</v>
      </c>
      <c r="Q152" s="48" t="s">
        <v>37</v>
      </c>
      <c r="R152" s="48" t="s">
        <v>1436</v>
      </c>
      <c r="S152" s="48" t="s">
        <v>1436</v>
      </c>
      <c r="T152" s="48" t="s">
        <v>1436</v>
      </c>
      <c r="U152" s="48" t="s">
        <v>38</v>
      </c>
      <c r="V152" s="48" t="s">
        <v>39</v>
      </c>
      <c r="W152" s="48" t="s">
        <v>40</v>
      </c>
      <c r="X152" s="48" t="s">
        <v>41</v>
      </c>
      <c r="Y152" s="48" t="s">
        <v>1436</v>
      </c>
      <c r="Z152" s="48" t="s">
        <v>1436</v>
      </c>
      <c r="AA152" s="48" t="s">
        <v>1436</v>
      </c>
      <c r="AB152" s="49" t="s">
        <v>193</v>
      </c>
      <c r="AC152" s="48" t="s">
        <v>1194</v>
      </c>
      <c r="AD152" s="48" t="s">
        <v>1244</v>
      </c>
      <c r="AE152" s="48" t="s">
        <v>36</v>
      </c>
    </row>
    <row r="153" spans="1:31" x14ac:dyDescent="0.3">
      <c r="A153" s="48" t="s">
        <v>1320</v>
      </c>
      <c r="B153" s="48" t="s">
        <v>6</v>
      </c>
      <c r="C153" s="48" t="s">
        <v>1322</v>
      </c>
      <c r="D153" s="48" t="s">
        <v>1406</v>
      </c>
      <c r="E153" s="50">
        <v>44957</v>
      </c>
      <c r="F153" s="49" t="s">
        <v>1321</v>
      </c>
      <c r="G153" s="48" t="s">
        <v>36</v>
      </c>
      <c r="H153" s="48" t="s">
        <v>1441</v>
      </c>
      <c r="I153" s="51">
        <v>0</v>
      </c>
      <c r="J153" s="51"/>
      <c r="K153" s="51"/>
      <c r="L153" s="48" t="s">
        <v>1194</v>
      </c>
      <c r="M153" s="48" t="s">
        <v>1438</v>
      </c>
      <c r="N153" s="48" t="s">
        <v>1439</v>
      </c>
      <c r="O153" s="49" t="s">
        <v>1440</v>
      </c>
      <c r="P153" s="48" t="s">
        <v>38</v>
      </c>
      <c r="Q153" s="48" t="s">
        <v>37</v>
      </c>
      <c r="R153" s="48" t="s">
        <v>1436</v>
      </c>
      <c r="S153" s="48" t="s">
        <v>1436</v>
      </c>
      <c r="T153" s="48" t="s">
        <v>1436</v>
      </c>
      <c r="U153" s="48" t="s">
        <v>38</v>
      </c>
      <c r="V153" s="48" t="s">
        <v>39</v>
      </c>
      <c r="W153" s="48" t="s">
        <v>1194</v>
      </c>
      <c r="X153" s="48" t="s">
        <v>41</v>
      </c>
      <c r="Y153" s="48" t="s">
        <v>1436</v>
      </c>
      <c r="Z153" s="48" t="s">
        <v>1436</v>
      </c>
      <c r="AA153" s="48" t="s">
        <v>1436</v>
      </c>
      <c r="AB153" s="49" t="s">
        <v>193</v>
      </c>
      <c r="AC153" s="48" t="s">
        <v>1194</v>
      </c>
      <c r="AD153" s="48" t="s">
        <v>1244</v>
      </c>
      <c r="AE153" s="48" t="s">
        <v>36</v>
      </c>
    </row>
    <row r="154" spans="1:31" x14ac:dyDescent="0.3">
      <c r="A154" s="48" t="s">
        <v>1320</v>
      </c>
      <c r="B154" s="48" t="s">
        <v>6</v>
      </c>
      <c r="C154" s="48" t="s">
        <v>1322</v>
      </c>
      <c r="D154" s="48" t="s">
        <v>1405</v>
      </c>
      <c r="E154" s="50">
        <v>44957</v>
      </c>
      <c r="F154" s="49" t="s">
        <v>1321</v>
      </c>
      <c r="G154" s="48" t="s">
        <v>36</v>
      </c>
      <c r="H154" s="48" t="s">
        <v>1443</v>
      </c>
      <c r="I154" s="51">
        <v>0</v>
      </c>
      <c r="J154" s="51"/>
      <c r="K154" s="51"/>
      <c r="L154" s="48" t="s">
        <v>1194</v>
      </c>
      <c r="M154" s="48" t="s">
        <v>1438</v>
      </c>
      <c r="N154" s="48" t="s">
        <v>1439</v>
      </c>
      <c r="O154" s="49" t="s">
        <v>1442</v>
      </c>
      <c r="P154" s="48" t="s">
        <v>38</v>
      </c>
      <c r="Q154" s="48" t="s">
        <v>37</v>
      </c>
      <c r="R154" s="48" t="s">
        <v>1436</v>
      </c>
      <c r="S154" s="48" t="s">
        <v>1436</v>
      </c>
      <c r="T154" s="48" t="s">
        <v>1436</v>
      </c>
      <c r="U154" s="48" t="s">
        <v>38</v>
      </c>
      <c r="V154" s="48" t="s">
        <v>39</v>
      </c>
      <c r="W154" s="48" t="s">
        <v>1194</v>
      </c>
      <c r="X154" s="48" t="s">
        <v>41</v>
      </c>
      <c r="Y154" s="48" t="s">
        <v>1436</v>
      </c>
      <c r="Z154" s="48" t="s">
        <v>1436</v>
      </c>
      <c r="AA154" s="48" t="s">
        <v>1436</v>
      </c>
      <c r="AB154" s="49" t="s">
        <v>193</v>
      </c>
      <c r="AC154" s="48" t="s">
        <v>1194</v>
      </c>
      <c r="AD154" s="48" t="s">
        <v>1244</v>
      </c>
      <c r="AE154" s="48" t="s">
        <v>36</v>
      </c>
    </row>
    <row r="155" spans="1:31" x14ac:dyDescent="0.3">
      <c r="A155" s="48" t="s">
        <v>1320</v>
      </c>
      <c r="B155" s="48" t="s">
        <v>6</v>
      </c>
      <c r="C155" s="48" t="s">
        <v>1322</v>
      </c>
      <c r="D155" s="48" t="s">
        <v>1404</v>
      </c>
      <c r="E155" s="50">
        <v>44957</v>
      </c>
      <c r="F155" s="49" t="s">
        <v>1321</v>
      </c>
      <c r="G155" s="48" t="s">
        <v>36</v>
      </c>
      <c r="H155" s="48" t="s">
        <v>49</v>
      </c>
      <c r="I155" s="51">
        <v>-11959.442419000001</v>
      </c>
      <c r="J155" s="51"/>
      <c r="K155" s="51"/>
      <c r="L155" s="48" t="s">
        <v>38</v>
      </c>
      <c r="M155" s="48" t="s">
        <v>1433</v>
      </c>
      <c r="N155" s="48" t="s">
        <v>1447</v>
      </c>
      <c r="O155" s="49" t="s">
        <v>1451</v>
      </c>
      <c r="P155" s="48" t="s">
        <v>38</v>
      </c>
      <c r="Q155" s="48" t="s">
        <v>37</v>
      </c>
      <c r="R155" s="48" t="s">
        <v>1436</v>
      </c>
      <c r="S155" s="48" t="s">
        <v>1436</v>
      </c>
      <c r="T155" s="48" t="s">
        <v>1436</v>
      </c>
      <c r="U155" s="48" t="s">
        <v>38</v>
      </c>
      <c r="V155" s="48" t="s">
        <v>39</v>
      </c>
      <c r="W155" s="48" t="s">
        <v>38</v>
      </c>
      <c r="X155" s="48" t="s">
        <v>41</v>
      </c>
      <c r="Y155" s="48" t="s">
        <v>1436</v>
      </c>
      <c r="Z155" s="48" t="s">
        <v>1436</v>
      </c>
      <c r="AA155" s="48" t="s">
        <v>1436</v>
      </c>
      <c r="AB155" s="49" t="s">
        <v>193</v>
      </c>
      <c r="AC155" s="48" t="s">
        <v>1194</v>
      </c>
      <c r="AD155" s="48" t="s">
        <v>1244</v>
      </c>
      <c r="AE155" s="48" t="s">
        <v>36</v>
      </c>
    </row>
    <row r="156" spans="1:31" x14ac:dyDescent="0.3">
      <c r="A156" s="48" t="s">
        <v>1320</v>
      </c>
      <c r="B156" s="48" t="s">
        <v>6</v>
      </c>
      <c r="C156" s="48" t="s">
        <v>1322</v>
      </c>
      <c r="D156" s="48" t="s">
        <v>1413</v>
      </c>
      <c r="E156" s="50">
        <v>44985</v>
      </c>
      <c r="F156" s="49" t="s">
        <v>1321</v>
      </c>
      <c r="G156" s="48" t="s">
        <v>36</v>
      </c>
      <c r="H156" s="48" t="s">
        <v>58</v>
      </c>
      <c r="I156" s="51">
        <v>-700000</v>
      </c>
      <c r="J156" s="51"/>
      <c r="K156" s="51"/>
      <c r="L156" s="48" t="s">
        <v>40</v>
      </c>
      <c r="M156" s="48" t="s">
        <v>1433</v>
      </c>
      <c r="N156" s="48" t="s">
        <v>1447</v>
      </c>
      <c r="O156" s="49" t="s">
        <v>1448</v>
      </c>
      <c r="P156" s="48" t="s">
        <v>38</v>
      </c>
      <c r="Q156" s="48" t="s">
        <v>37</v>
      </c>
      <c r="R156" s="48" t="s">
        <v>1436</v>
      </c>
      <c r="S156" s="48" t="s">
        <v>1436</v>
      </c>
      <c r="T156" s="48" t="s">
        <v>1436</v>
      </c>
      <c r="U156" s="48" t="s">
        <v>38</v>
      </c>
      <c r="V156" s="48" t="s">
        <v>39</v>
      </c>
      <c r="W156" s="48" t="s">
        <v>40</v>
      </c>
      <c r="X156" s="48" t="s">
        <v>41</v>
      </c>
      <c r="Y156" s="48" t="s">
        <v>1436</v>
      </c>
      <c r="Z156" s="48" t="s">
        <v>1436</v>
      </c>
      <c r="AA156" s="48" t="s">
        <v>1436</v>
      </c>
      <c r="AB156" s="49" t="s">
        <v>193</v>
      </c>
      <c r="AC156" s="48" t="s">
        <v>1194</v>
      </c>
      <c r="AD156" s="48" t="s">
        <v>1244</v>
      </c>
      <c r="AE156" s="48" t="s">
        <v>36</v>
      </c>
    </row>
    <row r="157" spans="1:31" x14ac:dyDescent="0.3">
      <c r="A157" s="48" t="s">
        <v>1320</v>
      </c>
      <c r="B157" s="48" t="s">
        <v>6</v>
      </c>
      <c r="C157" s="48" t="s">
        <v>1322</v>
      </c>
      <c r="D157" s="48" t="s">
        <v>1412</v>
      </c>
      <c r="E157" s="50">
        <v>44985</v>
      </c>
      <c r="F157" s="49" t="s">
        <v>1321</v>
      </c>
      <c r="G157" s="48" t="s">
        <v>36</v>
      </c>
      <c r="H157" s="48" t="s">
        <v>52</v>
      </c>
      <c r="I157" s="51">
        <v>-592626.87</v>
      </c>
      <c r="J157" s="51"/>
      <c r="K157" s="51"/>
      <c r="L157" s="48" t="s">
        <v>40</v>
      </c>
      <c r="M157" s="48" t="s">
        <v>1433</v>
      </c>
      <c r="N157" s="48" t="s">
        <v>1434</v>
      </c>
      <c r="O157" s="49" t="s">
        <v>1435</v>
      </c>
      <c r="P157" s="48" t="s">
        <v>38</v>
      </c>
      <c r="Q157" s="48" t="s">
        <v>37</v>
      </c>
      <c r="R157" s="48" t="s">
        <v>1436</v>
      </c>
      <c r="S157" s="48" t="s">
        <v>1436</v>
      </c>
      <c r="T157" s="48" t="s">
        <v>1436</v>
      </c>
      <c r="U157" s="48" t="s">
        <v>38</v>
      </c>
      <c r="V157" s="48" t="s">
        <v>39</v>
      </c>
      <c r="W157" s="48" t="s">
        <v>40</v>
      </c>
      <c r="X157" s="48" t="s">
        <v>41</v>
      </c>
      <c r="Y157" s="48" t="s">
        <v>1436</v>
      </c>
      <c r="Z157" s="48" t="s">
        <v>1436</v>
      </c>
      <c r="AA157" s="48" t="s">
        <v>1436</v>
      </c>
      <c r="AB157" s="49" t="s">
        <v>193</v>
      </c>
      <c r="AC157" s="48" t="s">
        <v>1194</v>
      </c>
      <c r="AD157" s="48" t="s">
        <v>1244</v>
      </c>
      <c r="AE157" s="48" t="s">
        <v>36</v>
      </c>
    </row>
    <row r="158" spans="1:31" x14ac:dyDescent="0.3">
      <c r="A158" s="48" t="s">
        <v>1320</v>
      </c>
      <c r="B158" s="48" t="s">
        <v>6</v>
      </c>
      <c r="C158" s="48" t="s">
        <v>1322</v>
      </c>
      <c r="D158" s="48" t="s">
        <v>1411</v>
      </c>
      <c r="E158" s="50">
        <v>44985</v>
      </c>
      <c r="F158" s="49" t="s">
        <v>1321</v>
      </c>
      <c r="G158" s="48" t="s">
        <v>36</v>
      </c>
      <c r="H158" s="48" t="s">
        <v>50</v>
      </c>
      <c r="I158" s="51">
        <v>84660.99</v>
      </c>
      <c r="J158" s="51"/>
      <c r="K158" s="51"/>
      <c r="L158" s="48" t="s">
        <v>40</v>
      </c>
      <c r="M158" s="48" t="s">
        <v>1438</v>
      </c>
      <c r="N158" s="48" t="s">
        <v>1444</v>
      </c>
      <c r="O158" s="49" t="s">
        <v>1445</v>
      </c>
      <c r="P158" s="48" t="s">
        <v>38</v>
      </c>
      <c r="Q158" s="48" t="s">
        <v>37</v>
      </c>
      <c r="R158" s="48" t="s">
        <v>1436</v>
      </c>
      <c r="S158" s="48" t="s">
        <v>1436</v>
      </c>
      <c r="T158" s="48" t="s">
        <v>1436</v>
      </c>
      <c r="U158" s="48" t="s">
        <v>38</v>
      </c>
      <c r="V158" s="48" t="s">
        <v>39</v>
      </c>
      <c r="W158" s="48" t="s">
        <v>40</v>
      </c>
      <c r="X158" s="48" t="s">
        <v>41</v>
      </c>
      <c r="Y158" s="48" t="s">
        <v>1436</v>
      </c>
      <c r="Z158" s="48" t="s">
        <v>1436</v>
      </c>
      <c r="AA158" s="48" t="s">
        <v>1436</v>
      </c>
      <c r="AB158" s="49" t="s">
        <v>193</v>
      </c>
      <c r="AC158" s="48" t="s">
        <v>1194</v>
      </c>
      <c r="AD158" s="48" t="s">
        <v>1244</v>
      </c>
      <c r="AE158" s="48" t="s">
        <v>36</v>
      </c>
    </row>
    <row r="159" spans="1:31" x14ac:dyDescent="0.3">
      <c r="A159" s="48" t="s">
        <v>1320</v>
      </c>
      <c r="B159" s="48" t="s">
        <v>6</v>
      </c>
      <c r="C159" s="48" t="s">
        <v>1322</v>
      </c>
      <c r="D159" s="48" t="s">
        <v>1410</v>
      </c>
      <c r="E159" s="50">
        <v>44985</v>
      </c>
      <c r="F159" s="49" t="s">
        <v>1321</v>
      </c>
      <c r="G159" s="48" t="s">
        <v>36</v>
      </c>
      <c r="H159" s="48" t="s">
        <v>42</v>
      </c>
      <c r="I159" s="51">
        <v>2539829.423163</v>
      </c>
      <c r="J159" s="51"/>
      <c r="K159" s="51"/>
      <c r="L159" s="48" t="s">
        <v>40</v>
      </c>
      <c r="M159" s="48" t="s">
        <v>1433</v>
      </c>
      <c r="N159" s="48" t="s">
        <v>1434</v>
      </c>
      <c r="O159" s="49" t="s">
        <v>1437</v>
      </c>
      <c r="P159" s="48" t="s">
        <v>38</v>
      </c>
      <c r="Q159" s="48" t="s">
        <v>37</v>
      </c>
      <c r="R159" s="48" t="s">
        <v>1436</v>
      </c>
      <c r="S159" s="48" t="s">
        <v>1436</v>
      </c>
      <c r="T159" s="48" t="s">
        <v>1436</v>
      </c>
      <c r="U159" s="48" t="s">
        <v>38</v>
      </c>
      <c r="V159" s="48" t="s">
        <v>39</v>
      </c>
      <c r="W159" s="48" t="s">
        <v>40</v>
      </c>
      <c r="X159" s="48" t="s">
        <v>41</v>
      </c>
      <c r="Y159" s="48" t="s">
        <v>1436</v>
      </c>
      <c r="Z159" s="48" t="s">
        <v>1436</v>
      </c>
      <c r="AA159" s="48" t="s">
        <v>1436</v>
      </c>
      <c r="AB159" s="49" t="s">
        <v>193</v>
      </c>
      <c r="AC159" s="48" t="s">
        <v>1194</v>
      </c>
      <c r="AD159" s="48" t="s">
        <v>1244</v>
      </c>
      <c r="AE159" s="48" t="s">
        <v>36</v>
      </c>
    </row>
    <row r="160" spans="1:31" x14ac:dyDescent="0.3">
      <c r="A160" s="48" t="s">
        <v>1320</v>
      </c>
      <c r="B160" s="48" t="s">
        <v>6</v>
      </c>
      <c r="C160" s="48" t="s">
        <v>1322</v>
      </c>
      <c r="D160" s="48" t="s">
        <v>1409</v>
      </c>
      <c r="E160" s="50">
        <v>44985</v>
      </c>
      <c r="F160" s="49" t="s">
        <v>1321</v>
      </c>
      <c r="G160" s="48" t="s">
        <v>36</v>
      </c>
      <c r="H160" s="48" t="s">
        <v>45</v>
      </c>
      <c r="I160" s="51">
        <v>-1537978.7614170001</v>
      </c>
      <c r="J160" s="51"/>
      <c r="K160" s="51"/>
      <c r="L160" s="48" t="s">
        <v>40</v>
      </c>
      <c r="M160" s="48" t="s">
        <v>1433</v>
      </c>
      <c r="N160" s="48" t="s">
        <v>1447</v>
      </c>
      <c r="O160" s="49" t="s">
        <v>1449</v>
      </c>
      <c r="P160" s="48" t="s">
        <v>38</v>
      </c>
      <c r="Q160" s="48" t="s">
        <v>37</v>
      </c>
      <c r="R160" s="48" t="s">
        <v>1436</v>
      </c>
      <c r="S160" s="48" t="s">
        <v>1436</v>
      </c>
      <c r="T160" s="48" t="s">
        <v>1436</v>
      </c>
      <c r="U160" s="48" t="s">
        <v>38</v>
      </c>
      <c r="V160" s="48" t="s">
        <v>39</v>
      </c>
      <c r="W160" s="48" t="s">
        <v>40</v>
      </c>
      <c r="X160" s="48" t="s">
        <v>41</v>
      </c>
      <c r="Y160" s="48" t="s">
        <v>1436</v>
      </c>
      <c r="Z160" s="48" t="s">
        <v>1436</v>
      </c>
      <c r="AA160" s="48" t="s">
        <v>1436</v>
      </c>
      <c r="AB160" s="49" t="s">
        <v>193</v>
      </c>
      <c r="AC160" s="48" t="s">
        <v>1194</v>
      </c>
      <c r="AD160" s="48" t="s">
        <v>1244</v>
      </c>
      <c r="AE160" s="48" t="s">
        <v>36</v>
      </c>
    </row>
    <row r="161" spans="1:31" x14ac:dyDescent="0.3">
      <c r="A161" s="48" t="s">
        <v>1320</v>
      </c>
      <c r="B161" s="48" t="s">
        <v>6</v>
      </c>
      <c r="C161" s="48" t="s">
        <v>1322</v>
      </c>
      <c r="D161" s="48" t="s">
        <v>1408</v>
      </c>
      <c r="E161" s="50">
        <v>44985</v>
      </c>
      <c r="F161" s="49" t="s">
        <v>1321</v>
      </c>
      <c r="G161" s="48" t="s">
        <v>36</v>
      </c>
      <c r="H161" s="48" t="s">
        <v>54</v>
      </c>
      <c r="I161" s="51">
        <v>-474170.81</v>
      </c>
      <c r="J161" s="51"/>
      <c r="K161" s="51"/>
      <c r="L161" s="48" t="s">
        <v>40</v>
      </c>
      <c r="M161" s="48" t="s">
        <v>1433</v>
      </c>
      <c r="N161" s="48" t="s">
        <v>1447</v>
      </c>
      <c r="O161" s="49" t="s">
        <v>1450</v>
      </c>
      <c r="P161" s="48" t="s">
        <v>38</v>
      </c>
      <c r="Q161" s="48" t="s">
        <v>37</v>
      </c>
      <c r="R161" s="48" t="s">
        <v>1436</v>
      </c>
      <c r="S161" s="48" t="s">
        <v>1436</v>
      </c>
      <c r="T161" s="48" t="s">
        <v>1436</v>
      </c>
      <c r="U161" s="48" t="s">
        <v>38</v>
      </c>
      <c r="V161" s="48" t="s">
        <v>39</v>
      </c>
      <c r="W161" s="48" t="s">
        <v>40</v>
      </c>
      <c r="X161" s="48" t="s">
        <v>41</v>
      </c>
      <c r="Y161" s="48" t="s">
        <v>1436</v>
      </c>
      <c r="Z161" s="48" t="s">
        <v>1436</v>
      </c>
      <c r="AA161" s="48" t="s">
        <v>1436</v>
      </c>
      <c r="AB161" s="49" t="s">
        <v>193</v>
      </c>
      <c r="AC161" s="48" t="s">
        <v>1194</v>
      </c>
      <c r="AD161" s="48" t="s">
        <v>1244</v>
      </c>
      <c r="AE161" s="48" t="s">
        <v>36</v>
      </c>
    </row>
    <row r="162" spans="1:31" x14ac:dyDescent="0.3">
      <c r="A162" s="48" t="s">
        <v>1320</v>
      </c>
      <c r="B162" s="48" t="s">
        <v>6</v>
      </c>
      <c r="C162" s="48" t="s">
        <v>1322</v>
      </c>
      <c r="D162" s="48" t="s">
        <v>1407</v>
      </c>
      <c r="E162" s="50">
        <v>44985</v>
      </c>
      <c r="F162" s="49" t="s">
        <v>1321</v>
      </c>
      <c r="G162" s="48" t="s">
        <v>36</v>
      </c>
      <c r="H162" s="48" t="s">
        <v>47</v>
      </c>
      <c r="I162" s="51">
        <v>23696.981586000002</v>
      </c>
      <c r="J162" s="51"/>
      <c r="K162" s="51"/>
      <c r="L162" s="48" t="s">
        <v>40</v>
      </c>
      <c r="M162" s="48" t="s">
        <v>1438</v>
      </c>
      <c r="N162" s="48" t="s">
        <v>1444</v>
      </c>
      <c r="O162" s="49" t="s">
        <v>1446</v>
      </c>
      <c r="P162" s="48" t="s">
        <v>38</v>
      </c>
      <c r="Q162" s="48" t="s">
        <v>37</v>
      </c>
      <c r="R162" s="48" t="s">
        <v>1436</v>
      </c>
      <c r="S162" s="48" t="s">
        <v>1436</v>
      </c>
      <c r="T162" s="48" t="s">
        <v>1436</v>
      </c>
      <c r="U162" s="48" t="s">
        <v>38</v>
      </c>
      <c r="V162" s="48" t="s">
        <v>39</v>
      </c>
      <c r="W162" s="48" t="s">
        <v>40</v>
      </c>
      <c r="X162" s="48" t="s">
        <v>41</v>
      </c>
      <c r="Y162" s="48" t="s">
        <v>1436</v>
      </c>
      <c r="Z162" s="48" t="s">
        <v>1436</v>
      </c>
      <c r="AA162" s="48" t="s">
        <v>1436</v>
      </c>
      <c r="AB162" s="49" t="s">
        <v>193</v>
      </c>
      <c r="AC162" s="48" t="s">
        <v>1194</v>
      </c>
      <c r="AD162" s="48" t="s">
        <v>1244</v>
      </c>
      <c r="AE162" s="48" t="s">
        <v>36</v>
      </c>
    </row>
    <row r="163" spans="1:31" x14ac:dyDescent="0.3">
      <c r="A163" s="48" t="s">
        <v>1320</v>
      </c>
      <c r="B163" s="48" t="s">
        <v>6</v>
      </c>
      <c r="C163" s="48" t="s">
        <v>1322</v>
      </c>
      <c r="D163" s="48" t="s">
        <v>1406</v>
      </c>
      <c r="E163" s="50">
        <v>44985</v>
      </c>
      <c r="F163" s="49" t="s">
        <v>1321</v>
      </c>
      <c r="G163" s="48" t="s">
        <v>36</v>
      </c>
      <c r="H163" s="48" t="s">
        <v>1441</v>
      </c>
      <c r="I163" s="51">
        <v>0</v>
      </c>
      <c r="J163" s="51"/>
      <c r="K163" s="51"/>
      <c r="L163" s="48" t="s">
        <v>1194</v>
      </c>
      <c r="M163" s="48" t="s">
        <v>1438</v>
      </c>
      <c r="N163" s="48" t="s">
        <v>1439</v>
      </c>
      <c r="O163" s="49" t="s">
        <v>1440</v>
      </c>
      <c r="P163" s="48" t="s">
        <v>38</v>
      </c>
      <c r="Q163" s="48" t="s">
        <v>37</v>
      </c>
      <c r="R163" s="48" t="s">
        <v>1436</v>
      </c>
      <c r="S163" s="48" t="s">
        <v>1436</v>
      </c>
      <c r="T163" s="48" t="s">
        <v>1436</v>
      </c>
      <c r="U163" s="48" t="s">
        <v>38</v>
      </c>
      <c r="V163" s="48" t="s">
        <v>39</v>
      </c>
      <c r="W163" s="48" t="s">
        <v>1194</v>
      </c>
      <c r="X163" s="48" t="s">
        <v>41</v>
      </c>
      <c r="Y163" s="48" t="s">
        <v>1436</v>
      </c>
      <c r="Z163" s="48" t="s">
        <v>1436</v>
      </c>
      <c r="AA163" s="48" t="s">
        <v>1436</v>
      </c>
      <c r="AB163" s="49" t="s">
        <v>193</v>
      </c>
      <c r="AC163" s="48" t="s">
        <v>1194</v>
      </c>
      <c r="AD163" s="48" t="s">
        <v>1244</v>
      </c>
      <c r="AE163" s="48" t="s">
        <v>36</v>
      </c>
    </row>
    <row r="164" spans="1:31" x14ac:dyDescent="0.3">
      <c r="A164" s="48" t="s">
        <v>1320</v>
      </c>
      <c r="B164" s="48" t="s">
        <v>6</v>
      </c>
      <c r="C164" s="48" t="s">
        <v>1322</v>
      </c>
      <c r="D164" s="48" t="s">
        <v>1405</v>
      </c>
      <c r="E164" s="50">
        <v>44985</v>
      </c>
      <c r="F164" s="49" t="s">
        <v>1321</v>
      </c>
      <c r="G164" s="48" t="s">
        <v>36</v>
      </c>
      <c r="H164" s="48" t="s">
        <v>1443</v>
      </c>
      <c r="I164" s="51">
        <v>0</v>
      </c>
      <c r="J164" s="51"/>
      <c r="K164" s="51"/>
      <c r="L164" s="48" t="s">
        <v>1194</v>
      </c>
      <c r="M164" s="48" t="s">
        <v>1438</v>
      </c>
      <c r="N164" s="48" t="s">
        <v>1439</v>
      </c>
      <c r="O164" s="49" t="s">
        <v>1442</v>
      </c>
      <c r="P164" s="48" t="s">
        <v>38</v>
      </c>
      <c r="Q164" s="48" t="s">
        <v>37</v>
      </c>
      <c r="R164" s="48" t="s">
        <v>1436</v>
      </c>
      <c r="S164" s="48" t="s">
        <v>1436</v>
      </c>
      <c r="T164" s="48" t="s">
        <v>1436</v>
      </c>
      <c r="U164" s="48" t="s">
        <v>38</v>
      </c>
      <c r="V164" s="48" t="s">
        <v>39</v>
      </c>
      <c r="W164" s="48" t="s">
        <v>1194</v>
      </c>
      <c r="X164" s="48" t="s">
        <v>41</v>
      </c>
      <c r="Y164" s="48" t="s">
        <v>1436</v>
      </c>
      <c r="Z164" s="48" t="s">
        <v>1436</v>
      </c>
      <c r="AA164" s="48" t="s">
        <v>1436</v>
      </c>
      <c r="AB164" s="49" t="s">
        <v>193</v>
      </c>
      <c r="AC164" s="48" t="s">
        <v>1194</v>
      </c>
      <c r="AD164" s="48" t="s">
        <v>1244</v>
      </c>
      <c r="AE164" s="48" t="s">
        <v>36</v>
      </c>
    </row>
    <row r="165" spans="1:31" x14ac:dyDescent="0.3">
      <c r="A165" s="48" t="s">
        <v>1320</v>
      </c>
      <c r="B165" s="48" t="s">
        <v>6</v>
      </c>
      <c r="C165" s="48" t="s">
        <v>1322</v>
      </c>
      <c r="D165" s="48" t="s">
        <v>1404</v>
      </c>
      <c r="E165" s="50">
        <v>44985</v>
      </c>
      <c r="F165" s="49" t="s">
        <v>1321</v>
      </c>
      <c r="G165" s="48" t="s">
        <v>36</v>
      </c>
      <c r="H165" s="48" t="s">
        <v>49</v>
      </c>
      <c r="I165" s="51">
        <v>-11737.539167000001</v>
      </c>
      <c r="J165" s="51"/>
      <c r="K165" s="51"/>
      <c r="L165" s="48" t="s">
        <v>38</v>
      </c>
      <c r="M165" s="48" t="s">
        <v>1433</v>
      </c>
      <c r="N165" s="48" t="s">
        <v>1447</v>
      </c>
      <c r="O165" s="49" t="s">
        <v>1451</v>
      </c>
      <c r="P165" s="48" t="s">
        <v>38</v>
      </c>
      <c r="Q165" s="48" t="s">
        <v>37</v>
      </c>
      <c r="R165" s="48" t="s">
        <v>1436</v>
      </c>
      <c r="S165" s="48" t="s">
        <v>1436</v>
      </c>
      <c r="T165" s="48" t="s">
        <v>1436</v>
      </c>
      <c r="U165" s="48" t="s">
        <v>38</v>
      </c>
      <c r="V165" s="48" t="s">
        <v>39</v>
      </c>
      <c r="W165" s="48" t="s">
        <v>38</v>
      </c>
      <c r="X165" s="48" t="s">
        <v>41</v>
      </c>
      <c r="Y165" s="48" t="s">
        <v>1436</v>
      </c>
      <c r="Z165" s="48" t="s">
        <v>1436</v>
      </c>
      <c r="AA165" s="48" t="s">
        <v>1436</v>
      </c>
      <c r="AB165" s="49" t="s">
        <v>193</v>
      </c>
      <c r="AC165" s="48" t="s">
        <v>1194</v>
      </c>
      <c r="AD165" s="48" t="s">
        <v>1244</v>
      </c>
      <c r="AE165" s="48" t="s">
        <v>36</v>
      </c>
    </row>
    <row r="166" spans="1:31" x14ac:dyDescent="0.3">
      <c r="A166" s="48" t="s">
        <v>1320</v>
      </c>
      <c r="B166" s="48" t="s">
        <v>6</v>
      </c>
      <c r="C166" s="48" t="s">
        <v>1322</v>
      </c>
      <c r="D166" s="48" t="s">
        <v>1413</v>
      </c>
      <c r="E166" s="50">
        <v>45016</v>
      </c>
      <c r="F166" s="49" t="s">
        <v>1321</v>
      </c>
      <c r="G166" s="48" t="s">
        <v>36</v>
      </c>
      <c r="H166" s="48" t="s">
        <v>58</v>
      </c>
      <c r="I166" s="51">
        <v>-750000</v>
      </c>
      <c r="J166" s="51"/>
      <c r="K166" s="51"/>
      <c r="L166" s="48" t="s">
        <v>40</v>
      </c>
      <c r="M166" s="48" t="s">
        <v>1433</v>
      </c>
      <c r="N166" s="48" t="s">
        <v>1447</v>
      </c>
      <c r="O166" s="49" t="s">
        <v>1448</v>
      </c>
      <c r="P166" s="48" t="s">
        <v>38</v>
      </c>
      <c r="Q166" s="48" t="s">
        <v>37</v>
      </c>
      <c r="R166" s="48" t="s">
        <v>1436</v>
      </c>
      <c r="S166" s="48" t="s">
        <v>1436</v>
      </c>
      <c r="T166" s="48" t="s">
        <v>1436</v>
      </c>
      <c r="U166" s="48" t="s">
        <v>38</v>
      </c>
      <c r="V166" s="48" t="s">
        <v>39</v>
      </c>
      <c r="W166" s="48" t="s">
        <v>40</v>
      </c>
      <c r="X166" s="48" t="s">
        <v>41</v>
      </c>
      <c r="Y166" s="48" t="s">
        <v>1436</v>
      </c>
      <c r="Z166" s="48" t="s">
        <v>1436</v>
      </c>
      <c r="AA166" s="48" t="s">
        <v>1436</v>
      </c>
      <c r="AB166" s="49" t="s">
        <v>193</v>
      </c>
      <c r="AC166" s="48" t="s">
        <v>1194</v>
      </c>
      <c r="AD166" s="48" t="s">
        <v>1244</v>
      </c>
      <c r="AE166" s="48" t="s">
        <v>36</v>
      </c>
    </row>
    <row r="167" spans="1:31" x14ac:dyDescent="0.3">
      <c r="A167" s="48" t="s">
        <v>1320</v>
      </c>
      <c r="B167" s="48" t="s">
        <v>6</v>
      </c>
      <c r="C167" s="48" t="s">
        <v>1322</v>
      </c>
      <c r="D167" s="48" t="s">
        <v>1412</v>
      </c>
      <c r="E167" s="50">
        <v>45016</v>
      </c>
      <c r="F167" s="49" t="s">
        <v>1321</v>
      </c>
      <c r="G167" s="48" t="s">
        <v>36</v>
      </c>
      <c r="H167" s="48" t="s">
        <v>52</v>
      </c>
      <c r="I167" s="51">
        <v>-634957.36</v>
      </c>
      <c r="J167" s="51"/>
      <c r="K167" s="51"/>
      <c r="L167" s="48" t="s">
        <v>40</v>
      </c>
      <c r="M167" s="48" t="s">
        <v>1433</v>
      </c>
      <c r="N167" s="48" t="s">
        <v>1434</v>
      </c>
      <c r="O167" s="49" t="s">
        <v>1435</v>
      </c>
      <c r="P167" s="48" t="s">
        <v>38</v>
      </c>
      <c r="Q167" s="48" t="s">
        <v>37</v>
      </c>
      <c r="R167" s="48" t="s">
        <v>1436</v>
      </c>
      <c r="S167" s="48" t="s">
        <v>1436</v>
      </c>
      <c r="T167" s="48" t="s">
        <v>1436</v>
      </c>
      <c r="U167" s="48" t="s">
        <v>38</v>
      </c>
      <c r="V167" s="48" t="s">
        <v>39</v>
      </c>
      <c r="W167" s="48" t="s">
        <v>40</v>
      </c>
      <c r="X167" s="48" t="s">
        <v>41</v>
      </c>
      <c r="Y167" s="48" t="s">
        <v>1436</v>
      </c>
      <c r="Z167" s="48" t="s">
        <v>1436</v>
      </c>
      <c r="AA167" s="48" t="s">
        <v>1436</v>
      </c>
      <c r="AB167" s="49" t="s">
        <v>193</v>
      </c>
      <c r="AC167" s="48" t="s">
        <v>1194</v>
      </c>
      <c r="AD167" s="48" t="s">
        <v>1244</v>
      </c>
      <c r="AE167" s="48" t="s">
        <v>36</v>
      </c>
    </row>
    <row r="168" spans="1:31" x14ac:dyDescent="0.3">
      <c r="A168" s="48" t="s">
        <v>1320</v>
      </c>
      <c r="B168" s="48" t="s">
        <v>6</v>
      </c>
      <c r="C168" s="48" t="s">
        <v>1322</v>
      </c>
      <c r="D168" s="48" t="s">
        <v>1411</v>
      </c>
      <c r="E168" s="50">
        <v>45016</v>
      </c>
      <c r="F168" s="49" t="s">
        <v>1321</v>
      </c>
      <c r="G168" s="48" t="s">
        <v>36</v>
      </c>
      <c r="H168" s="48" t="s">
        <v>50</v>
      </c>
      <c r="I168" s="51">
        <v>126991.48</v>
      </c>
      <c r="J168" s="51"/>
      <c r="K168" s="51"/>
      <c r="L168" s="48" t="s">
        <v>40</v>
      </c>
      <c r="M168" s="48" t="s">
        <v>1438</v>
      </c>
      <c r="N168" s="48" t="s">
        <v>1444</v>
      </c>
      <c r="O168" s="49" t="s">
        <v>1445</v>
      </c>
      <c r="P168" s="48" t="s">
        <v>38</v>
      </c>
      <c r="Q168" s="48" t="s">
        <v>37</v>
      </c>
      <c r="R168" s="48" t="s">
        <v>1436</v>
      </c>
      <c r="S168" s="48" t="s">
        <v>1436</v>
      </c>
      <c r="T168" s="48" t="s">
        <v>1436</v>
      </c>
      <c r="U168" s="48" t="s">
        <v>38</v>
      </c>
      <c r="V168" s="48" t="s">
        <v>39</v>
      </c>
      <c r="W168" s="48" t="s">
        <v>40</v>
      </c>
      <c r="X168" s="48" t="s">
        <v>41</v>
      </c>
      <c r="Y168" s="48" t="s">
        <v>1436</v>
      </c>
      <c r="Z168" s="48" t="s">
        <v>1436</v>
      </c>
      <c r="AA168" s="48" t="s">
        <v>1436</v>
      </c>
      <c r="AB168" s="49" t="s">
        <v>193</v>
      </c>
      <c r="AC168" s="48" t="s">
        <v>1194</v>
      </c>
      <c r="AD168" s="48" t="s">
        <v>1244</v>
      </c>
      <c r="AE168" s="48" t="s">
        <v>36</v>
      </c>
    </row>
    <row r="169" spans="1:31" x14ac:dyDescent="0.3">
      <c r="A169" s="48" t="s">
        <v>1320</v>
      </c>
      <c r="B169" s="48" t="s">
        <v>6</v>
      </c>
      <c r="C169" s="48" t="s">
        <v>1322</v>
      </c>
      <c r="D169" s="48" t="s">
        <v>1410</v>
      </c>
      <c r="E169" s="50">
        <v>45016</v>
      </c>
      <c r="F169" s="49" t="s">
        <v>1321</v>
      </c>
      <c r="G169" s="48" t="s">
        <v>36</v>
      </c>
      <c r="H169" s="48" t="s">
        <v>42</v>
      </c>
      <c r="I169" s="51">
        <v>2539829.423163</v>
      </c>
      <c r="J169" s="51"/>
      <c r="K169" s="51"/>
      <c r="L169" s="48" t="s">
        <v>40</v>
      </c>
      <c r="M169" s="48" t="s">
        <v>1433</v>
      </c>
      <c r="N169" s="48" t="s">
        <v>1434</v>
      </c>
      <c r="O169" s="49" t="s">
        <v>1437</v>
      </c>
      <c r="P169" s="48" t="s">
        <v>38</v>
      </c>
      <c r="Q169" s="48" t="s">
        <v>37</v>
      </c>
      <c r="R169" s="48" t="s">
        <v>1436</v>
      </c>
      <c r="S169" s="48" t="s">
        <v>1436</v>
      </c>
      <c r="T169" s="48" t="s">
        <v>1436</v>
      </c>
      <c r="U169" s="48" t="s">
        <v>38</v>
      </c>
      <c r="V169" s="48" t="s">
        <v>39</v>
      </c>
      <c r="W169" s="48" t="s">
        <v>40</v>
      </c>
      <c r="X169" s="48" t="s">
        <v>41</v>
      </c>
      <c r="Y169" s="48" t="s">
        <v>1436</v>
      </c>
      <c r="Z169" s="48" t="s">
        <v>1436</v>
      </c>
      <c r="AA169" s="48" t="s">
        <v>1436</v>
      </c>
      <c r="AB169" s="49" t="s">
        <v>193</v>
      </c>
      <c r="AC169" s="48" t="s">
        <v>1194</v>
      </c>
      <c r="AD169" s="48" t="s">
        <v>1244</v>
      </c>
      <c r="AE169" s="48" t="s">
        <v>36</v>
      </c>
    </row>
    <row r="170" spans="1:31" x14ac:dyDescent="0.3">
      <c r="A170" s="48" t="s">
        <v>1320</v>
      </c>
      <c r="B170" s="48" t="s">
        <v>6</v>
      </c>
      <c r="C170" s="48" t="s">
        <v>1322</v>
      </c>
      <c r="D170" s="48" t="s">
        <v>1409</v>
      </c>
      <c r="E170" s="50">
        <v>45016</v>
      </c>
      <c r="F170" s="49" t="s">
        <v>1321</v>
      </c>
      <c r="G170" s="48" t="s">
        <v>36</v>
      </c>
      <c r="H170" s="48" t="s">
        <v>45</v>
      </c>
      <c r="I170" s="51">
        <v>-1496950.3005840001</v>
      </c>
      <c r="J170" s="51"/>
      <c r="K170" s="51"/>
      <c r="L170" s="48" t="s">
        <v>40</v>
      </c>
      <c r="M170" s="48" t="s">
        <v>1433</v>
      </c>
      <c r="N170" s="48" t="s">
        <v>1447</v>
      </c>
      <c r="O170" s="49" t="s">
        <v>1449</v>
      </c>
      <c r="P170" s="48" t="s">
        <v>38</v>
      </c>
      <c r="Q170" s="48" t="s">
        <v>37</v>
      </c>
      <c r="R170" s="48" t="s">
        <v>1436</v>
      </c>
      <c r="S170" s="48" t="s">
        <v>1436</v>
      </c>
      <c r="T170" s="48" t="s">
        <v>1436</v>
      </c>
      <c r="U170" s="48" t="s">
        <v>38</v>
      </c>
      <c r="V170" s="48" t="s">
        <v>39</v>
      </c>
      <c r="W170" s="48" t="s">
        <v>40</v>
      </c>
      <c r="X170" s="48" t="s">
        <v>41</v>
      </c>
      <c r="Y170" s="48" t="s">
        <v>1436</v>
      </c>
      <c r="Z170" s="48" t="s">
        <v>1436</v>
      </c>
      <c r="AA170" s="48" t="s">
        <v>1436</v>
      </c>
      <c r="AB170" s="49" t="s">
        <v>193</v>
      </c>
      <c r="AC170" s="48" t="s">
        <v>1194</v>
      </c>
      <c r="AD170" s="48" t="s">
        <v>1244</v>
      </c>
      <c r="AE170" s="48" t="s">
        <v>36</v>
      </c>
    </row>
    <row r="171" spans="1:31" x14ac:dyDescent="0.3">
      <c r="A171" s="48" t="s">
        <v>1320</v>
      </c>
      <c r="B171" s="48" t="s">
        <v>6</v>
      </c>
      <c r="C171" s="48" t="s">
        <v>1322</v>
      </c>
      <c r="D171" s="48" t="s">
        <v>1408</v>
      </c>
      <c r="E171" s="50">
        <v>45016</v>
      </c>
      <c r="F171" s="49" t="s">
        <v>1321</v>
      </c>
      <c r="G171" s="48" t="s">
        <v>36</v>
      </c>
      <c r="H171" s="48" t="s">
        <v>54</v>
      </c>
      <c r="I171" s="51">
        <v>-476936.81</v>
      </c>
      <c r="J171" s="51"/>
      <c r="K171" s="51"/>
      <c r="L171" s="48" t="s">
        <v>40</v>
      </c>
      <c r="M171" s="48" t="s">
        <v>1433</v>
      </c>
      <c r="N171" s="48" t="s">
        <v>1447</v>
      </c>
      <c r="O171" s="49" t="s">
        <v>1450</v>
      </c>
      <c r="P171" s="48" t="s">
        <v>38</v>
      </c>
      <c r="Q171" s="48" t="s">
        <v>37</v>
      </c>
      <c r="R171" s="48" t="s">
        <v>1436</v>
      </c>
      <c r="S171" s="48" t="s">
        <v>1436</v>
      </c>
      <c r="T171" s="48" t="s">
        <v>1436</v>
      </c>
      <c r="U171" s="48" t="s">
        <v>38</v>
      </c>
      <c r="V171" s="48" t="s">
        <v>39</v>
      </c>
      <c r="W171" s="48" t="s">
        <v>40</v>
      </c>
      <c r="X171" s="48" t="s">
        <v>41</v>
      </c>
      <c r="Y171" s="48" t="s">
        <v>1436</v>
      </c>
      <c r="Z171" s="48" t="s">
        <v>1436</v>
      </c>
      <c r="AA171" s="48" t="s">
        <v>1436</v>
      </c>
      <c r="AB171" s="49" t="s">
        <v>193</v>
      </c>
      <c r="AC171" s="48" t="s">
        <v>1194</v>
      </c>
      <c r="AD171" s="48" t="s">
        <v>1244</v>
      </c>
      <c r="AE171" s="48" t="s">
        <v>36</v>
      </c>
    </row>
    <row r="172" spans="1:31" x14ac:dyDescent="0.3">
      <c r="A172" s="48" t="s">
        <v>1320</v>
      </c>
      <c r="B172" s="48" t="s">
        <v>6</v>
      </c>
      <c r="C172" s="48" t="s">
        <v>1322</v>
      </c>
      <c r="D172" s="48" t="s">
        <v>1407</v>
      </c>
      <c r="E172" s="50">
        <v>45016</v>
      </c>
      <c r="F172" s="49" t="s">
        <v>1321</v>
      </c>
      <c r="G172" s="48" t="s">
        <v>36</v>
      </c>
      <c r="H172" s="48" t="s">
        <v>47</v>
      </c>
      <c r="I172" s="51">
        <v>35211.323063999997</v>
      </c>
      <c r="J172" s="51"/>
      <c r="K172" s="51"/>
      <c r="L172" s="48" t="s">
        <v>40</v>
      </c>
      <c r="M172" s="48" t="s">
        <v>1438</v>
      </c>
      <c r="N172" s="48" t="s">
        <v>1444</v>
      </c>
      <c r="O172" s="49" t="s">
        <v>1446</v>
      </c>
      <c r="P172" s="48" t="s">
        <v>38</v>
      </c>
      <c r="Q172" s="48" t="s">
        <v>37</v>
      </c>
      <c r="R172" s="48" t="s">
        <v>1436</v>
      </c>
      <c r="S172" s="48" t="s">
        <v>1436</v>
      </c>
      <c r="T172" s="48" t="s">
        <v>1436</v>
      </c>
      <c r="U172" s="48" t="s">
        <v>38</v>
      </c>
      <c r="V172" s="48" t="s">
        <v>39</v>
      </c>
      <c r="W172" s="48" t="s">
        <v>40</v>
      </c>
      <c r="X172" s="48" t="s">
        <v>41</v>
      </c>
      <c r="Y172" s="48" t="s">
        <v>1436</v>
      </c>
      <c r="Z172" s="48" t="s">
        <v>1436</v>
      </c>
      <c r="AA172" s="48" t="s">
        <v>1436</v>
      </c>
      <c r="AB172" s="49" t="s">
        <v>193</v>
      </c>
      <c r="AC172" s="48" t="s">
        <v>1194</v>
      </c>
      <c r="AD172" s="48" t="s">
        <v>1244</v>
      </c>
      <c r="AE172" s="48" t="s">
        <v>36</v>
      </c>
    </row>
    <row r="173" spans="1:31" x14ac:dyDescent="0.3">
      <c r="A173" s="48" t="s">
        <v>1320</v>
      </c>
      <c r="B173" s="48" t="s">
        <v>6</v>
      </c>
      <c r="C173" s="48" t="s">
        <v>1322</v>
      </c>
      <c r="D173" s="48" t="s">
        <v>1406</v>
      </c>
      <c r="E173" s="50">
        <v>45016</v>
      </c>
      <c r="F173" s="49" t="s">
        <v>1321</v>
      </c>
      <c r="G173" s="48" t="s">
        <v>36</v>
      </c>
      <c r="H173" s="48" t="s">
        <v>1441</v>
      </c>
      <c r="I173" s="51">
        <v>0</v>
      </c>
      <c r="J173" s="51"/>
      <c r="K173" s="51"/>
      <c r="L173" s="48" t="s">
        <v>1194</v>
      </c>
      <c r="M173" s="48" t="s">
        <v>1438</v>
      </c>
      <c r="N173" s="48" t="s">
        <v>1439</v>
      </c>
      <c r="O173" s="49" t="s">
        <v>1440</v>
      </c>
      <c r="P173" s="48" t="s">
        <v>38</v>
      </c>
      <c r="Q173" s="48" t="s">
        <v>37</v>
      </c>
      <c r="R173" s="48" t="s">
        <v>1436</v>
      </c>
      <c r="S173" s="48" t="s">
        <v>1436</v>
      </c>
      <c r="T173" s="48" t="s">
        <v>1436</v>
      </c>
      <c r="U173" s="48" t="s">
        <v>38</v>
      </c>
      <c r="V173" s="48" t="s">
        <v>39</v>
      </c>
      <c r="W173" s="48" t="s">
        <v>1194</v>
      </c>
      <c r="X173" s="48" t="s">
        <v>41</v>
      </c>
      <c r="Y173" s="48" t="s">
        <v>1436</v>
      </c>
      <c r="Z173" s="48" t="s">
        <v>1436</v>
      </c>
      <c r="AA173" s="48" t="s">
        <v>1436</v>
      </c>
      <c r="AB173" s="49" t="s">
        <v>193</v>
      </c>
      <c r="AC173" s="48" t="s">
        <v>1194</v>
      </c>
      <c r="AD173" s="48" t="s">
        <v>1244</v>
      </c>
      <c r="AE173" s="48" t="s">
        <v>36</v>
      </c>
    </row>
    <row r="174" spans="1:31" x14ac:dyDescent="0.3">
      <c r="A174" s="48" t="s">
        <v>1320</v>
      </c>
      <c r="B174" s="48" t="s">
        <v>6</v>
      </c>
      <c r="C174" s="48" t="s">
        <v>1322</v>
      </c>
      <c r="D174" s="48" t="s">
        <v>1405</v>
      </c>
      <c r="E174" s="50">
        <v>45016</v>
      </c>
      <c r="F174" s="49" t="s">
        <v>1321</v>
      </c>
      <c r="G174" s="48" t="s">
        <v>36</v>
      </c>
      <c r="H174" s="48" t="s">
        <v>1443</v>
      </c>
      <c r="I174" s="51">
        <v>0</v>
      </c>
      <c r="J174" s="51"/>
      <c r="K174" s="51"/>
      <c r="L174" s="48" t="s">
        <v>1194</v>
      </c>
      <c r="M174" s="48" t="s">
        <v>1438</v>
      </c>
      <c r="N174" s="48" t="s">
        <v>1439</v>
      </c>
      <c r="O174" s="49" t="s">
        <v>1442</v>
      </c>
      <c r="P174" s="48" t="s">
        <v>38</v>
      </c>
      <c r="Q174" s="48" t="s">
        <v>37</v>
      </c>
      <c r="R174" s="48" t="s">
        <v>1436</v>
      </c>
      <c r="S174" s="48" t="s">
        <v>1436</v>
      </c>
      <c r="T174" s="48" t="s">
        <v>1436</v>
      </c>
      <c r="U174" s="48" t="s">
        <v>38</v>
      </c>
      <c r="V174" s="48" t="s">
        <v>39</v>
      </c>
      <c r="W174" s="48" t="s">
        <v>1194</v>
      </c>
      <c r="X174" s="48" t="s">
        <v>41</v>
      </c>
      <c r="Y174" s="48" t="s">
        <v>1436</v>
      </c>
      <c r="Z174" s="48" t="s">
        <v>1436</v>
      </c>
      <c r="AA174" s="48" t="s">
        <v>1436</v>
      </c>
      <c r="AB174" s="49" t="s">
        <v>193</v>
      </c>
      <c r="AC174" s="48" t="s">
        <v>1194</v>
      </c>
      <c r="AD174" s="48" t="s">
        <v>1244</v>
      </c>
      <c r="AE174" s="48" t="s">
        <v>36</v>
      </c>
    </row>
    <row r="175" spans="1:31" x14ac:dyDescent="0.3">
      <c r="A175" s="48" t="s">
        <v>1320</v>
      </c>
      <c r="B175" s="48" t="s">
        <v>6</v>
      </c>
      <c r="C175" s="48" t="s">
        <v>1322</v>
      </c>
      <c r="D175" s="48" t="s">
        <v>1404</v>
      </c>
      <c r="E175" s="50">
        <v>45016</v>
      </c>
      <c r="F175" s="49" t="s">
        <v>1321</v>
      </c>
      <c r="G175" s="48" t="s">
        <v>36</v>
      </c>
      <c r="H175" s="48" t="s">
        <v>49</v>
      </c>
      <c r="I175" s="51">
        <v>-11514.341478</v>
      </c>
      <c r="J175" s="51"/>
      <c r="K175" s="51"/>
      <c r="L175" s="48" t="s">
        <v>38</v>
      </c>
      <c r="M175" s="48" t="s">
        <v>1433</v>
      </c>
      <c r="N175" s="48" t="s">
        <v>1447</v>
      </c>
      <c r="O175" s="49" t="s">
        <v>1451</v>
      </c>
      <c r="P175" s="48" t="s">
        <v>38</v>
      </c>
      <c r="Q175" s="48" t="s">
        <v>37</v>
      </c>
      <c r="R175" s="48" t="s">
        <v>1436</v>
      </c>
      <c r="S175" s="48" t="s">
        <v>1436</v>
      </c>
      <c r="T175" s="48" t="s">
        <v>1436</v>
      </c>
      <c r="U175" s="48" t="s">
        <v>38</v>
      </c>
      <c r="V175" s="48" t="s">
        <v>39</v>
      </c>
      <c r="W175" s="48" t="s">
        <v>38</v>
      </c>
      <c r="X175" s="48" t="s">
        <v>41</v>
      </c>
      <c r="Y175" s="48" t="s">
        <v>1436</v>
      </c>
      <c r="Z175" s="48" t="s">
        <v>1436</v>
      </c>
      <c r="AA175" s="48" t="s">
        <v>1436</v>
      </c>
      <c r="AB175" s="49" t="s">
        <v>193</v>
      </c>
      <c r="AC175" s="48" t="s">
        <v>1194</v>
      </c>
      <c r="AD175" s="48" t="s">
        <v>1244</v>
      </c>
      <c r="AE175" s="48" t="s">
        <v>36</v>
      </c>
    </row>
    <row r="176" spans="1:31" x14ac:dyDescent="0.3">
      <c r="A176" s="48" t="s">
        <v>1320</v>
      </c>
      <c r="B176" s="48" t="s">
        <v>6</v>
      </c>
      <c r="C176" s="48" t="s">
        <v>1322</v>
      </c>
      <c r="D176" s="48" t="s">
        <v>1413</v>
      </c>
      <c r="E176" s="50">
        <v>45046</v>
      </c>
      <c r="F176" s="49" t="s">
        <v>1321</v>
      </c>
      <c r="G176" s="48" t="s">
        <v>36</v>
      </c>
      <c r="H176" s="48" t="s">
        <v>58</v>
      </c>
      <c r="I176" s="51">
        <v>-800000</v>
      </c>
      <c r="J176" s="51"/>
      <c r="K176" s="51"/>
      <c r="L176" s="48" t="s">
        <v>40</v>
      </c>
      <c r="M176" s="48" t="s">
        <v>1433</v>
      </c>
      <c r="N176" s="48" t="s">
        <v>1447</v>
      </c>
      <c r="O176" s="49" t="s">
        <v>1448</v>
      </c>
      <c r="P176" s="48" t="s">
        <v>38</v>
      </c>
      <c r="Q176" s="48" t="s">
        <v>37</v>
      </c>
      <c r="R176" s="48" t="s">
        <v>1436</v>
      </c>
      <c r="S176" s="48" t="s">
        <v>1436</v>
      </c>
      <c r="T176" s="48" t="s">
        <v>1436</v>
      </c>
      <c r="U176" s="48" t="s">
        <v>38</v>
      </c>
      <c r="V176" s="48" t="s">
        <v>39</v>
      </c>
      <c r="W176" s="48" t="s">
        <v>40</v>
      </c>
      <c r="X176" s="48" t="s">
        <v>41</v>
      </c>
      <c r="Y176" s="48" t="s">
        <v>1436</v>
      </c>
      <c r="Z176" s="48" t="s">
        <v>1436</v>
      </c>
      <c r="AA176" s="48" t="s">
        <v>1436</v>
      </c>
      <c r="AB176" s="49" t="s">
        <v>193</v>
      </c>
      <c r="AC176" s="48" t="s">
        <v>1194</v>
      </c>
      <c r="AD176" s="48" t="s">
        <v>1244</v>
      </c>
      <c r="AE176" s="48" t="s">
        <v>36</v>
      </c>
    </row>
    <row r="177" spans="1:31" x14ac:dyDescent="0.3">
      <c r="A177" s="48" t="s">
        <v>1320</v>
      </c>
      <c r="B177" s="48" t="s">
        <v>6</v>
      </c>
      <c r="C177" s="48" t="s">
        <v>1322</v>
      </c>
      <c r="D177" s="48" t="s">
        <v>1412</v>
      </c>
      <c r="E177" s="50">
        <v>45046</v>
      </c>
      <c r="F177" s="49" t="s">
        <v>1321</v>
      </c>
      <c r="G177" s="48" t="s">
        <v>36</v>
      </c>
      <c r="H177" s="48" t="s">
        <v>52</v>
      </c>
      <c r="I177" s="51">
        <v>-677287.85</v>
      </c>
      <c r="J177" s="51"/>
      <c r="K177" s="51"/>
      <c r="L177" s="48" t="s">
        <v>40</v>
      </c>
      <c r="M177" s="48" t="s">
        <v>1433</v>
      </c>
      <c r="N177" s="48" t="s">
        <v>1434</v>
      </c>
      <c r="O177" s="49" t="s">
        <v>1435</v>
      </c>
      <c r="P177" s="48" t="s">
        <v>38</v>
      </c>
      <c r="Q177" s="48" t="s">
        <v>37</v>
      </c>
      <c r="R177" s="48" t="s">
        <v>1436</v>
      </c>
      <c r="S177" s="48" t="s">
        <v>1436</v>
      </c>
      <c r="T177" s="48" t="s">
        <v>1436</v>
      </c>
      <c r="U177" s="48" t="s">
        <v>38</v>
      </c>
      <c r="V177" s="48" t="s">
        <v>39</v>
      </c>
      <c r="W177" s="48" t="s">
        <v>40</v>
      </c>
      <c r="X177" s="48" t="s">
        <v>41</v>
      </c>
      <c r="Y177" s="48" t="s">
        <v>1436</v>
      </c>
      <c r="Z177" s="48" t="s">
        <v>1436</v>
      </c>
      <c r="AA177" s="48" t="s">
        <v>1436</v>
      </c>
      <c r="AB177" s="49" t="s">
        <v>193</v>
      </c>
      <c r="AC177" s="48" t="s">
        <v>1194</v>
      </c>
      <c r="AD177" s="48" t="s">
        <v>1244</v>
      </c>
      <c r="AE177" s="48" t="s">
        <v>36</v>
      </c>
    </row>
    <row r="178" spans="1:31" x14ac:dyDescent="0.3">
      <c r="A178" s="48" t="s">
        <v>1320</v>
      </c>
      <c r="B178" s="48" t="s">
        <v>6</v>
      </c>
      <c r="C178" s="48" t="s">
        <v>1322</v>
      </c>
      <c r="D178" s="48" t="s">
        <v>1411</v>
      </c>
      <c r="E178" s="50">
        <v>45046</v>
      </c>
      <c r="F178" s="49" t="s">
        <v>1321</v>
      </c>
      <c r="G178" s="48" t="s">
        <v>36</v>
      </c>
      <c r="H178" s="48" t="s">
        <v>50</v>
      </c>
      <c r="I178" s="51">
        <v>169321.97</v>
      </c>
      <c r="J178" s="51"/>
      <c r="K178" s="51"/>
      <c r="L178" s="48" t="s">
        <v>40</v>
      </c>
      <c r="M178" s="48" t="s">
        <v>1438</v>
      </c>
      <c r="N178" s="48" t="s">
        <v>1444</v>
      </c>
      <c r="O178" s="49" t="s">
        <v>1445</v>
      </c>
      <c r="P178" s="48" t="s">
        <v>38</v>
      </c>
      <c r="Q178" s="48" t="s">
        <v>37</v>
      </c>
      <c r="R178" s="48" t="s">
        <v>1436</v>
      </c>
      <c r="S178" s="48" t="s">
        <v>1436</v>
      </c>
      <c r="T178" s="48" t="s">
        <v>1436</v>
      </c>
      <c r="U178" s="48" t="s">
        <v>38</v>
      </c>
      <c r="V178" s="48" t="s">
        <v>39</v>
      </c>
      <c r="W178" s="48" t="s">
        <v>40</v>
      </c>
      <c r="X178" s="48" t="s">
        <v>41</v>
      </c>
      <c r="Y178" s="48" t="s">
        <v>1436</v>
      </c>
      <c r="Z178" s="48" t="s">
        <v>1436</v>
      </c>
      <c r="AA178" s="48" t="s">
        <v>1436</v>
      </c>
      <c r="AB178" s="49" t="s">
        <v>193</v>
      </c>
      <c r="AC178" s="48" t="s">
        <v>1194</v>
      </c>
      <c r="AD178" s="48" t="s">
        <v>1244</v>
      </c>
      <c r="AE178" s="48" t="s">
        <v>36</v>
      </c>
    </row>
    <row r="179" spans="1:31" x14ac:dyDescent="0.3">
      <c r="A179" s="48" t="s">
        <v>1320</v>
      </c>
      <c r="B179" s="48" t="s">
        <v>6</v>
      </c>
      <c r="C179" s="48" t="s">
        <v>1322</v>
      </c>
      <c r="D179" s="48" t="s">
        <v>1410</v>
      </c>
      <c r="E179" s="50">
        <v>45046</v>
      </c>
      <c r="F179" s="49" t="s">
        <v>1321</v>
      </c>
      <c r="G179" s="48" t="s">
        <v>36</v>
      </c>
      <c r="H179" s="48" t="s">
        <v>42</v>
      </c>
      <c r="I179" s="51">
        <v>2539829.423163</v>
      </c>
      <c r="J179" s="51"/>
      <c r="K179" s="51"/>
      <c r="L179" s="48" t="s">
        <v>40</v>
      </c>
      <c r="M179" s="48" t="s">
        <v>1433</v>
      </c>
      <c r="N179" s="48" t="s">
        <v>1434</v>
      </c>
      <c r="O179" s="49" t="s">
        <v>1437</v>
      </c>
      <c r="P179" s="48" t="s">
        <v>38</v>
      </c>
      <c r="Q179" s="48" t="s">
        <v>37</v>
      </c>
      <c r="R179" s="48" t="s">
        <v>1436</v>
      </c>
      <c r="S179" s="48" t="s">
        <v>1436</v>
      </c>
      <c r="T179" s="48" t="s">
        <v>1436</v>
      </c>
      <c r="U179" s="48" t="s">
        <v>38</v>
      </c>
      <c r="V179" s="48" t="s">
        <v>39</v>
      </c>
      <c r="W179" s="48" t="s">
        <v>40</v>
      </c>
      <c r="X179" s="48" t="s">
        <v>41</v>
      </c>
      <c r="Y179" s="48" t="s">
        <v>1436</v>
      </c>
      <c r="Z179" s="48" t="s">
        <v>1436</v>
      </c>
      <c r="AA179" s="48" t="s">
        <v>1436</v>
      </c>
      <c r="AB179" s="49" t="s">
        <v>193</v>
      </c>
      <c r="AC179" s="48" t="s">
        <v>1194</v>
      </c>
      <c r="AD179" s="48" t="s">
        <v>1244</v>
      </c>
      <c r="AE179" s="48" t="s">
        <v>36</v>
      </c>
    </row>
    <row r="180" spans="1:31" x14ac:dyDescent="0.3">
      <c r="A180" s="48" t="s">
        <v>1320</v>
      </c>
      <c r="B180" s="48" t="s">
        <v>6</v>
      </c>
      <c r="C180" s="48" t="s">
        <v>1322</v>
      </c>
      <c r="D180" s="48" t="s">
        <v>1409</v>
      </c>
      <c r="E180" s="50">
        <v>45046</v>
      </c>
      <c r="F180" s="49" t="s">
        <v>1321</v>
      </c>
      <c r="G180" s="48" t="s">
        <v>36</v>
      </c>
      <c r="H180" s="48" t="s">
        <v>45</v>
      </c>
      <c r="I180" s="51">
        <v>-1455682.5120620001</v>
      </c>
      <c r="J180" s="51"/>
      <c r="K180" s="51"/>
      <c r="L180" s="48" t="s">
        <v>40</v>
      </c>
      <c r="M180" s="48" t="s">
        <v>1433</v>
      </c>
      <c r="N180" s="48" t="s">
        <v>1447</v>
      </c>
      <c r="O180" s="49" t="s">
        <v>1449</v>
      </c>
      <c r="P180" s="48" t="s">
        <v>38</v>
      </c>
      <c r="Q180" s="48" t="s">
        <v>37</v>
      </c>
      <c r="R180" s="48" t="s">
        <v>1436</v>
      </c>
      <c r="S180" s="48" t="s">
        <v>1436</v>
      </c>
      <c r="T180" s="48" t="s">
        <v>1436</v>
      </c>
      <c r="U180" s="48" t="s">
        <v>38</v>
      </c>
      <c r="V180" s="48" t="s">
        <v>39</v>
      </c>
      <c r="W180" s="48" t="s">
        <v>40</v>
      </c>
      <c r="X180" s="48" t="s">
        <v>41</v>
      </c>
      <c r="Y180" s="48" t="s">
        <v>1436</v>
      </c>
      <c r="Z180" s="48" t="s">
        <v>1436</v>
      </c>
      <c r="AA180" s="48" t="s">
        <v>1436</v>
      </c>
      <c r="AB180" s="49" t="s">
        <v>193</v>
      </c>
      <c r="AC180" s="48" t="s">
        <v>1194</v>
      </c>
      <c r="AD180" s="48" t="s">
        <v>1244</v>
      </c>
      <c r="AE180" s="48" t="s">
        <v>36</v>
      </c>
    </row>
    <row r="181" spans="1:31" x14ac:dyDescent="0.3">
      <c r="A181" s="48" t="s">
        <v>1320</v>
      </c>
      <c r="B181" s="48" t="s">
        <v>6</v>
      </c>
      <c r="C181" s="48" t="s">
        <v>1322</v>
      </c>
      <c r="D181" s="48" t="s">
        <v>1408</v>
      </c>
      <c r="E181" s="50">
        <v>45046</v>
      </c>
      <c r="F181" s="49" t="s">
        <v>1321</v>
      </c>
      <c r="G181" s="48" t="s">
        <v>36</v>
      </c>
      <c r="H181" s="48" t="s">
        <v>54</v>
      </c>
      <c r="I181" s="51">
        <v>-479718.94</v>
      </c>
      <c r="J181" s="51"/>
      <c r="K181" s="51"/>
      <c r="L181" s="48" t="s">
        <v>40</v>
      </c>
      <c r="M181" s="48" t="s">
        <v>1433</v>
      </c>
      <c r="N181" s="48" t="s">
        <v>1447</v>
      </c>
      <c r="O181" s="49" t="s">
        <v>1450</v>
      </c>
      <c r="P181" s="48" t="s">
        <v>38</v>
      </c>
      <c r="Q181" s="48" t="s">
        <v>37</v>
      </c>
      <c r="R181" s="48" t="s">
        <v>1436</v>
      </c>
      <c r="S181" s="48" t="s">
        <v>1436</v>
      </c>
      <c r="T181" s="48" t="s">
        <v>1436</v>
      </c>
      <c r="U181" s="48" t="s">
        <v>38</v>
      </c>
      <c r="V181" s="48" t="s">
        <v>39</v>
      </c>
      <c r="W181" s="48" t="s">
        <v>40</v>
      </c>
      <c r="X181" s="48" t="s">
        <v>41</v>
      </c>
      <c r="Y181" s="48" t="s">
        <v>1436</v>
      </c>
      <c r="Z181" s="48" t="s">
        <v>1436</v>
      </c>
      <c r="AA181" s="48" t="s">
        <v>1436</v>
      </c>
      <c r="AB181" s="49" t="s">
        <v>193</v>
      </c>
      <c r="AC181" s="48" t="s">
        <v>1194</v>
      </c>
      <c r="AD181" s="48" t="s">
        <v>1244</v>
      </c>
      <c r="AE181" s="48" t="s">
        <v>36</v>
      </c>
    </row>
    <row r="182" spans="1:31" x14ac:dyDescent="0.3">
      <c r="A182" s="48" t="s">
        <v>1320</v>
      </c>
      <c r="B182" s="48" t="s">
        <v>6</v>
      </c>
      <c r="C182" s="48" t="s">
        <v>1322</v>
      </c>
      <c r="D182" s="48" t="s">
        <v>1407</v>
      </c>
      <c r="E182" s="50">
        <v>45046</v>
      </c>
      <c r="F182" s="49" t="s">
        <v>1321</v>
      </c>
      <c r="G182" s="48" t="s">
        <v>36</v>
      </c>
      <c r="H182" s="48" t="s">
        <v>47</v>
      </c>
      <c r="I182" s="51">
        <v>46501.164868</v>
      </c>
      <c r="J182" s="51"/>
      <c r="K182" s="51"/>
      <c r="L182" s="48" t="s">
        <v>40</v>
      </c>
      <c r="M182" s="48" t="s">
        <v>1438</v>
      </c>
      <c r="N182" s="48" t="s">
        <v>1444</v>
      </c>
      <c r="O182" s="49" t="s">
        <v>1446</v>
      </c>
      <c r="P182" s="48" t="s">
        <v>38</v>
      </c>
      <c r="Q182" s="48" t="s">
        <v>37</v>
      </c>
      <c r="R182" s="48" t="s">
        <v>1436</v>
      </c>
      <c r="S182" s="48" t="s">
        <v>1436</v>
      </c>
      <c r="T182" s="48" t="s">
        <v>1436</v>
      </c>
      <c r="U182" s="48" t="s">
        <v>38</v>
      </c>
      <c r="V182" s="48" t="s">
        <v>39</v>
      </c>
      <c r="W182" s="48" t="s">
        <v>40</v>
      </c>
      <c r="X182" s="48" t="s">
        <v>41</v>
      </c>
      <c r="Y182" s="48" t="s">
        <v>1436</v>
      </c>
      <c r="Z182" s="48" t="s">
        <v>1436</v>
      </c>
      <c r="AA182" s="48" t="s">
        <v>1436</v>
      </c>
      <c r="AB182" s="49" t="s">
        <v>193</v>
      </c>
      <c r="AC182" s="48" t="s">
        <v>1194</v>
      </c>
      <c r="AD182" s="48" t="s">
        <v>1244</v>
      </c>
      <c r="AE182" s="48" t="s">
        <v>36</v>
      </c>
    </row>
    <row r="183" spans="1:31" x14ac:dyDescent="0.3">
      <c r="A183" s="48" t="s">
        <v>1320</v>
      </c>
      <c r="B183" s="48" t="s">
        <v>6</v>
      </c>
      <c r="C183" s="48" t="s">
        <v>1322</v>
      </c>
      <c r="D183" s="48" t="s">
        <v>1406</v>
      </c>
      <c r="E183" s="50">
        <v>45046</v>
      </c>
      <c r="F183" s="49" t="s">
        <v>1321</v>
      </c>
      <c r="G183" s="48" t="s">
        <v>36</v>
      </c>
      <c r="H183" s="48" t="s">
        <v>1441</v>
      </c>
      <c r="I183" s="51">
        <v>0</v>
      </c>
      <c r="J183" s="51"/>
      <c r="K183" s="51"/>
      <c r="L183" s="48" t="s">
        <v>1194</v>
      </c>
      <c r="M183" s="48" t="s">
        <v>1438</v>
      </c>
      <c r="N183" s="48" t="s">
        <v>1439</v>
      </c>
      <c r="O183" s="49" t="s">
        <v>1440</v>
      </c>
      <c r="P183" s="48" t="s">
        <v>38</v>
      </c>
      <c r="Q183" s="48" t="s">
        <v>37</v>
      </c>
      <c r="R183" s="48" t="s">
        <v>1436</v>
      </c>
      <c r="S183" s="48" t="s">
        <v>1436</v>
      </c>
      <c r="T183" s="48" t="s">
        <v>1436</v>
      </c>
      <c r="U183" s="48" t="s">
        <v>38</v>
      </c>
      <c r="V183" s="48" t="s">
        <v>39</v>
      </c>
      <c r="W183" s="48" t="s">
        <v>1194</v>
      </c>
      <c r="X183" s="48" t="s">
        <v>41</v>
      </c>
      <c r="Y183" s="48" t="s">
        <v>1436</v>
      </c>
      <c r="Z183" s="48" t="s">
        <v>1436</v>
      </c>
      <c r="AA183" s="48" t="s">
        <v>1436</v>
      </c>
      <c r="AB183" s="49" t="s">
        <v>193</v>
      </c>
      <c r="AC183" s="48" t="s">
        <v>1194</v>
      </c>
      <c r="AD183" s="48" t="s">
        <v>1244</v>
      </c>
      <c r="AE183" s="48" t="s">
        <v>36</v>
      </c>
    </row>
    <row r="184" spans="1:31" x14ac:dyDescent="0.3">
      <c r="A184" s="48" t="s">
        <v>1320</v>
      </c>
      <c r="B184" s="48" t="s">
        <v>6</v>
      </c>
      <c r="C184" s="48" t="s">
        <v>1322</v>
      </c>
      <c r="D184" s="48" t="s">
        <v>1405</v>
      </c>
      <c r="E184" s="50">
        <v>45046</v>
      </c>
      <c r="F184" s="49" t="s">
        <v>1321</v>
      </c>
      <c r="G184" s="48" t="s">
        <v>36</v>
      </c>
      <c r="H184" s="48" t="s">
        <v>1443</v>
      </c>
      <c r="I184" s="51">
        <v>0</v>
      </c>
      <c r="J184" s="51"/>
      <c r="K184" s="51"/>
      <c r="L184" s="48" t="s">
        <v>1194</v>
      </c>
      <c r="M184" s="48" t="s">
        <v>1438</v>
      </c>
      <c r="N184" s="48" t="s">
        <v>1439</v>
      </c>
      <c r="O184" s="49" t="s">
        <v>1442</v>
      </c>
      <c r="P184" s="48" t="s">
        <v>38</v>
      </c>
      <c r="Q184" s="48" t="s">
        <v>37</v>
      </c>
      <c r="R184" s="48" t="s">
        <v>1436</v>
      </c>
      <c r="S184" s="48" t="s">
        <v>1436</v>
      </c>
      <c r="T184" s="48" t="s">
        <v>1436</v>
      </c>
      <c r="U184" s="48" t="s">
        <v>38</v>
      </c>
      <c r="V184" s="48" t="s">
        <v>39</v>
      </c>
      <c r="W184" s="48" t="s">
        <v>1194</v>
      </c>
      <c r="X184" s="48" t="s">
        <v>41</v>
      </c>
      <c r="Y184" s="48" t="s">
        <v>1436</v>
      </c>
      <c r="Z184" s="48" t="s">
        <v>1436</v>
      </c>
      <c r="AA184" s="48" t="s">
        <v>1436</v>
      </c>
      <c r="AB184" s="49" t="s">
        <v>193</v>
      </c>
      <c r="AC184" s="48" t="s">
        <v>1194</v>
      </c>
      <c r="AD184" s="48" t="s">
        <v>1244</v>
      </c>
      <c r="AE184" s="48" t="s">
        <v>36</v>
      </c>
    </row>
    <row r="185" spans="1:31" x14ac:dyDescent="0.3">
      <c r="A185" s="48" t="s">
        <v>1320</v>
      </c>
      <c r="B185" s="48" t="s">
        <v>6</v>
      </c>
      <c r="C185" s="48" t="s">
        <v>1322</v>
      </c>
      <c r="D185" s="48" t="s">
        <v>1404</v>
      </c>
      <c r="E185" s="50">
        <v>45046</v>
      </c>
      <c r="F185" s="49" t="s">
        <v>1321</v>
      </c>
      <c r="G185" s="48" t="s">
        <v>36</v>
      </c>
      <c r="H185" s="48" t="s">
        <v>49</v>
      </c>
      <c r="I185" s="51">
        <v>-11289.841804</v>
      </c>
      <c r="J185" s="51"/>
      <c r="K185" s="51"/>
      <c r="L185" s="48" t="s">
        <v>38</v>
      </c>
      <c r="M185" s="48" t="s">
        <v>1433</v>
      </c>
      <c r="N185" s="48" t="s">
        <v>1447</v>
      </c>
      <c r="O185" s="49" t="s">
        <v>1451</v>
      </c>
      <c r="P185" s="48" t="s">
        <v>38</v>
      </c>
      <c r="Q185" s="48" t="s">
        <v>37</v>
      </c>
      <c r="R185" s="48" t="s">
        <v>1436</v>
      </c>
      <c r="S185" s="48" t="s">
        <v>1436</v>
      </c>
      <c r="T185" s="48" t="s">
        <v>1436</v>
      </c>
      <c r="U185" s="48" t="s">
        <v>38</v>
      </c>
      <c r="V185" s="48" t="s">
        <v>39</v>
      </c>
      <c r="W185" s="48" t="s">
        <v>38</v>
      </c>
      <c r="X185" s="48" t="s">
        <v>41</v>
      </c>
      <c r="Y185" s="48" t="s">
        <v>1436</v>
      </c>
      <c r="Z185" s="48" t="s">
        <v>1436</v>
      </c>
      <c r="AA185" s="48" t="s">
        <v>1436</v>
      </c>
      <c r="AB185" s="49" t="s">
        <v>193</v>
      </c>
      <c r="AC185" s="48" t="s">
        <v>1194</v>
      </c>
      <c r="AD185" s="48" t="s">
        <v>1244</v>
      </c>
      <c r="AE185" s="48" t="s">
        <v>36</v>
      </c>
    </row>
    <row r="186" spans="1:31" x14ac:dyDescent="0.3">
      <c r="A186" s="48" t="s">
        <v>1320</v>
      </c>
      <c r="B186" s="48" t="s">
        <v>6</v>
      </c>
      <c r="C186" s="48" t="s">
        <v>1322</v>
      </c>
      <c r="D186" s="48" t="s">
        <v>1413</v>
      </c>
      <c r="E186" s="50">
        <v>45077</v>
      </c>
      <c r="F186" s="49" t="s">
        <v>1321</v>
      </c>
      <c r="G186" s="48" t="s">
        <v>36</v>
      </c>
      <c r="H186" s="48" t="s">
        <v>58</v>
      </c>
      <c r="I186" s="51">
        <v>-850000</v>
      </c>
      <c r="J186" s="51"/>
      <c r="K186" s="51"/>
      <c r="L186" s="48" t="s">
        <v>40</v>
      </c>
      <c r="M186" s="48" t="s">
        <v>1433</v>
      </c>
      <c r="N186" s="48" t="s">
        <v>1447</v>
      </c>
      <c r="O186" s="49" t="s">
        <v>1448</v>
      </c>
      <c r="P186" s="48" t="s">
        <v>38</v>
      </c>
      <c r="Q186" s="48" t="s">
        <v>37</v>
      </c>
      <c r="R186" s="48" t="s">
        <v>1436</v>
      </c>
      <c r="S186" s="48" t="s">
        <v>1436</v>
      </c>
      <c r="T186" s="48" t="s">
        <v>1436</v>
      </c>
      <c r="U186" s="48" t="s">
        <v>38</v>
      </c>
      <c r="V186" s="48" t="s">
        <v>39</v>
      </c>
      <c r="W186" s="48" t="s">
        <v>40</v>
      </c>
      <c r="X186" s="48" t="s">
        <v>41</v>
      </c>
      <c r="Y186" s="48" t="s">
        <v>1436</v>
      </c>
      <c r="Z186" s="48" t="s">
        <v>1436</v>
      </c>
      <c r="AA186" s="48" t="s">
        <v>1436</v>
      </c>
      <c r="AB186" s="49" t="s">
        <v>193</v>
      </c>
      <c r="AC186" s="48" t="s">
        <v>1194</v>
      </c>
      <c r="AD186" s="48" t="s">
        <v>1244</v>
      </c>
      <c r="AE186" s="48" t="s">
        <v>36</v>
      </c>
    </row>
    <row r="187" spans="1:31" x14ac:dyDescent="0.3">
      <c r="A187" s="48" t="s">
        <v>1320</v>
      </c>
      <c r="B187" s="48" t="s">
        <v>6</v>
      </c>
      <c r="C187" s="48" t="s">
        <v>1322</v>
      </c>
      <c r="D187" s="48" t="s">
        <v>1412</v>
      </c>
      <c r="E187" s="50">
        <v>45077</v>
      </c>
      <c r="F187" s="49" t="s">
        <v>1321</v>
      </c>
      <c r="G187" s="48" t="s">
        <v>36</v>
      </c>
      <c r="H187" s="48" t="s">
        <v>52</v>
      </c>
      <c r="I187" s="51">
        <v>-719618.34</v>
      </c>
      <c r="J187" s="51"/>
      <c r="K187" s="51"/>
      <c r="L187" s="48" t="s">
        <v>40</v>
      </c>
      <c r="M187" s="48" t="s">
        <v>1433</v>
      </c>
      <c r="N187" s="48" t="s">
        <v>1434</v>
      </c>
      <c r="O187" s="49" t="s">
        <v>1435</v>
      </c>
      <c r="P187" s="48" t="s">
        <v>38</v>
      </c>
      <c r="Q187" s="48" t="s">
        <v>37</v>
      </c>
      <c r="R187" s="48" t="s">
        <v>1436</v>
      </c>
      <c r="S187" s="48" t="s">
        <v>1436</v>
      </c>
      <c r="T187" s="48" t="s">
        <v>1436</v>
      </c>
      <c r="U187" s="48" t="s">
        <v>38</v>
      </c>
      <c r="V187" s="48" t="s">
        <v>39</v>
      </c>
      <c r="W187" s="48" t="s">
        <v>40</v>
      </c>
      <c r="X187" s="48" t="s">
        <v>41</v>
      </c>
      <c r="Y187" s="48" t="s">
        <v>1436</v>
      </c>
      <c r="Z187" s="48" t="s">
        <v>1436</v>
      </c>
      <c r="AA187" s="48" t="s">
        <v>1436</v>
      </c>
      <c r="AB187" s="49" t="s">
        <v>193</v>
      </c>
      <c r="AC187" s="48" t="s">
        <v>1194</v>
      </c>
      <c r="AD187" s="48" t="s">
        <v>1244</v>
      </c>
      <c r="AE187" s="48" t="s">
        <v>36</v>
      </c>
    </row>
    <row r="188" spans="1:31" x14ac:dyDescent="0.3">
      <c r="A188" s="48" t="s">
        <v>1320</v>
      </c>
      <c r="B188" s="48" t="s">
        <v>6</v>
      </c>
      <c r="C188" s="48" t="s">
        <v>1322</v>
      </c>
      <c r="D188" s="48" t="s">
        <v>1411</v>
      </c>
      <c r="E188" s="50">
        <v>45077</v>
      </c>
      <c r="F188" s="49" t="s">
        <v>1321</v>
      </c>
      <c r="G188" s="48" t="s">
        <v>36</v>
      </c>
      <c r="H188" s="48" t="s">
        <v>50</v>
      </c>
      <c r="I188" s="51">
        <v>211652.46</v>
      </c>
      <c r="J188" s="51"/>
      <c r="K188" s="51"/>
      <c r="L188" s="48" t="s">
        <v>40</v>
      </c>
      <c r="M188" s="48" t="s">
        <v>1438</v>
      </c>
      <c r="N188" s="48" t="s">
        <v>1444</v>
      </c>
      <c r="O188" s="49" t="s">
        <v>1445</v>
      </c>
      <c r="P188" s="48" t="s">
        <v>38</v>
      </c>
      <c r="Q188" s="48" t="s">
        <v>37</v>
      </c>
      <c r="R188" s="48" t="s">
        <v>1436</v>
      </c>
      <c r="S188" s="48" t="s">
        <v>1436</v>
      </c>
      <c r="T188" s="48" t="s">
        <v>1436</v>
      </c>
      <c r="U188" s="48" t="s">
        <v>38</v>
      </c>
      <c r="V188" s="48" t="s">
        <v>39</v>
      </c>
      <c r="W188" s="48" t="s">
        <v>40</v>
      </c>
      <c r="X188" s="48" t="s">
        <v>41</v>
      </c>
      <c r="Y188" s="48" t="s">
        <v>1436</v>
      </c>
      <c r="Z188" s="48" t="s">
        <v>1436</v>
      </c>
      <c r="AA188" s="48" t="s">
        <v>1436</v>
      </c>
      <c r="AB188" s="49" t="s">
        <v>193</v>
      </c>
      <c r="AC188" s="48" t="s">
        <v>1194</v>
      </c>
      <c r="AD188" s="48" t="s">
        <v>1244</v>
      </c>
      <c r="AE188" s="48" t="s">
        <v>36</v>
      </c>
    </row>
    <row r="189" spans="1:31" x14ac:dyDescent="0.3">
      <c r="A189" s="48" t="s">
        <v>1320</v>
      </c>
      <c r="B189" s="48" t="s">
        <v>6</v>
      </c>
      <c r="C189" s="48" t="s">
        <v>1322</v>
      </c>
      <c r="D189" s="48" t="s">
        <v>1410</v>
      </c>
      <c r="E189" s="50">
        <v>45077</v>
      </c>
      <c r="F189" s="49" t="s">
        <v>1321</v>
      </c>
      <c r="G189" s="48" t="s">
        <v>36</v>
      </c>
      <c r="H189" s="48" t="s">
        <v>42</v>
      </c>
      <c r="I189" s="51">
        <v>2539829.423163</v>
      </c>
      <c r="J189" s="51"/>
      <c r="K189" s="51"/>
      <c r="L189" s="48" t="s">
        <v>40</v>
      </c>
      <c r="M189" s="48" t="s">
        <v>1433</v>
      </c>
      <c r="N189" s="48" t="s">
        <v>1434</v>
      </c>
      <c r="O189" s="49" t="s">
        <v>1437</v>
      </c>
      <c r="P189" s="48" t="s">
        <v>38</v>
      </c>
      <c r="Q189" s="48" t="s">
        <v>37</v>
      </c>
      <c r="R189" s="48" t="s">
        <v>1436</v>
      </c>
      <c r="S189" s="48" t="s">
        <v>1436</v>
      </c>
      <c r="T189" s="48" t="s">
        <v>1436</v>
      </c>
      <c r="U189" s="48" t="s">
        <v>38</v>
      </c>
      <c r="V189" s="48" t="s">
        <v>39</v>
      </c>
      <c r="W189" s="48" t="s">
        <v>40</v>
      </c>
      <c r="X189" s="48" t="s">
        <v>41</v>
      </c>
      <c r="Y189" s="48" t="s">
        <v>1436</v>
      </c>
      <c r="Z189" s="48" t="s">
        <v>1436</v>
      </c>
      <c r="AA189" s="48" t="s">
        <v>1436</v>
      </c>
      <c r="AB189" s="49" t="s">
        <v>193</v>
      </c>
      <c r="AC189" s="48" t="s">
        <v>1194</v>
      </c>
      <c r="AD189" s="48" t="s">
        <v>1244</v>
      </c>
      <c r="AE189" s="48" t="s">
        <v>36</v>
      </c>
    </row>
    <row r="190" spans="1:31" x14ac:dyDescent="0.3">
      <c r="A190" s="48" t="s">
        <v>1320</v>
      </c>
      <c r="B190" s="48" t="s">
        <v>6</v>
      </c>
      <c r="C190" s="48" t="s">
        <v>1322</v>
      </c>
      <c r="D190" s="48" t="s">
        <v>1409</v>
      </c>
      <c r="E190" s="50">
        <v>45077</v>
      </c>
      <c r="F190" s="49" t="s">
        <v>1321</v>
      </c>
      <c r="G190" s="48" t="s">
        <v>36</v>
      </c>
      <c r="H190" s="48" t="s">
        <v>45</v>
      </c>
      <c r="I190" s="51">
        <v>-1414174.0038660001</v>
      </c>
      <c r="J190" s="51"/>
      <c r="K190" s="51"/>
      <c r="L190" s="48" t="s">
        <v>40</v>
      </c>
      <c r="M190" s="48" t="s">
        <v>1433</v>
      </c>
      <c r="N190" s="48" t="s">
        <v>1447</v>
      </c>
      <c r="O190" s="49" t="s">
        <v>1449</v>
      </c>
      <c r="P190" s="48" t="s">
        <v>38</v>
      </c>
      <c r="Q190" s="48" t="s">
        <v>37</v>
      </c>
      <c r="R190" s="48" t="s">
        <v>1436</v>
      </c>
      <c r="S190" s="48" t="s">
        <v>1436</v>
      </c>
      <c r="T190" s="48" t="s">
        <v>1436</v>
      </c>
      <c r="U190" s="48" t="s">
        <v>38</v>
      </c>
      <c r="V190" s="48" t="s">
        <v>39</v>
      </c>
      <c r="W190" s="48" t="s">
        <v>40</v>
      </c>
      <c r="X190" s="48" t="s">
        <v>41</v>
      </c>
      <c r="Y190" s="48" t="s">
        <v>1436</v>
      </c>
      <c r="Z190" s="48" t="s">
        <v>1436</v>
      </c>
      <c r="AA190" s="48" t="s">
        <v>1436</v>
      </c>
      <c r="AB190" s="49" t="s">
        <v>193</v>
      </c>
      <c r="AC190" s="48" t="s">
        <v>1194</v>
      </c>
      <c r="AD190" s="48" t="s">
        <v>1244</v>
      </c>
      <c r="AE190" s="48" t="s">
        <v>36</v>
      </c>
    </row>
    <row r="191" spans="1:31" x14ac:dyDescent="0.3">
      <c r="A191" s="48" t="s">
        <v>1320</v>
      </c>
      <c r="B191" s="48" t="s">
        <v>6</v>
      </c>
      <c r="C191" s="48" t="s">
        <v>1322</v>
      </c>
      <c r="D191" s="48" t="s">
        <v>1408</v>
      </c>
      <c r="E191" s="50">
        <v>45077</v>
      </c>
      <c r="F191" s="49" t="s">
        <v>1321</v>
      </c>
      <c r="G191" s="48" t="s">
        <v>36</v>
      </c>
      <c r="H191" s="48" t="s">
        <v>54</v>
      </c>
      <c r="I191" s="51">
        <v>-482517.29</v>
      </c>
      <c r="J191" s="51"/>
      <c r="K191" s="51"/>
      <c r="L191" s="48" t="s">
        <v>40</v>
      </c>
      <c r="M191" s="48" t="s">
        <v>1433</v>
      </c>
      <c r="N191" s="48" t="s">
        <v>1447</v>
      </c>
      <c r="O191" s="49" t="s">
        <v>1450</v>
      </c>
      <c r="P191" s="48" t="s">
        <v>38</v>
      </c>
      <c r="Q191" s="48" t="s">
        <v>37</v>
      </c>
      <c r="R191" s="48" t="s">
        <v>1436</v>
      </c>
      <c r="S191" s="48" t="s">
        <v>1436</v>
      </c>
      <c r="T191" s="48" t="s">
        <v>1436</v>
      </c>
      <c r="U191" s="48" t="s">
        <v>38</v>
      </c>
      <c r="V191" s="48" t="s">
        <v>39</v>
      </c>
      <c r="W191" s="48" t="s">
        <v>40</v>
      </c>
      <c r="X191" s="48" t="s">
        <v>41</v>
      </c>
      <c r="Y191" s="48" t="s">
        <v>1436</v>
      </c>
      <c r="Z191" s="48" t="s">
        <v>1436</v>
      </c>
      <c r="AA191" s="48" t="s">
        <v>1436</v>
      </c>
      <c r="AB191" s="49" t="s">
        <v>193</v>
      </c>
      <c r="AC191" s="48" t="s">
        <v>1194</v>
      </c>
      <c r="AD191" s="48" t="s">
        <v>1244</v>
      </c>
      <c r="AE191" s="48" t="s">
        <v>36</v>
      </c>
    </row>
    <row r="192" spans="1:31" x14ac:dyDescent="0.3">
      <c r="A192" s="48" t="s">
        <v>1320</v>
      </c>
      <c r="B192" s="48" t="s">
        <v>6</v>
      </c>
      <c r="C192" s="48" t="s">
        <v>1322</v>
      </c>
      <c r="D192" s="48" t="s">
        <v>1407</v>
      </c>
      <c r="E192" s="50">
        <v>45077</v>
      </c>
      <c r="F192" s="49" t="s">
        <v>1321</v>
      </c>
      <c r="G192" s="48" t="s">
        <v>36</v>
      </c>
      <c r="H192" s="48" t="s">
        <v>47</v>
      </c>
      <c r="I192" s="51">
        <v>57565.197416000003</v>
      </c>
      <c r="J192" s="51"/>
      <c r="K192" s="51"/>
      <c r="L192" s="48" t="s">
        <v>40</v>
      </c>
      <c r="M192" s="48" t="s">
        <v>1438</v>
      </c>
      <c r="N192" s="48" t="s">
        <v>1444</v>
      </c>
      <c r="O192" s="49" t="s">
        <v>1446</v>
      </c>
      <c r="P192" s="48" t="s">
        <v>38</v>
      </c>
      <c r="Q192" s="48" t="s">
        <v>37</v>
      </c>
      <c r="R192" s="48" t="s">
        <v>1436</v>
      </c>
      <c r="S192" s="48" t="s">
        <v>1436</v>
      </c>
      <c r="T192" s="48" t="s">
        <v>1436</v>
      </c>
      <c r="U192" s="48" t="s">
        <v>38</v>
      </c>
      <c r="V192" s="48" t="s">
        <v>39</v>
      </c>
      <c r="W192" s="48" t="s">
        <v>40</v>
      </c>
      <c r="X192" s="48" t="s">
        <v>41</v>
      </c>
      <c r="Y192" s="48" t="s">
        <v>1436</v>
      </c>
      <c r="Z192" s="48" t="s">
        <v>1436</v>
      </c>
      <c r="AA192" s="48" t="s">
        <v>1436</v>
      </c>
      <c r="AB192" s="49" t="s">
        <v>193</v>
      </c>
      <c r="AC192" s="48" t="s">
        <v>1194</v>
      </c>
      <c r="AD192" s="48" t="s">
        <v>1244</v>
      </c>
      <c r="AE192" s="48" t="s">
        <v>36</v>
      </c>
    </row>
    <row r="193" spans="1:31" x14ac:dyDescent="0.3">
      <c r="A193" s="48" t="s">
        <v>1320</v>
      </c>
      <c r="B193" s="48" t="s">
        <v>6</v>
      </c>
      <c r="C193" s="48" t="s">
        <v>1322</v>
      </c>
      <c r="D193" s="48" t="s">
        <v>1406</v>
      </c>
      <c r="E193" s="50">
        <v>45077</v>
      </c>
      <c r="F193" s="49" t="s">
        <v>1321</v>
      </c>
      <c r="G193" s="48" t="s">
        <v>36</v>
      </c>
      <c r="H193" s="48" t="s">
        <v>1441</v>
      </c>
      <c r="I193" s="51">
        <v>0</v>
      </c>
      <c r="J193" s="51"/>
      <c r="K193" s="51"/>
      <c r="L193" s="48" t="s">
        <v>1194</v>
      </c>
      <c r="M193" s="48" t="s">
        <v>1438</v>
      </c>
      <c r="N193" s="48" t="s">
        <v>1439</v>
      </c>
      <c r="O193" s="49" t="s">
        <v>1440</v>
      </c>
      <c r="P193" s="48" t="s">
        <v>38</v>
      </c>
      <c r="Q193" s="48" t="s">
        <v>37</v>
      </c>
      <c r="R193" s="48" t="s">
        <v>1436</v>
      </c>
      <c r="S193" s="48" t="s">
        <v>1436</v>
      </c>
      <c r="T193" s="48" t="s">
        <v>1436</v>
      </c>
      <c r="U193" s="48" t="s">
        <v>38</v>
      </c>
      <c r="V193" s="48" t="s">
        <v>39</v>
      </c>
      <c r="W193" s="48" t="s">
        <v>1194</v>
      </c>
      <c r="X193" s="48" t="s">
        <v>41</v>
      </c>
      <c r="Y193" s="48" t="s">
        <v>1436</v>
      </c>
      <c r="Z193" s="48" t="s">
        <v>1436</v>
      </c>
      <c r="AA193" s="48" t="s">
        <v>1436</v>
      </c>
      <c r="AB193" s="49" t="s">
        <v>193</v>
      </c>
      <c r="AC193" s="48" t="s">
        <v>1194</v>
      </c>
      <c r="AD193" s="48" t="s">
        <v>1244</v>
      </c>
      <c r="AE193" s="48" t="s">
        <v>36</v>
      </c>
    </row>
    <row r="194" spans="1:31" x14ac:dyDescent="0.3">
      <c r="A194" s="48" t="s">
        <v>1320</v>
      </c>
      <c r="B194" s="48" t="s">
        <v>6</v>
      </c>
      <c r="C194" s="48" t="s">
        <v>1322</v>
      </c>
      <c r="D194" s="48" t="s">
        <v>1405</v>
      </c>
      <c r="E194" s="50">
        <v>45077</v>
      </c>
      <c r="F194" s="49" t="s">
        <v>1321</v>
      </c>
      <c r="G194" s="48" t="s">
        <v>36</v>
      </c>
      <c r="H194" s="48" t="s">
        <v>1443</v>
      </c>
      <c r="I194" s="51">
        <v>0</v>
      </c>
      <c r="J194" s="51"/>
      <c r="K194" s="51"/>
      <c r="L194" s="48" t="s">
        <v>1194</v>
      </c>
      <c r="M194" s="48" t="s">
        <v>1438</v>
      </c>
      <c r="N194" s="48" t="s">
        <v>1439</v>
      </c>
      <c r="O194" s="49" t="s">
        <v>1442</v>
      </c>
      <c r="P194" s="48" t="s">
        <v>38</v>
      </c>
      <c r="Q194" s="48" t="s">
        <v>37</v>
      </c>
      <c r="R194" s="48" t="s">
        <v>1436</v>
      </c>
      <c r="S194" s="48" t="s">
        <v>1436</v>
      </c>
      <c r="T194" s="48" t="s">
        <v>1436</v>
      </c>
      <c r="U194" s="48" t="s">
        <v>38</v>
      </c>
      <c r="V194" s="48" t="s">
        <v>39</v>
      </c>
      <c r="W194" s="48" t="s">
        <v>1194</v>
      </c>
      <c r="X194" s="48" t="s">
        <v>41</v>
      </c>
      <c r="Y194" s="48" t="s">
        <v>1436</v>
      </c>
      <c r="Z194" s="48" t="s">
        <v>1436</v>
      </c>
      <c r="AA194" s="48" t="s">
        <v>1436</v>
      </c>
      <c r="AB194" s="49" t="s">
        <v>193</v>
      </c>
      <c r="AC194" s="48" t="s">
        <v>1194</v>
      </c>
      <c r="AD194" s="48" t="s">
        <v>1244</v>
      </c>
      <c r="AE194" s="48" t="s">
        <v>36</v>
      </c>
    </row>
    <row r="195" spans="1:31" x14ac:dyDescent="0.3">
      <c r="A195" s="48" t="s">
        <v>1320</v>
      </c>
      <c r="B195" s="48" t="s">
        <v>6</v>
      </c>
      <c r="C195" s="48" t="s">
        <v>1322</v>
      </c>
      <c r="D195" s="48" t="s">
        <v>1404</v>
      </c>
      <c r="E195" s="50">
        <v>45077</v>
      </c>
      <c r="F195" s="49" t="s">
        <v>1321</v>
      </c>
      <c r="G195" s="48" t="s">
        <v>36</v>
      </c>
      <c r="H195" s="48" t="s">
        <v>49</v>
      </c>
      <c r="I195" s="51">
        <v>-11064.032547999999</v>
      </c>
      <c r="J195" s="51"/>
      <c r="K195" s="51"/>
      <c r="L195" s="48" t="s">
        <v>38</v>
      </c>
      <c r="M195" s="48" t="s">
        <v>1433</v>
      </c>
      <c r="N195" s="48" t="s">
        <v>1447</v>
      </c>
      <c r="O195" s="49" t="s">
        <v>1451</v>
      </c>
      <c r="P195" s="48" t="s">
        <v>38</v>
      </c>
      <c r="Q195" s="48" t="s">
        <v>37</v>
      </c>
      <c r="R195" s="48" t="s">
        <v>1436</v>
      </c>
      <c r="S195" s="48" t="s">
        <v>1436</v>
      </c>
      <c r="T195" s="48" t="s">
        <v>1436</v>
      </c>
      <c r="U195" s="48" t="s">
        <v>38</v>
      </c>
      <c r="V195" s="48" t="s">
        <v>39</v>
      </c>
      <c r="W195" s="48" t="s">
        <v>38</v>
      </c>
      <c r="X195" s="48" t="s">
        <v>41</v>
      </c>
      <c r="Y195" s="48" t="s">
        <v>1436</v>
      </c>
      <c r="Z195" s="48" t="s">
        <v>1436</v>
      </c>
      <c r="AA195" s="48" t="s">
        <v>1436</v>
      </c>
      <c r="AB195" s="49" t="s">
        <v>193</v>
      </c>
      <c r="AC195" s="48" t="s">
        <v>1194</v>
      </c>
      <c r="AD195" s="48" t="s">
        <v>1244</v>
      </c>
      <c r="AE195" s="48" t="s">
        <v>36</v>
      </c>
    </row>
    <row r="196" spans="1:31" x14ac:dyDescent="0.3">
      <c r="A196" s="48" t="s">
        <v>1320</v>
      </c>
      <c r="B196" s="48" t="s">
        <v>6</v>
      </c>
      <c r="C196" s="48" t="s">
        <v>1322</v>
      </c>
      <c r="D196" s="48" t="s">
        <v>1413</v>
      </c>
      <c r="E196" s="50">
        <v>45107</v>
      </c>
      <c r="F196" s="49" t="s">
        <v>1321</v>
      </c>
      <c r="G196" s="48" t="s">
        <v>36</v>
      </c>
      <c r="H196" s="48" t="s">
        <v>58</v>
      </c>
      <c r="I196" s="51">
        <v>-900000</v>
      </c>
      <c r="J196" s="51"/>
      <c r="K196" s="51"/>
      <c r="L196" s="48" t="s">
        <v>40</v>
      </c>
      <c r="M196" s="48" t="s">
        <v>1433</v>
      </c>
      <c r="N196" s="48" t="s">
        <v>1447</v>
      </c>
      <c r="O196" s="49" t="s">
        <v>1448</v>
      </c>
      <c r="P196" s="48" t="s">
        <v>38</v>
      </c>
      <c r="Q196" s="48" t="s">
        <v>37</v>
      </c>
      <c r="R196" s="48" t="s">
        <v>1436</v>
      </c>
      <c r="S196" s="48" t="s">
        <v>1436</v>
      </c>
      <c r="T196" s="48" t="s">
        <v>1436</v>
      </c>
      <c r="U196" s="48" t="s">
        <v>38</v>
      </c>
      <c r="V196" s="48" t="s">
        <v>39</v>
      </c>
      <c r="W196" s="48" t="s">
        <v>40</v>
      </c>
      <c r="X196" s="48" t="s">
        <v>41</v>
      </c>
      <c r="Y196" s="48" t="s">
        <v>1436</v>
      </c>
      <c r="Z196" s="48" t="s">
        <v>1436</v>
      </c>
      <c r="AA196" s="48" t="s">
        <v>1436</v>
      </c>
      <c r="AB196" s="49" t="s">
        <v>193</v>
      </c>
      <c r="AC196" s="48" t="s">
        <v>1194</v>
      </c>
      <c r="AD196" s="48" t="s">
        <v>1244</v>
      </c>
      <c r="AE196" s="48" t="s">
        <v>36</v>
      </c>
    </row>
    <row r="197" spans="1:31" x14ac:dyDescent="0.3">
      <c r="A197" s="48" t="s">
        <v>1320</v>
      </c>
      <c r="B197" s="48" t="s">
        <v>6</v>
      </c>
      <c r="C197" s="48" t="s">
        <v>1322</v>
      </c>
      <c r="D197" s="48" t="s">
        <v>1412</v>
      </c>
      <c r="E197" s="50">
        <v>45107</v>
      </c>
      <c r="F197" s="49" t="s">
        <v>1321</v>
      </c>
      <c r="G197" s="48" t="s">
        <v>36</v>
      </c>
      <c r="H197" s="48" t="s">
        <v>52</v>
      </c>
      <c r="I197" s="51">
        <v>-761948.83</v>
      </c>
      <c r="J197" s="51"/>
      <c r="K197" s="51"/>
      <c r="L197" s="48" t="s">
        <v>40</v>
      </c>
      <c r="M197" s="48" t="s">
        <v>1433</v>
      </c>
      <c r="N197" s="48" t="s">
        <v>1434</v>
      </c>
      <c r="O197" s="49" t="s">
        <v>1435</v>
      </c>
      <c r="P197" s="48" t="s">
        <v>38</v>
      </c>
      <c r="Q197" s="48" t="s">
        <v>37</v>
      </c>
      <c r="R197" s="48" t="s">
        <v>1436</v>
      </c>
      <c r="S197" s="48" t="s">
        <v>1436</v>
      </c>
      <c r="T197" s="48" t="s">
        <v>1436</v>
      </c>
      <c r="U197" s="48" t="s">
        <v>38</v>
      </c>
      <c r="V197" s="48" t="s">
        <v>39</v>
      </c>
      <c r="W197" s="48" t="s">
        <v>40</v>
      </c>
      <c r="X197" s="48" t="s">
        <v>41</v>
      </c>
      <c r="Y197" s="48" t="s">
        <v>1436</v>
      </c>
      <c r="Z197" s="48" t="s">
        <v>1436</v>
      </c>
      <c r="AA197" s="48" t="s">
        <v>1436</v>
      </c>
      <c r="AB197" s="49" t="s">
        <v>193</v>
      </c>
      <c r="AC197" s="48" t="s">
        <v>1194</v>
      </c>
      <c r="AD197" s="48" t="s">
        <v>1244</v>
      </c>
      <c r="AE197" s="48" t="s">
        <v>36</v>
      </c>
    </row>
    <row r="198" spans="1:31" x14ac:dyDescent="0.3">
      <c r="A198" s="48" t="s">
        <v>1320</v>
      </c>
      <c r="B198" s="48" t="s">
        <v>6</v>
      </c>
      <c r="C198" s="48" t="s">
        <v>1322</v>
      </c>
      <c r="D198" s="48" t="s">
        <v>1411</v>
      </c>
      <c r="E198" s="50">
        <v>45107</v>
      </c>
      <c r="F198" s="49" t="s">
        <v>1321</v>
      </c>
      <c r="G198" s="48" t="s">
        <v>36</v>
      </c>
      <c r="H198" s="48" t="s">
        <v>50</v>
      </c>
      <c r="I198" s="51">
        <v>253982.95</v>
      </c>
      <c r="J198" s="51"/>
      <c r="K198" s="51"/>
      <c r="L198" s="48" t="s">
        <v>40</v>
      </c>
      <c r="M198" s="48" t="s">
        <v>1438</v>
      </c>
      <c r="N198" s="48" t="s">
        <v>1444</v>
      </c>
      <c r="O198" s="49" t="s">
        <v>1445</v>
      </c>
      <c r="P198" s="48" t="s">
        <v>38</v>
      </c>
      <c r="Q198" s="48" t="s">
        <v>37</v>
      </c>
      <c r="R198" s="48" t="s">
        <v>1436</v>
      </c>
      <c r="S198" s="48" t="s">
        <v>1436</v>
      </c>
      <c r="T198" s="48" t="s">
        <v>1436</v>
      </c>
      <c r="U198" s="48" t="s">
        <v>38</v>
      </c>
      <c r="V198" s="48" t="s">
        <v>39</v>
      </c>
      <c r="W198" s="48" t="s">
        <v>40</v>
      </c>
      <c r="X198" s="48" t="s">
        <v>41</v>
      </c>
      <c r="Y198" s="48" t="s">
        <v>1436</v>
      </c>
      <c r="Z198" s="48" t="s">
        <v>1436</v>
      </c>
      <c r="AA198" s="48" t="s">
        <v>1436</v>
      </c>
      <c r="AB198" s="49" t="s">
        <v>193</v>
      </c>
      <c r="AC198" s="48" t="s">
        <v>1194</v>
      </c>
      <c r="AD198" s="48" t="s">
        <v>1244</v>
      </c>
      <c r="AE198" s="48" t="s">
        <v>36</v>
      </c>
    </row>
    <row r="199" spans="1:31" x14ac:dyDescent="0.3">
      <c r="A199" s="48" t="s">
        <v>1320</v>
      </c>
      <c r="B199" s="48" t="s">
        <v>6</v>
      </c>
      <c r="C199" s="48" t="s">
        <v>1322</v>
      </c>
      <c r="D199" s="48" t="s">
        <v>1410</v>
      </c>
      <c r="E199" s="50">
        <v>45107</v>
      </c>
      <c r="F199" s="49" t="s">
        <v>1321</v>
      </c>
      <c r="G199" s="48" t="s">
        <v>36</v>
      </c>
      <c r="H199" s="48" t="s">
        <v>42</v>
      </c>
      <c r="I199" s="51">
        <v>2539829.423163</v>
      </c>
      <c r="J199" s="51"/>
      <c r="K199" s="51"/>
      <c r="L199" s="48" t="s">
        <v>40</v>
      </c>
      <c r="M199" s="48" t="s">
        <v>1433</v>
      </c>
      <c r="N199" s="48" t="s">
        <v>1434</v>
      </c>
      <c r="O199" s="49" t="s">
        <v>1437</v>
      </c>
      <c r="P199" s="48" t="s">
        <v>38</v>
      </c>
      <c r="Q199" s="48" t="s">
        <v>37</v>
      </c>
      <c r="R199" s="48" t="s">
        <v>1436</v>
      </c>
      <c r="S199" s="48" t="s">
        <v>1436</v>
      </c>
      <c r="T199" s="48" t="s">
        <v>1436</v>
      </c>
      <c r="U199" s="48" t="s">
        <v>38</v>
      </c>
      <c r="V199" s="48" t="s">
        <v>39</v>
      </c>
      <c r="W199" s="48" t="s">
        <v>40</v>
      </c>
      <c r="X199" s="48" t="s">
        <v>41</v>
      </c>
      <c r="Y199" s="48" t="s">
        <v>1436</v>
      </c>
      <c r="Z199" s="48" t="s">
        <v>1436</v>
      </c>
      <c r="AA199" s="48" t="s">
        <v>1436</v>
      </c>
      <c r="AB199" s="49" t="s">
        <v>193</v>
      </c>
      <c r="AC199" s="48" t="s">
        <v>1194</v>
      </c>
      <c r="AD199" s="48" t="s">
        <v>1244</v>
      </c>
      <c r="AE199" s="48" t="s">
        <v>36</v>
      </c>
    </row>
    <row r="200" spans="1:31" x14ac:dyDescent="0.3">
      <c r="A200" s="48" t="s">
        <v>1320</v>
      </c>
      <c r="B200" s="48" t="s">
        <v>6</v>
      </c>
      <c r="C200" s="48" t="s">
        <v>1322</v>
      </c>
      <c r="D200" s="48" t="s">
        <v>1409</v>
      </c>
      <c r="E200" s="50">
        <v>45107</v>
      </c>
      <c r="F200" s="49" t="s">
        <v>1321</v>
      </c>
      <c r="G200" s="48" t="s">
        <v>36</v>
      </c>
      <c r="H200" s="48" t="s">
        <v>45</v>
      </c>
      <c r="I200" s="51">
        <v>-1372423.336414</v>
      </c>
      <c r="J200" s="51"/>
      <c r="K200" s="51"/>
      <c r="L200" s="48" t="s">
        <v>40</v>
      </c>
      <c r="M200" s="48" t="s">
        <v>1433</v>
      </c>
      <c r="N200" s="48" t="s">
        <v>1447</v>
      </c>
      <c r="O200" s="49" t="s">
        <v>1449</v>
      </c>
      <c r="P200" s="48" t="s">
        <v>38</v>
      </c>
      <c r="Q200" s="48" t="s">
        <v>37</v>
      </c>
      <c r="R200" s="48" t="s">
        <v>1436</v>
      </c>
      <c r="S200" s="48" t="s">
        <v>1436</v>
      </c>
      <c r="T200" s="48" t="s">
        <v>1436</v>
      </c>
      <c r="U200" s="48" t="s">
        <v>38</v>
      </c>
      <c r="V200" s="48" t="s">
        <v>39</v>
      </c>
      <c r="W200" s="48" t="s">
        <v>40</v>
      </c>
      <c r="X200" s="48" t="s">
        <v>41</v>
      </c>
      <c r="Y200" s="48" t="s">
        <v>1436</v>
      </c>
      <c r="Z200" s="48" t="s">
        <v>1436</v>
      </c>
      <c r="AA200" s="48" t="s">
        <v>1436</v>
      </c>
      <c r="AB200" s="49" t="s">
        <v>193</v>
      </c>
      <c r="AC200" s="48" t="s">
        <v>1194</v>
      </c>
      <c r="AD200" s="48" t="s">
        <v>1244</v>
      </c>
      <c r="AE200" s="48" t="s">
        <v>36</v>
      </c>
    </row>
    <row r="201" spans="1:31" x14ac:dyDescent="0.3">
      <c r="A201" s="48" t="s">
        <v>1320</v>
      </c>
      <c r="B201" s="48" t="s">
        <v>6</v>
      </c>
      <c r="C201" s="48" t="s">
        <v>1322</v>
      </c>
      <c r="D201" s="48" t="s">
        <v>1408</v>
      </c>
      <c r="E201" s="50">
        <v>45107</v>
      </c>
      <c r="F201" s="49" t="s">
        <v>1321</v>
      </c>
      <c r="G201" s="48" t="s">
        <v>36</v>
      </c>
      <c r="H201" s="48" t="s">
        <v>54</v>
      </c>
      <c r="I201" s="51">
        <v>-485331.99</v>
      </c>
      <c r="J201" s="51"/>
      <c r="K201" s="51"/>
      <c r="L201" s="48" t="s">
        <v>40</v>
      </c>
      <c r="M201" s="48" t="s">
        <v>1433</v>
      </c>
      <c r="N201" s="48" t="s">
        <v>1447</v>
      </c>
      <c r="O201" s="49" t="s">
        <v>1450</v>
      </c>
      <c r="P201" s="48" t="s">
        <v>38</v>
      </c>
      <c r="Q201" s="48" t="s">
        <v>37</v>
      </c>
      <c r="R201" s="48" t="s">
        <v>1436</v>
      </c>
      <c r="S201" s="48" t="s">
        <v>1436</v>
      </c>
      <c r="T201" s="48" t="s">
        <v>1436</v>
      </c>
      <c r="U201" s="48" t="s">
        <v>38</v>
      </c>
      <c r="V201" s="48" t="s">
        <v>39</v>
      </c>
      <c r="W201" s="48" t="s">
        <v>40</v>
      </c>
      <c r="X201" s="48" t="s">
        <v>41</v>
      </c>
      <c r="Y201" s="48" t="s">
        <v>1436</v>
      </c>
      <c r="Z201" s="48" t="s">
        <v>1436</v>
      </c>
      <c r="AA201" s="48" t="s">
        <v>1436</v>
      </c>
      <c r="AB201" s="49" t="s">
        <v>193</v>
      </c>
      <c r="AC201" s="48" t="s">
        <v>1194</v>
      </c>
      <c r="AD201" s="48" t="s">
        <v>1244</v>
      </c>
      <c r="AE201" s="48" t="s">
        <v>36</v>
      </c>
    </row>
    <row r="202" spans="1:31" x14ac:dyDescent="0.3">
      <c r="A202" s="48" t="s">
        <v>1320</v>
      </c>
      <c r="B202" s="48" t="s">
        <v>6</v>
      </c>
      <c r="C202" s="48" t="s">
        <v>1322</v>
      </c>
      <c r="D202" s="48" t="s">
        <v>1407</v>
      </c>
      <c r="E202" s="50">
        <v>45107</v>
      </c>
      <c r="F202" s="49" t="s">
        <v>1321</v>
      </c>
      <c r="G202" s="48" t="s">
        <v>36</v>
      </c>
      <c r="H202" s="48" t="s">
        <v>47</v>
      </c>
      <c r="I202" s="51">
        <v>68402.103487</v>
      </c>
      <c r="J202" s="51"/>
      <c r="K202" s="51"/>
      <c r="L202" s="48" t="s">
        <v>40</v>
      </c>
      <c r="M202" s="48" t="s">
        <v>1438</v>
      </c>
      <c r="N202" s="48" t="s">
        <v>1444</v>
      </c>
      <c r="O202" s="49" t="s">
        <v>1446</v>
      </c>
      <c r="P202" s="48" t="s">
        <v>38</v>
      </c>
      <c r="Q202" s="48" t="s">
        <v>37</v>
      </c>
      <c r="R202" s="48" t="s">
        <v>1436</v>
      </c>
      <c r="S202" s="48" t="s">
        <v>1436</v>
      </c>
      <c r="T202" s="48" t="s">
        <v>1436</v>
      </c>
      <c r="U202" s="48" t="s">
        <v>38</v>
      </c>
      <c r="V202" s="48" t="s">
        <v>39</v>
      </c>
      <c r="W202" s="48" t="s">
        <v>40</v>
      </c>
      <c r="X202" s="48" t="s">
        <v>41</v>
      </c>
      <c r="Y202" s="48" t="s">
        <v>1436</v>
      </c>
      <c r="Z202" s="48" t="s">
        <v>1436</v>
      </c>
      <c r="AA202" s="48" t="s">
        <v>1436</v>
      </c>
      <c r="AB202" s="49" t="s">
        <v>193</v>
      </c>
      <c r="AC202" s="48" t="s">
        <v>1194</v>
      </c>
      <c r="AD202" s="48" t="s">
        <v>1244</v>
      </c>
      <c r="AE202" s="48" t="s">
        <v>36</v>
      </c>
    </row>
    <row r="203" spans="1:31" x14ac:dyDescent="0.3">
      <c r="A203" s="48" t="s">
        <v>1320</v>
      </c>
      <c r="B203" s="48" t="s">
        <v>6</v>
      </c>
      <c r="C203" s="48" t="s">
        <v>1322</v>
      </c>
      <c r="D203" s="48" t="s">
        <v>1406</v>
      </c>
      <c r="E203" s="50">
        <v>45107</v>
      </c>
      <c r="F203" s="49" t="s">
        <v>1321</v>
      </c>
      <c r="G203" s="48" t="s">
        <v>36</v>
      </c>
      <c r="H203" s="48" t="s">
        <v>1441</v>
      </c>
      <c r="I203" s="51">
        <v>0</v>
      </c>
      <c r="J203" s="51"/>
      <c r="K203" s="51"/>
      <c r="L203" s="48" t="s">
        <v>1194</v>
      </c>
      <c r="M203" s="48" t="s">
        <v>1438</v>
      </c>
      <c r="N203" s="48" t="s">
        <v>1439</v>
      </c>
      <c r="O203" s="49" t="s">
        <v>1440</v>
      </c>
      <c r="P203" s="48" t="s">
        <v>38</v>
      </c>
      <c r="Q203" s="48" t="s">
        <v>37</v>
      </c>
      <c r="R203" s="48" t="s">
        <v>1436</v>
      </c>
      <c r="S203" s="48" t="s">
        <v>1436</v>
      </c>
      <c r="T203" s="48" t="s">
        <v>1436</v>
      </c>
      <c r="U203" s="48" t="s">
        <v>38</v>
      </c>
      <c r="V203" s="48" t="s">
        <v>39</v>
      </c>
      <c r="W203" s="48" t="s">
        <v>1194</v>
      </c>
      <c r="X203" s="48" t="s">
        <v>41</v>
      </c>
      <c r="Y203" s="48" t="s">
        <v>1436</v>
      </c>
      <c r="Z203" s="48" t="s">
        <v>1436</v>
      </c>
      <c r="AA203" s="48" t="s">
        <v>1436</v>
      </c>
      <c r="AB203" s="49" t="s">
        <v>193</v>
      </c>
      <c r="AC203" s="48" t="s">
        <v>1194</v>
      </c>
      <c r="AD203" s="48" t="s">
        <v>1244</v>
      </c>
      <c r="AE203" s="48" t="s">
        <v>36</v>
      </c>
    </row>
    <row r="204" spans="1:31" x14ac:dyDescent="0.3">
      <c r="A204" s="48" t="s">
        <v>1320</v>
      </c>
      <c r="B204" s="48" t="s">
        <v>6</v>
      </c>
      <c r="C204" s="48" t="s">
        <v>1322</v>
      </c>
      <c r="D204" s="48" t="s">
        <v>1405</v>
      </c>
      <c r="E204" s="50">
        <v>45107</v>
      </c>
      <c r="F204" s="49" t="s">
        <v>1321</v>
      </c>
      <c r="G204" s="48" t="s">
        <v>36</v>
      </c>
      <c r="H204" s="48" t="s">
        <v>1443</v>
      </c>
      <c r="I204" s="51">
        <v>0</v>
      </c>
      <c r="J204" s="51"/>
      <c r="K204" s="51"/>
      <c r="L204" s="48" t="s">
        <v>1194</v>
      </c>
      <c r="M204" s="48" t="s">
        <v>1438</v>
      </c>
      <c r="N204" s="48" t="s">
        <v>1439</v>
      </c>
      <c r="O204" s="49" t="s">
        <v>1442</v>
      </c>
      <c r="P204" s="48" t="s">
        <v>38</v>
      </c>
      <c r="Q204" s="48" t="s">
        <v>37</v>
      </c>
      <c r="R204" s="48" t="s">
        <v>1436</v>
      </c>
      <c r="S204" s="48" t="s">
        <v>1436</v>
      </c>
      <c r="T204" s="48" t="s">
        <v>1436</v>
      </c>
      <c r="U204" s="48" t="s">
        <v>38</v>
      </c>
      <c r="V204" s="48" t="s">
        <v>39</v>
      </c>
      <c r="W204" s="48" t="s">
        <v>1194</v>
      </c>
      <c r="X204" s="48" t="s">
        <v>41</v>
      </c>
      <c r="Y204" s="48" t="s">
        <v>1436</v>
      </c>
      <c r="Z204" s="48" t="s">
        <v>1436</v>
      </c>
      <c r="AA204" s="48" t="s">
        <v>1436</v>
      </c>
      <c r="AB204" s="49" t="s">
        <v>193</v>
      </c>
      <c r="AC204" s="48" t="s">
        <v>1194</v>
      </c>
      <c r="AD204" s="48" t="s">
        <v>1244</v>
      </c>
      <c r="AE204" s="48" t="s">
        <v>36</v>
      </c>
    </row>
    <row r="205" spans="1:31" x14ac:dyDescent="0.3">
      <c r="A205" s="48" t="s">
        <v>1320</v>
      </c>
      <c r="B205" s="48" t="s">
        <v>6</v>
      </c>
      <c r="C205" s="48" t="s">
        <v>1322</v>
      </c>
      <c r="D205" s="48" t="s">
        <v>1404</v>
      </c>
      <c r="E205" s="50">
        <v>45107</v>
      </c>
      <c r="F205" s="49" t="s">
        <v>1321</v>
      </c>
      <c r="G205" s="48" t="s">
        <v>36</v>
      </c>
      <c r="H205" s="48" t="s">
        <v>49</v>
      </c>
      <c r="I205" s="51">
        <v>-10836.906070999999</v>
      </c>
      <c r="J205" s="51"/>
      <c r="K205" s="51"/>
      <c r="L205" s="48" t="s">
        <v>38</v>
      </c>
      <c r="M205" s="48" t="s">
        <v>1433</v>
      </c>
      <c r="N205" s="48" t="s">
        <v>1447</v>
      </c>
      <c r="O205" s="49" t="s">
        <v>1451</v>
      </c>
      <c r="P205" s="48" t="s">
        <v>38</v>
      </c>
      <c r="Q205" s="48" t="s">
        <v>37</v>
      </c>
      <c r="R205" s="48" t="s">
        <v>1436</v>
      </c>
      <c r="S205" s="48" t="s">
        <v>1436</v>
      </c>
      <c r="T205" s="48" t="s">
        <v>1436</v>
      </c>
      <c r="U205" s="48" t="s">
        <v>38</v>
      </c>
      <c r="V205" s="48" t="s">
        <v>39</v>
      </c>
      <c r="W205" s="48" t="s">
        <v>38</v>
      </c>
      <c r="X205" s="48" t="s">
        <v>41</v>
      </c>
      <c r="Y205" s="48" t="s">
        <v>1436</v>
      </c>
      <c r="Z205" s="48" t="s">
        <v>1436</v>
      </c>
      <c r="AA205" s="48" t="s">
        <v>1436</v>
      </c>
      <c r="AB205" s="49" t="s">
        <v>193</v>
      </c>
      <c r="AC205" s="48" t="s">
        <v>1194</v>
      </c>
      <c r="AD205" s="48" t="s">
        <v>1244</v>
      </c>
      <c r="AE205" s="48" t="s">
        <v>36</v>
      </c>
    </row>
    <row r="206" spans="1:31" x14ac:dyDescent="0.3">
      <c r="A206" s="48" t="s">
        <v>1320</v>
      </c>
      <c r="B206" s="48" t="s">
        <v>6</v>
      </c>
      <c r="C206" s="48" t="s">
        <v>1322</v>
      </c>
      <c r="D206" s="48" t="s">
        <v>1413</v>
      </c>
      <c r="E206" s="50">
        <v>45138</v>
      </c>
      <c r="F206" s="49" t="s">
        <v>1321</v>
      </c>
      <c r="G206" s="48" t="s">
        <v>36</v>
      </c>
      <c r="H206" s="48" t="s">
        <v>58</v>
      </c>
      <c r="I206" s="51">
        <v>-950000</v>
      </c>
      <c r="J206" s="51"/>
      <c r="K206" s="51"/>
      <c r="L206" s="48" t="s">
        <v>40</v>
      </c>
      <c r="M206" s="48" t="s">
        <v>1433</v>
      </c>
      <c r="N206" s="48" t="s">
        <v>1447</v>
      </c>
      <c r="O206" s="49" t="s">
        <v>1448</v>
      </c>
      <c r="P206" s="48" t="s">
        <v>38</v>
      </c>
      <c r="Q206" s="48" t="s">
        <v>37</v>
      </c>
      <c r="R206" s="48" t="s">
        <v>1436</v>
      </c>
      <c r="S206" s="48" t="s">
        <v>1436</v>
      </c>
      <c r="T206" s="48" t="s">
        <v>1436</v>
      </c>
      <c r="U206" s="48" t="s">
        <v>38</v>
      </c>
      <c r="V206" s="48" t="s">
        <v>39</v>
      </c>
      <c r="W206" s="48" t="s">
        <v>40</v>
      </c>
      <c r="X206" s="48" t="s">
        <v>41</v>
      </c>
      <c r="Y206" s="48" t="s">
        <v>1436</v>
      </c>
      <c r="Z206" s="48" t="s">
        <v>1436</v>
      </c>
      <c r="AA206" s="48" t="s">
        <v>1436</v>
      </c>
      <c r="AB206" s="49" t="s">
        <v>193</v>
      </c>
      <c r="AC206" s="48" t="s">
        <v>1194</v>
      </c>
      <c r="AD206" s="48" t="s">
        <v>1244</v>
      </c>
      <c r="AE206" s="48" t="s">
        <v>36</v>
      </c>
    </row>
    <row r="207" spans="1:31" x14ac:dyDescent="0.3">
      <c r="A207" s="48" t="s">
        <v>1320</v>
      </c>
      <c r="B207" s="48" t="s">
        <v>6</v>
      </c>
      <c r="C207" s="48" t="s">
        <v>1322</v>
      </c>
      <c r="D207" s="48" t="s">
        <v>1412</v>
      </c>
      <c r="E207" s="50">
        <v>45138</v>
      </c>
      <c r="F207" s="49" t="s">
        <v>1321</v>
      </c>
      <c r="G207" s="48" t="s">
        <v>36</v>
      </c>
      <c r="H207" s="48" t="s">
        <v>52</v>
      </c>
      <c r="I207" s="51">
        <v>-804279.32</v>
      </c>
      <c r="J207" s="51"/>
      <c r="K207" s="51"/>
      <c r="L207" s="48" t="s">
        <v>40</v>
      </c>
      <c r="M207" s="48" t="s">
        <v>1433</v>
      </c>
      <c r="N207" s="48" t="s">
        <v>1434</v>
      </c>
      <c r="O207" s="49" t="s">
        <v>1435</v>
      </c>
      <c r="P207" s="48" t="s">
        <v>38</v>
      </c>
      <c r="Q207" s="48" t="s">
        <v>37</v>
      </c>
      <c r="R207" s="48" t="s">
        <v>1436</v>
      </c>
      <c r="S207" s="48" t="s">
        <v>1436</v>
      </c>
      <c r="T207" s="48" t="s">
        <v>1436</v>
      </c>
      <c r="U207" s="48" t="s">
        <v>38</v>
      </c>
      <c r="V207" s="48" t="s">
        <v>39</v>
      </c>
      <c r="W207" s="48" t="s">
        <v>40</v>
      </c>
      <c r="X207" s="48" t="s">
        <v>41</v>
      </c>
      <c r="Y207" s="48" t="s">
        <v>1436</v>
      </c>
      <c r="Z207" s="48" t="s">
        <v>1436</v>
      </c>
      <c r="AA207" s="48" t="s">
        <v>1436</v>
      </c>
      <c r="AB207" s="49" t="s">
        <v>193</v>
      </c>
      <c r="AC207" s="48" t="s">
        <v>1194</v>
      </c>
      <c r="AD207" s="48" t="s">
        <v>1244</v>
      </c>
      <c r="AE207" s="48" t="s">
        <v>36</v>
      </c>
    </row>
    <row r="208" spans="1:31" x14ac:dyDescent="0.3">
      <c r="A208" s="48" t="s">
        <v>1320</v>
      </c>
      <c r="B208" s="48" t="s">
        <v>6</v>
      </c>
      <c r="C208" s="48" t="s">
        <v>1322</v>
      </c>
      <c r="D208" s="48" t="s">
        <v>1411</v>
      </c>
      <c r="E208" s="50">
        <v>45138</v>
      </c>
      <c r="F208" s="49" t="s">
        <v>1321</v>
      </c>
      <c r="G208" s="48" t="s">
        <v>36</v>
      </c>
      <c r="H208" s="48" t="s">
        <v>50</v>
      </c>
      <c r="I208" s="51">
        <v>296313.44</v>
      </c>
      <c r="J208" s="51"/>
      <c r="K208" s="51"/>
      <c r="L208" s="48" t="s">
        <v>40</v>
      </c>
      <c r="M208" s="48" t="s">
        <v>1438</v>
      </c>
      <c r="N208" s="48" t="s">
        <v>1444</v>
      </c>
      <c r="O208" s="49" t="s">
        <v>1445</v>
      </c>
      <c r="P208" s="48" t="s">
        <v>38</v>
      </c>
      <c r="Q208" s="48" t="s">
        <v>37</v>
      </c>
      <c r="R208" s="48" t="s">
        <v>1436</v>
      </c>
      <c r="S208" s="48" t="s">
        <v>1436</v>
      </c>
      <c r="T208" s="48" t="s">
        <v>1436</v>
      </c>
      <c r="U208" s="48" t="s">
        <v>38</v>
      </c>
      <c r="V208" s="48" t="s">
        <v>39</v>
      </c>
      <c r="W208" s="48" t="s">
        <v>40</v>
      </c>
      <c r="X208" s="48" t="s">
        <v>41</v>
      </c>
      <c r="Y208" s="48" t="s">
        <v>1436</v>
      </c>
      <c r="Z208" s="48" t="s">
        <v>1436</v>
      </c>
      <c r="AA208" s="48" t="s">
        <v>1436</v>
      </c>
      <c r="AB208" s="49" t="s">
        <v>193</v>
      </c>
      <c r="AC208" s="48" t="s">
        <v>1194</v>
      </c>
      <c r="AD208" s="48" t="s">
        <v>1244</v>
      </c>
      <c r="AE208" s="48" t="s">
        <v>36</v>
      </c>
    </row>
    <row r="209" spans="1:31" x14ac:dyDescent="0.3">
      <c r="A209" s="48" t="s">
        <v>1320</v>
      </c>
      <c r="B209" s="48" t="s">
        <v>6</v>
      </c>
      <c r="C209" s="48" t="s">
        <v>1322</v>
      </c>
      <c r="D209" s="48" t="s">
        <v>1410</v>
      </c>
      <c r="E209" s="50">
        <v>45138</v>
      </c>
      <c r="F209" s="49" t="s">
        <v>1321</v>
      </c>
      <c r="G209" s="48" t="s">
        <v>36</v>
      </c>
      <c r="H209" s="48" t="s">
        <v>42</v>
      </c>
      <c r="I209" s="51">
        <v>2539829.423163</v>
      </c>
      <c r="J209" s="51"/>
      <c r="K209" s="51"/>
      <c r="L209" s="48" t="s">
        <v>40</v>
      </c>
      <c r="M209" s="48" t="s">
        <v>1433</v>
      </c>
      <c r="N209" s="48" t="s">
        <v>1434</v>
      </c>
      <c r="O209" s="49" t="s">
        <v>1437</v>
      </c>
      <c r="P209" s="48" t="s">
        <v>38</v>
      </c>
      <c r="Q209" s="48" t="s">
        <v>37</v>
      </c>
      <c r="R209" s="48" t="s">
        <v>1436</v>
      </c>
      <c r="S209" s="48" t="s">
        <v>1436</v>
      </c>
      <c r="T209" s="48" t="s">
        <v>1436</v>
      </c>
      <c r="U209" s="48" t="s">
        <v>38</v>
      </c>
      <c r="V209" s="48" t="s">
        <v>39</v>
      </c>
      <c r="W209" s="48" t="s">
        <v>40</v>
      </c>
      <c r="X209" s="48" t="s">
        <v>41</v>
      </c>
      <c r="Y209" s="48" t="s">
        <v>1436</v>
      </c>
      <c r="Z209" s="48" t="s">
        <v>1436</v>
      </c>
      <c r="AA209" s="48" t="s">
        <v>1436</v>
      </c>
      <c r="AB209" s="49" t="s">
        <v>193</v>
      </c>
      <c r="AC209" s="48" t="s">
        <v>1194</v>
      </c>
      <c r="AD209" s="48" t="s">
        <v>1244</v>
      </c>
      <c r="AE209" s="48" t="s">
        <v>36</v>
      </c>
    </row>
    <row r="210" spans="1:31" x14ac:dyDescent="0.3">
      <c r="A210" s="48" t="s">
        <v>1320</v>
      </c>
      <c r="B210" s="48" t="s">
        <v>6</v>
      </c>
      <c r="C210" s="48" t="s">
        <v>1322</v>
      </c>
      <c r="D210" s="48" t="s">
        <v>1409</v>
      </c>
      <c r="E210" s="50">
        <v>45138</v>
      </c>
      <c r="F210" s="49" t="s">
        <v>1321</v>
      </c>
      <c r="G210" s="48" t="s">
        <v>36</v>
      </c>
      <c r="H210" s="48" t="s">
        <v>45</v>
      </c>
      <c r="I210" s="51">
        <v>-1330429.152485</v>
      </c>
      <c r="J210" s="51"/>
      <c r="K210" s="51"/>
      <c r="L210" s="48" t="s">
        <v>40</v>
      </c>
      <c r="M210" s="48" t="s">
        <v>1433</v>
      </c>
      <c r="N210" s="48" t="s">
        <v>1447</v>
      </c>
      <c r="O210" s="49" t="s">
        <v>1449</v>
      </c>
      <c r="P210" s="48" t="s">
        <v>38</v>
      </c>
      <c r="Q210" s="48" t="s">
        <v>37</v>
      </c>
      <c r="R210" s="48" t="s">
        <v>1436</v>
      </c>
      <c r="S210" s="48" t="s">
        <v>1436</v>
      </c>
      <c r="T210" s="48" t="s">
        <v>1436</v>
      </c>
      <c r="U210" s="48" t="s">
        <v>38</v>
      </c>
      <c r="V210" s="48" t="s">
        <v>39</v>
      </c>
      <c r="W210" s="48" t="s">
        <v>40</v>
      </c>
      <c r="X210" s="48" t="s">
        <v>41</v>
      </c>
      <c r="Y210" s="48" t="s">
        <v>1436</v>
      </c>
      <c r="Z210" s="48" t="s">
        <v>1436</v>
      </c>
      <c r="AA210" s="48" t="s">
        <v>1436</v>
      </c>
      <c r="AB210" s="49" t="s">
        <v>193</v>
      </c>
      <c r="AC210" s="48" t="s">
        <v>1194</v>
      </c>
      <c r="AD210" s="48" t="s">
        <v>1244</v>
      </c>
      <c r="AE210" s="48" t="s">
        <v>36</v>
      </c>
    </row>
    <row r="211" spans="1:31" x14ac:dyDescent="0.3">
      <c r="A211" s="48" t="s">
        <v>1320</v>
      </c>
      <c r="B211" s="48" t="s">
        <v>6</v>
      </c>
      <c r="C211" s="48" t="s">
        <v>1322</v>
      </c>
      <c r="D211" s="48" t="s">
        <v>1408</v>
      </c>
      <c r="E211" s="50">
        <v>45138</v>
      </c>
      <c r="F211" s="49" t="s">
        <v>1321</v>
      </c>
      <c r="G211" s="48" t="s">
        <v>36</v>
      </c>
      <c r="H211" s="48" t="s">
        <v>54</v>
      </c>
      <c r="I211" s="51">
        <v>-488163.08</v>
      </c>
      <c r="J211" s="51"/>
      <c r="K211" s="51"/>
      <c r="L211" s="48" t="s">
        <v>40</v>
      </c>
      <c r="M211" s="48" t="s">
        <v>1433</v>
      </c>
      <c r="N211" s="48" t="s">
        <v>1447</v>
      </c>
      <c r="O211" s="49" t="s">
        <v>1450</v>
      </c>
      <c r="P211" s="48" t="s">
        <v>38</v>
      </c>
      <c r="Q211" s="48" t="s">
        <v>37</v>
      </c>
      <c r="R211" s="48" t="s">
        <v>1436</v>
      </c>
      <c r="S211" s="48" t="s">
        <v>1436</v>
      </c>
      <c r="T211" s="48" t="s">
        <v>1436</v>
      </c>
      <c r="U211" s="48" t="s">
        <v>38</v>
      </c>
      <c r="V211" s="48" t="s">
        <v>39</v>
      </c>
      <c r="W211" s="48" t="s">
        <v>40</v>
      </c>
      <c r="X211" s="48" t="s">
        <v>41</v>
      </c>
      <c r="Y211" s="48" t="s">
        <v>1436</v>
      </c>
      <c r="Z211" s="48" t="s">
        <v>1436</v>
      </c>
      <c r="AA211" s="48" t="s">
        <v>1436</v>
      </c>
      <c r="AB211" s="49" t="s">
        <v>193</v>
      </c>
      <c r="AC211" s="48" t="s">
        <v>1194</v>
      </c>
      <c r="AD211" s="48" t="s">
        <v>1244</v>
      </c>
      <c r="AE211" s="48" t="s">
        <v>36</v>
      </c>
    </row>
    <row r="212" spans="1:31" x14ac:dyDescent="0.3">
      <c r="A212" s="48" t="s">
        <v>1320</v>
      </c>
      <c r="B212" s="48" t="s">
        <v>6</v>
      </c>
      <c r="C212" s="48" t="s">
        <v>1322</v>
      </c>
      <c r="D212" s="48" t="s">
        <v>1407</v>
      </c>
      <c r="E212" s="50">
        <v>45138</v>
      </c>
      <c r="F212" s="49" t="s">
        <v>1321</v>
      </c>
      <c r="G212" s="48" t="s">
        <v>36</v>
      </c>
      <c r="H212" s="48" t="s">
        <v>47</v>
      </c>
      <c r="I212" s="51">
        <v>79010.558176000006</v>
      </c>
      <c r="J212" s="51"/>
      <c r="K212" s="51"/>
      <c r="L212" s="48" t="s">
        <v>40</v>
      </c>
      <c r="M212" s="48" t="s">
        <v>1438</v>
      </c>
      <c r="N212" s="48" t="s">
        <v>1444</v>
      </c>
      <c r="O212" s="49" t="s">
        <v>1446</v>
      </c>
      <c r="P212" s="48" t="s">
        <v>38</v>
      </c>
      <c r="Q212" s="48" t="s">
        <v>37</v>
      </c>
      <c r="R212" s="48" t="s">
        <v>1436</v>
      </c>
      <c r="S212" s="48" t="s">
        <v>1436</v>
      </c>
      <c r="T212" s="48" t="s">
        <v>1436</v>
      </c>
      <c r="U212" s="48" t="s">
        <v>38</v>
      </c>
      <c r="V212" s="48" t="s">
        <v>39</v>
      </c>
      <c r="W212" s="48" t="s">
        <v>40</v>
      </c>
      <c r="X212" s="48" t="s">
        <v>41</v>
      </c>
      <c r="Y212" s="48" t="s">
        <v>1436</v>
      </c>
      <c r="Z212" s="48" t="s">
        <v>1436</v>
      </c>
      <c r="AA212" s="48" t="s">
        <v>1436</v>
      </c>
      <c r="AB212" s="49" t="s">
        <v>193</v>
      </c>
      <c r="AC212" s="48" t="s">
        <v>1194</v>
      </c>
      <c r="AD212" s="48" t="s">
        <v>1244</v>
      </c>
      <c r="AE212" s="48" t="s">
        <v>36</v>
      </c>
    </row>
    <row r="213" spans="1:31" x14ac:dyDescent="0.3">
      <c r="A213" s="48" t="s">
        <v>1320</v>
      </c>
      <c r="B213" s="48" t="s">
        <v>6</v>
      </c>
      <c r="C213" s="48" t="s">
        <v>1322</v>
      </c>
      <c r="D213" s="48" t="s">
        <v>1406</v>
      </c>
      <c r="E213" s="50">
        <v>45138</v>
      </c>
      <c r="F213" s="49" t="s">
        <v>1321</v>
      </c>
      <c r="G213" s="48" t="s">
        <v>36</v>
      </c>
      <c r="H213" s="48" t="s">
        <v>1441</v>
      </c>
      <c r="I213" s="51">
        <v>0</v>
      </c>
      <c r="J213" s="51"/>
      <c r="K213" s="51"/>
      <c r="L213" s="48" t="s">
        <v>1194</v>
      </c>
      <c r="M213" s="48" t="s">
        <v>1438</v>
      </c>
      <c r="N213" s="48" t="s">
        <v>1439</v>
      </c>
      <c r="O213" s="49" t="s">
        <v>1440</v>
      </c>
      <c r="P213" s="48" t="s">
        <v>38</v>
      </c>
      <c r="Q213" s="48" t="s">
        <v>37</v>
      </c>
      <c r="R213" s="48" t="s">
        <v>1436</v>
      </c>
      <c r="S213" s="48" t="s">
        <v>1436</v>
      </c>
      <c r="T213" s="48" t="s">
        <v>1436</v>
      </c>
      <c r="U213" s="48" t="s">
        <v>38</v>
      </c>
      <c r="V213" s="48" t="s">
        <v>39</v>
      </c>
      <c r="W213" s="48" t="s">
        <v>1194</v>
      </c>
      <c r="X213" s="48" t="s">
        <v>41</v>
      </c>
      <c r="Y213" s="48" t="s">
        <v>1436</v>
      </c>
      <c r="Z213" s="48" t="s">
        <v>1436</v>
      </c>
      <c r="AA213" s="48" t="s">
        <v>1436</v>
      </c>
      <c r="AB213" s="49" t="s">
        <v>193</v>
      </c>
      <c r="AC213" s="48" t="s">
        <v>1194</v>
      </c>
      <c r="AD213" s="48" t="s">
        <v>1244</v>
      </c>
      <c r="AE213" s="48" t="s">
        <v>36</v>
      </c>
    </row>
    <row r="214" spans="1:31" x14ac:dyDescent="0.3">
      <c r="A214" s="48" t="s">
        <v>1320</v>
      </c>
      <c r="B214" s="48" t="s">
        <v>6</v>
      </c>
      <c r="C214" s="48" t="s">
        <v>1322</v>
      </c>
      <c r="D214" s="48" t="s">
        <v>1405</v>
      </c>
      <c r="E214" s="50">
        <v>45138</v>
      </c>
      <c r="F214" s="49" t="s">
        <v>1321</v>
      </c>
      <c r="G214" s="48" t="s">
        <v>36</v>
      </c>
      <c r="H214" s="48" t="s">
        <v>1443</v>
      </c>
      <c r="I214" s="51">
        <v>0</v>
      </c>
      <c r="J214" s="51"/>
      <c r="K214" s="51"/>
      <c r="L214" s="48" t="s">
        <v>1194</v>
      </c>
      <c r="M214" s="48" t="s">
        <v>1438</v>
      </c>
      <c r="N214" s="48" t="s">
        <v>1439</v>
      </c>
      <c r="O214" s="49" t="s">
        <v>1442</v>
      </c>
      <c r="P214" s="48" t="s">
        <v>38</v>
      </c>
      <c r="Q214" s="48" t="s">
        <v>37</v>
      </c>
      <c r="R214" s="48" t="s">
        <v>1436</v>
      </c>
      <c r="S214" s="48" t="s">
        <v>1436</v>
      </c>
      <c r="T214" s="48" t="s">
        <v>1436</v>
      </c>
      <c r="U214" s="48" t="s">
        <v>38</v>
      </c>
      <c r="V214" s="48" t="s">
        <v>39</v>
      </c>
      <c r="W214" s="48" t="s">
        <v>1194</v>
      </c>
      <c r="X214" s="48" t="s">
        <v>41</v>
      </c>
      <c r="Y214" s="48" t="s">
        <v>1436</v>
      </c>
      <c r="Z214" s="48" t="s">
        <v>1436</v>
      </c>
      <c r="AA214" s="48" t="s">
        <v>1436</v>
      </c>
      <c r="AB214" s="49" t="s">
        <v>193</v>
      </c>
      <c r="AC214" s="48" t="s">
        <v>1194</v>
      </c>
      <c r="AD214" s="48" t="s">
        <v>1244</v>
      </c>
      <c r="AE214" s="48" t="s">
        <v>36</v>
      </c>
    </row>
    <row r="215" spans="1:31" x14ac:dyDescent="0.3">
      <c r="A215" s="48" t="s">
        <v>1320</v>
      </c>
      <c r="B215" s="48" t="s">
        <v>6</v>
      </c>
      <c r="C215" s="48" t="s">
        <v>1322</v>
      </c>
      <c r="D215" s="48" t="s">
        <v>1404</v>
      </c>
      <c r="E215" s="50">
        <v>45138</v>
      </c>
      <c r="F215" s="49" t="s">
        <v>1321</v>
      </c>
      <c r="G215" s="48" t="s">
        <v>36</v>
      </c>
      <c r="H215" s="48" t="s">
        <v>49</v>
      </c>
      <c r="I215" s="51">
        <v>-10608.454689</v>
      </c>
      <c r="J215" s="51"/>
      <c r="K215" s="51"/>
      <c r="L215" s="48" t="s">
        <v>38</v>
      </c>
      <c r="M215" s="48" t="s">
        <v>1433</v>
      </c>
      <c r="N215" s="48" t="s">
        <v>1447</v>
      </c>
      <c r="O215" s="49" t="s">
        <v>1451</v>
      </c>
      <c r="P215" s="48" t="s">
        <v>38</v>
      </c>
      <c r="Q215" s="48" t="s">
        <v>37</v>
      </c>
      <c r="R215" s="48" t="s">
        <v>1436</v>
      </c>
      <c r="S215" s="48" t="s">
        <v>1436</v>
      </c>
      <c r="T215" s="48" t="s">
        <v>1436</v>
      </c>
      <c r="U215" s="48" t="s">
        <v>38</v>
      </c>
      <c r="V215" s="48" t="s">
        <v>39</v>
      </c>
      <c r="W215" s="48" t="s">
        <v>38</v>
      </c>
      <c r="X215" s="48" t="s">
        <v>41</v>
      </c>
      <c r="Y215" s="48" t="s">
        <v>1436</v>
      </c>
      <c r="Z215" s="48" t="s">
        <v>1436</v>
      </c>
      <c r="AA215" s="48" t="s">
        <v>1436</v>
      </c>
      <c r="AB215" s="49" t="s">
        <v>193</v>
      </c>
      <c r="AC215" s="48" t="s">
        <v>1194</v>
      </c>
      <c r="AD215" s="48" t="s">
        <v>1244</v>
      </c>
      <c r="AE215" s="48" t="s">
        <v>36</v>
      </c>
    </row>
    <row r="216" spans="1:31" x14ac:dyDescent="0.3">
      <c r="A216" s="48" t="s">
        <v>1320</v>
      </c>
      <c r="B216" s="48" t="s">
        <v>6</v>
      </c>
      <c r="C216" s="48" t="s">
        <v>1322</v>
      </c>
      <c r="D216" s="48" t="s">
        <v>1413</v>
      </c>
      <c r="E216" s="50">
        <v>45169</v>
      </c>
      <c r="F216" s="49" t="s">
        <v>1321</v>
      </c>
      <c r="G216" s="48" t="s">
        <v>36</v>
      </c>
      <c r="H216" s="48" t="s">
        <v>58</v>
      </c>
      <c r="I216" s="51">
        <v>-1000000</v>
      </c>
      <c r="J216" s="51"/>
      <c r="K216" s="51"/>
      <c r="L216" s="48" t="s">
        <v>40</v>
      </c>
      <c r="M216" s="48" t="s">
        <v>1433</v>
      </c>
      <c r="N216" s="48" t="s">
        <v>1447</v>
      </c>
      <c r="O216" s="49" t="s">
        <v>1448</v>
      </c>
      <c r="P216" s="48" t="s">
        <v>38</v>
      </c>
      <c r="Q216" s="48" t="s">
        <v>37</v>
      </c>
      <c r="R216" s="48" t="s">
        <v>1436</v>
      </c>
      <c r="S216" s="48" t="s">
        <v>1436</v>
      </c>
      <c r="T216" s="48" t="s">
        <v>1436</v>
      </c>
      <c r="U216" s="48" t="s">
        <v>38</v>
      </c>
      <c r="V216" s="48" t="s">
        <v>39</v>
      </c>
      <c r="W216" s="48" t="s">
        <v>40</v>
      </c>
      <c r="X216" s="48" t="s">
        <v>41</v>
      </c>
      <c r="Y216" s="48" t="s">
        <v>1436</v>
      </c>
      <c r="Z216" s="48" t="s">
        <v>1436</v>
      </c>
      <c r="AA216" s="48" t="s">
        <v>1436</v>
      </c>
      <c r="AB216" s="49" t="s">
        <v>193</v>
      </c>
      <c r="AC216" s="48" t="s">
        <v>1194</v>
      </c>
      <c r="AD216" s="48" t="s">
        <v>1244</v>
      </c>
      <c r="AE216" s="48" t="s">
        <v>36</v>
      </c>
    </row>
    <row r="217" spans="1:31" x14ac:dyDescent="0.3">
      <c r="A217" s="48" t="s">
        <v>1320</v>
      </c>
      <c r="B217" s="48" t="s">
        <v>6</v>
      </c>
      <c r="C217" s="48" t="s">
        <v>1322</v>
      </c>
      <c r="D217" s="48" t="s">
        <v>1412</v>
      </c>
      <c r="E217" s="50">
        <v>45169</v>
      </c>
      <c r="F217" s="49" t="s">
        <v>1321</v>
      </c>
      <c r="G217" s="48" t="s">
        <v>36</v>
      </c>
      <c r="H217" s="48" t="s">
        <v>52</v>
      </c>
      <c r="I217" s="51">
        <v>-846609.81</v>
      </c>
      <c r="J217" s="51"/>
      <c r="K217" s="51"/>
      <c r="L217" s="48" t="s">
        <v>40</v>
      </c>
      <c r="M217" s="48" t="s">
        <v>1433</v>
      </c>
      <c r="N217" s="48" t="s">
        <v>1434</v>
      </c>
      <c r="O217" s="49" t="s">
        <v>1435</v>
      </c>
      <c r="P217" s="48" t="s">
        <v>38</v>
      </c>
      <c r="Q217" s="48" t="s">
        <v>37</v>
      </c>
      <c r="R217" s="48" t="s">
        <v>1436</v>
      </c>
      <c r="S217" s="48" t="s">
        <v>1436</v>
      </c>
      <c r="T217" s="48" t="s">
        <v>1436</v>
      </c>
      <c r="U217" s="48" t="s">
        <v>38</v>
      </c>
      <c r="V217" s="48" t="s">
        <v>39</v>
      </c>
      <c r="W217" s="48" t="s">
        <v>40</v>
      </c>
      <c r="X217" s="48" t="s">
        <v>41</v>
      </c>
      <c r="Y217" s="48" t="s">
        <v>1436</v>
      </c>
      <c r="Z217" s="48" t="s">
        <v>1436</v>
      </c>
      <c r="AA217" s="48" t="s">
        <v>1436</v>
      </c>
      <c r="AB217" s="49" t="s">
        <v>193</v>
      </c>
      <c r="AC217" s="48" t="s">
        <v>1194</v>
      </c>
      <c r="AD217" s="48" t="s">
        <v>1244</v>
      </c>
      <c r="AE217" s="48" t="s">
        <v>36</v>
      </c>
    </row>
    <row r="218" spans="1:31" x14ac:dyDescent="0.3">
      <c r="A218" s="48" t="s">
        <v>1320</v>
      </c>
      <c r="B218" s="48" t="s">
        <v>6</v>
      </c>
      <c r="C218" s="48" t="s">
        <v>1322</v>
      </c>
      <c r="D218" s="48" t="s">
        <v>1411</v>
      </c>
      <c r="E218" s="50">
        <v>45169</v>
      </c>
      <c r="F218" s="49" t="s">
        <v>1321</v>
      </c>
      <c r="G218" s="48" t="s">
        <v>36</v>
      </c>
      <c r="H218" s="48" t="s">
        <v>50</v>
      </c>
      <c r="I218" s="51">
        <v>338643.93</v>
      </c>
      <c r="J218" s="51"/>
      <c r="K218" s="51"/>
      <c r="L218" s="48" t="s">
        <v>40</v>
      </c>
      <c r="M218" s="48" t="s">
        <v>1438</v>
      </c>
      <c r="N218" s="48" t="s">
        <v>1444</v>
      </c>
      <c r="O218" s="49" t="s">
        <v>1445</v>
      </c>
      <c r="P218" s="48" t="s">
        <v>38</v>
      </c>
      <c r="Q218" s="48" t="s">
        <v>37</v>
      </c>
      <c r="R218" s="48" t="s">
        <v>1436</v>
      </c>
      <c r="S218" s="48" t="s">
        <v>1436</v>
      </c>
      <c r="T218" s="48" t="s">
        <v>1436</v>
      </c>
      <c r="U218" s="48" t="s">
        <v>38</v>
      </c>
      <c r="V218" s="48" t="s">
        <v>39</v>
      </c>
      <c r="W218" s="48" t="s">
        <v>40</v>
      </c>
      <c r="X218" s="48" t="s">
        <v>41</v>
      </c>
      <c r="Y218" s="48" t="s">
        <v>1436</v>
      </c>
      <c r="Z218" s="48" t="s">
        <v>1436</v>
      </c>
      <c r="AA218" s="48" t="s">
        <v>1436</v>
      </c>
      <c r="AB218" s="49" t="s">
        <v>193</v>
      </c>
      <c r="AC218" s="48" t="s">
        <v>1194</v>
      </c>
      <c r="AD218" s="48" t="s">
        <v>1244</v>
      </c>
      <c r="AE218" s="48" t="s">
        <v>36</v>
      </c>
    </row>
    <row r="219" spans="1:31" x14ac:dyDescent="0.3">
      <c r="A219" s="48" t="s">
        <v>1320</v>
      </c>
      <c r="B219" s="48" t="s">
        <v>6</v>
      </c>
      <c r="C219" s="48" t="s">
        <v>1322</v>
      </c>
      <c r="D219" s="48" t="s">
        <v>1410</v>
      </c>
      <c r="E219" s="50">
        <v>45169</v>
      </c>
      <c r="F219" s="49" t="s">
        <v>1321</v>
      </c>
      <c r="G219" s="48" t="s">
        <v>36</v>
      </c>
      <c r="H219" s="48" t="s">
        <v>42</v>
      </c>
      <c r="I219" s="51">
        <v>2539829.423163</v>
      </c>
      <c r="J219" s="51"/>
      <c r="K219" s="51"/>
      <c r="L219" s="48" t="s">
        <v>40</v>
      </c>
      <c r="M219" s="48" t="s">
        <v>1433</v>
      </c>
      <c r="N219" s="48" t="s">
        <v>1434</v>
      </c>
      <c r="O219" s="49" t="s">
        <v>1437</v>
      </c>
      <c r="P219" s="48" t="s">
        <v>38</v>
      </c>
      <c r="Q219" s="48" t="s">
        <v>37</v>
      </c>
      <c r="R219" s="48" t="s">
        <v>1436</v>
      </c>
      <c r="S219" s="48" t="s">
        <v>1436</v>
      </c>
      <c r="T219" s="48" t="s">
        <v>1436</v>
      </c>
      <c r="U219" s="48" t="s">
        <v>38</v>
      </c>
      <c r="V219" s="48" t="s">
        <v>39</v>
      </c>
      <c r="W219" s="48" t="s">
        <v>40</v>
      </c>
      <c r="X219" s="48" t="s">
        <v>41</v>
      </c>
      <c r="Y219" s="48" t="s">
        <v>1436</v>
      </c>
      <c r="Z219" s="48" t="s">
        <v>1436</v>
      </c>
      <c r="AA219" s="48" t="s">
        <v>1436</v>
      </c>
      <c r="AB219" s="49" t="s">
        <v>193</v>
      </c>
      <c r="AC219" s="48" t="s">
        <v>1194</v>
      </c>
      <c r="AD219" s="48" t="s">
        <v>1244</v>
      </c>
      <c r="AE219" s="48" t="s">
        <v>36</v>
      </c>
    </row>
    <row r="220" spans="1:31" x14ac:dyDescent="0.3">
      <c r="A220" s="48" t="s">
        <v>1320</v>
      </c>
      <c r="B220" s="48" t="s">
        <v>6</v>
      </c>
      <c r="C220" s="48" t="s">
        <v>1322</v>
      </c>
      <c r="D220" s="48" t="s">
        <v>1409</v>
      </c>
      <c r="E220" s="50">
        <v>45169</v>
      </c>
      <c r="F220" s="49" t="s">
        <v>1321</v>
      </c>
      <c r="G220" s="48" t="s">
        <v>36</v>
      </c>
      <c r="H220" s="48" t="s">
        <v>45</v>
      </c>
      <c r="I220" s="51">
        <v>-1288189.9871739999</v>
      </c>
      <c r="J220" s="51"/>
      <c r="K220" s="51"/>
      <c r="L220" s="48" t="s">
        <v>40</v>
      </c>
      <c r="M220" s="48" t="s">
        <v>1433</v>
      </c>
      <c r="N220" s="48" t="s">
        <v>1447</v>
      </c>
      <c r="O220" s="49" t="s">
        <v>1449</v>
      </c>
      <c r="P220" s="48" t="s">
        <v>38</v>
      </c>
      <c r="Q220" s="48" t="s">
        <v>37</v>
      </c>
      <c r="R220" s="48" t="s">
        <v>1436</v>
      </c>
      <c r="S220" s="48" t="s">
        <v>1436</v>
      </c>
      <c r="T220" s="48" t="s">
        <v>1436</v>
      </c>
      <c r="U220" s="48" t="s">
        <v>38</v>
      </c>
      <c r="V220" s="48" t="s">
        <v>39</v>
      </c>
      <c r="W220" s="48" t="s">
        <v>40</v>
      </c>
      <c r="X220" s="48" t="s">
        <v>41</v>
      </c>
      <c r="Y220" s="48" t="s">
        <v>1436</v>
      </c>
      <c r="Z220" s="48" t="s">
        <v>1436</v>
      </c>
      <c r="AA220" s="48" t="s">
        <v>1436</v>
      </c>
      <c r="AB220" s="49" t="s">
        <v>193</v>
      </c>
      <c r="AC220" s="48" t="s">
        <v>1194</v>
      </c>
      <c r="AD220" s="48" t="s">
        <v>1244</v>
      </c>
      <c r="AE220" s="48" t="s">
        <v>36</v>
      </c>
    </row>
    <row r="221" spans="1:31" x14ac:dyDescent="0.3">
      <c r="A221" s="48" t="s">
        <v>1320</v>
      </c>
      <c r="B221" s="48" t="s">
        <v>6</v>
      </c>
      <c r="C221" s="48" t="s">
        <v>1322</v>
      </c>
      <c r="D221" s="48" t="s">
        <v>1408</v>
      </c>
      <c r="E221" s="50">
        <v>45169</v>
      </c>
      <c r="F221" s="49" t="s">
        <v>1321</v>
      </c>
      <c r="G221" s="48" t="s">
        <v>36</v>
      </c>
      <c r="H221" s="48" t="s">
        <v>54</v>
      </c>
      <c r="I221" s="51">
        <v>-491010.7</v>
      </c>
      <c r="J221" s="51"/>
      <c r="K221" s="51"/>
      <c r="L221" s="48" t="s">
        <v>40</v>
      </c>
      <c r="M221" s="48" t="s">
        <v>1433</v>
      </c>
      <c r="N221" s="48" t="s">
        <v>1447</v>
      </c>
      <c r="O221" s="49" t="s">
        <v>1450</v>
      </c>
      <c r="P221" s="48" t="s">
        <v>38</v>
      </c>
      <c r="Q221" s="48" t="s">
        <v>37</v>
      </c>
      <c r="R221" s="48" t="s">
        <v>1436</v>
      </c>
      <c r="S221" s="48" t="s">
        <v>1436</v>
      </c>
      <c r="T221" s="48" t="s">
        <v>1436</v>
      </c>
      <c r="U221" s="48" t="s">
        <v>38</v>
      </c>
      <c r="V221" s="48" t="s">
        <v>39</v>
      </c>
      <c r="W221" s="48" t="s">
        <v>40</v>
      </c>
      <c r="X221" s="48" t="s">
        <v>41</v>
      </c>
      <c r="Y221" s="48" t="s">
        <v>1436</v>
      </c>
      <c r="Z221" s="48" t="s">
        <v>1436</v>
      </c>
      <c r="AA221" s="48" t="s">
        <v>1436</v>
      </c>
      <c r="AB221" s="49" t="s">
        <v>193</v>
      </c>
      <c r="AC221" s="48" t="s">
        <v>1194</v>
      </c>
      <c r="AD221" s="48" t="s">
        <v>1244</v>
      </c>
      <c r="AE221" s="48" t="s">
        <v>36</v>
      </c>
    </row>
    <row r="222" spans="1:31" x14ac:dyDescent="0.3">
      <c r="A222" s="48" t="s">
        <v>1320</v>
      </c>
      <c r="B222" s="48" t="s">
        <v>6</v>
      </c>
      <c r="C222" s="48" t="s">
        <v>1322</v>
      </c>
      <c r="D222" s="48" t="s">
        <v>1407</v>
      </c>
      <c r="E222" s="50">
        <v>45169</v>
      </c>
      <c r="F222" s="49" t="s">
        <v>1321</v>
      </c>
      <c r="G222" s="48" t="s">
        <v>36</v>
      </c>
      <c r="H222" s="48" t="s">
        <v>47</v>
      </c>
      <c r="I222" s="51">
        <v>89389.228851000007</v>
      </c>
      <c r="J222" s="51"/>
      <c r="K222" s="51"/>
      <c r="L222" s="48" t="s">
        <v>40</v>
      </c>
      <c r="M222" s="48" t="s">
        <v>1438</v>
      </c>
      <c r="N222" s="48" t="s">
        <v>1444</v>
      </c>
      <c r="O222" s="49" t="s">
        <v>1446</v>
      </c>
      <c r="P222" s="48" t="s">
        <v>38</v>
      </c>
      <c r="Q222" s="48" t="s">
        <v>37</v>
      </c>
      <c r="R222" s="48" t="s">
        <v>1436</v>
      </c>
      <c r="S222" s="48" t="s">
        <v>1436</v>
      </c>
      <c r="T222" s="48" t="s">
        <v>1436</v>
      </c>
      <c r="U222" s="48" t="s">
        <v>38</v>
      </c>
      <c r="V222" s="48" t="s">
        <v>39</v>
      </c>
      <c r="W222" s="48" t="s">
        <v>40</v>
      </c>
      <c r="X222" s="48" t="s">
        <v>41</v>
      </c>
      <c r="Y222" s="48" t="s">
        <v>1436</v>
      </c>
      <c r="Z222" s="48" t="s">
        <v>1436</v>
      </c>
      <c r="AA222" s="48" t="s">
        <v>1436</v>
      </c>
      <c r="AB222" s="49" t="s">
        <v>193</v>
      </c>
      <c r="AC222" s="48" t="s">
        <v>1194</v>
      </c>
      <c r="AD222" s="48" t="s">
        <v>1244</v>
      </c>
      <c r="AE222" s="48" t="s">
        <v>36</v>
      </c>
    </row>
    <row r="223" spans="1:31" x14ac:dyDescent="0.3">
      <c r="A223" s="48" t="s">
        <v>1320</v>
      </c>
      <c r="B223" s="48" t="s">
        <v>6</v>
      </c>
      <c r="C223" s="48" t="s">
        <v>1322</v>
      </c>
      <c r="D223" s="48" t="s">
        <v>1406</v>
      </c>
      <c r="E223" s="50">
        <v>45169</v>
      </c>
      <c r="F223" s="49" t="s">
        <v>1321</v>
      </c>
      <c r="G223" s="48" t="s">
        <v>36</v>
      </c>
      <c r="H223" s="48" t="s">
        <v>1441</v>
      </c>
      <c r="I223" s="51">
        <v>0</v>
      </c>
      <c r="J223" s="51"/>
      <c r="K223" s="51"/>
      <c r="L223" s="48" t="s">
        <v>1194</v>
      </c>
      <c r="M223" s="48" t="s">
        <v>1438</v>
      </c>
      <c r="N223" s="48" t="s">
        <v>1439</v>
      </c>
      <c r="O223" s="49" t="s">
        <v>1440</v>
      </c>
      <c r="P223" s="48" t="s">
        <v>38</v>
      </c>
      <c r="Q223" s="48" t="s">
        <v>37</v>
      </c>
      <c r="R223" s="48" t="s">
        <v>1436</v>
      </c>
      <c r="S223" s="48" t="s">
        <v>1436</v>
      </c>
      <c r="T223" s="48" t="s">
        <v>1436</v>
      </c>
      <c r="U223" s="48" t="s">
        <v>38</v>
      </c>
      <c r="V223" s="48" t="s">
        <v>39</v>
      </c>
      <c r="W223" s="48" t="s">
        <v>1194</v>
      </c>
      <c r="X223" s="48" t="s">
        <v>41</v>
      </c>
      <c r="Y223" s="48" t="s">
        <v>1436</v>
      </c>
      <c r="Z223" s="48" t="s">
        <v>1436</v>
      </c>
      <c r="AA223" s="48" t="s">
        <v>1436</v>
      </c>
      <c r="AB223" s="49" t="s">
        <v>193</v>
      </c>
      <c r="AC223" s="48" t="s">
        <v>1194</v>
      </c>
      <c r="AD223" s="48" t="s">
        <v>1244</v>
      </c>
      <c r="AE223" s="48" t="s">
        <v>36</v>
      </c>
    </row>
    <row r="224" spans="1:31" x14ac:dyDescent="0.3">
      <c r="A224" s="48" t="s">
        <v>1320</v>
      </c>
      <c r="B224" s="48" t="s">
        <v>6</v>
      </c>
      <c r="C224" s="48" t="s">
        <v>1322</v>
      </c>
      <c r="D224" s="48" t="s">
        <v>1405</v>
      </c>
      <c r="E224" s="50">
        <v>45169</v>
      </c>
      <c r="F224" s="49" t="s">
        <v>1321</v>
      </c>
      <c r="G224" s="48" t="s">
        <v>36</v>
      </c>
      <c r="H224" s="48" t="s">
        <v>1443</v>
      </c>
      <c r="I224" s="51">
        <v>0</v>
      </c>
      <c r="J224" s="51"/>
      <c r="K224" s="51"/>
      <c r="L224" s="48" t="s">
        <v>1194</v>
      </c>
      <c r="M224" s="48" t="s">
        <v>1438</v>
      </c>
      <c r="N224" s="48" t="s">
        <v>1439</v>
      </c>
      <c r="O224" s="49" t="s">
        <v>1442</v>
      </c>
      <c r="P224" s="48" t="s">
        <v>38</v>
      </c>
      <c r="Q224" s="48" t="s">
        <v>37</v>
      </c>
      <c r="R224" s="48" t="s">
        <v>1436</v>
      </c>
      <c r="S224" s="48" t="s">
        <v>1436</v>
      </c>
      <c r="T224" s="48" t="s">
        <v>1436</v>
      </c>
      <c r="U224" s="48" t="s">
        <v>38</v>
      </c>
      <c r="V224" s="48" t="s">
        <v>39</v>
      </c>
      <c r="W224" s="48" t="s">
        <v>1194</v>
      </c>
      <c r="X224" s="48" t="s">
        <v>41</v>
      </c>
      <c r="Y224" s="48" t="s">
        <v>1436</v>
      </c>
      <c r="Z224" s="48" t="s">
        <v>1436</v>
      </c>
      <c r="AA224" s="48" t="s">
        <v>1436</v>
      </c>
      <c r="AB224" s="49" t="s">
        <v>193</v>
      </c>
      <c r="AC224" s="48" t="s">
        <v>1194</v>
      </c>
      <c r="AD224" s="48" t="s">
        <v>1244</v>
      </c>
      <c r="AE224" s="48" t="s">
        <v>36</v>
      </c>
    </row>
    <row r="225" spans="1:31" x14ac:dyDescent="0.3">
      <c r="A225" s="48" t="s">
        <v>1320</v>
      </c>
      <c r="B225" s="48" t="s">
        <v>6</v>
      </c>
      <c r="C225" s="48" t="s">
        <v>1322</v>
      </c>
      <c r="D225" s="48" t="s">
        <v>1404</v>
      </c>
      <c r="E225" s="50">
        <v>45169</v>
      </c>
      <c r="F225" s="49" t="s">
        <v>1321</v>
      </c>
      <c r="G225" s="48" t="s">
        <v>36</v>
      </c>
      <c r="H225" s="48" t="s">
        <v>49</v>
      </c>
      <c r="I225" s="51">
        <v>-10378.670674999999</v>
      </c>
      <c r="J225" s="51"/>
      <c r="K225" s="51"/>
      <c r="L225" s="48" t="s">
        <v>38</v>
      </c>
      <c r="M225" s="48" t="s">
        <v>1433</v>
      </c>
      <c r="N225" s="48" t="s">
        <v>1447</v>
      </c>
      <c r="O225" s="49" t="s">
        <v>1451</v>
      </c>
      <c r="P225" s="48" t="s">
        <v>38</v>
      </c>
      <c r="Q225" s="48" t="s">
        <v>37</v>
      </c>
      <c r="R225" s="48" t="s">
        <v>1436</v>
      </c>
      <c r="S225" s="48" t="s">
        <v>1436</v>
      </c>
      <c r="T225" s="48" t="s">
        <v>1436</v>
      </c>
      <c r="U225" s="48" t="s">
        <v>38</v>
      </c>
      <c r="V225" s="48" t="s">
        <v>39</v>
      </c>
      <c r="W225" s="48" t="s">
        <v>38</v>
      </c>
      <c r="X225" s="48" t="s">
        <v>41</v>
      </c>
      <c r="Y225" s="48" t="s">
        <v>1436</v>
      </c>
      <c r="Z225" s="48" t="s">
        <v>1436</v>
      </c>
      <c r="AA225" s="48" t="s">
        <v>1436</v>
      </c>
      <c r="AB225" s="49" t="s">
        <v>193</v>
      </c>
      <c r="AC225" s="48" t="s">
        <v>1194</v>
      </c>
      <c r="AD225" s="48" t="s">
        <v>1244</v>
      </c>
      <c r="AE225" s="48" t="s">
        <v>36</v>
      </c>
    </row>
    <row r="226" spans="1:31" x14ac:dyDescent="0.3">
      <c r="A226" s="48" t="s">
        <v>1320</v>
      </c>
      <c r="B226" s="48" t="s">
        <v>6</v>
      </c>
      <c r="C226" s="48" t="s">
        <v>1322</v>
      </c>
      <c r="D226" s="48" t="s">
        <v>1413</v>
      </c>
      <c r="E226" s="50">
        <v>45199</v>
      </c>
      <c r="F226" s="49" t="s">
        <v>1321</v>
      </c>
      <c r="G226" s="48" t="s">
        <v>36</v>
      </c>
      <c r="H226" s="48" t="s">
        <v>58</v>
      </c>
      <c r="I226" s="51">
        <v>-1050000</v>
      </c>
      <c r="J226" s="51"/>
      <c r="K226" s="51"/>
      <c r="L226" s="48" t="s">
        <v>40</v>
      </c>
      <c r="M226" s="48" t="s">
        <v>1433</v>
      </c>
      <c r="N226" s="48" t="s">
        <v>1447</v>
      </c>
      <c r="O226" s="49" t="s">
        <v>1448</v>
      </c>
      <c r="P226" s="48" t="s">
        <v>38</v>
      </c>
      <c r="Q226" s="48" t="s">
        <v>37</v>
      </c>
      <c r="R226" s="48" t="s">
        <v>1436</v>
      </c>
      <c r="S226" s="48" t="s">
        <v>1436</v>
      </c>
      <c r="T226" s="48" t="s">
        <v>1436</v>
      </c>
      <c r="U226" s="48" t="s">
        <v>38</v>
      </c>
      <c r="V226" s="48" t="s">
        <v>39</v>
      </c>
      <c r="W226" s="48" t="s">
        <v>40</v>
      </c>
      <c r="X226" s="48" t="s">
        <v>41</v>
      </c>
      <c r="Y226" s="48" t="s">
        <v>1436</v>
      </c>
      <c r="Z226" s="48" t="s">
        <v>1436</v>
      </c>
      <c r="AA226" s="48" t="s">
        <v>1436</v>
      </c>
      <c r="AB226" s="49" t="s">
        <v>193</v>
      </c>
      <c r="AC226" s="48" t="s">
        <v>1194</v>
      </c>
      <c r="AD226" s="48" t="s">
        <v>1244</v>
      </c>
      <c r="AE226" s="48" t="s">
        <v>36</v>
      </c>
    </row>
    <row r="227" spans="1:31" x14ac:dyDescent="0.3">
      <c r="A227" s="48" t="s">
        <v>1320</v>
      </c>
      <c r="B227" s="48" t="s">
        <v>6</v>
      </c>
      <c r="C227" s="48" t="s">
        <v>1322</v>
      </c>
      <c r="D227" s="48" t="s">
        <v>1412</v>
      </c>
      <c r="E227" s="50">
        <v>45199</v>
      </c>
      <c r="F227" s="49" t="s">
        <v>1321</v>
      </c>
      <c r="G227" s="48" t="s">
        <v>36</v>
      </c>
      <c r="H227" s="48" t="s">
        <v>52</v>
      </c>
      <c r="I227" s="51">
        <v>-888940.3</v>
      </c>
      <c r="J227" s="51"/>
      <c r="K227" s="51"/>
      <c r="L227" s="48" t="s">
        <v>40</v>
      </c>
      <c r="M227" s="48" t="s">
        <v>1433</v>
      </c>
      <c r="N227" s="48" t="s">
        <v>1434</v>
      </c>
      <c r="O227" s="49" t="s">
        <v>1435</v>
      </c>
      <c r="P227" s="48" t="s">
        <v>38</v>
      </c>
      <c r="Q227" s="48" t="s">
        <v>37</v>
      </c>
      <c r="R227" s="48" t="s">
        <v>1436</v>
      </c>
      <c r="S227" s="48" t="s">
        <v>1436</v>
      </c>
      <c r="T227" s="48" t="s">
        <v>1436</v>
      </c>
      <c r="U227" s="48" t="s">
        <v>38</v>
      </c>
      <c r="V227" s="48" t="s">
        <v>39</v>
      </c>
      <c r="W227" s="48" t="s">
        <v>40</v>
      </c>
      <c r="X227" s="48" t="s">
        <v>41</v>
      </c>
      <c r="Y227" s="48" t="s">
        <v>1436</v>
      </c>
      <c r="Z227" s="48" t="s">
        <v>1436</v>
      </c>
      <c r="AA227" s="48" t="s">
        <v>1436</v>
      </c>
      <c r="AB227" s="49" t="s">
        <v>193</v>
      </c>
      <c r="AC227" s="48" t="s">
        <v>1194</v>
      </c>
      <c r="AD227" s="48" t="s">
        <v>1244</v>
      </c>
      <c r="AE227" s="48" t="s">
        <v>36</v>
      </c>
    </row>
    <row r="228" spans="1:31" x14ac:dyDescent="0.3">
      <c r="A228" s="48" t="s">
        <v>1320</v>
      </c>
      <c r="B228" s="48" t="s">
        <v>6</v>
      </c>
      <c r="C228" s="48" t="s">
        <v>1322</v>
      </c>
      <c r="D228" s="48" t="s">
        <v>1411</v>
      </c>
      <c r="E228" s="50">
        <v>45199</v>
      </c>
      <c r="F228" s="49" t="s">
        <v>1321</v>
      </c>
      <c r="G228" s="48" t="s">
        <v>36</v>
      </c>
      <c r="H228" s="48" t="s">
        <v>50</v>
      </c>
      <c r="I228" s="51">
        <v>380974.42</v>
      </c>
      <c r="J228" s="51"/>
      <c r="K228" s="51"/>
      <c r="L228" s="48" t="s">
        <v>40</v>
      </c>
      <c r="M228" s="48" t="s">
        <v>1438</v>
      </c>
      <c r="N228" s="48" t="s">
        <v>1444</v>
      </c>
      <c r="O228" s="49" t="s">
        <v>1445</v>
      </c>
      <c r="P228" s="48" t="s">
        <v>38</v>
      </c>
      <c r="Q228" s="48" t="s">
        <v>37</v>
      </c>
      <c r="R228" s="48" t="s">
        <v>1436</v>
      </c>
      <c r="S228" s="48" t="s">
        <v>1436</v>
      </c>
      <c r="T228" s="48" t="s">
        <v>1436</v>
      </c>
      <c r="U228" s="48" t="s">
        <v>38</v>
      </c>
      <c r="V228" s="48" t="s">
        <v>39</v>
      </c>
      <c r="W228" s="48" t="s">
        <v>40</v>
      </c>
      <c r="X228" s="48" t="s">
        <v>41</v>
      </c>
      <c r="Y228" s="48" t="s">
        <v>1436</v>
      </c>
      <c r="Z228" s="48" t="s">
        <v>1436</v>
      </c>
      <c r="AA228" s="48" t="s">
        <v>1436</v>
      </c>
      <c r="AB228" s="49" t="s">
        <v>193</v>
      </c>
      <c r="AC228" s="48" t="s">
        <v>1194</v>
      </c>
      <c r="AD228" s="48" t="s">
        <v>1244</v>
      </c>
      <c r="AE228" s="48" t="s">
        <v>36</v>
      </c>
    </row>
    <row r="229" spans="1:31" x14ac:dyDescent="0.3">
      <c r="A229" s="48" t="s">
        <v>1320</v>
      </c>
      <c r="B229" s="48" t="s">
        <v>6</v>
      </c>
      <c r="C229" s="48" t="s">
        <v>1322</v>
      </c>
      <c r="D229" s="48" t="s">
        <v>1410</v>
      </c>
      <c r="E229" s="50">
        <v>45199</v>
      </c>
      <c r="F229" s="49" t="s">
        <v>1321</v>
      </c>
      <c r="G229" s="48" t="s">
        <v>36</v>
      </c>
      <c r="H229" s="48" t="s">
        <v>42</v>
      </c>
      <c r="I229" s="51">
        <v>2539829.423163</v>
      </c>
      <c r="J229" s="51"/>
      <c r="K229" s="51"/>
      <c r="L229" s="48" t="s">
        <v>40</v>
      </c>
      <c r="M229" s="48" t="s">
        <v>1433</v>
      </c>
      <c r="N229" s="48" t="s">
        <v>1434</v>
      </c>
      <c r="O229" s="49" t="s">
        <v>1437</v>
      </c>
      <c r="P229" s="48" t="s">
        <v>38</v>
      </c>
      <c r="Q229" s="48" t="s">
        <v>37</v>
      </c>
      <c r="R229" s="48" t="s">
        <v>1436</v>
      </c>
      <c r="S229" s="48" t="s">
        <v>1436</v>
      </c>
      <c r="T229" s="48" t="s">
        <v>1436</v>
      </c>
      <c r="U229" s="48" t="s">
        <v>38</v>
      </c>
      <c r="V229" s="48" t="s">
        <v>39</v>
      </c>
      <c r="W229" s="48" t="s">
        <v>40</v>
      </c>
      <c r="X229" s="48" t="s">
        <v>41</v>
      </c>
      <c r="Y229" s="48" t="s">
        <v>1436</v>
      </c>
      <c r="Z229" s="48" t="s">
        <v>1436</v>
      </c>
      <c r="AA229" s="48" t="s">
        <v>1436</v>
      </c>
      <c r="AB229" s="49" t="s">
        <v>193</v>
      </c>
      <c r="AC229" s="48" t="s">
        <v>1194</v>
      </c>
      <c r="AD229" s="48" t="s">
        <v>1244</v>
      </c>
      <c r="AE229" s="48" t="s">
        <v>36</v>
      </c>
    </row>
    <row r="230" spans="1:31" x14ac:dyDescent="0.3">
      <c r="A230" s="48" t="s">
        <v>1320</v>
      </c>
      <c r="B230" s="48" t="s">
        <v>6</v>
      </c>
      <c r="C230" s="48" t="s">
        <v>1322</v>
      </c>
      <c r="D230" s="48" t="s">
        <v>1409</v>
      </c>
      <c r="E230" s="50">
        <v>45199</v>
      </c>
      <c r="F230" s="49" t="s">
        <v>1321</v>
      </c>
      <c r="G230" s="48" t="s">
        <v>36</v>
      </c>
      <c r="H230" s="48" t="s">
        <v>45</v>
      </c>
      <c r="I230" s="51">
        <v>-1245704.4178490001</v>
      </c>
      <c r="J230" s="51"/>
      <c r="K230" s="51"/>
      <c r="L230" s="48" t="s">
        <v>40</v>
      </c>
      <c r="M230" s="48" t="s">
        <v>1433</v>
      </c>
      <c r="N230" s="48" t="s">
        <v>1447</v>
      </c>
      <c r="O230" s="49" t="s">
        <v>1449</v>
      </c>
      <c r="P230" s="48" t="s">
        <v>38</v>
      </c>
      <c r="Q230" s="48" t="s">
        <v>37</v>
      </c>
      <c r="R230" s="48" t="s">
        <v>1436</v>
      </c>
      <c r="S230" s="48" t="s">
        <v>1436</v>
      </c>
      <c r="T230" s="48" t="s">
        <v>1436</v>
      </c>
      <c r="U230" s="48" t="s">
        <v>38</v>
      </c>
      <c r="V230" s="48" t="s">
        <v>39</v>
      </c>
      <c r="W230" s="48" t="s">
        <v>40</v>
      </c>
      <c r="X230" s="48" t="s">
        <v>41</v>
      </c>
      <c r="Y230" s="48" t="s">
        <v>1436</v>
      </c>
      <c r="Z230" s="48" t="s">
        <v>1436</v>
      </c>
      <c r="AA230" s="48" t="s">
        <v>1436</v>
      </c>
      <c r="AB230" s="49" t="s">
        <v>193</v>
      </c>
      <c r="AC230" s="48" t="s">
        <v>1194</v>
      </c>
      <c r="AD230" s="48" t="s">
        <v>1244</v>
      </c>
      <c r="AE230" s="48" t="s">
        <v>36</v>
      </c>
    </row>
    <row r="231" spans="1:31" x14ac:dyDescent="0.3">
      <c r="A231" s="48" t="s">
        <v>1320</v>
      </c>
      <c r="B231" s="48" t="s">
        <v>6</v>
      </c>
      <c r="C231" s="48" t="s">
        <v>1322</v>
      </c>
      <c r="D231" s="48" t="s">
        <v>1408</v>
      </c>
      <c r="E231" s="50">
        <v>45199</v>
      </c>
      <c r="F231" s="49" t="s">
        <v>1321</v>
      </c>
      <c r="G231" s="48" t="s">
        <v>36</v>
      </c>
      <c r="H231" s="48" t="s">
        <v>54</v>
      </c>
      <c r="I231" s="51">
        <v>-493874.94</v>
      </c>
      <c r="J231" s="51"/>
      <c r="K231" s="51"/>
      <c r="L231" s="48" t="s">
        <v>40</v>
      </c>
      <c r="M231" s="48" t="s">
        <v>1433</v>
      </c>
      <c r="N231" s="48" t="s">
        <v>1447</v>
      </c>
      <c r="O231" s="49" t="s">
        <v>1450</v>
      </c>
      <c r="P231" s="48" t="s">
        <v>38</v>
      </c>
      <c r="Q231" s="48" t="s">
        <v>37</v>
      </c>
      <c r="R231" s="48" t="s">
        <v>1436</v>
      </c>
      <c r="S231" s="48" t="s">
        <v>1436</v>
      </c>
      <c r="T231" s="48" t="s">
        <v>1436</v>
      </c>
      <c r="U231" s="48" t="s">
        <v>38</v>
      </c>
      <c r="V231" s="48" t="s">
        <v>39</v>
      </c>
      <c r="W231" s="48" t="s">
        <v>40</v>
      </c>
      <c r="X231" s="48" t="s">
        <v>41</v>
      </c>
      <c r="Y231" s="48" t="s">
        <v>1436</v>
      </c>
      <c r="Z231" s="48" t="s">
        <v>1436</v>
      </c>
      <c r="AA231" s="48" t="s">
        <v>1436</v>
      </c>
      <c r="AB231" s="49" t="s">
        <v>193</v>
      </c>
      <c r="AC231" s="48" t="s">
        <v>1194</v>
      </c>
      <c r="AD231" s="48" t="s">
        <v>1244</v>
      </c>
      <c r="AE231" s="48" t="s">
        <v>36</v>
      </c>
    </row>
    <row r="232" spans="1:31" x14ac:dyDescent="0.3">
      <c r="A232" s="48" t="s">
        <v>1320</v>
      </c>
      <c r="B232" s="48" t="s">
        <v>6</v>
      </c>
      <c r="C232" s="48" t="s">
        <v>1322</v>
      </c>
      <c r="D232" s="48" t="s">
        <v>1407</v>
      </c>
      <c r="E232" s="50">
        <v>45199</v>
      </c>
      <c r="F232" s="49" t="s">
        <v>1321</v>
      </c>
      <c r="G232" s="48" t="s">
        <v>36</v>
      </c>
      <c r="H232" s="48" t="s">
        <v>47</v>
      </c>
      <c r="I232" s="51">
        <v>99536.775104999993</v>
      </c>
      <c r="J232" s="51"/>
      <c r="K232" s="51"/>
      <c r="L232" s="48" t="s">
        <v>40</v>
      </c>
      <c r="M232" s="48" t="s">
        <v>1438</v>
      </c>
      <c r="N232" s="48" t="s">
        <v>1444</v>
      </c>
      <c r="O232" s="49" t="s">
        <v>1446</v>
      </c>
      <c r="P232" s="48" t="s">
        <v>38</v>
      </c>
      <c r="Q232" s="48" t="s">
        <v>37</v>
      </c>
      <c r="R232" s="48" t="s">
        <v>1436</v>
      </c>
      <c r="S232" s="48" t="s">
        <v>1436</v>
      </c>
      <c r="T232" s="48" t="s">
        <v>1436</v>
      </c>
      <c r="U232" s="48" t="s">
        <v>38</v>
      </c>
      <c r="V232" s="48" t="s">
        <v>39</v>
      </c>
      <c r="W232" s="48" t="s">
        <v>40</v>
      </c>
      <c r="X232" s="48" t="s">
        <v>41</v>
      </c>
      <c r="Y232" s="48" t="s">
        <v>1436</v>
      </c>
      <c r="Z232" s="48" t="s">
        <v>1436</v>
      </c>
      <c r="AA232" s="48" t="s">
        <v>1436</v>
      </c>
      <c r="AB232" s="49" t="s">
        <v>193</v>
      </c>
      <c r="AC232" s="48" t="s">
        <v>1194</v>
      </c>
      <c r="AD232" s="48" t="s">
        <v>1244</v>
      </c>
      <c r="AE232" s="48" t="s">
        <v>36</v>
      </c>
    </row>
    <row r="233" spans="1:31" x14ac:dyDescent="0.3">
      <c r="A233" s="48" t="s">
        <v>1320</v>
      </c>
      <c r="B233" s="48" t="s">
        <v>6</v>
      </c>
      <c r="C233" s="48" t="s">
        <v>1322</v>
      </c>
      <c r="D233" s="48" t="s">
        <v>1406</v>
      </c>
      <c r="E233" s="50">
        <v>45199</v>
      </c>
      <c r="F233" s="49" t="s">
        <v>1321</v>
      </c>
      <c r="G233" s="48" t="s">
        <v>36</v>
      </c>
      <c r="H233" s="48" t="s">
        <v>1441</v>
      </c>
      <c r="I233" s="51">
        <v>0</v>
      </c>
      <c r="J233" s="51"/>
      <c r="K233" s="51"/>
      <c r="L233" s="48" t="s">
        <v>1194</v>
      </c>
      <c r="M233" s="48" t="s">
        <v>1438</v>
      </c>
      <c r="N233" s="48" t="s">
        <v>1439</v>
      </c>
      <c r="O233" s="49" t="s">
        <v>1440</v>
      </c>
      <c r="P233" s="48" t="s">
        <v>38</v>
      </c>
      <c r="Q233" s="48" t="s">
        <v>37</v>
      </c>
      <c r="R233" s="48" t="s">
        <v>1436</v>
      </c>
      <c r="S233" s="48" t="s">
        <v>1436</v>
      </c>
      <c r="T233" s="48" t="s">
        <v>1436</v>
      </c>
      <c r="U233" s="48" t="s">
        <v>38</v>
      </c>
      <c r="V233" s="48" t="s">
        <v>39</v>
      </c>
      <c r="W233" s="48" t="s">
        <v>1194</v>
      </c>
      <c r="X233" s="48" t="s">
        <v>41</v>
      </c>
      <c r="Y233" s="48" t="s">
        <v>1436</v>
      </c>
      <c r="Z233" s="48" t="s">
        <v>1436</v>
      </c>
      <c r="AA233" s="48" t="s">
        <v>1436</v>
      </c>
      <c r="AB233" s="49" t="s">
        <v>193</v>
      </c>
      <c r="AC233" s="48" t="s">
        <v>1194</v>
      </c>
      <c r="AD233" s="48" t="s">
        <v>1244</v>
      </c>
      <c r="AE233" s="48" t="s">
        <v>36</v>
      </c>
    </row>
    <row r="234" spans="1:31" x14ac:dyDescent="0.3">
      <c r="A234" s="48" t="s">
        <v>1320</v>
      </c>
      <c r="B234" s="48" t="s">
        <v>6</v>
      </c>
      <c r="C234" s="48" t="s">
        <v>1322</v>
      </c>
      <c r="D234" s="48" t="s">
        <v>1405</v>
      </c>
      <c r="E234" s="50">
        <v>45199</v>
      </c>
      <c r="F234" s="49" t="s">
        <v>1321</v>
      </c>
      <c r="G234" s="48" t="s">
        <v>36</v>
      </c>
      <c r="H234" s="48" t="s">
        <v>1443</v>
      </c>
      <c r="I234" s="51">
        <v>0</v>
      </c>
      <c r="J234" s="51"/>
      <c r="K234" s="51"/>
      <c r="L234" s="48" t="s">
        <v>1194</v>
      </c>
      <c r="M234" s="48" t="s">
        <v>1438</v>
      </c>
      <c r="N234" s="48" t="s">
        <v>1439</v>
      </c>
      <c r="O234" s="49" t="s">
        <v>1442</v>
      </c>
      <c r="P234" s="48" t="s">
        <v>38</v>
      </c>
      <c r="Q234" s="48" t="s">
        <v>37</v>
      </c>
      <c r="R234" s="48" t="s">
        <v>1436</v>
      </c>
      <c r="S234" s="48" t="s">
        <v>1436</v>
      </c>
      <c r="T234" s="48" t="s">
        <v>1436</v>
      </c>
      <c r="U234" s="48" t="s">
        <v>38</v>
      </c>
      <c r="V234" s="48" t="s">
        <v>39</v>
      </c>
      <c r="W234" s="48" t="s">
        <v>1194</v>
      </c>
      <c r="X234" s="48" t="s">
        <v>41</v>
      </c>
      <c r="Y234" s="48" t="s">
        <v>1436</v>
      </c>
      <c r="Z234" s="48" t="s">
        <v>1436</v>
      </c>
      <c r="AA234" s="48" t="s">
        <v>1436</v>
      </c>
      <c r="AB234" s="49" t="s">
        <v>193</v>
      </c>
      <c r="AC234" s="48" t="s">
        <v>1194</v>
      </c>
      <c r="AD234" s="48" t="s">
        <v>1244</v>
      </c>
      <c r="AE234" s="48" t="s">
        <v>36</v>
      </c>
    </row>
    <row r="235" spans="1:31" x14ac:dyDescent="0.3">
      <c r="A235" s="48" t="s">
        <v>1320</v>
      </c>
      <c r="B235" s="48" t="s">
        <v>6</v>
      </c>
      <c r="C235" s="48" t="s">
        <v>1322</v>
      </c>
      <c r="D235" s="48" t="s">
        <v>1404</v>
      </c>
      <c r="E235" s="50">
        <v>45199</v>
      </c>
      <c r="F235" s="49" t="s">
        <v>1321</v>
      </c>
      <c r="G235" s="48" t="s">
        <v>36</v>
      </c>
      <c r="H235" s="48" t="s">
        <v>49</v>
      </c>
      <c r="I235" s="51">
        <v>-10147.546254000001</v>
      </c>
      <c r="J235" s="51"/>
      <c r="K235" s="51"/>
      <c r="L235" s="48" t="s">
        <v>38</v>
      </c>
      <c r="M235" s="48" t="s">
        <v>1433</v>
      </c>
      <c r="N235" s="48" t="s">
        <v>1447</v>
      </c>
      <c r="O235" s="49" t="s">
        <v>1451</v>
      </c>
      <c r="P235" s="48" t="s">
        <v>38</v>
      </c>
      <c r="Q235" s="48" t="s">
        <v>37</v>
      </c>
      <c r="R235" s="48" t="s">
        <v>1436</v>
      </c>
      <c r="S235" s="48" t="s">
        <v>1436</v>
      </c>
      <c r="T235" s="48" t="s">
        <v>1436</v>
      </c>
      <c r="U235" s="48" t="s">
        <v>38</v>
      </c>
      <c r="V235" s="48" t="s">
        <v>39</v>
      </c>
      <c r="W235" s="48" t="s">
        <v>38</v>
      </c>
      <c r="X235" s="48" t="s">
        <v>41</v>
      </c>
      <c r="Y235" s="48" t="s">
        <v>1436</v>
      </c>
      <c r="Z235" s="48" t="s">
        <v>1436</v>
      </c>
      <c r="AA235" s="48" t="s">
        <v>1436</v>
      </c>
      <c r="AB235" s="49" t="s">
        <v>193</v>
      </c>
      <c r="AC235" s="48" t="s">
        <v>1194</v>
      </c>
      <c r="AD235" s="48" t="s">
        <v>1244</v>
      </c>
      <c r="AE235" s="48" t="s">
        <v>36</v>
      </c>
    </row>
    <row r="236" spans="1:31" x14ac:dyDescent="0.3">
      <c r="A236" s="48" t="s">
        <v>1320</v>
      </c>
      <c r="B236" s="48" t="s">
        <v>6</v>
      </c>
      <c r="C236" s="48" t="s">
        <v>1322</v>
      </c>
      <c r="D236" s="48" t="s">
        <v>1413</v>
      </c>
      <c r="E236" s="50">
        <v>45230</v>
      </c>
      <c r="F236" s="49" t="s">
        <v>1321</v>
      </c>
      <c r="G236" s="48" t="s">
        <v>36</v>
      </c>
      <c r="H236" s="48" t="s">
        <v>58</v>
      </c>
      <c r="I236" s="51">
        <v>-1100000</v>
      </c>
      <c r="J236" s="51"/>
      <c r="K236" s="51"/>
      <c r="L236" s="48" t="s">
        <v>40</v>
      </c>
      <c r="M236" s="48" t="s">
        <v>1433</v>
      </c>
      <c r="N236" s="48" t="s">
        <v>1447</v>
      </c>
      <c r="O236" s="49" t="s">
        <v>1448</v>
      </c>
      <c r="P236" s="48" t="s">
        <v>38</v>
      </c>
      <c r="Q236" s="48" t="s">
        <v>37</v>
      </c>
      <c r="R236" s="48" t="s">
        <v>1436</v>
      </c>
      <c r="S236" s="48" t="s">
        <v>1436</v>
      </c>
      <c r="T236" s="48" t="s">
        <v>1436</v>
      </c>
      <c r="U236" s="48" t="s">
        <v>38</v>
      </c>
      <c r="V236" s="48" t="s">
        <v>39</v>
      </c>
      <c r="W236" s="48" t="s">
        <v>40</v>
      </c>
      <c r="X236" s="48" t="s">
        <v>41</v>
      </c>
      <c r="Y236" s="48" t="s">
        <v>1436</v>
      </c>
      <c r="Z236" s="48" t="s">
        <v>1436</v>
      </c>
      <c r="AA236" s="48" t="s">
        <v>1436</v>
      </c>
      <c r="AB236" s="49" t="s">
        <v>193</v>
      </c>
      <c r="AC236" s="48" t="s">
        <v>1194</v>
      </c>
      <c r="AD236" s="48" t="s">
        <v>1244</v>
      </c>
      <c r="AE236" s="48" t="s">
        <v>36</v>
      </c>
    </row>
    <row r="237" spans="1:31" x14ac:dyDescent="0.3">
      <c r="A237" s="48" t="s">
        <v>1320</v>
      </c>
      <c r="B237" s="48" t="s">
        <v>6</v>
      </c>
      <c r="C237" s="48" t="s">
        <v>1322</v>
      </c>
      <c r="D237" s="48" t="s">
        <v>1412</v>
      </c>
      <c r="E237" s="50">
        <v>45230</v>
      </c>
      <c r="F237" s="49" t="s">
        <v>1321</v>
      </c>
      <c r="G237" s="48" t="s">
        <v>36</v>
      </c>
      <c r="H237" s="48" t="s">
        <v>52</v>
      </c>
      <c r="I237" s="51">
        <v>-931270.79</v>
      </c>
      <c r="J237" s="51"/>
      <c r="K237" s="51"/>
      <c r="L237" s="48" t="s">
        <v>40</v>
      </c>
      <c r="M237" s="48" t="s">
        <v>1433</v>
      </c>
      <c r="N237" s="48" t="s">
        <v>1434</v>
      </c>
      <c r="O237" s="49" t="s">
        <v>1435</v>
      </c>
      <c r="P237" s="48" t="s">
        <v>38</v>
      </c>
      <c r="Q237" s="48" t="s">
        <v>37</v>
      </c>
      <c r="R237" s="48" t="s">
        <v>1436</v>
      </c>
      <c r="S237" s="48" t="s">
        <v>1436</v>
      </c>
      <c r="T237" s="48" t="s">
        <v>1436</v>
      </c>
      <c r="U237" s="48" t="s">
        <v>38</v>
      </c>
      <c r="V237" s="48" t="s">
        <v>39</v>
      </c>
      <c r="W237" s="48" t="s">
        <v>40</v>
      </c>
      <c r="X237" s="48" t="s">
        <v>41</v>
      </c>
      <c r="Y237" s="48" t="s">
        <v>1436</v>
      </c>
      <c r="Z237" s="48" t="s">
        <v>1436</v>
      </c>
      <c r="AA237" s="48" t="s">
        <v>1436</v>
      </c>
      <c r="AB237" s="49" t="s">
        <v>193</v>
      </c>
      <c r="AC237" s="48" t="s">
        <v>1194</v>
      </c>
      <c r="AD237" s="48" t="s">
        <v>1244</v>
      </c>
      <c r="AE237" s="48" t="s">
        <v>36</v>
      </c>
    </row>
    <row r="238" spans="1:31" x14ac:dyDescent="0.3">
      <c r="A238" s="48" t="s">
        <v>1320</v>
      </c>
      <c r="B238" s="48" t="s">
        <v>6</v>
      </c>
      <c r="C238" s="48" t="s">
        <v>1322</v>
      </c>
      <c r="D238" s="48" t="s">
        <v>1411</v>
      </c>
      <c r="E238" s="50">
        <v>45230</v>
      </c>
      <c r="F238" s="49" t="s">
        <v>1321</v>
      </c>
      <c r="G238" s="48" t="s">
        <v>36</v>
      </c>
      <c r="H238" s="48" t="s">
        <v>50</v>
      </c>
      <c r="I238" s="51">
        <v>423304.91</v>
      </c>
      <c r="J238" s="51"/>
      <c r="K238" s="51"/>
      <c r="L238" s="48" t="s">
        <v>40</v>
      </c>
      <c r="M238" s="48" t="s">
        <v>1438</v>
      </c>
      <c r="N238" s="48" t="s">
        <v>1444</v>
      </c>
      <c r="O238" s="49" t="s">
        <v>1445</v>
      </c>
      <c r="P238" s="48" t="s">
        <v>38</v>
      </c>
      <c r="Q238" s="48" t="s">
        <v>37</v>
      </c>
      <c r="R238" s="48" t="s">
        <v>1436</v>
      </c>
      <c r="S238" s="48" t="s">
        <v>1436</v>
      </c>
      <c r="T238" s="48" t="s">
        <v>1436</v>
      </c>
      <c r="U238" s="48" t="s">
        <v>38</v>
      </c>
      <c r="V238" s="48" t="s">
        <v>39</v>
      </c>
      <c r="W238" s="48" t="s">
        <v>40</v>
      </c>
      <c r="X238" s="48" t="s">
        <v>41</v>
      </c>
      <c r="Y238" s="48" t="s">
        <v>1436</v>
      </c>
      <c r="Z238" s="48" t="s">
        <v>1436</v>
      </c>
      <c r="AA238" s="48" t="s">
        <v>1436</v>
      </c>
      <c r="AB238" s="49" t="s">
        <v>193</v>
      </c>
      <c r="AC238" s="48" t="s">
        <v>1194</v>
      </c>
      <c r="AD238" s="48" t="s">
        <v>1244</v>
      </c>
      <c r="AE238" s="48" t="s">
        <v>36</v>
      </c>
    </row>
    <row r="239" spans="1:31" x14ac:dyDescent="0.3">
      <c r="A239" s="48" t="s">
        <v>1320</v>
      </c>
      <c r="B239" s="48" t="s">
        <v>6</v>
      </c>
      <c r="C239" s="48" t="s">
        <v>1322</v>
      </c>
      <c r="D239" s="48" t="s">
        <v>1410</v>
      </c>
      <c r="E239" s="50">
        <v>45230</v>
      </c>
      <c r="F239" s="49" t="s">
        <v>1321</v>
      </c>
      <c r="G239" s="48" t="s">
        <v>36</v>
      </c>
      <c r="H239" s="48" t="s">
        <v>42</v>
      </c>
      <c r="I239" s="51">
        <v>2539829.423163</v>
      </c>
      <c r="J239" s="51"/>
      <c r="K239" s="51"/>
      <c r="L239" s="48" t="s">
        <v>40</v>
      </c>
      <c r="M239" s="48" t="s">
        <v>1433</v>
      </c>
      <c r="N239" s="48" t="s">
        <v>1434</v>
      </c>
      <c r="O239" s="49" t="s">
        <v>1437</v>
      </c>
      <c r="P239" s="48" t="s">
        <v>38</v>
      </c>
      <c r="Q239" s="48" t="s">
        <v>37</v>
      </c>
      <c r="R239" s="48" t="s">
        <v>1436</v>
      </c>
      <c r="S239" s="48" t="s">
        <v>1436</v>
      </c>
      <c r="T239" s="48" t="s">
        <v>1436</v>
      </c>
      <c r="U239" s="48" t="s">
        <v>38</v>
      </c>
      <c r="V239" s="48" t="s">
        <v>39</v>
      </c>
      <c r="W239" s="48" t="s">
        <v>40</v>
      </c>
      <c r="X239" s="48" t="s">
        <v>41</v>
      </c>
      <c r="Y239" s="48" t="s">
        <v>1436</v>
      </c>
      <c r="Z239" s="48" t="s">
        <v>1436</v>
      </c>
      <c r="AA239" s="48" t="s">
        <v>1436</v>
      </c>
      <c r="AB239" s="49" t="s">
        <v>193</v>
      </c>
      <c r="AC239" s="48" t="s">
        <v>1194</v>
      </c>
      <c r="AD239" s="48" t="s">
        <v>1244</v>
      </c>
      <c r="AE239" s="48" t="s">
        <v>36</v>
      </c>
    </row>
    <row r="240" spans="1:31" x14ac:dyDescent="0.3">
      <c r="A240" s="48" t="s">
        <v>1320</v>
      </c>
      <c r="B240" s="48" t="s">
        <v>6</v>
      </c>
      <c r="C240" s="48" t="s">
        <v>1322</v>
      </c>
      <c r="D240" s="48" t="s">
        <v>1409</v>
      </c>
      <c r="E240" s="50">
        <v>45230</v>
      </c>
      <c r="F240" s="49" t="s">
        <v>1321</v>
      </c>
      <c r="G240" s="48" t="s">
        <v>36</v>
      </c>
      <c r="H240" s="48" t="s">
        <v>45</v>
      </c>
      <c r="I240" s="51">
        <v>-1202971.0441030001</v>
      </c>
      <c r="J240" s="51"/>
      <c r="K240" s="51"/>
      <c r="L240" s="48" t="s">
        <v>40</v>
      </c>
      <c r="M240" s="48" t="s">
        <v>1433</v>
      </c>
      <c r="N240" s="48" t="s">
        <v>1447</v>
      </c>
      <c r="O240" s="49" t="s">
        <v>1449</v>
      </c>
      <c r="P240" s="48" t="s">
        <v>38</v>
      </c>
      <c r="Q240" s="48" t="s">
        <v>37</v>
      </c>
      <c r="R240" s="48" t="s">
        <v>1436</v>
      </c>
      <c r="S240" s="48" t="s">
        <v>1436</v>
      </c>
      <c r="T240" s="48" t="s">
        <v>1436</v>
      </c>
      <c r="U240" s="48" t="s">
        <v>38</v>
      </c>
      <c r="V240" s="48" t="s">
        <v>39</v>
      </c>
      <c r="W240" s="48" t="s">
        <v>40</v>
      </c>
      <c r="X240" s="48" t="s">
        <v>41</v>
      </c>
      <c r="Y240" s="48" t="s">
        <v>1436</v>
      </c>
      <c r="Z240" s="48" t="s">
        <v>1436</v>
      </c>
      <c r="AA240" s="48" t="s">
        <v>1436</v>
      </c>
      <c r="AB240" s="49" t="s">
        <v>193</v>
      </c>
      <c r="AC240" s="48" t="s">
        <v>1194</v>
      </c>
      <c r="AD240" s="48" t="s">
        <v>1244</v>
      </c>
      <c r="AE240" s="48" t="s">
        <v>36</v>
      </c>
    </row>
    <row r="241" spans="1:31" x14ac:dyDescent="0.3">
      <c r="A241" s="48" t="s">
        <v>1320</v>
      </c>
      <c r="B241" s="48" t="s">
        <v>6</v>
      </c>
      <c r="C241" s="48" t="s">
        <v>1322</v>
      </c>
      <c r="D241" s="48" t="s">
        <v>1408</v>
      </c>
      <c r="E241" s="50">
        <v>45230</v>
      </c>
      <c r="F241" s="49" t="s">
        <v>1321</v>
      </c>
      <c r="G241" s="48" t="s">
        <v>36</v>
      </c>
      <c r="H241" s="48" t="s">
        <v>54</v>
      </c>
      <c r="I241" s="51">
        <v>-496755.86</v>
      </c>
      <c r="J241" s="51"/>
      <c r="K241" s="51"/>
      <c r="L241" s="48" t="s">
        <v>40</v>
      </c>
      <c r="M241" s="48" t="s">
        <v>1433</v>
      </c>
      <c r="N241" s="48" t="s">
        <v>1447</v>
      </c>
      <c r="O241" s="49" t="s">
        <v>1450</v>
      </c>
      <c r="P241" s="48" t="s">
        <v>38</v>
      </c>
      <c r="Q241" s="48" t="s">
        <v>37</v>
      </c>
      <c r="R241" s="48" t="s">
        <v>1436</v>
      </c>
      <c r="S241" s="48" t="s">
        <v>1436</v>
      </c>
      <c r="T241" s="48" t="s">
        <v>1436</v>
      </c>
      <c r="U241" s="48" t="s">
        <v>38</v>
      </c>
      <c r="V241" s="48" t="s">
        <v>39</v>
      </c>
      <c r="W241" s="48" t="s">
        <v>40</v>
      </c>
      <c r="X241" s="48" t="s">
        <v>41</v>
      </c>
      <c r="Y241" s="48" t="s">
        <v>1436</v>
      </c>
      <c r="Z241" s="48" t="s">
        <v>1436</v>
      </c>
      <c r="AA241" s="48" t="s">
        <v>1436</v>
      </c>
      <c r="AB241" s="49" t="s">
        <v>193</v>
      </c>
      <c r="AC241" s="48" t="s">
        <v>1194</v>
      </c>
      <c r="AD241" s="48" t="s">
        <v>1244</v>
      </c>
      <c r="AE241" s="48" t="s">
        <v>36</v>
      </c>
    </row>
    <row r="242" spans="1:31" x14ac:dyDescent="0.3">
      <c r="A242" s="48" t="s">
        <v>1320</v>
      </c>
      <c r="B242" s="48" t="s">
        <v>6</v>
      </c>
      <c r="C242" s="48" t="s">
        <v>1322</v>
      </c>
      <c r="D242" s="48" t="s">
        <v>1407</v>
      </c>
      <c r="E242" s="50">
        <v>45230</v>
      </c>
      <c r="F242" s="49" t="s">
        <v>1321</v>
      </c>
      <c r="G242" s="48" t="s">
        <v>36</v>
      </c>
      <c r="H242" s="48" t="s">
        <v>47</v>
      </c>
      <c r="I242" s="51">
        <v>109451.84871200001</v>
      </c>
      <c r="J242" s="51"/>
      <c r="K242" s="51"/>
      <c r="L242" s="48" t="s">
        <v>40</v>
      </c>
      <c r="M242" s="48" t="s">
        <v>1438</v>
      </c>
      <c r="N242" s="48" t="s">
        <v>1444</v>
      </c>
      <c r="O242" s="49" t="s">
        <v>1446</v>
      </c>
      <c r="P242" s="48" t="s">
        <v>38</v>
      </c>
      <c r="Q242" s="48" t="s">
        <v>37</v>
      </c>
      <c r="R242" s="48" t="s">
        <v>1436</v>
      </c>
      <c r="S242" s="48" t="s">
        <v>1436</v>
      </c>
      <c r="T242" s="48" t="s">
        <v>1436</v>
      </c>
      <c r="U242" s="48" t="s">
        <v>38</v>
      </c>
      <c r="V242" s="48" t="s">
        <v>39</v>
      </c>
      <c r="W242" s="48" t="s">
        <v>40</v>
      </c>
      <c r="X242" s="48" t="s">
        <v>41</v>
      </c>
      <c r="Y242" s="48" t="s">
        <v>1436</v>
      </c>
      <c r="Z242" s="48" t="s">
        <v>1436</v>
      </c>
      <c r="AA242" s="48" t="s">
        <v>1436</v>
      </c>
      <c r="AB242" s="49" t="s">
        <v>193</v>
      </c>
      <c r="AC242" s="48" t="s">
        <v>1194</v>
      </c>
      <c r="AD242" s="48" t="s">
        <v>1244</v>
      </c>
      <c r="AE242" s="48" t="s">
        <v>36</v>
      </c>
    </row>
    <row r="243" spans="1:31" x14ac:dyDescent="0.3">
      <c r="A243" s="48" t="s">
        <v>1320</v>
      </c>
      <c r="B243" s="48" t="s">
        <v>6</v>
      </c>
      <c r="C243" s="48" t="s">
        <v>1322</v>
      </c>
      <c r="D243" s="48" t="s">
        <v>1406</v>
      </c>
      <c r="E243" s="50">
        <v>45230</v>
      </c>
      <c r="F243" s="49" t="s">
        <v>1321</v>
      </c>
      <c r="G243" s="48" t="s">
        <v>36</v>
      </c>
      <c r="H243" s="48" t="s">
        <v>1441</v>
      </c>
      <c r="I243" s="51">
        <v>0</v>
      </c>
      <c r="J243" s="51"/>
      <c r="K243" s="51"/>
      <c r="L243" s="48" t="s">
        <v>1194</v>
      </c>
      <c r="M243" s="48" t="s">
        <v>1438</v>
      </c>
      <c r="N243" s="48" t="s">
        <v>1439</v>
      </c>
      <c r="O243" s="49" t="s">
        <v>1440</v>
      </c>
      <c r="P243" s="48" t="s">
        <v>38</v>
      </c>
      <c r="Q243" s="48" t="s">
        <v>37</v>
      </c>
      <c r="R243" s="48" t="s">
        <v>1436</v>
      </c>
      <c r="S243" s="48" t="s">
        <v>1436</v>
      </c>
      <c r="T243" s="48" t="s">
        <v>1436</v>
      </c>
      <c r="U243" s="48" t="s">
        <v>38</v>
      </c>
      <c r="V243" s="48" t="s">
        <v>39</v>
      </c>
      <c r="W243" s="48" t="s">
        <v>1194</v>
      </c>
      <c r="X243" s="48" t="s">
        <v>41</v>
      </c>
      <c r="Y243" s="48" t="s">
        <v>1436</v>
      </c>
      <c r="Z243" s="48" t="s">
        <v>1436</v>
      </c>
      <c r="AA243" s="48" t="s">
        <v>1436</v>
      </c>
      <c r="AB243" s="49" t="s">
        <v>193</v>
      </c>
      <c r="AC243" s="48" t="s">
        <v>1194</v>
      </c>
      <c r="AD243" s="48" t="s">
        <v>1244</v>
      </c>
      <c r="AE243" s="48" t="s">
        <v>36</v>
      </c>
    </row>
    <row r="244" spans="1:31" x14ac:dyDescent="0.3">
      <c r="A244" s="48" t="s">
        <v>1320</v>
      </c>
      <c r="B244" s="48" t="s">
        <v>6</v>
      </c>
      <c r="C244" s="48" t="s">
        <v>1322</v>
      </c>
      <c r="D244" s="48" t="s">
        <v>1405</v>
      </c>
      <c r="E244" s="50">
        <v>45230</v>
      </c>
      <c r="F244" s="49" t="s">
        <v>1321</v>
      </c>
      <c r="G244" s="48" t="s">
        <v>36</v>
      </c>
      <c r="H244" s="48" t="s">
        <v>1443</v>
      </c>
      <c r="I244" s="51">
        <v>0</v>
      </c>
      <c r="J244" s="51"/>
      <c r="K244" s="51"/>
      <c r="L244" s="48" t="s">
        <v>1194</v>
      </c>
      <c r="M244" s="48" t="s">
        <v>1438</v>
      </c>
      <c r="N244" s="48" t="s">
        <v>1439</v>
      </c>
      <c r="O244" s="49" t="s">
        <v>1442</v>
      </c>
      <c r="P244" s="48" t="s">
        <v>38</v>
      </c>
      <c r="Q244" s="48" t="s">
        <v>37</v>
      </c>
      <c r="R244" s="48" t="s">
        <v>1436</v>
      </c>
      <c r="S244" s="48" t="s">
        <v>1436</v>
      </c>
      <c r="T244" s="48" t="s">
        <v>1436</v>
      </c>
      <c r="U244" s="48" t="s">
        <v>38</v>
      </c>
      <c r="V244" s="48" t="s">
        <v>39</v>
      </c>
      <c r="W244" s="48" t="s">
        <v>1194</v>
      </c>
      <c r="X244" s="48" t="s">
        <v>41</v>
      </c>
      <c r="Y244" s="48" t="s">
        <v>1436</v>
      </c>
      <c r="Z244" s="48" t="s">
        <v>1436</v>
      </c>
      <c r="AA244" s="48" t="s">
        <v>1436</v>
      </c>
      <c r="AB244" s="49" t="s">
        <v>193</v>
      </c>
      <c r="AC244" s="48" t="s">
        <v>1194</v>
      </c>
      <c r="AD244" s="48" t="s">
        <v>1244</v>
      </c>
      <c r="AE244" s="48" t="s">
        <v>36</v>
      </c>
    </row>
    <row r="245" spans="1:31" x14ac:dyDescent="0.3">
      <c r="A245" s="48" t="s">
        <v>1320</v>
      </c>
      <c r="B245" s="48" t="s">
        <v>6</v>
      </c>
      <c r="C245" s="48" t="s">
        <v>1322</v>
      </c>
      <c r="D245" s="48" t="s">
        <v>1404</v>
      </c>
      <c r="E245" s="50">
        <v>45230</v>
      </c>
      <c r="F245" s="49" t="s">
        <v>1321</v>
      </c>
      <c r="G245" s="48" t="s">
        <v>36</v>
      </c>
      <c r="H245" s="48" t="s">
        <v>49</v>
      </c>
      <c r="I245" s="51">
        <v>-9915.0736070000003</v>
      </c>
      <c r="J245" s="51"/>
      <c r="K245" s="51"/>
      <c r="L245" s="48" t="s">
        <v>38</v>
      </c>
      <c r="M245" s="48" t="s">
        <v>1433</v>
      </c>
      <c r="N245" s="48" t="s">
        <v>1447</v>
      </c>
      <c r="O245" s="49" t="s">
        <v>1451</v>
      </c>
      <c r="P245" s="48" t="s">
        <v>38</v>
      </c>
      <c r="Q245" s="48" t="s">
        <v>37</v>
      </c>
      <c r="R245" s="48" t="s">
        <v>1436</v>
      </c>
      <c r="S245" s="48" t="s">
        <v>1436</v>
      </c>
      <c r="T245" s="48" t="s">
        <v>1436</v>
      </c>
      <c r="U245" s="48" t="s">
        <v>38</v>
      </c>
      <c r="V245" s="48" t="s">
        <v>39</v>
      </c>
      <c r="W245" s="48" t="s">
        <v>38</v>
      </c>
      <c r="X245" s="48" t="s">
        <v>41</v>
      </c>
      <c r="Y245" s="48" t="s">
        <v>1436</v>
      </c>
      <c r="Z245" s="48" t="s">
        <v>1436</v>
      </c>
      <c r="AA245" s="48" t="s">
        <v>1436</v>
      </c>
      <c r="AB245" s="49" t="s">
        <v>193</v>
      </c>
      <c r="AC245" s="48" t="s">
        <v>1194</v>
      </c>
      <c r="AD245" s="48" t="s">
        <v>1244</v>
      </c>
      <c r="AE245" s="48" t="s">
        <v>36</v>
      </c>
    </row>
    <row r="246" spans="1:31" x14ac:dyDescent="0.3">
      <c r="A246" s="48" t="s">
        <v>1320</v>
      </c>
      <c r="B246" s="48" t="s">
        <v>6</v>
      </c>
      <c r="C246" s="48" t="s">
        <v>1322</v>
      </c>
      <c r="D246" s="48" t="s">
        <v>1413</v>
      </c>
      <c r="E246" s="50">
        <v>45260</v>
      </c>
      <c r="F246" s="49" t="s">
        <v>1321</v>
      </c>
      <c r="G246" s="48" t="s">
        <v>36</v>
      </c>
      <c r="H246" s="48" t="s">
        <v>58</v>
      </c>
      <c r="I246" s="51">
        <v>-1150000</v>
      </c>
      <c r="J246" s="51"/>
      <c r="K246" s="51"/>
      <c r="L246" s="48" t="s">
        <v>40</v>
      </c>
      <c r="M246" s="48" t="s">
        <v>1433</v>
      </c>
      <c r="N246" s="48" t="s">
        <v>1447</v>
      </c>
      <c r="O246" s="49" t="s">
        <v>1448</v>
      </c>
      <c r="P246" s="48" t="s">
        <v>38</v>
      </c>
      <c r="Q246" s="48" t="s">
        <v>37</v>
      </c>
      <c r="R246" s="48" t="s">
        <v>1436</v>
      </c>
      <c r="S246" s="48" t="s">
        <v>1436</v>
      </c>
      <c r="T246" s="48" t="s">
        <v>1436</v>
      </c>
      <c r="U246" s="48" t="s">
        <v>38</v>
      </c>
      <c r="V246" s="48" t="s">
        <v>39</v>
      </c>
      <c r="W246" s="48" t="s">
        <v>40</v>
      </c>
      <c r="X246" s="48" t="s">
        <v>41</v>
      </c>
      <c r="Y246" s="48" t="s">
        <v>1436</v>
      </c>
      <c r="Z246" s="48" t="s">
        <v>1436</v>
      </c>
      <c r="AA246" s="48" t="s">
        <v>1436</v>
      </c>
      <c r="AB246" s="49" t="s">
        <v>193</v>
      </c>
      <c r="AC246" s="48" t="s">
        <v>1194</v>
      </c>
      <c r="AD246" s="48" t="s">
        <v>1244</v>
      </c>
      <c r="AE246" s="48" t="s">
        <v>36</v>
      </c>
    </row>
    <row r="247" spans="1:31" x14ac:dyDescent="0.3">
      <c r="A247" s="48" t="s">
        <v>1320</v>
      </c>
      <c r="B247" s="48" t="s">
        <v>6</v>
      </c>
      <c r="C247" s="48" t="s">
        <v>1322</v>
      </c>
      <c r="D247" s="48" t="s">
        <v>1412</v>
      </c>
      <c r="E247" s="50">
        <v>45260</v>
      </c>
      <c r="F247" s="49" t="s">
        <v>1321</v>
      </c>
      <c r="G247" s="48" t="s">
        <v>36</v>
      </c>
      <c r="H247" s="48" t="s">
        <v>52</v>
      </c>
      <c r="I247" s="51">
        <v>-973601.28000000003</v>
      </c>
      <c r="J247" s="51"/>
      <c r="K247" s="51"/>
      <c r="L247" s="48" t="s">
        <v>40</v>
      </c>
      <c r="M247" s="48" t="s">
        <v>1433</v>
      </c>
      <c r="N247" s="48" t="s">
        <v>1434</v>
      </c>
      <c r="O247" s="49" t="s">
        <v>1435</v>
      </c>
      <c r="P247" s="48" t="s">
        <v>38</v>
      </c>
      <c r="Q247" s="48" t="s">
        <v>37</v>
      </c>
      <c r="R247" s="48" t="s">
        <v>1436</v>
      </c>
      <c r="S247" s="48" t="s">
        <v>1436</v>
      </c>
      <c r="T247" s="48" t="s">
        <v>1436</v>
      </c>
      <c r="U247" s="48" t="s">
        <v>38</v>
      </c>
      <c r="V247" s="48" t="s">
        <v>39</v>
      </c>
      <c r="W247" s="48" t="s">
        <v>40</v>
      </c>
      <c r="X247" s="48" t="s">
        <v>41</v>
      </c>
      <c r="Y247" s="48" t="s">
        <v>1436</v>
      </c>
      <c r="Z247" s="48" t="s">
        <v>1436</v>
      </c>
      <c r="AA247" s="48" t="s">
        <v>1436</v>
      </c>
      <c r="AB247" s="49" t="s">
        <v>193</v>
      </c>
      <c r="AC247" s="48" t="s">
        <v>1194</v>
      </c>
      <c r="AD247" s="48" t="s">
        <v>1244</v>
      </c>
      <c r="AE247" s="48" t="s">
        <v>36</v>
      </c>
    </row>
    <row r="248" spans="1:31" x14ac:dyDescent="0.3">
      <c r="A248" s="48" t="s">
        <v>1320</v>
      </c>
      <c r="B248" s="48" t="s">
        <v>6</v>
      </c>
      <c r="C248" s="48" t="s">
        <v>1322</v>
      </c>
      <c r="D248" s="48" t="s">
        <v>1411</v>
      </c>
      <c r="E248" s="50">
        <v>45260</v>
      </c>
      <c r="F248" s="49" t="s">
        <v>1321</v>
      </c>
      <c r="G248" s="48" t="s">
        <v>36</v>
      </c>
      <c r="H248" s="48" t="s">
        <v>50</v>
      </c>
      <c r="I248" s="51">
        <v>465635.4</v>
      </c>
      <c r="J248" s="51"/>
      <c r="K248" s="51"/>
      <c r="L248" s="48" t="s">
        <v>40</v>
      </c>
      <c r="M248" s="48" t="s">
        <v>1438</v>
      </c>
      <c r="N248" s="48" t="s">
        <v>1444</v>
      </c>
      <c r="O248" s="49" t="s">
        <v>1445</v>
      </c>
      <c r="P248" s="48" t="s">
        <v>38</v>
      </c>
      <c r="Q248" s="48" t="s">
        <v>37</v>
      </c>
      <c r="R248" s="48" t="s">
        <v>1436</v>
      </c>
      <c r="S248" s="48" t="s">
        <v>1436</v>
      </c>
      <c r="T248" s="48" t="s">
        <v>1436</v>
      </c>
      <c r="U248" s="48" t="s">
        <v>38</v>
      </c>
      <c r="V248" s="48" t="s">
        <v>39</v>
      </c>
      <c r="W248" s="48" t="s">
        <v>40</v>
      </c>
      <c r="X248" s="48" t="s">
        <v>41</v>
      </c>
      <c r="Y248" s="48" t="s">
        <v>1436</v>
      </c>
      <c r="Z248" s="48" t="s">
        <v>1436</v>
      </c>
      <c r="AA248" s="48" t="s">
        <v>1436</v>
      </c>
      <c r="AB248" s="49" t="s">
        <v>193</v>
      </c>
      <c r="AC248" s="48" t="s">
        <v>1194</v>
      </c>
      <c r="AD248" s="48" t="s">
        <v>1244</v>
      </c>
      <c r="AE248" s="48" t="s">
        <v>36</v>
      </c>
    </row>
    <row r="249" spans="1:31" x14ac:dyDescent="0.3">
      <c r="A249" s="48" t="s">
        <v>1320</v>
      </c>
      <c r="B249" s="48" t="s">
        <v>6</v>
      </c>
      <c r="C249" s="48" t="s">
        <v>1322</v>
      </c>
      <c r="D249" s="48" t="s">
        <v>1410</v>
      </c>
      <c r="E249" s="50">
        <v>45260</v>
      </c>
      <c r="F249" s="49" t="s">
        <v>1321</v>
      </c>
      <c r="G249" s="48" t="s">
        <v>36</v>
      </c>
      <c r="H249" s="48" t="s">
        <v>42</v>
      </c>
      <c r="I249" s="51">
        <v>2539829.423163</v>
      </c>
      <c r="J249" s="51"/>
      <c r="K249" s="51"/>
      <c r="L249" s="48" t="s">
        <v>40</v>
      </c>
      <c r="M249" s="48" t="s">
        <v>1433</v>
      </c>
      <c r="N249" s="48" t="s">
        <v>1434</v>
      </c>
      <c r="O249" s="49" t="s">
        <v>1437</v>
      </c>
      <c r="P249" s="48" t="s">
        <v>38</v>
      </c>
      <c r="Q249" s="48" t="s">
        <v>37</v>
      </c>
      <c r="R249" s="48" t="s">
        <v>1436</v>
      </c>
      <c r="S249" s="48" t="s">
        <v>1436</v>
      </c>
      <c r="T249" s="48" t="s">
        <v>1436</v>
      </c>
      <c r="U249" s="48" t="s">
        <v>38</v>
      </c>
      <c r="V249" s="48" t="s">
        <v>39</v>
      </c>
      <c r="W249" s="48" t="s">
        <v>40</v>
      </c>
      <c r="X249" s="48" t="s">
        <v>41</v>
      </c>
      <c r="Y249" s="48" t="s">
        <v>1436</v>
      </c>
      <c r="Z249" s="48" t="s">
        <v>1436</v>
      </c>
      <c r="AA249" s="48" t="s">
        <v>1436</v>
      </c>
      <c r="AB249" s="49" t="s">
        <v>193</v>
      </c>
      <c r="AC249" s="48" t="s">
        <v>1194</v>
      </c>
      <c r="AD249" s="48" t="s">
        <v>1244</v>
      </c>
      <c r="AE249" s="48" t="s">
        <v>36</v>
      </c>
    </row>
    <row r="250" spans="1:31" x14ac:dyDescent="0.3">
      <c r="A250" s="48" t="s">
        <v>1320</v>
      </c>
      <c r="B250" s="48" t="s">
        <v>6</v>
      </c>
      <c r="C250" s="48" t="s">
        <v>1322</v>
      </c>
      <c r="D250" s="48" t="s">
        <v>1409</v>
      </c>
      <c r="E250" s="50">
        <v>45260</v>
      </c>
      <c r="F250" s="49" t="s">
        <v>1321</v>
      </c>
      <c r="G250" s="48" t="s">
        <v>36</v>
      </c>
      <c r="H250" s="48" t="s">
        <v>45</v>
      </c>
      <c r="I250" s="51">
        <v>-1159988.3577099999</v>
      </c>
      <c r="J250" s="51"/>
      <c r="K250" s="51"/>
      <c r="L250" s="48" t="s">
        <v>40</v>
      </c>
      <c r="M250" s="48" t="s">
        <v>1433</v>
      </c>
      <c r="N250" s="48" t="s">
        <v>1447</v>
      </c>
      <c r="O250" s="49" t="s">
        <v>1449</v>
      </c>
      <c r="P250" s="48" t="s">
        <v>38</v>
      </c>
      <c r="Q250" s="48" t="s">
        <v>37</v>
      </c>
      <c r="R250" s="48" t="s">
        <v>1436</v>
      </c>
      <c r="S250" s="48" t="s">
        <v>1436</v>
      </c>
      <c r="T250" s="48" t="s">
        <v>1436</v>
      </c>
      <c r="U250" s="48" t="s">
        <v>38</v>
      </c>
      <c r="V250" s="48" t="s">
        <v>39</v>
      </c>
      <c r="W250" s="48" t="s">
        <v>40</v>
      </c>
      <c r="X250" s="48" t="s">
        <v>41</v>
      </c>
      <c r="Y250" s="48" t="s">
        <v>1436</v>
      </c>
      <c r="Z250" s="48" t="s">
        <v>1436</v>
      </c>
      <c r="AA250" s="48" t="s">
        <v>1436</v>
      </c>
      <c r="AB250" s="49" t="s">
        <v>193</v>
      </c>
      <c r="AC250" s="48" t="s">
        <v>1194</v>
      </c>
      <c r="AD250" s="48" t="s">
        <v>1244</v>
      </c>
      <c r="AE250" s="48" t="s">
        <v>36</v>
      </c>
    </row>
    <row r="251" spans="1:31" x14ac:dyDescent="0.3">
      <c r="A251" s="48" t="s">
        <v>1320</v>
      </c>
      <c r="B251" s="48" t="s">
        <v>6</v>
      </c>
      <c r="C251" s="48" t="s">
        <v>1322</v>
      </c>
      <c r="D251" s="48" t="s">
        <v>1408</v>
      </c>
      <c r="E251" s="50">
        <v>45260</v>
      </c>
      <c r="F251" s="49" t="s">
        <v>1321</v>
      </c>
      <c r="G251" s="48" t="s">
        <v>36</v>
      </c>
      <c r="H251" s="48" t="s">
        <v>54</v>
      </c>
      <c r="I251" s="51">
        <v>-499653.62</v>
      </c>
      <c r="J251" s="51"/>
      <c r="K251" s="51"/>
      <c r="L251" s="48" t="s">
        <v>40</v>
      </c>
      <c r="M251" s="48" t="s">
        <v>1433</v>
      </c>
      <c r="N251" s="48" t="s">
        <v>1447</v>
      </c>
      <c r="O251" s="49" t="s">
        <v>1450</v>
      </c>
      <c r="P251" s="48" t="s">
        <v>38</v>
      </c>
      <c r="Q251" s="48" t="s">
        <v>37</v>
      </c>
      <c r="R251" s="48" t="s">
        <v>1436</v>
      </c>
      <c r="S251" s="48" t="s">
        <v>1436</v>
      </c>
      <c r="T251" s="48" t="s">
        <v>1436</v>
      </c>
      <c r="U251" s="48" t="s">
        <v>38</v>
      </c>
      <c r="V251" s="48" t="s">
        <v>39</v>
      </c>
      <c r="W251" s="48" t="s">
        <v>40</v>
      </c>
      <c r="X251" s="48" t="s">
        <v>41</v>
      </c>
      <c r="Y251" s="48" t="s">
        <v>1436</v>
      </c>
      <c r="Z251" s="48" t="s">
        <v>1436</v>
      </c>
      <c r="AA251" s="48" t="s">
        <v>1436</v>
      </c>
      <c r="AB251" s="49" t="s">
        <v>193</v>
      </c>
      <c r="AC251" s="48" t="s">
        <v>1194</v>
      </c>
      <c r="AD251" s="48" t="s">
        <v>1244</v>
      </c>
      <c r="AE251" s="48" t="s">
        <v>36</v>
      </c>
    </row>
    <row r="252" spans="1:31" x14ac:dyDescent="0.3">
      <c r="A252" s="48" t="s">
        <v>1320</v>
      </c>
      <c r="B252" s="48" t="s">
        <v>6</v>
      </c>
      <c r="C252" s="48" t="s">
        <v>1322</v>
      </c>
      <c r="D252" s="48" t="s">
        <v>1407</v>
      </c>
      <c r="E252" s="50">
        <v>45260</v>
      </c>
      <c r="F252" s="49" t="s">
        <v>1321</v>
      </c>
      <c r="G252" s="48" t="s">
        <v>36</v>
      </c>
      <c r="H252" s="48" t="s">
        <v>47</v>
      </c>
      <c r="I252" s="51">
        <v>119133.093582</v>
      </c>
      <c r="J252" s="51"/>
      <c r="K252" s="51"/>
      <c r="L252" s="48" t="s">
        <v>40</v>
      </c>
      <c r="M252" s="48" t="s">
        <v>1438</v>
      </c>
      <c r="N252" s="48" t="s">
        <v>1444</v>
      </c>
      <c r="O252" s="49" t="s">
        <v>1446</v>
      </c>
      <c r="P252" s="48" t="s">
        <v>38</v>
      </c>
      <c r="Q252" s="48" t="s">
        <v>37</v>
      </c>
      <c r="R252" s="48" t="s">
        <v>1436</v>
      </c>
      <c r="S252" s="48" t="s">
        <v>1436</v>
      </c>
      <c r="T252" s="48" t="s">
        <v>1436</v>
      </c>
      <c r="U252" s="48" t="s">
        <v>38</v>
      </c>
      <c r="V252" s="48" t="s">
        <v>39</v>
      </c>
      <c r="W252" s="48" t="s">
        <v>40</v>
      </c>
      <c r="X252" s="48" t="s">
        <v>41</v>
      </c>
      <c r="Y252" s="48" t="s">
        <v>1436</v>
      </c>
      <c r="Z252" s="48" t="s">
        <v>1436</v>
      </c>
      <c r="AA252" s="48" t="s">
        <v>1436</v>
      </c>
      <c r="AB252" s="49" t="s">
        <v>193</v>
      </c>
      <c r="AC252" s="48" t="s">
        <v>1194</v>
      </c>
      <c r="AD252" s="48" t="s">
        <v>1244</v>
      </c>
      <c r="AE252" s="48" t="s">
        <v>36</v>
      </c>
    </row>
    <row r="253" spans="1:31" x14ac:dyDescent="0.3">
      <c r="A253" s="48" t="s">
        <v>1320</v>
      </c>
      <c r="B253" s="48" t="s">
        <v>6</v>
      </c>
      <c r="C253" s="48" t="s">
        <v>1322</v>
      </c>
      <c r="D253" s="48" t="s">
        <v>1406</v>
      </c>
      <c r="E253" s="50">
        <v>45260</v>
      </c>
      <c r="F253" s="49" t="s">
        <v>1321</v>
      </c>
      <c r="G253" s="48" t="s">
        <v>36</v>
      </c>
      <c r="H253" s="48" t="s">
        <v>1441</v>
      </c>
      <c r="I253" s="51">
        <v>0</v>
      </c>
      <c r="J253" s="51"/>
      <c r="K253" s="51"/>
      <c r="L253" s="48" t="s">
        <v>1194</v>
      </c>
      <c r="M253" s="48" t="s">
        <v>1438</v>
      </c>
      <c r="N253" s="48" t="s">
        <v>1439</v>
      </c>
      <c r="O253" s="49" t="s">
        <v>1440</v>
      </c>
      <c r="P253" s="48" t="s">
        <v>38</v>
      </c>
      <c r="Q253" s="48" t="s">
        <v>37</v>
      </c>
      <c r="R253" s="48" t="s">
        <v>1436</v>
      </c>
      <c r="S253" s="48" t="s">
        <v>1436</v>
      </c>
      <c r="T253" s="48" t="s">
        <v>1436</v>
      </c>
      <c r="U253" s="48" t="s">
        <v>38</v>
      </c>
      <c r="V253" s="48" t="s">
        <v>39</v>
      </c>
      <c r="W253" s="48" t="s">
        <v>1194</v>
      </c>
      <c r="X253" s="48" t="s">
        <v>41</v>
      </c>
      <c r="Y253" s="48" t="s">
        <v>1436</v>
      </c>
      <c r="Z253" s="48" t="s">
        <v>1436</v>
      </c>
      <c r="AA253" s="48" t="s">
        <v>1436</v>
      </c>
      <c r="AB253" s="49" t="s">
        <v>193</v>
      </c>
      <c r="AC253" s="48" t="s">
        <v>1194</v>
      </c>
      <c r="AD253" s="48" t="s">
        <v>1244</v>
      </c>
      <c r="AE253" s="48" t="s">
        <v>36</v>
      </c>
    </row>
    <row r="254" spans="1:31" x14ac:dyDescent="0.3">
      <c r="A254" s="48" t="s">
        <v>1320</v>
      </c>
      <c r="B254" s="48" t="s">
        <v>6</v>
      </c>
      <c r="C254" s="48" t="s">
        <v>1322</v>
      </c>
      <c r="D254" s="48" t="s">
        <v>1405</v>
      </c>
      <c r="E254" s="50">
        <v>45260</v>
      </c>
      <c r="F254" s="49" t="s">
        <v>1321</v>
      </c>
      <c r="G254" s="48" t="s">
        <v>36</v>
      </c>
      <c r="H254" s="48" t="s">
        <v>1443</v>
      </c>
      <c r="I254" s="51">
        <v>0</v>
      </c>
      <c r="J254" s="51"/>
      <c r="K254" s="51"/>
      <c r="L254" s="48" t="s">
        <v>1194</v>
      </c>
      <c r="M254" s="48" t="s">
        <v>1438</v>
      </c>
      <c r="N254" s="48" t="s">
        <v>1439</v>
      </c>
      <c r="O254" s="49" t="s">
        <v>1442</v>
      </c>
      <c r="P254" s="48" t="s">
        <v>38</v>
      </c>
      <c r="Q254" s="48" t="s">
        <v>37</v>
      </c>
      <c r="R254" s="48" t="s">
        <v>1436</v>
      </c>
      <c r="S254" s="48" t="s">
        <v>1436</v>
      </c>
      <c r="T254" s="48" t="s">
        <v>1436</v>
      </c>
      <c r="U254" s="48" t="s">
        <v>38</v>
      </c>
      <c r="V254" s="48" t="s">
        <v>39</v>
      </c>
      <c r="W254" s="48" t="s">
        <v>1194</v>
      </c>
      <c r="X254" s="48" t="s">
        <v>41</v>
      </c>
      <c r="Y254" s="48" t="s">
        <v>1436</v>
      </c>
      <c r="Z254" s="48" t="s">
        <v>1436</v>
      </c>
      <c r="AA254" s="48" t="s">
        <v>1436</v>
      </c>
      <c r="AB254" s="49" t="s">
        <v>193</v>
      </c>
      <c r="AC254" s="48" t="s">
        <v>1194</v>
      </c>
      <c r="AD254" s="48" t="s">
        <v>1244</v>
      </c>
      <c r="AE254" s="48" t="s">
        <v>36</v>
      </c>
    </row>
    <row r="255" spans="1:31" x14ac:dyDescent="0.3">
      <c r="A255" s="48" t="s">
        <v>1320</v>
      </c>
      <c r="B255" s="48" t="s">
        <v>6</v>
      </c>
      <c r="C255" s="48" t="s">
        <v>1322</v>
      </c>
      <c r="D255" s="48" t="s">
        <v>1404</v>
      </c>
      <c r="E255" s="50">
        <v>45260</v>
      </c>
      <c r="F255" s="49" t="s">
        <v>1321</v>
      </c>
      <c r="G255" s="48" t="s">
        <v>36</v>
      </c>
      <c r="H255" s="48" t="s">
        <v>49</v>
      </c>
      <c r="I255" s="51">
        <v>-9681.2448700000004</v>
      </c>
      <c r="J255" s="51"/>
      <c r="K255" s="51"/>
      <c r="L255" s="48" t="s">
        <v>38</v>
      </c>
      <c r="M255" s="48" t="s">
        <v>1433</v>
      </c>
      <c r="N255" s="48" t="s">
        <v>1447</v>
      </c>
      <c r="O255" s="49" t="s">
        <v>1451</v>
      </c>
      <c r="P255" s="48" t="s">
        <v>38</v>
      </c>
      <c r="Q255" s="48" t="s">
        <v>37</v>
      </c>
      <c r="R255" s="48" t="s">
        <v>1436</v>
      </c>
      <c r="S255" s="48" t="s">
        <v>1436</v>
      </c>
      <c r="T255" s="48" t="s">
        <v>1436</v>
      </c>
      <c r="U255" s="48" t="s">
        <v>38</v>
      </c>
      <c r="V255" s="48" t="s">
        <v>39</v>
      </c>
      <c r="W255" s="48" t="s">
        <v>38</v>
      </c>
      <c r="X255" s="48" t="s">
        <v>41</v>
      </c>
      <c r="Y255" s="48" t="s">
        <v>1436</v>
      </c>
      <c r="Z255" s="48" t="s">
        <v>1436</v>
      </c>
      <c r="AA255" s="48" t="s">
        <v>1436</v>
      </c>
      <c r="AB255" s="49" t="s">
        <v>193</v>
      </c>
      <c r="AC255" s="48" t="s">
        <v>1194</v>
      </c>
      <c r="AD255" s="48" t="s">
        <v>1244</v>
      </c>
      <c r="AE255" s="48" t="s">
        <v>36</v>
      </c>
    </row>
    <row r="256" spans="1:31" x14ac:dyDescent="0.3">
      <c r="A256" s="48" t="s">
        <v>1320</v>
      </c>
      <c r="B256" s="48" t="s">
        <v>6</v>
      </c>
      <c r="C256" s="48" t="s">
        <v>1322</v>
      </c>
      <c r="D256" s="48" t="s">
        <v>1413</v>
      </c>
      <c r="E256" s="50">
        <v>45291</v>
      </c>
      <c r="F256" s="49" t="s">
        <v>1321</v>
      </c>
      <c r="G256" s="48" t="s">
        <v>36</v>
      </c>
      <c r="H256" s="48" t="s">
        <v>58</v>
      </c>
      <c r="I256" s="51">
        <v>-1200000</v>
      </c>
      <c r="J256" s="51"/>
      <c r="K256" s="51"/>
      <c r="L256" s="48" t="s">
        <v>40</v>
      </c>
      <c r="M256" s="48" t="s">
        <v>1433</v>
      </c>
      <c r="N256" s="48" t="s">
        <v>1447</v>
      </c>
      <c r="O256" s="49" t="s">
        <v>1448</v>
      </c>
      <c r="P256" s="48" t="s">
        <v>38</v>
      </c>
      <c r="Q256" s="48" t="s">
        <v>37</v>
      </c>
      <c r="R256" s="48" t="s">
        <v>1436</v>
      </c>
      <c r="S256" s="48" t="s">
        <v>1436</v>
      </c>
      <c r="T256" s="48" t="s">
        <v>1436</v>
      </c>
      <c r="U256" s="48" t="s">
        <v>38</v>
      </c>
      <c r="V256" s="48" t="s">
        <v>39</v>
      </c>
      <c r="W256" s="48" t="s">
        <v>40</v>
      </c>
      <c r="X256" s="48" t="s">
        <v>41</v>
      </c>
      <c r="Y256" s="48" t="s">
        <v>1436</v>
      </c>
      <c r="Z256" s="48" t="s">
        <v>1436</v>
      </c>
      <c r="AA256" s="48" t="s">
        <v>1436</v>
      </c>
      <c r="AB256" s="49" t="s">
        <v>193</v>
      </c>
      <c r="AC256" s="48" t="s">
        <v>1194</v>
      </c>
      <c r="AD256" s="48" t="s">
        <v>1244</v>
      </c>
      <c r="AE256" s="48" t="s">
        <v>36</v>
      </c>
    </row>
    <row r="257" spans="1:31" x14ac:dyDescent="0.3">
      <c r="A257" s="48" t="s">
        <v>1320</v>
      </c>
      <c r="B257" s="48" t="s">
        <v>6</v>
      </c>
      <c r="C257" s="48" t="s">
        <v>1322</v>
      </c>
      <c r="D257" s="48" t="s">
        <v>1412</v>
      </c>
      <c r="E257" s="50">
        <v>45291</v>
      </c>
      <c r="F257" s="49" t="s">
        <v>1321</v>
      </c>
      <c r="G257" s="48" t="s">
        <v>36</v>
      </c>
      <c r="H257" s="48" t="s">
        <v>52</v>
      </c>
      <c r="I257" s="51">
        <v>-1015931.77</v>
      </c>
      <c r="J257" s="51"/>
      <c r="K257" s="51"/>
      <c r="L257" s="48" t="s">
        <v>40</v>
      </c>
      <c r="M257" s="48" t="s">
        <v>1433</v>
      </c>
      <c r="N257" s="48" t="s">
        <v>1434</v>
      </c>
      <c r="O257" s="49" t="s">
        <v>1435</v>
      </c>
      <c r="P257" s="48" t="s">
        <v>38</v>
      </c>
      <c r="Q257" s="48" t="s">
        <v>37</v>
      </c>
      <c r="R257" s="48" t="s">
        <v>1436</v>
      </c>
      <c r="S257" s="48" t="s">
        <v>1436</v>
      </c>
      <c r="T257" s="48" t="s">
        <v>1436</v>
      </c>
      <c r="U257" s="48" t="s">
        <v>38</v>
      </c>
      <c r="V257" s="48" t="s">
        <v>39</v>
      </c>
      <c r="W257" s="48" t="s">
        <v>40</v>
      </c>
      <c r="X257" s="48" t="s">
        <v>41</v>
      </c>
      <c r="Y257" s="48" t="s">
        <v>1436</v>
      </c>
      <c r="Z257" s="48" t="s">
        <v>1436</v>
      </c>
      <c r="AA257" s="48" t="s">
        <v>1436</v>
      </c>
      <c r="AB257" s="49" t="s">
        <v>193</v>
      </c>
      <c r="AC257" s="48" t="s">
        <v>1194</v>
      </c>
      <c r="AD257" s="48" t="s">
        <v>1244</v>
      </c>
      <c r="AE257" s="48" t="s">
        <v>36</v>
      </c>
    </row>
    <row r="258" spans="1:31" x14ac:dyDescent="0.3">
      <c r="A258" s="48" t="s">
        <v>1320</v>
      </c>
      <c r="B258" s="48" t="s">
        <v>6</v>
      </c>
      <c r="C258" s="48" t="s">
        <v>1322</v>
      </c>
      <c r="D258" s="48" t="s">
        <v>1411</v>
      </c>
      <c r="E258" s="50">
        <v>45291</v>
      </c>
      <c r="F258" s="49" t="s">
        <v>1321</v>
      </c>
      <c r="G258" s="48" t="s">
        <v>36</v>
      </c>
      <c r="H258" s="48" t="s">
        <v>50</v>
      </c>
      <c r="I258" s="51">
        <v>507965.89</v>
      </c>
      <c r="J258" s="51"/>
      <c r="K258" s="51"/>
      <c r="L258" s="48" t="s">
        <v>40</v>
      </c>
      <c r="M258" s="48" t="s">
        <v>1438</v>
      </c>
      <c r="N258" s="48" t="s">
        <v>1444</v>
      </c>
      <c r="O258" s="49" t="s">
        <v>1445</v>
      </c>
      <c r="P258" s="48" t="s">
        <v>38</v>
      </c>
      <c r="Q258" s="48" t="s">
        <v>37</v>
      </c>
      <c r="R258" s="48" t="s">
        <v>1436</v>
      </c>
      <c r="S258" s="48" t="s">
        <v>1436</v>
      </c>
      <c r="T258" s="48" t="s">
        <v>1436</v>
      </c>
      <c r="U258" s="48" t="s">
        <v>38</v>
      </c>
      <c r="V258" s="48" t="s">
        <v>39</v>
      </c>
      <c r="W258" s="48" t="s">
        <v>40</v>
      </c>
      <c r="X258" s="48" t="s">
        <v>41</v>
      </c>
      <c r="Y258" s="48" t="s">
        <v>1436</v>
      </c>
      <c r="Z258" s="48" t="s">
        <v>1436</v>
      </c>
      <c r="AA258" s="48" t="s">
        <v>1436</v>
      </c>
      <c r="AB258" s="49" t="s">
        <v>193</v>
      </c>
      <c r="AC258" s="48" t="s">
        <v>1194</v>
      </c>
      <c r="AD258" s="48" t="s">
        <v>1244</v>
      </c>
      <c r="AE258" s="48" t="s">
        <v>36</v>
      </c>
    </row>
    <row r="259" spans="1:31" x14ac:dyDescent="0.3">
      <c r="A259" s="48" t="s">
        <v>1320</v>
      </c>
      <c r="B259" s="48" t="s">
        <v>6</v>
      </c>
      <c r="C259" s="48" t="s">
        <v>1322</v>
      </c>
      <c r="D259" s="48" t="s">
        <v>1410</v>
      </c>
      <c r="E259" s="50">
        <v>45291</v>
      </c>
      <c r="F259" s="49" t="s">
        <v>1321</v>
      </c>
      <c r="G259" s="48" t="s">
        <v>36</v>
      </c>
      <c r="H259" s="48" t="s">
        <v>42</v>
      </c>
      <c r="I259" s="51">
        <v>2539829.423163</v>
      </c>
      <c r="J259" s="51"/>
      <c r="K259" s="51"/>
      <c r="L259" s="48" t="s">
        <v>40</v>
      </c>
      <c r="M259" s="48" t="s">
        <v>1433</v>
      </c>
      <c r="N259" s="48" t="s">
        <v>1434</v>
      </c>
      <c r="O259" s="49" t="s">
        <v>1437</v>
      </c>
      <c r="P259" s="48" t="s">
        <v>38</v>
      </c>
      <c r="Q259" s="48" t="s">
        <v>37</v>
      </c>
      <c r="R259" s="48" t="s">
        <v>1436</v>
      </c>
      <c r="S259" s="48" t="s">
        <v>1436</v>
      </c>
      <c r="T259" s="48" t="s">
        <v>1436</v>
      </c>
      <c r="U259" s="48" t="s">
        <v>38</v>
      </c>
      <c r="V259" s="48" t="s">
        <v>39</v>
      </c>
      <c r="W259" s="48" t="s">
        <v>40</v>
      </c>
      <c r="X259" s="48" t="s">
        <v>41</v>
      </c>
      <c r="Y259" s="48" t="s">
        <v>1436</v>
      </c>
      <c r="Z259" s="48" t="s">
        <v>1436</v>
      </c>
      <c r="AA259" s="48" t="s">
        <v>1436</v>
      </c>
      <c r="AB259" s="49" t="s">
        <v>193</v>
      </c>
      <c r="AC259" s="48" t="s">
        <v>1194</v>
      </c>
      <c r="AD259" s="48" t="s">
        <v>1244</v>
      </c>
      <c r="AE259" s="48" t="s">
        <v>36</v>
      </c>
    </row>
    <row r="260" spans="1:31" x14ac:dyDescent="0.3">
      <c r="A260" s="48" t="s">
        <v>1320</v>
      </c>
      <c r="B260" s="48" t="s">
        <v>6</v>
      </c>
      <c r="C260" s="48" t="s">
        <v>1322</v>
      </c>
      <c r="D260" s="48" t="s">
        <v>1409</v>
      </c>
      <c r="E260" s="50">
        <v>45291</v>
      </c>
      <c r="F260" s="49" t="s">
        <v>1321</v>
      </c>
      <c r="G260" s="48" t="s">
        <v>36</v>
      </c>
      <c r="H260" s="48" t="s">
        <v>45</v>
      </c>
      <c r="I260" s="51">
        <v>-1116754.9725800001</v>
      </c>
      <c r="J260" s="51"/>
      <c r="K260" s="51"/>
      <c r="L260" s="48" t="s">
        <v>40</v>
      </c>
      <c r="M260" s="48" t="s">
        <v>1433</v>
      </c>
      <c r="N260" s="48" t="s">
        <v>1447</v>
      </c>
      <c r="O260" s="49" t="s">
        <v>1449</v>
      </c>
      <c r="P260" s="48" t="s">
        <v>38</v>
      </c>
      <c r="Q260" s="48" t="s">
        <v>37</v>
      </c>
      <c r="R260" s="48" t="s">
        <v>1436</v>
      </c>
      <c r="S260" s="48" t="s">
        <v>1436</v>
      </c>
      <c r="T260" s="48" t="s">
        <v>1436</v>
      </c>
      <c r="U260" s="48" t="s">
        <v>38</v>
      </c>
      <c r="V260" s="48" t="s">
        <v>39</v>
      </c>
      <c r="W260" s="48" t="s">
        <v>40</v>
      </c>
      <c r="X260" s="48" t="s">
        <v>41</v>
      </c>
      <c r="Y260" s="48" t="s">
        <v>1436</v>
      </c>
      <c r="Z260" s="48" t="s">
        <v>1436</v>
      </c>
      <c r="AA260" s="48" t="s">
        <v>1436</v>
      </c>
      <c r="AB260" s="49" t="s">
        <v>193</v>
      </c>
      <c r="AC260" s="48" t="s">
        <v>1194</v>
      </c>
      <c r="AD260" s="48" t="s">
        <v>1244</v>
      </c>
      <c r="AE260" s="48" t="s">
        <v>36</v>
      </c>
    </row>
    <row r="261" spans="1:31" x14ac:dyDescent="0.3">
      <c r="A261" s="48" t="s">
        <v>1320</v>
      </c>
      <c r="B261" s="48" t="s">
        <v>6</v>
      </c>
      <c r="C261" s="48" t="s">
        <v>1322</v>
      </c>
      <c r="D261" s="48" t="s">
        <v>1408</v>
      </c>
      <c r="E261" s="50">
        <v>45291</v>
      </c>
      <c r="F261" s="49" t="s">
        <v>1321</v>
      </c>
      <c r="G261" s="48" t="s">
        <v>36</v>
      </c>
      <c r="H261" s="48" t="s">
        <v>54</v>
      </c>
      <c r="I261" s="51">
        <v>-502568.25</v>
      </c>
      <c r="J261" s="51"/>
      <c r="K261" s="51"/>
      <c r="L261" s="48" t="s">
        <v>40</v>
      </c>
      <c r="M261" s="48" t="s">
        <v>1433</v>
      </c>
      <c r="N261" s="48" t="s">
        <v>1447</v>
      </c>
      <c r="O261" s="49" t="s">
        <v>1450</v>
      </c>
      <c r="P261" s="48" t="s">
        <v>38</v>
      </c>
      <c r="Q261" s="48" t="s">
        <v>37</v>
      </c>
      <c r="R261" s="48" t="s">
        <v>1436</v>
      </c>
      <c r="S261" s="48" t="s">
        <v>1436</v>
      </c>
      <c r="T261" s="48" t="s">
        <v>1436</v>
      </c>
      <c r="U261" s="48" t="s">
        <v>38</v>
      </c>
      <c r="V261" s="48" t="s">
        <v>39</v>
      </c>
      <c r="W261" s="48" t="s">
        <v>40</v>
      </c>
      <c r="X261" s="48" t="s">
        <v>41</v>
      </c>
      <c r="Y261" s="48" t="s">
        <v>1436</v>
      </c>
      <c r="Z261" s="48" t="s">
        <v>1436</v>
      </c>
      <c r="AA261" s="48" t="s">
        <v>1436</v>
      </c>
      <c r="AB261" s="49" t="s">
        <v>193</v>
      </c>
      <c r="AC261" s="48" t="s">
        <v>1194</v>
      </c>
      <c r="AD261" s="48" t="s">
        <v>1244</v>
      </c>
      <c r="AE261" s="48" t="s">
        <v>36</v>
      </c>
    </row>
    <row r="262" spans="1:31" x14ac:dyDescent="0.3">
      <c r="A262" s="48" t="s">
        <v>1320</v>
      </c>
      <c r="B262" s="48" t="s">
        <v>6</v>
      </c>
      <c r="C262" s="48" t="s">
        <v>1322</v>
      </c>
      <c r="D262" s="48" t="s">
        <v>1407</v>
      </c>
      <c r="E262" s="50">
        <v>45291</v>
      </c>
      <c r="F262" s="49" t="s">
        <v>1321</v>
      </c>
      <c r="G262" s="48" t="s">
        <v>36</v>
      </c>
      <c r="H262" s="48" t="s">
        <v>47</v>
      </c>
      <c r="I262" s="51">
        <v>128579.145714</v>
      </c>
      <c r="J262" s="51"/>
      <c r="K262" s="51"/>
      <c r="L262" s="48" t="s">
        <v>40</v>
      </c>
      <c r="M262" s="48" t="s">
        <v>1438</v>
      </c>
      <c r="N262" s="48" t="s">
        <v>1444</v>
      </c>
      <c r="O262" s="49" t="s">
        <v>1446</v>
      </c>
      <c r="P262" s="48" t="s">
        <v>38</v>
      </c>
      <c r="Q262" s="48" t="s">
        <v>37</v>
      </c>
      <c r="R262" s="48" t="s">
        <v>1436</v>
      </c>
      <c r="S262" s="48" t="s">
        <v>1436</v>
      </c>
      <c r="T262" s="48" t="s">
        <v>1436</v>
      </c>
      <c r="U262" s="48" t="s">
        <v>38</v>
      </c>
      <c r="V262" s="48" t="s">
        <v>39</v>
      </c>
      <c r="W262" s="48" t="s">
        <v>40</v>
      </c>
      <c r="X262" s="48" t="s">
        <v>41</v>
      </c>
      <c r="Y262" s="48" t="s">
        <v>1436</v>
      </c>
      <c r="Z262" s="48" t="s">
        <v>1436</v>
      </c>
      <c r="AA262" s="48" t="s">
        <v>1436</v>
      </c>
      <c r="AB262" s="49" t="s">
        <v>193</v>
      </c>
      <c r="AC262" s="48" t="s">
        <v>1194</v>
      </c>
      <c r="AD262" s="48" t="s">
        <v>1244</v>
      </c>
      <c r="AE262" s="48" t="s">
        <v>36</v>
      </c>
    </row>
    <row r="263" spans="1:31" x14ac:dyDescent="0.3">
      <c r="A263" s="48" t="s">
        <v>1320</v>
      </c>
      <c r="B263" s="48" t="s">
        <v>6</v>
      </c>
      <c r="C263" s="48" t="s">
        <v>1322</v>
      </c>
      <c r="D263" s="48" t="s">
        <v>1406</v>
      </c>
      <c r="E263" s="50">
        <v>45291</v>
      </c>
      <c r="F263" s="49" t="s">
        <v>1321</v>
      </c>
      <c r="G263" s="48" t="s">
        <v>36</v>
      </c>
      <c r="H263" s="48" t="s">
        <v>1441</v>
      </c>
      <c r="I263" s="51">
        <v>0</v>
      </c>
      <c r="J263" s="51"/>
      <c r="K263" s="51"/>
      <c r="L263" s="48" t="s">
        <v>1194</v>
      </c>
      <c r="M263" s="48" t="s">
        <v>1438</v>
      </c>
      <c r="N263" s="48" t="s">
        <v>1439</v>
      </c>
      <c r="O263" s="49" t="s">
        <v>1440</v>
      </c>
      <c r="P263" s="48" t="s">
        <v>38</v>
      </c>
      <c r="Q263" s="48" t="s">
        <v>37</v>
      </c>
      <c r="R263" s="48" t="s">
        <v>1436</v>
      </c>
      <c r="S263" s="48" t="s">
        <v>1436</v>
      </c>
      <c r="T263" s="48" t="s">
        <v>1436</v>
      </c>
      <c r="U263" s="48" t="s">
        <v>38</v>
      </c>
      <c r="V263" s="48" t="s">
        <v>39</v>
      </c>
      <c r="W263" s="48" t="s">
        <v>1194</v>
      </c>
      <c r="X263" s="48" t="s">
        <v>41</v>
      </c>
      <c r="Y263" s="48" t="s">
        <v>1436</v>
      </c>
      <c r="Z263" s="48" t="s">
        <v>1436</v>
      </c>
      <c r="AA263" s="48" t="s">
        <v>1436</v>
      </c>
      <c r="AB263" s="49" t="s">
        <v>193</v>
      </c>
      <c r="AC263" s="48" t="s">
        <v>1194</v>
      </c>
      <c r="AD263" s="48" t="s">
        <v>1244</v>
      </c>
      <c r="AE263" s="48" t="s">
        <v>36</v>
      </c>
    </row>
    <row r="264" spans="1:31" x14ac:dyDescent="0.3">
      <c r="A264" s="48" t="s">
        <v>1320</v>
      </c>
      <c r="B264" s="48" t="s">
        <v>6</v>
      </c>
      <c r="C264" s="48" t="s">
        <v>1322</v>
      </c>
      <c r="D264" s="48" t="s">
        <v>1405</v>
      </c>
      <c r="E264" s="50">
        <v>45291</v>
      </c>
      <c r="F264" s="49" t="s">
        <v>1321</v>
      </c>
      <c r="G264" s="48" t="s">
        <v>36</v>
      </c>
      <c r="H264" s="48" t="s">
        <v>1443</v>
      </c>
      <c r="I264" s="51">
        <v>0</v>
      </c>
      <c r="J264" s="51"/>
      <c r="K264" s="51"/>
      <c r="L264" s="48" t="s">
        <v>1194</v>
      </c>
      <c r="M264" s="48" t="s">
        <v>1438</v>
      </c>
      <c r="N264" s="48" t="s">
        <v>1439</v>
      </c>
      <c r="O264" s="49" t="s">
        <v>1442</v>
      </c>
      <c r="P264" s="48" t="s">
        <v>38</v>
      </c>
      <c r="Q264" s="48" t="s">
        <v>37</v>
      </c>
      <c r="R264" s="48" t="s">
        <v>1436</v>
      </c>
      <c r="S264" s="48" t="s">
        <v>1436</v>
      </c>
      <c r="T264" s="48" t="s">
        <v>1436</v>
      </c>
      <c r="U264" s="48" t="s">
        <v>38</v>
      </c>
      <c r="V264" s="48" t="s">
        <v>39</v>
      </c>
      <c r="W264" s="48" t="s">
        <v>1194</v>
      </c>
      <c r="X264" s="48" t="s">
        <v>41</v>
      </c>
      <c r="Y264" s="48" t="s">
        <v>1436</v>
      </c>
      <c r="Z264" s="48" t="s">
        <v>1436</v>
      </c>
      <c r="AA264" s="48" t="s">
        <v>1436</v>
      </c>
      <c r="AB264" s="49" t="s">
        <v>193</v>
      </c>
      <c r="AC264" s="48" t="s">
        <v>1194</v>
      </c>
      <c r="AD264" s="48" t="s">
        <v>1244</v>
      </c>
      <c r="AE264" s="48" t="s">
        <v>36</v>
      </c>
    </row>
    <row r="265" spans="1:31" x14ac:dyDescent="0.3">
      <c r="A265" s="48" t="s">
        <v>1320</v>
      </c>
      <c r="B265" s="48" t="s">
        <v>6</v>
      </c>
      <c r="C265" s="48" t="s">
        <v>1322</v>
      </c>
      <c r="D265" s="48" t="s">
        <v>1404</v>
      </c>
      <c r="E265" s="50">
        <v>45291</v>
      </c>
      <c r="F265" s="49" t="s">
        <v>1321</v>
      </c>
      <c r="G265" s="48" t="s">
        <v>36</v>
      </c>
      <c r="H265" s="48" t="s">
        <v>49</v>
      </c>
      <c r="I265" s="51">
        <v>-9446.0521320000007</v>
      </c>
      <c r="J265" s="51"/>
      <c r="K265" s="51"/>
      <c r="L265" s="48" t="s">
        <v>38</v>
      </c>
      <c r="M265" s="48" t="s">
        <v>1433</v>
      </c>
      <c r="N265" s="48" t="s">
        <v>1447</v>
      </c>
      <c r="O265" s="49" t="s">
        <v>1451</v>
      </c>
      <c r="P265" s="48" t="s">
        <v>38</v>
      </c>
      <c r="Q265" s="48" t="s">
        <v>37</v>
      </c>
      <c r="R265" s="48" t="s">
        <v>1436</v>
      </c>
      <c r="S265" s="48" t="s">
        <v>1436</v>
      </c>
      <c r="T265" s="48" t="s">
        <v>1436</v>
      </c>
      <c r="U265" s="48" t="s">
        <v>38</v>
      </c>
      <c r="V265" s="48" t="s">
        <v>39</v>
      </c>
      <c r="W265" s="48" t="s">
        <v>38</v>
      </c>
      <c r="X265" s="48" t="s">
        <v>41</v>
      </c>
      <c r="Y265" s="48" t="s">
        <v>1436</v>
      </c>
      <c r="Z265" s="48" t="s">
        <v>1436</v>
      </c>
      <c r="AA265" s="48" t="s">
        <v>1436</v>
      </c>
      <c r="AB265" s="49" t="s">
        <v>193</v>
      </c>
      <c r="AC265" s="48" t="s">
        <v>1194</v>
      </c>
      <c r="AD265" s="48" t="s">
        <v>1244</v>
      </c>
      <c r="AE265" s="48" t="s">
        <v>36</v>
      </c>
    </row>
    <row r="266" spans="1:31" x14ac:dyDescent="0.3">
      <c r="A266" s="48" t="s">
        <v>1320</v>
      </c>
      <c r="B266" s="48" t="s">
        <v>6</v>
      </c>
      <c r="C266" s="48" t="s">
        <v>1322</v>
      </c>
      <c r="D266" s="48" t="s">
        <v>1413</v>
      </c>
      <c r="E266" s="50">
        <v>45322</v>
      </c>
      <c r="F266" s="49" t="s">
        <v>1321</v>
      </c>
      <c r="G266" s="48" t="s">
        <v>36</v>
      </c>
      <c r="H266" s="48" t="s">
        <v>58</v>
      </c>
      <c r="I266" s="51">
        <v>-1250000</v>
      </c>
      <c r="J266" s="51"/>
      <c r="K266" s="51"/>
      <c r="L266" s="48" t="s">
        <v>40</v>
      </c>
      <c r="M266" s="48" t="s">
        <v>1433</v>
      </c>
      <c r="N266" s="48" t="s">
        <v>1447</v>
      </c>
      <c r="O266" s="49" t="s">
        <v>1448</v>
      </c>
      <c r="P266" s="48" t="s">
        <v>38</v>
      </c>
      <c r="Q266" s="48" t="s">
        <v>37</v>
      </c>
      <c r="R266" s="48" t="s">
        <v>1436</v>
      </c>
      <c r="S266" s="48" t="s">
        <v>1436</v>
      </c>
      <c r="T266" s="48" t="s">
        <v>1436</v>
      </c>
      <c r="U266" s="48" t="s">
        <v>38</v>
      </c>
      <c r="V266" s="48" t="s">
        <v>39</v>
      </c>
      <c r="W266" s="48" t="s">
        <v>40</v>
      </c>
      <c r="X266" s="48" t="s">
        <v>41</v>
      </c>
      <c r="Y266" s="48" t="s">
        <v>1436</v>
      </c>
      <c r="Z266" s="48" t="s">
        <v>1436</v>
      </c>
      <c r="AA266" s="48" t="s">
        <v>1436</v>
      </c>
      <c r="AB266" s="49" t="s">
        <v>193</v>
      </c>
      <c r="AC266" s="48" t="s">
        <v>1194</v>
      </c>
      <c r="AD266" s="48" t="s">
        <v>1244</v>
      </c>
      <c r="AE266" s="48" t="s">
        <v>36</v>
      </c>
    </row>
    <row r="267" spans="1:31" x14ac:dyDescent="0.3">
      <c r="A267" s="48" t="s">
        <v>1320</v>
      </c>
      <c r="B267" s="48" t="s">
        <v>6</v>
      </c>
      <c r="C267" s="48" t="s">
        <v>1322</v>
      </c>
      <c r="D267" s="48" t="s">
        <v>1412</v>
      </c>
      <c r="E267" s="50">
        <v>45322</v>
      </c>
      <c r="F267" s="49" t="s">
        <v>1321</v>
      </c>
      <c r="G267" s="48" t="s">
        <v>36</v>
      </c>
      <c r="H267" s="48" t="s">
        <v>52</v>
      </c>
      <c r="I267" s="51">
        <v>-1058262.26</v>
      </c>
      <c r="J267" s="51"/>
      <c r="K267" s="51"/>
      <c r="L267" s="48" t="s">
        <v>40</v>
      </c>
      <c r="M267" s="48" t="s">
        <v>1433</v>
      </c>
      <c r="N267" s="48" t="s">
        <v>1434</v>
      </c>
      <c r="O267" s="49" t="s">
        <v>1435</v>
      </c>
      <c r="P267" s="48" t="s">
        <v>38</v>
      </c>
      <c r="Q267" s="48" t="s">
        <v>37</v>
      </c>
      <c r="R267" s="48" t="s">
        <v>1436</v>
      </c>
      <c r="S267" s="48" t="s">
        <v>1436</v>
      </c>
      <c r="T267" s="48" t="s">
        <v>1436</v>
      </c>
      <c r="U267" s="48" t="s">
        <v>38</v>
      </c>
      <c r="V267" s="48" t="s">
        <v>39</v>
      </c>
      <c r="W267" s="48" t="s">
        <v>40</v>
      </c>
      <c r="X267" s="48" t="s">
        <v>41</v>
      </c>
      <c r="Y267" s="48" t="s">
        <v>1436</v>
      </c>
      <c r="Z267" s="48" t="s">
        <v>1436</v>
      </c>
      <c r="AA267" s="48" t="s">
        <v>1436</v>
      </c>
      <c r="AB267" s="49" t="s">
        <v>193</v>
      </c>
      <c r="AC267" s="48" t="s">
        <v>1194</v>
      </c>
      <c r="AD267" s="48" t="s">
        <v>1244</v>
      </c>
      <c r="AE267" s="48" t="s">
        <v>36</v>
      </c>
    </row>
    <row r="268" spans="1:31" x14ac:dyDescent="0.3">
      <c r="A268" s="48" t="s">
        <v>1320</v>
      </c>
      <c r="B268" s="48" t="s">
        <v>6</v>
      </c>
      <c r="C268" s="48" t="s">
        <v>1322</v>
      </c>
      <c r="D268" s="48" t="s">
        <v>1411</v>
      </c>
      <c r="E268" s="50">
        <v>45322</v>
      </c>
      <c r="F268" s="49" t="s">
        <v>1321</v>
      </c>
      <c r="G268" s="48" t="s">
        <v>36</v>
      </c>
      <c r="H268" s="48" t="s">
        <v>50</v>
      </c>
      <c r="I268" s="51">
        <v>42330.49</v>
      </c>
      <c r="J268" s="51"/>
      <c r="K268" s="51"/>
      <c r="L268" s="48" t="s">
        <v>40</v>
      </c>
      <c r="M268" s="48" t="s">
        <v>1438</v>
      </c>
      <c r="N268" s="48" t="s">
        <v>1444</v>
      </c>
      <c r="O268" s="49" t="s">
        <v>1445</v>
      </c>
      <c r="P268" s="48" t="s">
        <v>38</v>
      </c>
      <c r="Q268" s="48" t="s">
        <v>37</v>
      </c>
      <c r="R268" s="48" t="s">
        <v>1436</v>
      </c>
      <c r="S268" s="48" t="s">
        <v>1436</v>
      </c>
      <c r="T268" s="48" t="s">
        <v>1436</v>
      </c>
      <c r="U268" s="48" t="s">
        <v>38</v>
      </c>
      <c r="V268" s="48" t="s">
        <v>39</v>
      </c>
      <c r="W268" s="48" t="s">
        <v>40</v>
      </c>
      <c r="X268" s="48" t="s">
        <v>41</v>
      </c>
      <c r="Y268" s="48" t="s">
        <v>1436</v>
      </c>
      <c r="Z268" s="48" t="s">
        <v>1436</v>
      </c>
      <c r="AA268" s="48" t="s">
        <v>1436</v>
      </c>
      <c r="AB268" s="49" t="s">
        <v>193</v>
      </c>
      <c r="AC268" s="48" t="s">
        <v>1194</v>
      </c>
      <c r="AD268" s="48" t="s">
        <v>1244</v>
      </c>
      <c r="AE268" s="48" t="s">
        <v>36</v>
      </c>
    </row>
    <row r="269" spans="1:31" x14ac:dyDescent="0.3">
      <c r="A269" s="48" t="s">
        <v>1320</v>
      </c>
      <c r="B269" s="48" t="s">
        <v>6</v>
      </c>
      <c r="C269" s="48" t="s">
        <v>1322</v>
      </c>
      <c r="D269" s="48" t="s">
        <v>1410</v>
      </c>
      <c r="E269" s="50">
        <v>45322</v>
      </c>
      <c r="F269" s="49" t="s">
        <v>1321</v>
      </c>
      <c r="G269" s="48" t="s">
        <v>36</v>
      </c>
      <c r="H269" s="48" t="s">
        <v>42</v>
      </c>
      <c r="I269" s="51">
        <v>2539829.423163</v>
      </c>
      <c r="J269" s="51"/>
      <c r="K269" s="51"/>
      <c r="L269" s="48" t="s">
        <v>40</v>
      </c>
      <c r="M269" s="48" t="s">
        <v>1433</v>
      </c>
      <c r="N269" s="48" t="s">
        <v>1434</v>
      </c>
      <c r="O269" s="49" t="s">
        <v>1437</v>
      </c>
      <c r="P269" s="48" t="s">
        <v>38</v>
      </c>
      <c r="Q269" s="48" t="s">
        <v>37</v>
      </c>
      <c r="R269" s="48" t="s">
        <v>1436</v>
      </c>
      <c r="S269" s="48" t="s">
        <v>1436</v>
      </c>
      <c r="T269" s="48" t="s">
        <v>1436</v>
      </c>
      <c r="U269" s="48" t="s">
        <v>38</v>
      </c>
      <c r="V269" s="48" t="s">
        <v>39</v>
      </c>
      <c r="W269" s="48" t="s">
        <v>40</v>
      </c>
      <c r="X269" s="48" t="s">
        <v>41</v>
      </c>
      <c r="Y269" s="48" t="s">
        <v>1436</v>
      </c>
      <c r="Z269" s="48" t="s">
        <v>1436</v>
      </c>
      <c r="AA269" s="48" t="s">
        <v>1436</v>
      </c>
      <c r="AB269" s="49" t="s">
        <v>193</v>
      </c>
      <c r="AC269" s="48" t="s">
        <v>1194</v>
      </c>
      <c r="AD269" s="48" t="s">
        <v>1244</v>
      </c>
      <c r="AE269" s="48" t="s">
        <v>36</v>
      </c>
    </row>
    <row r="270" spans="1:31" x14ac:dyDescent="0.3">
      <c r="A270" s="48" t="s">
        <v>1320</v>
      </c>
      <c r="B270" s="48" t="s">
        <v>6</v>
      </c>
      <c r="C270" s="48" t="s">
        <v>1322</v>
      </c>
      <c r="D270" s="48" t="s">
        <v>1409</v>
      </c>
      <c r="E270" s="50">
        <v>45322</v>
      </c>
      <c r="F270" s="49" t="s">
        <v>1321</v>
      </c>
      <c r="G270" s="48" t="s">
        <v>36</v>
      </c>
      <c r="H270" s="48" t="s">
        <v>45</v>
      </c>
      <c r="I270" s="51">
        <v>-1073269.3647119999</v>
      </c>
      <c r="J270" s="51"/>
      <c r="K270" s="51"/>
      <c r="L270" s="48" t="s">
        <v>40</v>
      </c>
      <c r="M270" s="48" t="s">
        <v>1433</v>
      </c>
      <c r="N270" s="48" t="s">
        <v>1447</v>
      </c>
      <c r="O270" s="49" t="s">
        <v>1449</v>
      </c>
      <c r="P270" s="48" t="s">
        <v>38</v>
      </c>
      <c r="Q270" s="48" t="s">
        <v>37</v>
      </c>
      <c r="R270" s="48" t="s">
        <v>1436</v>
      </c>
      <c r="S270" s="48" t="s">
        <v>1436</v>
      </c>
      <c r="T270" s="48" t="s">
        <v>1436</v>
      </c>
      <c r="U270" s="48" t="s">
        <v>38</v>
      </c>
      <c r="V270" s="48" t="s">
        <v>39</v>
      </c>
      <c r="W270" s="48" t="s">
        <v>40</v>
      </c>
      <c r="X270" s="48" t="s">
        <v>41</v>
      </c>
      <c r="Y270" s="48" t="s">
        <v>1436</v>
      </c>
      <c r="Z270" s="48" t="s">
        <v>1436</v>
      </c>
      <c r="AA270" s="48" t="s">
        <v>1436</v>
      </c>
      <c r="AB270" s="49" t="s">
        <v>193</v>
      </c>
      <c r="AC270" s="48" t="s">
        <v>1194</v>
      </c>
      <c r="AD270" s="48" t="s">
        <v>1244</v>
      </c>
      <c r="AE270" s="48" t="s">
        <v>36</v>
      </c>
    </row>
    <row r="271" spans="1:31" x14ac:dyDescent="0.3">
      <c r="A271" s="48" t="s">
        <v>1320</v>
      </c>
      <c r="B271" s="48" t="s">
        <v>6</v>
      </c>
      <c r="C271" s="48" t="s">
        <v>1322</v>
      </c>
      <c r="D271" s="48" t="s">
        <v>1408</v>
      </c>
      <c r="E271" s="50">
        <v>45322</v>
      </c>
      <c r="F271" s="49" t="s">
        <v>1321</v>
      </c>
      <c r="G271" s="48" t="s">
        <v>36</v>
      </c>
      <c r="H271" s="48" t="s">
        <v>54</v>
      </c>
      <c r="I271" s="51">
        <v>-505499.91</v>
      </c>
      <c r="J271" s="51"/>
      <c r="K271" s="51"/>
      <c r="L271" s="48" t="s">
        <v>40</v>
      </c>
      <c r="M271" s="48" t="s">
        <v>1433</v>
      </c>
      <c r="N271" s="48" t="s">
        <v>1447</v>
      </c>
      <c r="O271" s="49" t="s">
        <v>1450</v>
      </c>
      <c r="P271" s="48" t="s">
        <v>38</v>
      </c>
      <c r="Q271" s="48" t="s">
        <v>37</v>
      </c>
      <c r="R271" s="48" t="s">
        <v>1436</v>
      </c>
      <c r="S271" s="48" t="s">
        <v>1436</v>
      </c>
      <c r="T271" s="48" t="s">
        <v>1436</v>
      </c>
      <c r="U271" s="48" t="s">
        <v>38</v>
      </c>
      <c r="V271" s="48" t="s">
        <v>39</v>
      </c>
      <c r="W271" s="48" t="s">
        <v>40</v>
      </c>
      <c r="X271" s="48" t="s">
        <v>41</v>
      </c>
      <c r="Y271" s="48" t="s">
        <v>1436</v>
      </c>
      <c r="Z271" s="48" t="s">
        <v>1436</v>
      </c>
      <c r="AA271" s="48" t="s">
        <v>1436</v>
      </c>
      <c r="AB271" s="49" t="s">
        <v>193</v>
      </c>
      <c r="AC271" s="48" t="s">
        <v>1194</v>
      </c>
      <c r="AD271" s="48" t="s">
        <v>1244</v>
      </c>
      <c r="AE271" s="48" t="s">
        <v>36</v>
      </c>
    </row>
    <row r="272" spans="1:31" x14ac:dyDescent="0.3">
      <c r="A272" s="48" t="s">
        <v>1320</v>
      </c>
      <c r="B272" s="48" t="s">
        <v>6</v>
      </c>
      <c r="C272" s="48" t="s">
        <v>1322</v>
      </c>
      <c r="D272" s="48" t="s">
        <v>1407</v>
      </c>
      <c r="E272" s="50">
        <v>45322</v>
      </c>
      <c r="F272" s="49" t="s">
        <v>1321</v>
      </c>
      <c r="G272" s="48" t="s">
        <v>36</v>
      </c>
      <c r="H272" s="48" t="s">
        <v>47</v>
      </c>
      <c r="I272" s="51">
        <v>9209.4874359999994</v>
      </c>
      <c r="J272" s="51"/>
      <c r="K272" s="51"/>
      <c r="L272" s="48" t="s">
        <v>40</v>
      </c>
      <c r="M272" s="48" t="s">
        <v>1438</v>
      </c>
      <c r="N272" s="48" t="s">
        <v>1444</v>
      </c>
      <c r="O272" s="49" t="s">
        <v>1446</v>
      </c>
      <c r="P272" s="48" t="s">
        <v>38</v>
      </c>
      <c r="Q272" s="48" t="s">
        <v>37</v>
      </c>
      <c r="R272" s="48" t="s">
        <v>1436</v>
      </c>
      <c r="S272" s="48" t="s">
        <v>1436</v>
      </c>
      <c r="T272" s="48" t="s">
        <v>1436</v>
      </c>
      <c r="U272" s="48" t="s">
        <v>38</v>
      </c>
      <c r="V272" s="48" t="s">
        <v>39</v>
      </c>
      <c r="W272" s="48" t="s">
        <v>40</v>
      </c>
      <c r="X272" s="48" t="s">
        <v>41</v>
      </c>
      <c r="Y272" s="48" t="s">
        <v>1436</v>
      </c>
      <c r="Z272" s="48" t="s">
        <v>1436</v>
      </c>
      <c r="AA272" s="48" t="s">
        <v>1436</v>
      </c>
      <c r="AB272" s="49" t="s">
        <v>193</v>
      </c>
      <c r="AC272" s="48" t="s">
        <v>1194</v>
      </c>
      <c r="AD272" s="48" t="s">
        <v>1244</v>
      </c>
      <c r="AE272" s="48" t="s">
        <v>36</v>
      </c>
    </row>
    <row r="273" spans="1:31" x14ac:dyDescent="0.3">
      <c r="A273" s="48" t="s">
        <v>1320</v>
      </c>
      <c r="B273" s="48" t="s">
        <v>6</v>
      </c>
      <c r="C273" s="48" t="s">
        <v>1322</v>
      </c>
      <c r="D273" s="48" t="s">
        <v>1406</v>
      </c>
      <c r="E273" s="50">
        <v>45322</v>
      </c>
      <c r="F273" s="49" t="s">
        <v>1321</v>
      </c>
      <c r="G273" s="48" t="s">
        <v>36</v>
      </c>
      <c r="H273" s="48" t="s">
        <v>1441</v>
      </c>
      <c r="I273" s="51">
        <v>0</v>
      </c>
      <c r="J273" s="51"/>
      <c r="K273" s="51"/>
      <c r="L273" s="48" t="s">
        <v>1194</v>
      </c>
      <c r="M273" s="48" t="s">
        <v>1438</v>
      </c>
      <c r="N273" s="48" t="s">
        <v>1439</v>
      </c>
      <c r="O273" s="49" t="s">
        <v>1440</v>
      </c>
      <c r="P273" s="48" t="s">
        <v>38</v>
      </c>
      <c r="Q273" s="48" t="s">
        <v>37</v>
      </c>
      <c r="R273" s="48" t="s">
        <v>1436</v>
      </c>
      <c r="S273" s="48" t="s">
        <v>1436</v>
      </c>
      <c r="T273" s="48" t="s">
        <v>1436</v>
      </c>
      <c r="U273" s="48" t="s">
        <v>38</v>
      </c>
      <c r="V273" s="48" t="s">
        <v>39</v>
      </c>
      <c r="W273" s="48" t="s">
        <v>1194</v>
      </c>
      <c r="X273" s="48" t="s">
        <v>41</v>
      </c>
      <c r="Y273" s="48" t="s">
        <v>1436</v>
      </c>
      <c r="Z273" s="48" t="s">
        <v>1436</v>
      </c>
      <c r="AA273" s="48" t="s">
        <v>1436</v>
      </c>
      <c r="AB273" s="49" t="s">
        <v>193</v>
      </c>
      <c r="AC273" s="48" t="s">
        <v>1194</v>
      </c>
      <c r="AD273" s="48" t="s">
        <v>1244</v>
      </c>
      <c r="AE273" s="48" t="s">
        <v>36</v>
      </c>
    </row>
    <row r="274" spans="1:31" x14ac:dyDescent="0.3">
      <c r="A274" s="48" t="s">
        <v>1320</v>
      </c>
      <c r="B274" s="48" t="s">
        <v>6</v>
      </c>
      <c r="C274" s="48" t="s">
        <v>1322</v>
      </c>
      <c r="D274" s="48" t="s">
        <v>1405</v>
      </c>
      <c r="E274" s="50">
        <v>45322</v>
      </c>
      <c r="F274" s="49" t="s">
        <v>1321</v>
      </c>
      <c r="G274" s="48" t="s">
        <v>36</v>
      </c>
      <c r="H274" s="48" t="s">
        <v>1443</v>
      </c>
      <c r="I274" s="51">
        <v>0</v>
      </c>
      <c r="J274" s="51"/>
      <c r="K274" s="51"/>
      <c r="L274" s="48" t="s">
        <v>1194</v>
      </c>
      <c r="M274" s="48" t="s">
        <v>1438</v>
      </c>
      <c r="N274" s="48" t="s">
        <v>1439</v>
      </c>
      <c r="O274" s="49" t="s">
        <v>1442</v>
      </c>
      <c r="P274" s="48" t="s">
        <v>38</v>
      </c>
      <c r="Q274" s="48" t="s">
        <v>37</v>
      </c>
      <c r="R274" s="48" t="s">
        <v>1436</v>
      </c>
      <c r="S274" s="48" t="s">
        <v>1436</v>
      </c>
      <c r="T274" s="48" t="s">
        <v>1436</v>
      </c>
      <c r="U274" s="48" t="s">
        <v>38</v>
      </c>
      <c r="V274" s="48" t="s">
        <v>39</v>
      </c>
      <c r="W274" s="48" t="s">
        <v>1194</v>
      </c>
      <c r="X274" s="48" t="s">
        <v>41</v>
      </c>
      <c r="Y274" s="48" t="s">
        <v>1436</v>
      </c>
      <c r="Z274" s="48" t="s">
        <v>1436</v>
      </c>
      <c r="AA274" s="48" t="s">
        <v>1436</v>
      </c>
      <c r="AB274" s="49" t="s">
        <v>193</v>
      </c>
      <c r="AC274" s="48" t="s">
        <v>1194</v>
      </c>
      <c r="AD274" s="48" t="s">
        <v>1244</v>
      </c>
      <c r="AE274" s="48" t="s">
        <v>36</v>
      </c>
    </row>
    <row r="275" spans="1:31" x14ac:dyDescent="0.3">
      <c r="A275" s="48" t="s">
        <v>1320</v>
      </c>
      <c r="B275" s="48" t="s">
        <v>6</v>
      </c>
      <c r="C275" s="48" t="s">
        <v>1322</v>
      </c>
      <c r="D275" s="48" t="s">
        <v>1404</v>
      </c>
      <c r="E275" s="50">
        <v>45322</v>
      </c>
      <c r="F275" s="49" t="s">
        <v>1321</v>
      </c>
      <c r="G275" s="48" t="s">
        <v>36</v>
      </c>
      <c r="H275" s="48" t="s">
        <v>49</v>
      </c>
      <c r="I275" s="51">
        <v>-9209.4874359999994</v>
      </c>
      <c r="J275" s="51"/>
      <c r="K275" s="51"/>
      <c r="L275" s="48" t="s">
        <v>38</v>
      </c>
      <c r="M275" s="48" t="s">
        <v>1433</v>
      </c>
      <c r="N275" s="48" t="s">
        <v>1447</v>
      </c>
      <c r="O275" s="49" t="s">
        <v>1451</v>
      </c>
      <c r="P275" s="48" t="s">
        <v>38</v>
      </c>
      <c r="Q275" s="48" t="s">
        <v>37</v>
      </c>
      <c r="R275" s="48" t="s">
        <v>1436</v>
      </c>
      <c r="S275" s="48" t="s">
        <v>1436</v>
      </c>
      <c r="T275" s="48" t="s">
        <v>1436</v>
      </c>
      <c r="U275" s="48" t="s">
        <v>38</v>
      </c>
      <c r="V275" s="48" t="s">
        <v>39</v>
      </c>
      <c r="W275" s="48" t="s">
        <v>38</v>
      </c>
      <c r="X275" s="48" t="s">
        <v>41</v>
      </c>
      <c r="Y275" s="48" t="s">
        <v>1436</v>
      </c>
      <c r="Z275" s="48" t="s">
        <v>1436</v>
      </c>
      <c r="AA275" s="48" t="s">
        <v>1436</v>
      </c>
      <c r="AB275" s="49" t="s">
        <v>193</v>
      </c>
      <c r="AC275" s="48" t="s">
        <v>1194</v>
      </c>
      <c r="AD275" s="48" t="s">
        <v>1244</v>
      </c>
      <c r="AE275" s="48" t="s">
        <v>36</v>
      </c>
    </row>
    <row r="276" spans="1:31" x14ac:dyDescent="0.3">
      <c r="A276" s="48" t="s">
        <v>1320</v>
      </c>
      <c r="B276" s="48" t="s">
        <v>6</v>
      </c>
      <c r="C276" s="48" t="s">
        <v>1322</v>
      </c>
      <c r="D276" s="48" t="s">
        <v>1413</v>
      </c>
      <c r="E276" s="50">
        <v>45351</v>
      </c>
      <c r="F276" s="49" t="s">
        <v>1321</v>
      </c>
      <c r="G276" s="48" t="s">
        <v>36</v>
      </c>
      <c r="H276" s="48" t="s">
        <v>58</v>
      </c>
      <c r="I276" s="51">
        <v>-1300000</v>
      </c>
      <c r="J276" s="51"/>
      <c r="K276" s="51"/>
      <c r="L276" s="48" t="s">
        <v>40</v>
      </c>
      <c r="M276" s="48" t="s">
        <v>1433</v>
      </c>
      <c r="N276" s="48" t="s">
        <v>1447</v>
      </c>
      <c r="O276" s="49" t="s">
        <v>1448</v>
      </c>
      <c r="P276" s="48" t="s">
        <v>38</v>
      </c>
      <c r="Q276" s="48" t="s">
        <v>37</v>
      </c>
      <c r="R276" s="48" t="s">
        <v>1436</v>
      </c>
      <c r="S276" s="48" t="s">
        <v>1436</v>
      </c>
      <c r="T276" s="48" t="s">
        <v>1436</v>
      </c>
      <c r="U276" s="48" t="s">
        <v>38</v>
      </c>
      <c r="V276" s="48" t="s">
        <v>39</v>
      </c>
      <c r="W276" s="48" t="s">
        <v>40</v>
      </c>
      <c r="X276" s="48" t="s">
        <v>41</v>
      </c>
      <c r="Y276" s="48" t="s">
        <v>1436</v>
      </c>
      <c r="Z276" s="48" t="s">
        <v>1436</v>
      </c>
      <c r="AA276" s="48" t="s">
        <v>1436</v>
      </c>
      <c r="AB276" s="49" t="s">
        <v>193</v>
      </c>
      <c r="AC276" s="48" t="s">
        <v>1194</v>
      </c>
      <c r="AD276" s="48" t="s">
        <v>1244</v>
      </c>
      <c r="AE276" s="48" t="s">
        <v>36</v>
      </c>
    </row>
    <row r="277" spans="1:31" x14ac:dyDescent="0.3">
      <c r="A277" s="48" t="s">
        <v>1320</v>
      </c>
      <c r="B277" s="48" t="s">
        <v>6</v>
      </c>
      <c r="C277" s="48" t="s">
        <v>1322</v>
      </c>
      <c r="D277" s="48" t="s">
        <v>1412</v>
      </c>
      <c r="E277" s="50">
        <v>45351</v>
      </c>
      <c r="F277" s="49" t="s">
        <v>1321</v>
      </c>
      <c r="G277" s="48" t="s">
        <v>36</v>
      </c>
      <c r="H277" s="48" t="s">
        <v>52</v>
      </c>
      <c r="I277" s="51">
        <v>-1100592.75</v>
      </c>
      <c r="J277" s="51"/>
      <c r="K277" s="51"/>
      <c r="L277" s="48" t="s">
        <v>40</v>
      </c>
      <c r="M277" s="48" t="s">
        <v>1433</v>
      </c>
      <c r="N277" s="48" t="s">
        <v>1434</v>
      </c>
      <c r="O277" s="49" t="s">
        <v>1435</v>
      </c>
      <c r="P277" s="48" t="s">
        <v>38</v>
      </c>
      <c r="Q277" s="48" t="s">
        <v>37</v>
      </c>
      <c r="R277" s="48" t="s">
        <v>1436</v>
      </c>
      <c r="S277" s="48" t="s">
        <v>1436</v>
      </c>
      <c r="T277" s="48" t="s">
        <v>1436</v>
      </c>
      <c r="U277" s="48" t="s">
        <v>38</v>
      </c>
      <c r="V277" s="48" t="s">
        <v>39</v>
      </c>
      <c r="W277" s="48" t="s">
        <v>40</v>
      </c>
      <c r="X277" s="48" t="s">
        <v>41</v>
      </c>
      <c r="Y277" s="48" t="s">
        <v>1436</v>
      </c>
      <c r="Z277" s="48" t="s">
        <v>1436</v>
      </c>
      <c r="AA277" s="48" t="s">
        <v>1436</v>
      </c>
      <c r="AB277" s="49" t="s">
        <v>193</v>
      </c>
      <c r="AC277" s="48" t="s">
        <v>1194</v>
      </c>
      <c r="AD277" s="48" t="s">
        <v>1244</v>
      </c>
      <c r="AE277" s="48" t="s">
        <v>36</v>
      </c>
    </row>
    <row r="278" spans="1:31" x14ac:dyDescent="0.3">
      <c r="A278" s="48" t="s">
        <v>1320</v>
      </c>
      <c r="B278" s="48" t="s">
        <v>6</v>
      </c>
      <c r="C278" s="48" t="s">
        <v>1322</v>
      </c>
      <c r="D278" s="48" t="s">
        <v>1411</v>
      </c>
      <c r="E278" s="50">
        <v>45351</v>
      </c>
      <c r="F278" s="49" t="s">
        <v>1321</v>
      </c>
      <c r="G278" s="48" t="s">
        <v>36</v>
      </c>
      <c r="H278" s="48" t="s">
        <v>50</v>
      </c>
      <c r="I278" s="51">
        <v>84660.98</v>
      </c>
      <c r="J278" s="51"/>
      <c r="K278" s="51"/>
      <c r="L278" s="48" t="s">
        <v>40</v>
      </c>
      <c r="M278" s="48" t="s">
        <v>1438</v>
      </c>
      <c r="N278" s="48" t="s">
        <v>1444</v>
      </c>
      <c r="O278" s="49" t="s">
        <v>1445</v>
      </c>
      <c r="P278" s="48" t="s">
        <v>38</v>
      </c>
      <c r="Q278" s="48" t="s">
        <v>37</v>
      </c>
      <c r="R278" s="48" t="s">
        <v>1436</v>
      </c>
      <c r="S278" s="48" t="s">
        <v>1436</v>
      </c>
      <c r="T278" s="48" t="s">
        <v>1436</v>
      </c>
      <c r="U278" s="48" t="s">
        <v>38</v>
      </c>
      <c r="V278" s="48" t="s">
        <v>39</v>
      </c>
      <c r="W278" s="48" t="s">
        <v>40</v>
      </c>
      <c r="X278" s="48" t="s">
        <v>41</v>
      </c>
      <c r="Y278" s="48" t="s">
        <v>1436</v>
      </c>
      <c r="Z278" s="48" t="s">
        <v>1436</v>
      </c>
      <c r="AA278" s="48" t="s">
        <v>1436</v>
      </c>
      <c r="AB278" s="49" t="s">
        <v>193</v>
      </c>
      <c r="AC278" s="48" t="s">
        <v>1194</v>
      </c>
      <c r="AD278" s="48" t="s">
        <v>1244</v>
      </c>
      <c r="AE278" s="48" t="s">
        <v>36</v>
      </c>
    </row>
    <row r="279" spans="1:31" x14ac:dyDescent="0.3">
      <c r="A279" s="48" t="s">
        <v>1320</v>
      </c>
      <c r="B279" s="48" t="s">
        <v>6</v>
      </c>
      <c r="C279" s="48" t="s">
        <v>1322</v>
      </c>
      <c r="D279" s="48" t="s">
        <v>1410</v>
      </c>
      <c r="E279" s="50">
        <v>45351</v>
      </c>
      <c r="F279" s="49" t="s">
        <v>1321</v>
      </c>
      <c r="G279" s="48" t="s">
        <v>36</v>
      </c>
      <c r="H279" s="48" t="s">
        <v>42</v>
      </c>
      <c r="I279" s="51">
        <v>2539829.423163</v>
      </c>
      <c r="J279" s="51"/>
      <c r="K279" s="51"/>
      <c r="L279" s="48" t="s">
        <v>40</v>
      </c>
      <c r="M279" s="48" t="s">
        <v>1433</v>
      </c>
      <c r="N279" s="48" t="s">
        <v>1434</v>
      </c>
      <c r="O279" s="49" t="s">
        <v>1437</v>
      </c>
      <c r="P279" s="48" t="s">
        <v>38</v>
      </c>
      <c r="Q279" s="48" t="s">
        <v>37</v>
      </c>
      <c r="R279" s="48" t="s">
        <v>1436</v>
      </c>
      <c r="S279" s="48" t="s">
        <v>1436</v>
      </c>
      <c r="T279" s="48" t="s">
        <v>1436</v>
      </c>
      <c r="U279" s="48" t="s">
        <v>38</v>
      </c>
      <c r="V279" s="48" t="s">
        <v>39</v>
      </c>
      <c r="W279" s="48" t="s">
        <v>40</v>
      </c>
      <c r="X279" s="48" t="s">
        <v>41</v>
      </c>
      <c r="Y279" s="48" t="s">
        <v>1436</v>
      </c>
      <c r="Z279" s="48" t="s">
        <v>1436</v>
      </c>
      <c r="AA279" s="48" t="s">
        <v>1436</v>
      </c>
      <c r="AB279" s="49" t="s">
        <v>193</v>
      </c>
      <c r="AC279" s="48" t="s">
        <v>1194</v>
      </c>
      <c r="AD279" s="48" t="s">
        <v>1244</v>
      </c>
      <c r="AE279" s="48" t="s">
        <v>36</v>
      </c>
    </row>
    <row r="280" spans="1:31" x14ac:dyDescent="0.3">
      <c r="A280" s="48" t="s">
        <v>1320</v>
      </c>
      <c r="B280" s="48" t="s">
        <v>6</v>
      </c>
      <c r="C280" s="48" t="s">
        <v>1322</v>
      </c>
      <c r="D280" s="48" t="s">
        <v>1409</v>
      </c>
      <c r="E280" s="50">
        <v>45351</v>
      </c>
      <c r="F280" s="49" t="s">
        <v>1321</v>
      </c>
      <c r="G280" s="48" t="s">
        <v>36</v>
      </c>
      <c r="H280" s="48" t="s">
        <v>45</v>
      </c>
      <c r="I280" s="51">
        <v>-1029530.102148</v>
      </c>
      <c r="J280" s="51"/>
      <c r="K280" s="51"/>
      <c r="L280" s="48" t="s">
        <v>40</v>
      </c>
      <c r="M280" s="48" t="s">
        <v>1433</v>
      </c>
      <c r="N280" s="48" t="s">
        <v>1447</v>
      </c>
      <c r="O280" s="49" t="s">
        <v>1449</v>
      </c>
      <c r="P280" s="48" t="s">
        <v>38</v>
      </c>
      <c r="Q280" s="48" t="s">
        <v>37</v>
      </c>
      <c r="R280" s="48" t="s">
        <v>1436</v>
      </c>
      <c r="S280" s="48" t="s">
        <v>1436</v>
      </c>
      <c r="T280" s="48" t="s">
        <v>1436</v>
      </c>
      <c r="U280" s="48" t="s">
        <v>38</v>
      </c>
      <c r="V280" s="48" t="s">
        <v>39</v>
      </c>
      <c r="W280" s="48" t="s">
        <v>40</v>
      </c>
      <c r="X280" s="48" t="s">
        <v>41</v>
      </c>
      <c r="Y280" s="48" t="s">
        <v>1436</v>
      </c>
      <c r="Z280" s="48" t="s">
        <v>1436</v>
      </c>
      <c r="AA280" s="48" t="s">
        <v>1436</v>
      </c>
      <c r="AB280" s="49" t="s">
        <v>193</v>
      </c>
      <c r="AC280" s="48" t="s">
        <v>1194</v>
      </c>
      <c r="AD280" s="48" t="s">
        <v>1244</v>
      </c>
      <c r="AE280" s="48" t="s">
        <v>36</v>
      </c>
    </row>
    <row r="281" spans="1:31" x14ac:dyDescent="0.3">
      <c r="A281" s="48" t="s">
        <v>1320</v>
      </c>
      <c r="B281" s="48" t="s">
        <v>6</v>
      </c>
      <c r="C281" s="48" t="s">
        <v>1322</v>
      </c>
      <c r="D281" s="48" t="s">
        <v>1408</v>
      </c>
      <c r="E281" s="50">
        <v>45351</v>
      </c>
      <c r="F281" s="49" t="s">
        <v>1321</v>
      </c>
      <c r="G281" s="48" t="s">
        <v>36</v>
      </c>
      <c r="H281" s="48" t="s">
        <v>54</v>
      </c>
      <c r="I281" s="51">
        <v>-508448.66</v>
      </c>
      <c r="J281" s="51"/>
      <c r="K281" s="51"/>
      <c r="L281" s="48" t="s">
        <v>40</v>
      </c>
      <c r="M281" s="48" t="s">
        <v>1433</v>
      </c>
      <c r="N281" s="48" t="s">
        <v>1447</v>
      </c>
      <c r="O281" s="49" t="s">
        <v>1450</v>
      </c>
      <c r="P281" s="48" t="s">
        <v>38</v>
      </c>
      <c r="Q281" s="48" t="s">
        <v>37</v>
      </c>
      <c r="R281" s="48" t="s">
        <v>1436</v>
      </c>
      <c r="S281" s="48" t="s">
        <v>1436</v>
      </c>
      <c r="T281" s="48" t="s">
        <v>1436</v>
      </c>
      <c r="U281" s="48" t="s">
        <v>38</v>
      </c>
      <c r="V281" s="48" t="s">
        <v>39</v>
      </c>
      <c r="W281" s="48" t="s">
        <v>40</v>
      </c>
      <c r="X281" s="48" t="s">
        <v>41</v>
      </c>
      <c r="Y281" s="48" t="s">
        <v>1436</v>
      </c>
      <c r="Z281" s="48" t="s">
        <v>1436</v>
      </c>
      <c r="AA281" s="48" t="s">
        <v>1436</v>
      </c>
      <c r="AB281" s="49" t="s">
        <v>193</v>
      </c>
      <c r="AC281" s="48" t="s">
        <v>1194</v>
      </c>
      <c r="AD281" s="48" t="s">
        <v>1244</v>
      </c>
      <c r="AE281" s="48" t="s">
        <v>36</v>
      </c>
    </row>
    <row r="282" spans="1:31" x14ac:dyDescent="0.3">
      <c r="A282" s="48" t="s">
        <v>1320</v>
      </c>
      <c r="B282" s="48" t="s">
        <v>6</v>
      </c>
      <c r="C282" s="48" t="s">
        <v>1322</v>
      </c>
      <c r="D282" s="48" t="s">
        <v>1407</v>
      </c>
      <c r="E282" s="50">
        <v>45351</v>
      </c>
      <c r="F282" s="49" t="s">
        <v>1321</v>
      </c>
      <c r="G282" s="48" t="s">
        <v>36</v>
      </c>
      <c r="H282" s="48" t="s">
        <v>47</v>
      </c>
      <c r="I282" s="51">
        <v>18181.030214999999</v>
      </c>
      <c r="J282" s="51"/>
      <c r="K282" s="51"/>
      <c r="L282" s="48" t="s">
        <v>40</v>
      </c>
      <c r="M282" s="48" t="s">
        <v>1438</v>
      </c>
      <c r="N282" s="48" t="s">
        <v>1444</v>
      </c>
      <c r="O282" s="49" t="s">
        <v>1446</v>
      </c>
      <c r="P282" s="48" t="s">
        <v>38</v>
      </c>
      <c r="Q282" s="48" t="s">
        <v>37</v>
      </c>
      <c r="R282" s="48" t="s">
        <v>1436</v>
      </c>
      <c r="S282" s="48" t="s">
        <v>1436</v>
      </c>
      <c r="T282" s="48" t="s">
        <v>1436</v>
      </c>
      <c r="U282" s="48" t="s">
        <v>38</v>
      </c>
      <c r="V282" s="48" t="s">
        <v>39</v>
      </c>
      <c r="W282" s="48" t="s">
        <v>40</v>
      </c>
      <c r="X282" s="48" t="s">
        <v>41</v>
      </c>
      <c r="Y282" s="48" t="s">
        <v>1436</v>
      </c>
      <c r="Z282" s="48" t="s">
        <v>1436</v>
      </c>
      <c r="AA282" s="48" t="s">
        <v>1436</v>
      </c>
      <c r="AB282" s="49" t="s">
        <v>193</v>
      </c>
      <c r="AC282" s="48" t="s">
        <v>1194</v>
      </c>
      <c r="AD282" s="48" t="s">
        <v>1244</v>
      </c>
      <c r="AE282" s="48" t="s">
        <v>36</v>
      </c>
    </row>
    <row r="283" spans="1:31" x14ac:dyDescent="0.3">
      <c r="A283" s="48" t="s">
        <v>1320</v>
      </c>
      <c r="B283" s="48" t="s">
        <v>6</v>
      </c>
      <c r="C283" s="48" t="s">
        <v>1322</v>
      </c>
      <c r="D283" s="48" t="s">
        <v>1406</v>
      </c>
      <c r="E283" s="50">
        <v>45351</v>
      </c>
      <c r="F283" s="49" t="s">
        <v>1321</v>
      </c>
      <c r="G283" s="48" t="s">
        <v>36</v>
      </c>
      <c r="H283" s="48" t="s">
        <v>1441</v>
      </c>
      <c r="I283" s="51">
        <v>0</v>
      </c>
      <c r="J283" s="51"/>
      <c r="K283" s="51"/>
      <c r="L283" s="48" t="s">
        <v>1194</v>
      </c>
      <c r="M283" s="48" t="s">
        <v>1438</v>
      </c>
      <c r="N283" s="48" t="s">
        <v>1439</v>
      </c>
      <c r="O283" s="49" t="s">
        <v>1440</v>
      </c>
      <c r="P283" s="48" t="s">
        <v>38</v>
      </c>
      <c r="Q283" s="48" t="s">
        <v>37</v>
      </c>
      <c r="R283" s="48" t="s">
        <v>1436</v>
      </c>
      <c r="S283" s="48" t="s">
        <v>1436</v>
      </c>
      <c r="T283" s="48" t="s">
        <v>1436</v>
      </c>
      <c r="U283" s="48" t="s">
        <v>38</v>
      </c>
      <c r="V283" s="48" t="s">
        <v>39</v>
      </c>
      <c r="W283" s="48" t="s">
        <v>1194</v>
      </c>
      <c r="X283" s="48" t="s">
        <v>41</v>
      </c>
      <c r="Y283" s="48" t="s">
        <v>1436</v>
      </c>
      <c r="Z283" s="48" t="s">
        <v>1436</v>
      </c>
      <c r="AA283" s="48" t="s">
        <v>1436</v>
      </c>
      <c r="AB283" s="49" t="s">
        <v>193</v>
      </c>
      <c r="AC283" s="48" t="s">
        <v>1194</v>
      </c>
      <c r="AD283" s="48" t="s">
        <v>1244</v>
      </c>
      <c r="AE283" s="48" t="s">
        <v>36</v>
      </c>
    </row>
    <row r="284" spans="1:31" x14ac:dyDescent="0.3">
      <c r="A284" s="48" t="s">
        <v>1320</v>
      </c>
      <c r="B284" s="48" t="s">
        <v>6</v>
      </c>
      <c r="C284" s="48" t="s">
        <v>1322</v>
      </c>
      <c r="D284" s="48" t="s">
        <v>1405</v>
      </c>
      <c r="E284" s="50">
        <v>45351</v>
      </c>
      <c r="F284" s="49" t="s">
        <v>1321</v>
      </c>
      <c r="G284" s="48" t="s">
        <v>36</v>
      </c>
      <c r="H284" s="48" t="s">
        <v>1443</v>
      </c>
      <c r="I284" s="51">
        <v>0</v>
      </c>
      <c r="J284" s="51"/>
      <c r="K284" s="51"/>
      <c r="L284" s="48" t="s">
        <v>1194</v>
      </c>
      <c r="M284" s="48" t="s">
        <v>1438</v>
      </c>
      <c r="N284" s="48" t="s">
        <v>1439</v>
      </c>
      <c r="O284" s="49" t="s">
        <v>1442</v>
      </c>
      <c r="P284" s="48" t="s">
        <v>38</v>
      </c>
      <c r="Q284" s="48" t="s">
        <v>37</v>
      </c>
      <c r="R284" s="48" t="s">
        <v>1436</v>
      </c>
      <c r="S284" s="48" t="s">
        <v>1436</v>
      </c>
      <c r="T284" s="48" t="s">
        <v>1436</v>
      </c>
      <c r="U284" s="48" t="s">
        <v>38</v>
      </c>
      <c r="V284" s="48" t="s">
        <v>39</v>
      </c>
      <c r="W284" s="48" t="s">
        <v>1194</v>
      </c>
      <c r="X284" s="48" t="s">
        <v>41</v>
      </c>
      <c r="Y284" s="48" t="s">
        <v>1436</v>
      </c>
      <c r="Z284" s="48" t="s">
        <v>1436</v>
      </c>
      <c r="AA284" s="48" t="s">
        <v>1436</v>
      </c>
      <c r="AB284" s="49" t="s">
        <v>193</v>
      </c>
      <c r="AC284" s="48" t="s">
        <v>1194</v>
      </c>
      <c r="AD284" s="48" t="s">
        <v>1244</v>
      </c>
      <c r="AE284" s="48" t="s">
        <v>36</v>
      </c>
    </row>
    <row r="285" spans="1:31" x14ac:dyDescent="0.3">
      <c r="A285" s="48" t="s">
        <v>1320</v>
      </c>
      <c r="B285" s="48" t="s">
        <v>6</v>
      </c>
      <c r="C285" s="48" t="s">
        <v>1322</v>
      </c>
      <c r="D285" s="48" t="s">
        <v>1404</v>
      </c>
      <c r="E285" s="50">
        <v>45351</v>
      </c>
      <c r="F285" s="49" t="s">
        <v>1321</v>
      </c>
      <c r="G285" s="48" t="s">
        <v>36</v>
      </c>
      <c r="H285" s="48" t="s">
        <v>49</v>
      </c>
      <c r="I285" s="51">
        <v>-8971.5427789999994</v>
      </c>
      <c r="J285" s="51"/>
      <c r="K285" s="51"/>
      <c r="L285" s="48" t="s">
        <v>38</v>
      </c>
      <c r="M285" s="48" t="s">
        <v>1433</v>
      </c>
      <c r="N285" s="48" t="s">
        <v>1447</v>
      </c>
      <c r="O285" s="49" t="s">
        <v>1451</v>
      </c>
      <c r="P285" s="48" t="s">
        <v>38</v>
      </c>
      <c r="Q285" s="48" t="s">
        <v>37</v>
      </c>
      <c r="R285" s="48" t="s">
        <v>1436</v>
      </c>
      <c r="S285" s="48" t="s">
        <v>1436</v>
      </c>
      <c r="T285" s="48" t="s">
        <v>1436</v>
      </c>
      <c r="U285" s="48" t="s">
        <v>38</v>
      </c>
      <c r="V285" s="48" t="s">
        <v>39</v>
      </c>
      <c r="W285" s="48" t="s">
        <v>38</v>
      </c>
      <c r="X285" s="48" t="s">
        <v>41</v>
      </c>
      <c r="Y285" s="48" t="s">
        <v>1436</v>
      </c>
      <c r="Z285" s="48" t="s">
        <v>1436</v>
      </c>
      <c r="AA285" s="48" t="s">
        <v>1436</v>
      </c>
      <c r="AB285" s="49" t="s">
        <v>193</v>
      </c>
      <c r="AC285" s="48" t="s">
        <v>1194</v>
      </c>
      <c r="AD285" s="48" t="s">
        <v>1244</v>
      </c>
      <c r="AE285" s="48" t="s">
        <v>36</v>
      </c>
    </row>
    <row r="286" spans="1:31" x14ac:dyDescent="0.3">
      <c r="A286" s="48" t="s">
        <v>1320</v>
      </c>
      <c r="B286" s="48" t="s">
        <v>6</v>
      </c>
      <c r="C286" s="48" t="s">
        <v>1322</v>
      </c>
      <c r="D286" s="48" t="s">
        <v>1413</v>
      </c>
      <c r="E286" s="50">
        <v>45382</v>
      </c>
      <c r="F286" s="49" t="s">
        <v>1321</v>
      </c>
      <c r="G286" s="48" t="s">
        <v>36</v>
      </c>
      <c r="H286" s="48" t="s">
        <v>58</v>
      </c>
      <c r="I286" s="51">
        <v>-1350000</v>
      </c>
      <c r="J286" s="51"/>
      <c r="K286" s="51"/>
      <c r="L286" s="48" t="s">
        <v>40</v>
      </c>
      <c r="M286" s="48" t="s">
        <v>1433</v>
      </c>
      <c r="N286" s="48" t="s">
        <v>1447</v>
      </c>
      <c r="O286" s="49" t="s">
        <v>1448</v>
      </c>
      <c r="P286" s="48" t="s">
        <v>38</v>
      </c>
      <c r="Q286" s="48" t="s">
        <v>37</v>
      </c>
      <c r="R286" s="48" t="s">
        <v>1436</v>
      </c>
      <c r="S286" s="48" t="s">
        <v>1436</v>
      </c>
      <c r="T286" s="48" t="s">
        <v>1436</v>
      </c>
      <c r="U286" s="48" t="s">
        <v>38</v>
      </c>
      <c r="V286" s="48" t="s">
        <v>39</v>
      </c>
      <c r="W286" s="48" t="s">
        <v>40</v>
      </c>
      <c r="X286" s="48" t="s">
        <v>41</v>
      </c>
      <c r="Y286" s="48" t="s">
        <v>1436</v>
      </c>
      <c r="Z286" s="48" t="s">
        <v>1436</v>
      </c>
      <c r="AA286" s="48" t="s">
        <v>1436</v>
      </c>
      <c r="AB286" s="49" t="s">
        <v>193</v>
      </c>
      <c r="AC286" s="48" t="s">
        <v>1194</v>
      </c>
      <c r="AD286" s="48" t="s">
        <v>1244</v>
      </c>
      <c r="AE286" s="48" t="s">
        <v>36</v>
      </c>
    </row>
    <row r="287" spans="1:31" x14ac:dyDescent="0.3">
      <c r="A287" s="48" t="s">
        <v>1320</v>
      </c>
      <c r="B287" s="48" t="s">
        <v>6</v>
      </c>
      <c r="C287" s="48" t="s">
        <v>1322</v>
      </c>
      <c r="D287" s="48" t="s">
        <v>1412</v>
      </c>
      <c r="E287" s="50">
        <v>45382</v>
      </c>
      <c r="F287" s="49" t="s">
        <v>1321</v>
      </c>
      <c r="G287" s="48" t="s">
        <v>36</v>
      </c>
      <c r="H287" s="48" t="s">
        <v>52</v>
      </c>
      <c r="I287" s="51">
        <v>-1142923.24</v>
      </c>
      <c r="J287" s="51"/>
      <c r="K287" s="51"/>
      <c r="L287" s="48" t="s">
        <v>40</v>
      </c>
      <c r="M287" s="48" t="s">
        <v>1433</v>
      </c>
      <c r="N287" s="48" t="s">
        <v>1434</v>
      </c>
      <c r="O287" s="49" t="s">
        <v>1435</v>
      </c>
      <c r="P287" s="48" t="s">
        <v>38</v>
      </c>
      <c r="Q287" s="48" t="s">
        <v>37</v>
      </c>
      <c r="R287" s="48" t="s">
        <v>1436</v>
      </c>
      <c r="S287" s="48" t="s">
        <v>1436</v>
      </c>
      <c r="T287" s="48" t="s">
        <v>1436</v>
      </c>
      <c r="U287" s="48" t="s">
        <v>38</v>
      </c>
      <c r="V287" s="48" t="s">
        <v>39</v>
      </c>
      <c r="W287" s="48" t="s">
        <v>40</v>
      </c>
      <c r="X287" s="48" t="s">
        <v>41</v>
      </c>
      <c r="Y287" s="48" t="s">
        <v>1436</v>
      </c>
      <c r="Z287" s="48" t="s">
        <v>1436</v>
      </c>
      <c r="AA287" s="48" t="s">
        <v>1436</v>
      </c>
      <c r="AB287" s="49" t="s">
        <v>193</v>
      </c>
      <c r="AC287" s="48" t="s">
        <v>1194</v>
      </c>
      <c r="AD287" s="48" t="s">
        <v>1244</v>
      </c>
      <c r="AE287" s="48" t="s">
        <v>36</v>
      </c>
    </row>
    <row r="288" spans="1:31" x14ac:dyDescent="0.3">
      <c r="A288" s="48" t="s">
        <v>1320</v>
      </c>
      <c r="B288" s="48" t="s">
        <v>6</v>
      </c>
      <c r="C288" s="48" t="s">
        <v>1322</v>
      </c>
      <c r="D288" s="48" t="s">
        <v>1411</v>
      </c>
      <c r="E288" s="50">
        <v>45382</v>
      </c>
      <c r="F288" s="49" t="s">
        <v>1321</v>
      </c>
      <c r="G288" s="48" t="s">
        <v>36</v>
      </c>
      <c r="H288" s="48" t="s">
        <v>50</v>
      </c>
      <c r="I288" s="51">
        <v>126991.47</v>
      </c>
      <c r="J288" s="51"/>
      <c r="K288" s="51"/>
      <c r="L288" s="48" t="s">
        <v>40</v>
      </c>
      <c r="M288" s="48" t="s">
        <v>1438</v>
      </c>
      <c r="N288" s="48" t="s">
        <v>1444</v>
      </c>
      <c r="O288" s="49" t="s">
        <v>1445</v>
      </c>
      <c r="P288" s="48" t="s">
        <v>38</v>
      </c>
      <c r="Q288" s="48" t="s">
        <v>37</v>
      </c>
      <c r="R288" s="48" t="s">
        <v>1436</v>
      </c>
      <c r="S288" s="48" t="s">
        <v>1436</v>
      </c>
      <c r="T288" s="48" t="s">
        <v>1436</v>
      </c>
      <c r="U288" s="48" t="s">
        <v>38</v>
      </c>
      <c r="V288" s="48" t="s">
        <v>39</v>
      </c>
      <c r="W288" s="48" t="s">
        <v>40</v>
      </c>
      <c r="X288" s="48" t="s">
        <v>41</v>
      </c>
      <c r="Y288" s="48" t="s">
        <v>1436</v>
      </c>
      <c r="Z288" s="48" t="s">
        <v>1436</v>
      </c>
      <c r="AA288" s="48" t="s">
        <v>1436</v>
      </c>
      <c r="AB288" s="49" t="s">
        <v>193</v>
      </c>
      <c r="AC288" s="48" t="s">
        <v>1194</v>
      </c>
      <c r="AD288" s="48" t="s">
        <v>1244</v>
      </c>
      <c r="AE288" s="48" t="s">
        <v>36</v>
      </c>
    </row>
    <row r="289" spans="1:31" x14ac:dyDescent="0.3">
      <c r="A289" s="48" t="s">
        <v>1320</v>
      </c>
      <c r="B289" s="48" t="s">
        <v>6</v>
      </c>
      <c r="C289" s="48" t="s">
        <v>1322</v>
      </c>
      <c r="D289" s="48" t="s">
        <v>1410</v>
      </c>
      <c r="E289" s="50">
        <v>45382</v>
      </c>
      <c r="F289" s="49" t="s">
        <v>1321</v>
      </c>
      <c r="G289" s="48" t="s">
        <v>36</v>
      </c>
      <c r="H289" s="48" t="s">
        <v>42</v>
      </c>
      <c r="I289" s="51">
        <v>2539829.423163</v>
      </c>
      <c r="J289" s="51"/>
      <c r="K289" s="51"/>
      <c r="L289" s="48" t="s">
        <v>40</v>
      </c>
      <c r="M289" s="48" t="s">
        <v>1433</v>
      </c>
      <c r="N289" s="48" t="s">
        <v>1434</v>
      </c>
      <c r="O289" s="49" t="s">
        <v>1437</v>
      </c>
      <c r="P289" s="48" t="s">
        <v>38</v>
      </c>
      <c r="Q289" s="48" t="s">
        <v>37</v>
      </c>
      <c r="R289" s="48" t="s">
        <v>1436</v>
      </c>
      <c r="S289" s="48" t="s">
        <v>1436</v>
      </c>
      <c r="T289" s="48" t="s">
        <v>1436</v>
      </c>
      <c r="U289" s="48" t="s">
        <v>38</v>
      </c>
      <c r="V289" s="48" t="s">
        <v>39</v>
      </c>
      <c r="W289" s="48" t="s">
        <v>40</v>
      </c>
      <c r="X289" s="48" t="s">
        <v>41</v>
      </c>
      <c r="Y289" s="48" t="s">
        <v>1436</v>
      </c>
      <c r="Z289" s="48" t="s">
        <v>1436</v>
      </c>
      <c r="AA289" s="48" t="s">
        <v>1436</v>
      </c>
      <c r="AB289" s="49" t="s">
        <v>193</v>
      </c>
      <c r="AC289" s="48" t="s">
        <v>1194</v>
      </c>
      <c r="AD289" s="48" t="s">
        <v>1244</v>
      </c>
      <c r="AE289" s="48" t="s">
        <v>36</v>
      </c>
    </row>
    <row r="290" spans="1:31" x14ac:dyDescent="0.3">
      <c r="A290" s="48" t="s">
        <v>1320</v>
      </c>
      <c r="B290" s="48" t="s">
        <v>6</v>
      </c>
      <c r="C290" s="48" t="s">
        <v>1322</v>
      </c>
      <c r="D290" s="48" t="s">
        <v>1409</v>
      </c>
      <c r="E290" s="50">
        <v>45382</v>
      </c>
      <c r="F290" s="49" t="s">
        <v>1321</v>
      </c>
      <c r="G290" s="48" t="s">
        <v>36</v>
      </c>
      <c r="H290" s="48" t="s">
        <v>45</v>
      </c>
      <c r="I290" s="51">
        <v>-985535.70492699998</v>
      </c>
      <c r="J290" s="51"/>
      <c r="K290" s="51"/>
      <c r="L290" s="48" t="s">
        <v>40</v>
      </c>
      <c r="M290" s="48" t="s">
        <v>1433</v>
      </c>
      <c r="N290" s="48" t="s">
        <v>1447</v>
      </c>
      <c r="O290" s="49" t="s">
        <v>1449</v>
      </c>
      <c r="P290" s="48" t="s">
        <v>38</v>
      </c>
      <c r="Q290" s="48" t="s">
        <v>37</v>
      </c>
      <c r="R290" s="48" t="s">
        <v>1436</v>
      </c>
      <c r="S290" s="48" t="s">
        <v>1436</v>
      </c>
      <c r="T290" s="48" t="s">
        <v>1436</v>
      </c>
      <c r="U290" s="48" t="s">
        <v>38</v>
      </c>
      <c r="V290" s="48" t="s">
        <v>39</v>
      </c>
      <c r="W290" s="48" t="s">
        <v>40</v>
      </c>
      <c r="X290" s="48" t="s">
        <v>41</v>
      </c>
      <c r="Y290" s="48" t="s">
        <v>1436</v>
      </c>
      <c r="Z290" s="48" t="s">
        <v>1436</v>
      </c>
      <c r="AA290" s="48" t="s">
        <v>1436</v>
      </c>
      <c r="AB290" s="49" t="s">
        <v>193</v>
      </c>
      <c r="AC290" s="48" t="s">
        <v>1194</v>
      </c>
      <c r="AD290" s="48" t="s">
        <v>1244</v>
      </c>
      <c r="AE290" s="48" t="s">
        <v>36</v>
      </c>
    </row>
    <row r="291" spans="1:31" x14ac:dyDescent="0.3">
      <c r="A291" s="48" t="s">
        <v>1320</v>
      </c>
      <c r="B291" s="48" t="s">
        <v>6</v>
      </c>
      <c r="C291" s="48" t="s">
        <v>1322</v>
      </c>
      <c r="D291" s="48" t="s">
        <v>1408</v>
      </c>
      <c r="E291" s="50">
        <v>45382</v>
      </c>
      <c r="F291" s="49" t="s">
        <v>1321</v>
      </c>
      <c r="G291" s="48" t="s">
        <v>36</v>
      </c>
      <c r="H291" s="48" t="s">
        <v>54</v>
      </c>
      <c r="I291" s="51">
        <v>-511414.6</v>
      </c>
      <c r="J291" s="51"/>
      <c r="K291" s="51"/>
      <c r="L291" s="48" t="s">
        <v>40</v>
      </c>
      <c r="M291" s="48" t="s">
        <v>1433</v>
      </c>
      <c r="N291" s="48" t="s">
        <v>1447</v>
      </c>
      <c r="O291" s="49" t="s">
        <v>1450</v>
      </c>
      <c r="P291" s="48" t="s">
        <v>38</v>
      </c>
      <c r="Q291" s="48" t="s">
        <v>37</v>
      </c>
      <c r="R291" s="48" t="s">
        <v>1436</v>
      </c>
      <c r="S291" s="48" t="s">
        <v>1436</v>
      </c>
      <c r="T291" s="48" t="s">
        <v>1436</v>
      </c>
      <c r="U291" s="48" t="s">
        <v>38</v>
      </c>
      <c r="V291" s="48" t="s">
        <v>39</v>
      </c>
      <c r="W291" s="48" t="s">
        <v>40</v>
      </c>
      <c r="X291" s="48" t="s">
        <v>41</v>
      </c>
      <c r="Y291" s="48" t="s">
        <v>1436</v>
      </c>
      <c r="Z291" s="48" t="s">
        <v>1436</v>
      </c>
      <c r="AA291" s="48" t="s">
        <v>1436</v>
      </c>
      <c r="AB291" s="49" t="s">
        <v>193</v>
      </c>
      <c r="AC291" s="48" t="s">
        <v>1194</v>
      </c>
      <c r="AD291" s="48" t="s">
        <v>1244</v>
      </c>
      <c r="AE291" s="48" t="s">
        <v>36</v>
      </c>
    </row>
    <row r="292" spans="1:31" x14ac:dyDescent="0.3">
      <c r="A292" s="48" t="s">
        <v>1320</v>
      </c>
      <c r="B292" s="48" t="s">
        <v>6</v>
      </c>
      <c r="C292" s="48" t="s">
        <v>1322</v>
      </c>
      <c r="D292" s="48" t="s">
        <v>1407</v>
      </c>
      <c r="E292" s="50">
        <v>45382</v>
      </c>
      <c r="F292" s="49" t="s">
        <v>1321</v>
      </c>
      <c r="G292" s="48" t="s">
        <v>36</v>
      </c>
      <c r="H292" s="48" t="s">
        <v>47</v>
      </c>
      <c r="I292" s="51">
        <v>26913.240327</v>
      </c>
      <c r="J292" s="51"/>
      <c r="K292" s="51"/>
      <c r="L292" s="48" t="s">
        <v>40</v>
      </c>
      <c r="M292" s="48" t="s">
        <v>1438</v>
      </c>
      <c r="N292" s="48" t="s">
        <v>1444</v>
      </c>
      <c r="O292" s="49" t="s">
        <v>1446</v>
      </c>
      <c r="P292" s="48" t="s">
        <v>38</v>
      </c>
      <c r="Q292" s="48" t="s">
        <v>37</v>
      </c>
      <c r="R292" s="48" t="s">
        <v>1436</v>
      </c>
      <c r="S292" s="48" t="s">
        <v>1436</v>
      </c>
      <c r="T292" s="48" t="s">
        <v>1436</v>
      </c>
      <c r="U292" s="48" t="s">
        <v>38</v>
      </c>
      <c r="V292" s="48" t="s">
        <v>39</v>
      </c>
      <c r="W292" s="48" t="s">
        <v>40</v>
      </c>
      <c r="X292" s="48" t="s">
        <v>41</v>
      </c>
      <c r="Y292" s="48" t="s">
        <v>1436</v>
      </c>
      <c r="Z292" s="48" t="s">
        <v>1436</v>
      </c>
      <c r="AA292" s="48" t="s">
        <v>1436</v>
      </c>
      <c r="AB292" s="49" t="s">
        <v>193</v>
      </c>
      <c r="AC292" s="48" t="s">
        <v>1194</v>
      </c>
      <c r="AD292" s="48" t="s">
        <v>1244</v>
      </c>
      <c r="AE292" s="48" t="s">
        <v>36</v>
      </c>
    </row>
    <row r="293" spans="1:31" x14ac:dyDescent="0.3">
      <c r="A293" s="48" t="s">
        <v>1320</v>
      </c>
      <c r="B293" s="48" t="s">
        <v>6</v>
      </c>
      <c r="C293" s="48" t="s">
        <v>1322</v>
      </c>
      <c r="D293" s="48" t="s">
        <v>1406</v>
      </c>
      <c r="E293" s="50">
        <v>45382</v>
      </c>
      <c r="F293" s="49" t="s">
        <v>1321</v>
      </c>
      <c r="G293" s="48" t="s">
        <v>36</v>
      </c>
      <c r="H293" s="48" t="s">
        <v>1441</v>
      </c>
      <c r="I293" s="51">
        <v>0</v>
      </c>
      <c r="J293" s="51"/>
      <c r="K293" s="51"/>
      <c r="L293" s="48" t="s">
        <v>1194</v>
      </c>
      <c r="M293" s="48" t="s">
        <v>1438</v>
      </c>
      <c r="N293" s="48" t="s">
        <v>1439</v>
      </c>
      <c r="O293" s="49" t="s">
        <v>1440</v>
      </c>
      <c r="P293" s="48" t="s">
        <v>38</v>
      </c>
      <c r="Q293" s="48" t="s">
        <v>37</v>
      </c>
      <c r="R293" s="48" t="s">
        <v>1436</v>
      </c>
      <c r="S293" s="48" t="s">
        <v>1436</v>
      </c>
      <c r="T293" s="48" t="s">
        <v>1436</v>
      </c>
      <c r="U293" s="48" t="s">
        <v>38</v>
      </c>
      <c r="V293" s="48" t="s">
        <v>39</v>
      </c>
      <c r="W293" s="48" t="s">
        <v>1194</v>
      </c>
      <c r="X293" s="48" t="s">
        <v>41</v>
      </c>
      <c r="Y293" s="48" t="s">
        <v>1436</v>
      </c>
      <c r="Z293" s="48" t="s">
        <v>1436</v>
      </c>
      <c r="AA293" s="48" t="s">
        <v>1436</v>
      </c>
      <c r="AB293" s="49" t="s">
        <v>193</v>
      </c>
      <c r="AC293" s="48" t="s">
        <v>1194</v>
      </c>
      <c r="AD293" s="48" t="s">
        <v>1244</v>
      </c>
      <c r="AE293" s="48" t="s">
        <v>36</v>
      </c>
    </row>
    <row r="294" spans="1:31" x14ac:dyDescent="0.3">
      <c r="A294" s="48" t="s">
        <v>1320</v>
      </c>
      <c r="B294" s="48" t="s">
        <v>6</v>
      </c>
      <c r="C294" s="48" t="s">
        <v>1322</v>
      </c>
      <c r="D294" s="48" t="s">
        <v>1405</v>
      </c>
      <c r="E294" s="50">
        <v>45382</v>
      </c>
      <c r="F294" s="49" t="s">
        <v>1321</v>
      </c>
      <c r="G294" s="48" t="s">
        <v>36</v>
      </c>
      <c r="H294" s="48" t="s">
        <v>1443</v>
      </c>
      <c r="I294" s="51">
        <v>0</v>
      </c>
      <c r="J294" s="51"/>
      <c r="K294" s="51"/>
      <c r="L294" s="48" t="s">
        <v>1194</v>
      </c>
      <c r="M294" s="48" t="s">
        <v>1438</v>
      </c>
      <c r="N294" s="48" t="s">
        <v>1439</v>
      </c>
      <c r="O294" s="49" t="s">
        <v>1442</v>
      </c>
      <c r="P294" s="48" t="s">
        <v>38</v>
      </c>
      <c r="Q294" s="48" t="s">
        <v>37</v>
      </c>
      <c r="R294" s="48" t="s">
        <v>1436</v>
      </c>
      <c r="S294" s="48" t="s">
        <v>1436</v>
      </c>
      <c r="T294" s="48" t="s">
        <v>1436</v>
      </c>
      <c r="U294" s="48" t="s">
        <v>38</v>
      </c>
      <c r="V294" s="48" t="s">
        <v>39</v>
      </c>
      <c r="W294" s="48" t="s">
        <v>1194</v>
      </c>
      <c r="X294" s="48" t="s">
        <v>41</v>
      </c>
      <c r="Y294" s="48" t="s">
        <v>1436</v>
      </c>
      <c r="Z294" s="48" t="s">
        <v>1436</v>
      </c>
      <c r="AA294" s="48" t="s">
        <v>1436</v>
      </c>
      <c r="AB294" s="49" t="s">
        <v>193</v>
      </c>
      <c r="AC294" s="48" t="s">
        <v>1194</v>
      </c>
      <c r="AD294" s="48" t="s">
        <v>1244</v>
      </c>
      <c r="AE294" s="48" t="s">
        <v>36</v>
      </c>
    </row>
    <row r="295" spans="1:31" x14ac:dyDescent="0.3">
      <c r="A295" s="48" t="s">
        <v>1320</v>
      </c>
      <c r="B295" s="48" t="s">
        <v>6</v>
      </c>
      <c r="C295" s="48" t="s">
        <v>1322</v>
      </c>
      <c r="D295" s="48" t="s">
        <v>1404</v>
      </c>
      <c r="E295" s="50">
        <v>45382</v>
      </c>
      <c r="F295" s="49" t="s">
        <v>1321</v>
      </c>
      <c r="G295" s="48" t="s">
        <v>36</v>
      </c>
      <c r="H295" s="48" t="s">
        <v>49</v>
      </c>
      <c r="I295" s="51">
        <v>-8732.2101120000007</v>
      </c>
      <c r="J295" s="51"/>
      <c r="K295" s="51"/>
      <c r="L295" s="48" t="s">
        <v>38</v>
      </c>
      <c r="M295" s="48" t="s">
        <v>1433</v>
      </c>
      <c r="N295" s="48" t="s">
        <v>1447</v>
      </c>
      <c r="O295" s="49" t="s">
        <v>1451</v>
      </c>
      <c r="P295" s="48" t="s">
        <v>38</v>
      </c>
      <c r="Q295" s="48" t="s">
        <v>37</v>
      </c>
      <c r="R295" s="48" t="s">
        <v>1436</v>
      </c>
      <c r="S295" s="48" t="s">
        <v>1436</v>
      </c>
      <c r="T295" s="48" t="s">
        <v>1436</v>
      </c>
      <c r="U295" s="48" t="s">
        <v>38</v>
      </c>
      <c r="V295" s="48" t="s">
        <v>39</v>
      </c>
      <c r="W295" s="48" t="s">
        <v>38</v>
      </c>
      <c r="X295" s="48" t="s">
        <v>41</v>
      </c>
      <c r="Y295" s="48" t="s">
        <v>1436</v>
      </c>
      <c r="Z295" s="48" t="s">
        <v>1436</v>
      </c>
      <c r="AA295" s="48" t="s">
        <v>1436</v>
      </c>
      <c r="AB295" s="49" t="s">
        <v>193</v>
      </c>
      <c r="AC295" s="48" t="s">
        <v>1194</v>
      </c>
      <c r="AD295" s="48" t="s">
        <v>1244</v>
      </c>
      <c r="AE295" s="48" t="s">
        <v>36</v>
      </c>
    </row>
    <row r="296" spans="1:31" x14ac:dyDescent="0.3">
      <c r="A296" s="48" t="s">
        <v>1320</v>
      </c>
      <c r="B296" s="48" t="s">
        <v>6</v>
      </c>
      <c r="C296" s="48" t="s">
        <v>1322</v>
      </c>
      <c r="D296" s="48" t="s">
        <v>1413</v>
      </c>
      <c r="E296" s="50">
        <v>45412</v>
      </c>
      <c r="F296" s="49" t="s">
        <v>1321</v>
      </c>
      <c r="G296" s="48" t="s">
        <v>36</v>
      </c>
      <c r="H296" s="48" t="s">
        <v>58</v>
      </c>
      <c r="I296" s="51">
        <v>-1400000</v>
      </c>
      <c r="J296" s="51"/>
      <c r="K296" s="51"/>
      <c r="L296" s="48" t="s">
        <v>40</v>
      </c>
      <c r="M296" s="48" t="s">
        <v>1433</v>
      </c>
      <c r="N296" s="48" t="s">
        <v>1447</v>
      </c>
      <c r="O296" s="49" t="s">
        <v>1448</v>
      </c>
      <c r="P296" s="48" t="s">
        <v>38</v>
      </c>
      <c r="Q296" s="48" t="s">
        <v>37</v>
      </c>
      <c r="R296" s="48" t="s">
        <v>1436</v>
      </c>
      <c r="S296" s="48" t="s">
        <v>1436</v>
      </c>
      <c r="T296" s="48" t="s">
        <v>1436</v>
      </c>
      <c r="U296" s="48" t="s">
        <v>38</v>
      </c>
      <c r="V296" s="48" t="s">
        <v>39</v>
      </c>
      <c r="W296" s="48" t="s">
        <v>40</v>
      </c>
      <c r="X296" s="48" t="s">
        <v>41</v>
      </c>
      <c r="Y296" s="48" t="s">
        <v>1436</v>
      </c>
      <c r="Z296" s="48" t="s">
        <v>1436</v>
      </c>
      <c r="AA296" s="48" t="s">
        <v>1436</v>
      </c>
      <c r="AB296" s="49" t="s">
        <v>193</v>
      </c>
      <c r="AC296" s="48" t="s">
        <v>1194</v>
      </c>
      <c r="AD296" s="48" t="s">
        <v>1244</v>
      </c>
      <c r="AE296" s="48" t="s">
        <v>36</v>
      </c>
    </row>
    <row r="297" spans="1:31" x14ac:dyDescent="0.3">
      <c r="A297" s="48" t="s">
        <v>1320</v>
      </c>
      <c r="B297" s="48" t="s">
        <v>6</v>
      </c>
      <c r="C297" s="48" t="s">
        <v>1322</v>
      </c>
      <c r="D297" s="48" t="s">
        <v>1412</v>
      </c>
      <c r="E297" s="50">
        <v>45412</v>
      </c>
      <c r="F297" s="49" t="s">
        <v>1321</v>
      </c>
      <c r="G297" s="48" t="s">
        <v>36</v>
      </c>
      <c r="H297" s="48" t="s">
        <v>52</v>
      </c>
      <c r="I297" s="51">
        <v>-1185253.73</v>
      </c>
      <c r="J297" s="51"/>
      <c r="K297" s="51"/>
      <c r="L297" s="48" t="s">
        <v>40</v>
      </c>
      <c r="M297" s="48" t="s">
        <v>1433</v>
      </c>
      <c r="N297" s="48" t="s">
        <v>1434</v>
      </c>
      <c r="O297" s="49" t="s">
        <v>1435</v>
      </c>
      <c r="P297" s="48" t="s">
        <v>38</v>
      </c>
      <c r="Q297" s="48" t="s">
        <v>37</v>
      </c>
      <c r="R297" s="48" t="s">
        <v>1436</v>
      </c>
      <c r="S297" s="48" t="s">
        <v>1436</v>
      </c>
      <c r="T297" s="48" t="s">
        <v>1436</v>
      </c>
      <c r="U297" s="48" t="s">
        <v>38</v>
      </c>
      <c r="V297" s="48" t="s">
        <v>39</v>
      </c>
      <c r="W297" s="48" t="s">
        <v>40</v>
      </c>
      <c r="X297" s="48" t="s">
        <v>41</v>
      </c>
      <c r="Y297" s="48" t="s">
        <v>1436</v>
      </c>
      <c r="Z297" s="48" t="s">
        <v>1436</v>
      </c>
      <c r="AA297" s="48" t="s">
        <v>1436</v>
      </c>
      <c r="AB297" s="49" t="s">
        <v>193</v>
      </c>
      <c r="AC297" s="48" t="s">
        <v>1194</v>
      </c>
      <c r="AD297" s="48" t="s">
        <v>1244</v>
      </c>
      <c r="AE297" s="48" t="s">
        <v>36</v>
      </c>
    </row>
    <row r="298" spans="1:31" x14ac:dyDescent="0.3">
      <c r="A298" s="48" t="s">
        <v>1320</v>
      </c>
      <c r="B298" s="48" t="s">
        <v>6</v>
      </c>
      <c r="C298" s="48" t="s">
        <v>1322</v>
      </c>
      <c r="D298" s="48" t="s">
        <v>1411</v>
      </c>
      <c r="E298" s="50">
        <v>45412</v>
      </c>
      <c r="F298" s="49" t="s">
        <v>1321</v>
      </c>
      <c r="G298" s="48" t="s">
        <v>36</v>
      </c>
      <c r="H298" s="48" t="s">
        <v>50</v>
      </c>
      <c r="I298" s="51">
        <v>169321.96</v>
      </c>
      <c r="J298" s="51"/>
      <c r="K298" s="51"/>
      <c r="L298" s="48" t="s">
        <v>40</v>
      </c>
      <c r="M298" s="48" t="s">
        <v>1438</v>
      </c>
      <c r="N298" s="48" t="s">
        <v>1444</v>
      </c>
      <c r="O298" s="49" t="s">
        <v>1445</v>
      </c>
      <c r="P298" s="48" t="s">
        <v>38</v>
      </c>
      <c r="Q298" s="48" t="s">
        <v>37</v>
      </c>
      <c r="R298" s="48" t="s">
        <v>1436</v>
      </c>
      <c r="S298" s="48" t="s">
        <v>1436</v>
      </c>
      <c r="T298" s="48" t="s">
        <v>1436</v>
      </c>
      <c r="U298" s="48" t="s">
        <v>38</v>
      </c>
      <c r="V298" s="48" t="s">
        <v>39</v>
      </c>
      <c r="W298" s="48" t="s">
        <v>40</v>
      </c>
      <c r="X298" s="48" t="s">
        <v>41</v>
      </c>
      <c r="Y298" s="48" t="s">
        <v>1436</v>
      </c>
      <c r="Z298" s="48" t="s">
        <v>1436</v>
      </c>
      <c r="AA298" s="48" t="s">
        <v>1436</v>
      </c>
      <c r="AB298" s="49" t="s">
        <v>193</v>
      </c>
      <c r="AC298" s="48" t="s">
        <v>1194</v>
      </c>
      <c r="AD298" s="48" t="s">
        <v>1244</v>
      </c>
      <c r="AE298" s="48" t="s">
        <v>36</v>
      </c>
    </row>
    <row r="299" spans="1:31" x14ac:dyDescent="0.3">
      <c r="A299" s="48" t="s">
        <v>1320</v>
      </c>
      <c r="B299" s="48" t="s">
        <v>6</v>
      </c>
      <c r="C299" s="48" t="s">
        <v>1322</v>
      </c>
      <c r="D299" s="48" t="s">
        <v>1410</v>
      </c>
      <c r="E299" s="50">
        <v>45412</v>
      </c>
      <c r="F299" s="49" t="s">
        <v>1321</v>
      </c>
      <c r="G299" s="48" t="s">
        <v>36</v>
      </c>
      <c r="H299" s="48" t="s">
        <v>42</v>
      </c>
      <c r="I299" s="51">
        <v>2539829.423163</v>
      </c>
      <c r="J299" s="51"/>
      <c r="K299" s="51"/>
      <c r="L299" s="48" t="s">
        <v>40</v>
      </c>
      <c r="M299" s="48" t="s">
        <v>1433</v>
      </c>
      <c r="N299" s="48" t="s">
        <v>1434</v>
      </c>
      <c r="O299" s="49" t="s">
        <v>1437</v>
      </c>
      <c r="P299" s="48" t="s">
        <v>38</v>
      </c>
      <c r="Q299" s="48" t="s">
        <v>37</v>
      </c>
      <c r="R299" s="48" t="s">
        <v>1436</v>
      </c>
      <c r="S299" s="48" t="s">
        <v>1436</v>
      </c>
      <c r="T299" s="48" t="s">
        <v>1436</v>
      </c>
      <c r="U299" s="48" t="s">
        <v>38</v>
      </c>
      <c r="V299" s="48" t="s">
        <v>39</v>
      </c>
      <c r="W299" s="48" t="s">
        <v>40</v>
      </c>
      <c r="X299" s="48" t="s">
        <v>41</v>
      </c>
      <c r="Y299" s="48" t="s">
        <v>1436</v>
      </c>
      <c r="Z299" s="48" t="s">
        <v>1436</v>
      </c>
      <c r="AA299" s="48" t="s">
        <v>1436</v>
      </c>
      <c r="AB299" s="49" t="s">
        <v>193</v>
      </c>
      <c r="AC299" s="48" t="s">
        <v>1194</v>
      </c>
      <c r="AD299" s="48" t="s">
        <v>1244</v>
      </c>
      <c r="AE299" s="48" t="s">
        <v>36</v>
      </c>
    </row>
    <row r="300" spans="1:31" x14ac:dyDescent="0.3">
      <c r="A300" s="48" t="s">
        <v>1320</v>
      </c>
      <c r="B300" s="48" t="s">
        <v>6</v>
      </c>
      <c r="C300" s="48" t="s">
        <v>1322</v>
      </c>
      <c r="D300" s="48" t="s">
        <v>1409</v>
      </c>
      <c r="E300" s="50">
        <v>45412</v>
      </c>
      <c r="F300" s="49" t="s">
        <v>1321</v>
      </c>
      <c r="G300" s="48" t="s">
        <v>36</v>
      </c>
      <c r="H300" s="48" t="s">
        <v>45</v>
      </c>
      <c r="I300" s="51">
        <v>-941284.65503899998</v>
      </c>
      <c r="J300" s="51"/>
      <c r="K300" s="51"/>
      <c r="L300" s="48" t="s">
        <v>40</v>
      </c>
      <c r="M300" s="48" t="s">
        <v>1433</v>
      </c>
      <c r="N300" s="48" t="s">
        <v>1447</v>
      </c>
      <c r="O300" s="49" t="s">
        <v>1449</v>
      </c>
      <c r="P300" s="48" t="s">
        <v>38</v>
      </c>
      <c r="Q300" s="48" t="s">
        <v>37</v>
      </c>
      <c r="R300" s="48" t="s">
        <v>1436</v>
      </c>
      <c r="S300" s="48" t="s">
        <v>1436</v>
      </c>
      <c r="T300" s="48" t="s">
        <v>1436</v>
      </c>
      <c r="U300" s="48" t="s">
        <v>38</v>
      </c>
      <c r="V300" s="48" t="s">
        <v>39</v>
      </c>
      <c r="W300" s="48" t="s">
        <v>40</v>
      </c>
      <c r="X300" s="48" t="s">
        <v>41</v>
      </c>
      <c r="Y300" s="48" t="s">
        <v>1436</v>
      </c>
      <c r="Z300" s="48" t="s">
        <v>1436</v>
      </c>
      <c r="AA300" s="48" t="s">
        <v>1436</v>
      </c>
      <c r="AB300" s="49" t="s">
        <v>193</v>
      </c>
      <c r="AC300" s="48" t="s">
        <v>1194</v>
      </c>
      <c r="AD300" s="48" t="s">
        <v>1244</v>
      </c>
      <c r="AE300" s="48" t="s">
        <v>36</v>
      </c>
    </row>
    <row r="301" spans="1:31" x14ac:dyDescent="0.3">
      <c r="A301" s="48" t="s">
        <v>1320</v>
      </c>
      <c r="B301" s="48" t="s">
        <v>6</v>
      </c>
      <c r="C301" s="48" t="s">
        <v>1322</v>
      </c>
      <c r="D301" s="48" t="s">
        <v>1408</v>
      </c>
      <c r="E301" s="50">
        <v>45412</v>
      </c>
      <c r="F301" s="49" t="s">
        <v>1321</v>
      </c>
      <c r="G301" s="48" t="s">
        <v>36</v>
      </c>
      <c r="H301" s="48" t="s">
        <v>54</v>
      </c>
      <c r="I301" s="51">
        <v>-514397.86</v>
      </c>
      <c r="J301" s="51"/>
      <c r="K301" s="51"/>
      <c r="L301" s="48" t="s">
        <v>40</v>
      </c>
      <c r="M301" s="48" t="s">
        <v>1433</v>
      </c>
      <c r="N301" s="48" t="s">
        <v>1447</v>
      </c>
      <c r="O301" s="49" t="s">
        <v>1450</v>
      </c>
      <c r="P301" s="48" t="s">
        <v>38</v>
      </c>
      <c r="Q301" s="48" t="s">
        <v>37</v>
      </c>
      <c r="R301" s="48" t="s">
        <v>1436</v>
      </c>
      <c r="S301" s="48" t="s">
        <v>1436</v>
      </c>
      <c r="T301" s="48" t="s">
        <v>1436</v>
      </c>
      <c r="U301" s="48" t="s">
        <v>38</v>
      </c>
      <c r="V301" s="48" t="s">
        <v>39</v>
      </c>
      <c r="W301" s="48" t="s">
        <v>40</v>
      </c>
      <c r="X301" s="48" t="s">
        <v>41</v>
      </c>
      <c r="Y301" s="48" t="s">
        <v>1436</v>
      </c>
      <c r="Z301" s="48" t="s">
        <v>1436</v>
      </c>
      <c r="AA301" s="48" t="s">
        <v>1436</v>
      </c>
      <c r="AB301" s="49" t="s">
        <v>193</v>
      </c>
      <c r="AC301" s="48" t="s">
        <v>1194</v>
      </c>
      <c r="AD301" s="48" t="s">
        <v>1244</v>
      </c>
      <c r="AE301" s="48" t="s">
        <v>36</v>
      </c>
    </row>
    <row r="302" spans="1:31" x14ac:dyDescent="0.3">
      <c r="A302" s="48" t="s">
        <v>1320</v>
      </c>
      <c r="B302" s="48" t="s">
        <v>6</v>
      </c>
      <c r="C302" s="48" t="s">
        <v>1322</v>
      </c>
      <c r="D302" s="48" t="s">
        <v>1407</v>
      </c>
      <c r="E302" s="50">
        <v>45412</v>
      </c>
      <c r="F302" s="49" t="s">
        <v>1321</v>
      </c>
      <c r="G302" s="48" t="s">
        <v>36</v>
      </c>
      <c r="H302" s="48" t="s">
        <v>47</v>
      </c>
      <c r="I302" s="51">
        <v>35404.721664999997</v>
      </c>
      <c r="J302" s="51"/>
      <c r="K302" s="51"/>
      <c r="L302" s="48" t="s">
        <v>40</v>
      </c>
      <c r="M302" s="48" t="s">
        <v>1438</v>
      </c>
      <c r="N302" s="48" t="s">
        <v>1444</v>
      </c>
      <c r="O302" s="49" t="s">
        <v>1446</v>
      </c>
      <c r="P302" s="48" t="s">
        <v>38</v>
      </c>
      <c r="Q302" s="48" t="s">
        <v>37</v>
      </c>
      <c r="R302" s="48" t="s">
        <v>1436</v>
      </c>
      <c r="S302" s="48" t="s">
        <v>1436</v>
      </c>
      <c r="T302" s="48" t="s">
        <v>1436</v>
      </c>
      <c r="U302" s="48" t="s">
        <v>38</v>
      </c>
      <c r="V302" s="48" t="s">
        <v>39</v>
      </c>
      <c r="W302" s="48" t="s">
        <v>40</v>
      </c>
      <c r="X302" s="48" t="s">
        <v>41</v>
      </c>
      <c r="Y302" s="48" t="s">
        <v>1436</v>
      </c>
      <c r="Z302" s="48" t="s">
        <v>1436</v>
      </c>
      <c r="AA302" s="48" t="s">
        <v>1436</v>
      </c>
      <c r="AB302" s="49" t="s">
        <v>193</v>
      </c>
      <c r="AC302" s="48" t="s">
        <v>1194</v>
      </c>
      <c r="AD302" s="48" t="s">
        <v>1244</v>
      </c>
      <c r="AE302" s="48" t="s">
        <v>36</v>
      </c>
    </row>
    <row r="303" spans="1:31" x14ac:dyDescent="0.3">
      <c r="A303" s="48" t="s">
        <v>1320</v>
      </c>
      <c r="B303" s="48" t="s">
        <v>6</v>
      </c>
      <c r="C303" s="48" t="s">
        <v>1322</v>
      </c>
      <c r="D303" s="48" t="s">
        <v>1406</v>
      </c>
      <c r="E303" s="50">
        <v>45412</v>
      </c>
      <c r="F303" s="49" t="s">
        <v>1321</v>
      </c>
      <c r="G303" s="48" t="s">
        <v>36</v>
      </c>
      <c r="H303" s="48" t="s">
        <v>1441</v>
      </c>
      <c r="I303" s="51">
        <v>0</v>
      </c>
      <c r="J303" s="51"/>
      <c r="K303" s="51"/>
      <c r="L303" s="48" t="s">
        <v>1194</v>
      </c>
      <c r="M303" s="48" t="s">
        <v>1438</v>
      </c>
      <c r="N303" s="48" t="s">
        <v>1439</v>
      </c>
      <c r="O303" s="49" t="s">
        <v>1440</v>
      </c>
      <c r="P303" s="48" t="s">
        <v>38</v>
      </c>
      <c r="Q303" s="48" t="s">
        <v>37</v>
      </c>
      <c r="R303" s="48" t="s">
        <v>1436</v>
      </c>
      <c r="S303" s="48" t="s">
        <v>1436</v>
      </c>
      <c r="T303" s="48" t="s">
        <v>1436</v>
      </c>
      <c r="U303" s="48" t="s">
        <v>38</v>
      </c>
      <c r="V303" s="48" t="s">
        <v>39</v>
      </c>
      <c r="W303" s="48" t="s">
        <v>1194</v>
      </c>
      <c r="X303" s="48" t="s">
        <v>41</v>
      </c>
      <c r="Y303" s="48" t="s">
        <v>1436</v>
      </c>
      <c r="Z303" s="48" t="s">
        <v>1436</v>
      </c>
      <c r="AA303" s="48" t="s">
        <v>1436</v>
      </c>
      <c r="AB303" s="49" t="s">
        <v>193</v>
      </c>
      <c r="AC303" s="48" t="s">
        <v>1194</v>
      </c>
      <c r="AD303" s="48" t="s">
        <v>1244</v>
      </c>
      <c r="AE303" s="48" t="s">
        <v>36</v>
      </c>
    </row>
    <row r="304" spans="1:31" x14ac:dyDescent="0.3">
      <c r="A304" s="48" t="s">
        <v>1320</v>
      </c>
      <c r="B304" s="48" t="s">
        <v>6</v>
      </c>
      <c r="C304" s="48" t="s">
        <v>1322</v>
      </c>
      <c r="D304" s="48" t="s">
        <v>1405</v>
      </c>
      <c r="E304" s="50">
        <v>45412</v>
      </c>
      <c r="F304" s="49" t="s">
        <v>1321</v>
      </c>
      <c r="G304" s="48" t="s">
        <v>36</v>
      </c>
      <c r="H304" s="48" t="s">
        <v>1443</v>
      </c>
      <c r="I304" s="51">
        <v>0</v>
      </c>
      <c r="J304" s="51"/>
      <c r="K304" s="51"/>
      <c r="L304" s="48" t="s">
        <v>1194</v>
      </c>
      <c r="M304" s="48" t="s">
        <v>1438</v>
      </c>
      <c r="N304" s="48" t="s">
        <v>1439</v>
      </c>
      <c r="O304" s="49" t="s">
        <v>1442</v>
      </c>
      <c r="P304" s="48" t="s">
        <v>38</v>
      </c>
      <c r="Q304" s="48" t="s">
        <v>37</v>
      </c>
      <c r="R304" s="48" t="s">
        <v>1436</v>
      </c>
      <c r="S304" s="48" t="s">
        <v>1436</v>
      </c>
      <c r="T304" s="48" t="s">
        <v>1436</v>
      </c>
      <c r="U304" s="48" t="s">
        <v>38</v>
      </c>
      <c r="V304" s="48" t="s">
        <v>39</v>
      </c>
      <c r="W304" s="48" t="s">
        <v>1194</v>
      </c>
      <c r="X304" s="48" t="s">
        <v>41</v>
      </c>
      <c r="Y304" s="48" t="s">
        <v>1436</v>
      </c>
      <c r="Z304" s="48" t="s">
        <v>1436</v>
      </c>
      <c r="AA304" s="48" t="s">
        <v>1436</v>
      </c>
      <c r="AB304" s="49" t="s">
        <v>193</v>
      </c>
      <c r="AC304" s="48" t="s">
        <v>1194</v>
      </c>
      <c r="AD304" s="48" t="s">
        <v>1244</v>
      </c>
      <c r="AE304" s="48" t="s">
        <v>36</v>
      </c>
    </row>
    <row r="305" spans="1:31" x14ac:dyDescent="0.3">
      <c r="A305" s="48" t="s">
        <v>1320</v>
      </c>
      <c r="B305" s="48" t="s">
        <v>6</v>
      </c>
      <c r="C305" s="48" t="s">
        <v>1322</v>
      </c>
      <c r="D305" s="48" t="s">
        <v>1404</v>
      </c>
      <c r="E305" s="50">
        <v>45412</v>
      </c>
      <c r="F305" s="49" t="s">
        <v>1321</v>
      </c>
      <c r="G305" s="48" t="s">
        <v>36</v>
      </c>
      <c r="H305" s="48" t="s">
        <v>49</v>
      </c>
      <c r="I305" s="51">
        <v>-8491.4813379999996</v>
      </c>
      <c r="J305" s="51"/>
      <c r="K305" s="51"/>
      <c r="L305" s="48" t="s">
        <v>38</v>
      </c>
      <c r="M305" s="48" t="s">
        <v>1433</v>
      </c>
      <c r="N305" s="48" t="s">
        <v>1447</v>
      </c>
      <c r="O305" s="49" t="s">
        <v>1451</v>
      </c>
      <c r="P305" s="48" t="s">
        <v>38</v>
      </c>
      <c r="Q305" s="48" t="s">
        <v>37</v>
      </c>
      <c r="R305" s="48" t="s">
        <v>1436</v>
      </c>
      <c r="S305" s="48" t="s">
        <v>1436</v>
      </c>
      <c r="T305" s="48" t="s">
        <v>1436</v>
      </c>
      <c r="U305" s="48" t="s">
        <v>38</v>
      </c>
      <c r="V305" s="48" t="s">
        <v>39</v>
      </c>
      <c r="W305" s="48" t="s">
        <v>38</v>
      </c>
      <c r="X305" s="48" t="s">
        <v>41</v>
      </c>
      <c r="Y305" s="48" t="s">
        <v>1436</v>
      </c>
      <c r="Z305" s="48" t="s">
        <v>1436</v>
      </c>
      <c r="AA305" s="48" t="s">
        <v>1436</v>
      </c>
      <c r="AB305" s="49" t="s">
        <v>193</v>
      </c>
      <c r="AC305" s="48" t="s">
        <v>1194</v>
      </c>
      <c r="AD305" s="48" t="s">
        <v>1244</v>
      </c>
      <c r="AE305" s="48" t="s">
        <v>36</v>
      </c>
    </row>
    <row r="306" spans="1:31" x14ac:dyDescent="0.3">
      <c r="A306" s="48" t="s">
        <v>1320</v>
      </c>
      <c r="B306" s="48" t="s">
        <v>6</v>
      </c>
      <c r="C306" s="48" t="s">
        <v>1322</v>
      </c>
      <c r="D306" s="48" t="s">
        <v>1413</v>
      </c>
      <c r="E306" s="50">
        <v>45443</v>
      </c>
      <c r="F306" s="49" t="s">
        <v>1321</v>
      </c>
      <c r="G306" s="48" t="s">
        <v>36</v>
      </c>
      <c r="H306" s="48" t="s">
        <v>58</v>
      </c>
      <c r="I306" s="51">
        <v>-1450000</v>
      </c>
      <c r="J306" s="51"/>
      <c r="K306" s="51"/>
      <c r="L306" s="48" t="s">
        <v>40</v>
      </c>
      <c r="M306" s="48" t="s">
        <v>1433</v>
      </c>
      <c r="N306" s="48" t="s">
        <v>1447</v>
      </c>
      <c r="O306" s="49" t="s">
        <v>1448</v>
      </c>
      <c r="P306" s="48" t="s">
        <v>38</v>
      </c>
      <c r="Q306" s="48" t="s">
        <v>37</v>
      </c>
      <c r="R306" s="48" t="s">
        <v>1436</v>
      </c>
      <c r="S306" s="48" t="s">
        <v>1436</v>
      </c>
      <c r="T306" s="48" t="s">
        <v>1436</v>
      </c>
      <c r="U306" s="48" t="s">
        <v>38</v>
      </c>
      <c r="V306" s="48" t="s">
        <v>39</v>
      </c>
      <c r="W306" s="48" t="s">
        <v>40</v>
      </c>
      <c r="X306" s="48" t="s">
        <v>41</v>
      </c>
      <c r="Y306" s="48" t="s">
        <v>1436</v>
      </c>
      <c r="Z306" s="48" t="s">
        <v>1436</v>
      </c>
      <c r="AA306" s="48" t="s">
        <v>1436</v>
      </c>
      <c r="AB306" s="49" t="s">
        <v>193</v>
      </c>
      <c r="AC306" s="48" t="s">
        <v>1194</v>
      </c>
      <c r="AD306" s="48" t="s">
        <v>1244</v>
      </c>
      <c r="AE306" s="48" t="s">
        <v>36</v>
      </c>
    </row>
    <row r="307" spans="1:31" x14ac:dyDescent="0.3">
      <c r="A307" s="48" t="s">
        <v>1320</v>
      </c>
      <c r="B307" s="48" t="s">
        <v>6</v>
      </c>
      <c r="C307" s="48" t="s">
        <v>1322</v>
      </c>
      <c r="D307" s="48" t="s">
        <v>1412</v>
      </c>
      <c r="E307" s="50">
        <v>45443</v>
      </c>
      <c r="F307" s="49" t="s">
        <v>1321</v>
      </c>
      <c r="G307" s="48" t="s">
        <v>36</v>
      </c>
      <c r="H307" s="48" t="s">
        <v>52</v>
      </c>
      <c r="I307" s="51">
        <v>-1227584.22</v>
      </c>
      <c r="J307" s="51"/>
      <c r="K307" s="51"/>
      <c r="L307" s="48" t="s">
        <v>40</v>
      </c>
      <c r="M307" s="48" t="s">
        <v>1433</v>
      </c>
      <c r="N307" s="48" t="s">
        <v>1434</v>
      </c>
      <c r="O307" s="49" t="s">
        <v>1435</v>
      </c>
      <c r="P307" s="48" t="s">
        <v>38</v>
      </c>
      <c r="Q307" s="48" t="s">
        <v>37</v>
      </c>
      <c r="R307" s="48" t="s">
        <v>1436</v>
      </c>
      <c r="S307" s="48" t="s">
        <v>1436</v>
      </c>
      <c r="T307" s="48" t="s">
        <v>1436</v>
      </c>
      <c r="U307" s="48" t="s">
        <v>38</v>
      </c>
      <c r="V307" s="48" t="s">
        <v>39</v>
      </c>
      <c r="W307" s="48" t="s">
        <v>40</v>
      </c>
      <c r="X307" s="48" t="s">
        <v>41</v>
      </c>
      <c r="Y307" s="48" t="s">
        <v>1436</v>
      </c>
      <c r="Z307" s="48" t="s">
        <v>1436</v>
      </c>
      <c r="AA307" s="48" t="s">
        <v>1436</v>
      </c>
      <c r="AB307" s="49" t="s">
        <v>193</v>
      </c>
      <c r="AC307" s="48" t="s">
        <v>1194</v>
      </c>
      <c r="AD307" s="48" t="s">
        <v>1244</v>
      </c>
      <c r="AE307" s="48" t="s">
        <v>36</v>
      </c>
    </row>
    <row r="308" spans="1:31" x14ac:dyDescent="0.3">
      <c r="A308" s="48" t="s">
        <v>1320</v>
      </c>
      <c r="B308" s="48" t="s">
        <v>6</v>
      </c>
      <c r="C308" s="48" t="s">
        <v>1322</v>
      </c>
      <c r="D308" s="48" t="s">
        <v>1411</v>
      </c>
      <c r="E308" s="50">
        <v>45443</v>
      </c>
      <c r="F308" s="49" t="s">
        <v>1321</v>
      </c>
      <c r="G308" s="48" t="s">
        <v>36</v>
      </c>
      <c r="H308" s="48" t="s">
        <v>50</v>
      </c>
      <c r="I308" s="51">
        <v>211652.45</v>
      </c>
      <c r="J308" s="51"/>
      <c r="K308" s="51"/>
      <c r="L308" s="48" t="s">
        <v>40</v>
      </c>
      <c r="M308" s="48" t="s">
        <v>1438</v>
      </c>
      <c r="N308" s="48" t="s">
        <v>1444</v>
      </c>
      <c r="O308" s="49" t="s">
        <v>1445</v>
      </c>
      <c r="P308" s="48" t="s">
        <v>38</v>
      </c>
      <c r="Q308" s="48" t="s">
        <v>37</v>
      </c>
      <c r="R308" s="48" t="s">
        <v>1436</v>
      </c>
      <c r="S308" s="48" t="s">
        <v>1436</v>
      </c>
      <c r="T308" s="48" t="s">
        <v>1436</v>
      </c>
      <c r="U308" s="48" t="s">
        <v>38</v>
      </c>
      <c r="V308" s="48" t="s">
        <v>39</v>
      </c>
      <c r="W308" s="48" t="s">
        <v>40</v>
      </c>
      <c r="X308" s="48" t="s">
        <v>41</v>
      </c>
      <c r="Y308" s="48" t="s">
        <v>1436</v>
      </c>
      <c r="Z308" s="48" t="s">
        <v>1436</v>
      </c>
      <c r="AA308" s="48" t="s">
        <v>1436</v>
      </c>
      <c r="AB308" s="49" t="s">
        <v>193</v>
      </c>
      <c r="AC308" s="48" t="s">
        <v>1194</v>
      </c>
      <c r="AD308" s="48" t="s">
        <v>1244</v>
      </c>
      <c r="AE308" s="48" t="s">
        <v>36</v>
      </c>
    </row>
    <row r="309" spans="1:31" x14ac:dyDescent="0.3">
      <c r="A309" s="48" t="s">
        <v>1320</v>
      </c>
      <c r="B309" s="48" t="s">
        <v>6</v>
      </c>
      <c r="C309" s="48" t="s">
        <v>1322</v>
      </c>
      <c r="D309" s="48" t="s">
        <v>1410</v>
      </c>
      <c r="E309" s="50">
        <v>45443</v>
      </c>
      <c r="F309" s="49" t="s">
        <v>1321</v>
      </c>
      <c r="G309" s="48" t="s">
        <v>36</v>
      </c>
      <c r="H309" s="48" t="s">
        <v>42</v>
      </c>
      <c r="I309" s="51">
        <v>2539829.423163</v>
      </c>
      <c r="J309" s="51"/>
      <c r="K309" s="51"/>
      <c r="L309" s="48" t="s">
        <v>40</v>
      </c>
      <c r="M309" s="48" t="s">
        <v>1433</v>
      </c>
      <c r="N309" s="48" t="s">
        <v>1434</v>
      </c>
      <c r="O309" s="49" t="s">
        <v>1437</v>
      </c>
      <c r="P309" s="48" t="s">
        <v>38</v>
      </c>
      <c r="Q309" s="48" t="s">
        <v>37</v>
      </c>
      <c r="R309" s="48" t="s">
        <v>1436</v>
      </c>
      <c r="S309" s="48" t="s">
        <v>1436</v>
      </c>
      <c r="T309" s="48" t="s">
        <v>1436</v>
      </c>
      <c r="U309" s="48" t="s">
        <v>38</v>
      </c>
      <c r="V309" s="48" t="s">
        <v>39</v>
      </c>
      <c r="W309" s="48" t="s">
        <v>40</v>
      </c>
      <c r="X309" s="48" t="s">
        <v>41</v>
      </c>
      <c r="Y309" s="48" t="s">
        <v>1436</v>
      </c>
      <c r="Z309" s="48" t="s">
        <v>1436</v>
      </c>
      <c r="AA309" s="48" t="s">
        <v>1436</v>
      </c>
      <c r="AB309" s="49" t="s">
        <v>193</v>
      </c>
      <c r="AC309" s="48" t="s">
        <v>1194</v>
      </c>
      <c r="AD309" s="48" t="s">
        <v>1244</v>
      </c>
      <c r="AE309" s="48" t="s">
        <v>36</v>
      </c>
    </row>
    <row r="310" spans="1:31" x14ac:dyDescent="0.3">
      <c r="A310" s="48" t="s">
        <v>1320</v>
      </c>
      <c r="B310" s="48" t="s">
        <v>6</v>
      </c>
      <c r="C310" s="48" t="s">
        <v>1322</v>
      </c>
      <c r="D310" s="48" t="s">
        <v>1409</v>
      </c>
      <c r="E310" s="50">
        <v>45443</v>
      </c>
      <c r="F310" s="49" t="s">
        <v>1321</v>
      </c>
      <c r="G310" s="48" t="s">
        <v>36</v>
      </c>
      <c r="H310" s="48" t="s">
        <v>45</v>
      </c>
      <c r="I310" s="51">
        <v>-896775.48637699999</v>
      </c>
      <c r="J310" s="51"/>
      <c r="K310" s="51"/>
      <c r="L310" s="48" t="s">
        <v>40</v>
      </c>
      <c r="M310" s="48" t="s">
        <v>1433</v>
      </c>
      <c r="N310" s="48" t="s">
        <v>1447</v>
      </c>
      <c r="O310" s="49" t="s">
        <v>1449</v>
      </c>
      <c r="P310" s="48" t="s">
        <v>38</v>
      </c>
      <c r="Q310" s="48" t="s">
        <v>37</v>
      </c>
      <c r="R310" s="48" t="s">
        <v>1436</v>
      </c>
      <c r="S310" s="48" t="s">
        <v>1436</v>
      </c>
      <c r="T310" s="48" t="s">
        <v>1436</v>
      </c>
      <c r="U310" s="48" t="s">
        <v>38</v>
      </c>
      <c r="V310" s="48" t="s">
        <v>39</v>
      </c>
      <c r="W310" s="48" t="s">
        <v>40</v>
      </c>
      <c r="X310" s="48" t="s">
        <v>41</v>
      </c>
      <c r="Y310" s="48" t="s">
        <v>1436</v>
      </c>
      <c r="Z310" s="48" t="s">
        <v>1436</v>
      </c>
      <c r="AA310" s="48" t="s">
        <v>1436</v>
      </c>
      <c r="AB310" s="49" t="s">
        <v>193</v>
      </c>
      <c r="AC310" s="48" t="s">
        <v>1194</v>
      </c>
      <c r="AD310" s="48" t="s">
        <v>1244</v>
      </c>
      <c r="AE310" s="48" t="s">
        <v>36</v>
      </c>
    </row>
    <row r="311" spans="1:31" x14ac:dyDescent="0.3">
      <c r="A311" s="48" t="s">
        <v>1320</v>
      </c>
      <c r="B311" s="48" t="s">
        <v>6</v>
      </c>
      <c r="C311" s="48" t="s">
        <v>1322</v>
      </c>
      <c r="D311" s="48" t="s">
        <v>1408</v>
      </c>
      <c r="E311" s="50">
        <v>45443</v>
      </c>
      <c r="F311" s="49" t="s">
        <v>1321</v>
      </c>
      <c r="G311" s="48" t="s">
        <v>36</v>
      </c>
      <c r="H311" s="48" t="s">
        <v>54</v>
      </c>
      <c r="I311" s="51">
        <v>-517398.51</v>
      </c>
      <c r="J311" s="51"/>
      <c r="K311" s="51"/>
      <c r="L311" s="48" t="s">
        <v>40</v>
      </c>
      <c r="M311" s="48" t="s">
        <v>1433</v>
      </c>
      <c r="N311" s="48" t="s">
        <v>1447</v>
      </c>
      <c r="O311" s="49" t="s">
        <v>1450</v>
      </c>
      <c r="P311" s="48" t="s">
        <v>38</v>
      </c>
      <c r="Q311" s="48" t="s">
        <v>37</v>
      </c>
      <c r="R311" s="48" t="s">
        <v>1436</v>
      </c>
      <c r="S311" s="48" t="s">
        <v>1436</v>
      </c>
      <c r="T311" s="48" t="s">
        <v>1436</v>
      </c>
      <c r="U311" s="48" t="s">
        <v>38</v>
      </c>
      <c r="V311" s="48" t="s">
        <v>39</v>
      </c>
      <c r="W311" s="48" t="s">
        <v>40</v>
      </c>
      <c r="X311" s="48" t="s">
        <v>41</v>
      </c>
      <c r="Y311" s="48" t="s">
        <v>1436</v>
      </c>
      <c r="Z311" s="48" t="s">
        <v>1436</v>
      </c>
      <c r="AA311" s="48" t="s">
        <v>1436</v>
      </c>
      <c r="AB311" s="49" t="s">
        <v>193</v>
      </c>
      <c r="AC311" s="48" t="s">
        <v>1194</v>
      </c>
      <c r="AD311" s="48" t="s">
        <v>1244</v>
      </c>
      <c r="AE311" s="48" t="s">
        <v>36</v>
      </c>
    </row>
    <row r="312" spans="1:31" x14ac:dyDescent="0.3">
      <c r="A312" s="48" t="s">
        <v>1320</v>
      </c>
      <c r="B312" s="48" t="s">
        <v>6</v>
      </c>
      <c r="C312" s="48" t="s">
        <v>1322</v>
      </c>
      <c r="D312" s="48" t="s">
        <v>1407</v>
      </c>
      <c r="E312" s="50">
        <v>45443</v>
      </c>
      <c r="F312" s="49" t="s">
        <v>1321</v>
      </c>
      <c r="G312" s="48" t="s">
        <v>36</v>
      </c>
      <c r="H312" s="48" t="s">
        <v>47</v>
      </c>
      <c r="I312" s="51">
        <v>43654.069976999999</v>
      </c>
      <c r="J312" s="51"/>
      <c r="K312" s="51"/>
      <c r="L312" s="48" t="s">
        <v>40</v>
      </c>
      <c r="M312" s="48" t="s">
        <v>1438</v>
      </c>
      <c r="N312" s="48" t="s">
        <v>1444</v>
      </c>
      <c r="O312" s="49" t="s">
        <v>1446</v>
      </c>
      <c r="P312" s="48" t="s">
        <v>38</v>
      </c>
      <c r="Q312" s="48" t="s">
        <v>37</v>
      </c>
      <c r="R312" s="48" t="s">
        <v>1436</v>
      </c>
      <c r="S312" s="48" t="s">
        <v>1436</v>
      </c>
      <c r="T312" s="48" t="s">
        <v>1436</v>
      </c>
      <c r="U312" s="48" t="s">
        <v>38</v>
      </c>
      <c r="V312" s="48" t="s">
        <v>39</v>
      </c>
      <c r="W312" s="48" t="s">
        <v>40</v>
      </c>
      <c r="X312" s="48" t="s">
        <v>41</v>
      </c>
      <c r="Y312" s="48" t="s">
        <v>1436</v>
      </c>
      <c r="Z312" s="48" t="s">
        <v>1436</v>
      </c>
      <c r="AA312" s="48" t="s">
        <v>1436</v>
      </c>
      <c r="AB312" s="49" t="s">
        <v>193</v>
      </c>
      <c r="AC312" s="48" t="s">
        <v>1194</v>
      </c>
      <c r="AD312" s="48" t="s">
        <v>1244</v>
      </c>
      <c r="AE312" s="48" t="s">
        <v>36</v>
      </c>
    </row>
    <row r="313" spans="1:31" x14ac:dyDescent="0.3">
      <c r="A313" s="48" t="s">
        <v>1320</v>
      </c>
      <c r="B313" s="48" t="s">
        <v>6</v>
      </c>
      <c r="C313" s="48" t="s">
        <v>1322</v>
      </c>
      <c r="D313" s="48" t="s">
        <v>1406</v>
      </c>
      <c r="E313" s="50">
        <v>45443</v>
      </c>
      <c r="F313" s="49" t="s">
        <v>1321</v>
      </c>
      <c r="G313" s="48" t="s">
        <v>36</v>
      </c>
      <c r="H313" s="48" t="s">
        <v>1441</v>
      </c>
      <c r="I313" s="51">
        <v>0</v>
      </c>
      <c r="J313" s="51"/>
      <c r="K313" s="51"/>
      <c r="L313" s="48" t="s">
        <v>1194</v>
      </c>
      <c r="M313" s="48" t="s">
        <v>1438</v>
      </c>
      <c r="N313" s="48" t="s">
        <v>1439</v>
      </c>
      <c r="O313" s="49" t="s">
        <v>1440</v>
      </c>
      <c r="P313" s="48" t="s">
        <v>38</v>
      </c>
      <c r="Q313" s="48" t="s">
        <v>37</v>
      </c>
      <c r="R313" s="48" t="s">
        <v>1436</v>
      </c>
      <c r="S313" s="48" t="s">
        <v>1436</v>
      </c>
      <c r="T313" s="48" t="s">
        <v>1436</v>
      </c>
      <c r="U313" s="48" t="s">
        <v>38</v>
      </c>
      <c r="V313" s="48" t="s">
        <v>39</v>
      </c>
      <c r="W313" s="48" t="s">
        <v>1194</v>
      </c>
      <c r="X313" s="48" t="s">
        <v>41</v>
      </c>
      <c r="Y313" s="48" t="s">
        <v>1436</v>
      </c>
      <c r="Z313" s="48" t="s">
        <v>1436</v>
      </c>
      <c r="AA313" s="48" t="s">
        <v>1436</v>
      </c>
      <c r="AB313" s="49" t="s">
        <v>193</v>
      </c>
      <c r="AC313" s="48" t="s">
        <v>1194</v>
      </c>
      <c r="AD313" s="48" t="s">
        <v>1244</v>
      </c>
      <c r="AE313" s="48" t="s">
        <v>36</v>
      </c>
    </row>
    <row r="314" spans="1:31" x14ac:dyDescent="0.3">
      <c r="A314" s="48" t="s">
        <v>1320</v>
      </c>
      <c r="B314" s="48" t="s">
        <v>6</v>
      </c>
      <c r="C314" s="48" t="s">
        <v>1322</v>
      </c>
      <c r="D314" s="48" t="s">
        <v>1405</v>
      </c>
      <c r="E314" s="50">
        <v>45443</v>
      </c>
      <c r="F314" s="49" t="s">
        <v>1321</v>
      </c>
      <c r="G314" s="48" t="s">
        <v>36</v>
      </c>
      <c r="H314" s="48" t="s">
        <v>1443</v>
      </c>
      <c r="I314" s="51">
        <v>0</v>
      </c>
      <c r="J314" s="51"/>
      <c r="K314" s="51"/>
      <c r="L314" s="48" t="s">
        <v>1194</v>
      </c>
      <c r="M314" s="48" t="s">
        <v>1438</v>
      </c>
      <c r="N314" s="48" t="s">
        <v>1439</v>
      </c>
      <c r="O314" s="49" t="s">
        <v>1442</v>
      </c>
      <c r="P314" s="48" t="s">
        <v>38</v>
      </c>
      <c r="Q314" s="48" t="s">
        <v>37</v>
      </c>
      <c r="R314" s="48" t="s">
        <v>1436</v>
      </c>
      <c r="S314" s="48" t="s">
        <v>1436</v>
      </c>
      <c r="T314" s="48" t="s">
        <v>1436</v>
      </c>
      <c r="U314" s="48" t="s">
        <v>38</v>
      </c>
      <c r="V314" s="48" t="s">
        <v>39</v>
      </c>
      <c r="W314" s="48" t="s">
        <v>1194</v>
      </c>
      <c r="X314" s="48" t="s">
        <v>41</v>
      </c>
      <c r="Y314" s="48" t="s">
        <v>1436</v>
      </c>
      <c r="Z314" s="48" t="s">
        <v>1436</v>
      </c>
      <c r="AA314" s="48" t="s">
        <v>1436</v>
      </c>
      <c r="AB314" s="49" t="s">
        <v>193</v>
      </c>
      <c r="AC314" s="48" t="s">
        <v>1194</v>
      </c>
      <c r="AD314" s="48" t="s">
        <v>1244</v>
      </c>
      <c r="AE314" s="48" t="s">
        <v>36</v>
      </c>
    </row>
    <row r="315" spans="1:31" x14ac:dyDescent="0.3">
      <c r="A315" s="48" t="s">
        <v>1320</v>
      </c>
      <c r="B315" s="48" t="s">
        <v>6</v>
      </c>
      <c r="C315" s="48" t="s">
        <v>1322</v>
      </c>
      <c r="D315" s="48" t="s">
        <v>1404</v>
      </c>
      <c r="E315" s="50">
        <v>45443</v>
      </c>
      <c r="F315" s="49" t="s">
        <v>1321</v>
      </c>
      <c r="G315" s="48" t="s">
        <v>36</v>
      </c>
      <c r="H315" s="48" t="s">
        <v>49</v>
      </c>
      <c r="I315" s="51">
        <v>-8249.3483120000001</v>
      </c>
      <c r="J315" s="51"/>
      <c r="K315" s="51"/>
      <c r="L315" s="48" t="s">
        <v>38</v>
      </c>
      <c r="M315" s="48" t="s">
        <v>1433</v>
      </c>
      <c r="N315" s="48" t="s">
        <v>1447</v>
      </c>
      <c r="O315" s="49" t="s">
        <v>1451</v>
      </c>
      <c r="P315" s="48" t="s">
        <v>38</v>
      </c>
      <c r="Q315" s="48" t="s">
        <v>37</v>
      </c>
      <c r="R315" s="48" t="s">
        <v>1436</v>
      </c>
      <c r="S315" s="48" t="s">
        <v>1436</v>
      </c>
      <c r="T315" s="48" t="s">
        <v>1436</v>
      </c>
      <c r="U315" s="48" t="s">
        <v>38</v>
      </c>
      <c r="V315" s="48" t="s">
        <v>39</v>
      </c>
      <c r="W315" s="48" t="s">
        <v>38</v>
      </c>
      <c r="X315" s="48" t="s">
        <v>41</v>
      </c>
      <c r="Y315" s="48" t="s">
        <v>1436</v>
      </c>
      <c r="Z315" s="48" t="s">
        <v>1436</v>
      </c>
      <c r="AA315" s="48" t="s">
        <v>1436</v>
      </c>
      <c r="AB315" s="49" t="s">
        <v>193</v>
      </c>
      <c r="AC315" s="48" t="s">
        <v>1194</v>
      </c>
      <c r="AD315" s="48" t="s">
        <v>1244</v>
      </c>
      <c r="AE315" s="48" t="s">
        <v>36</v>
      </c>
    </row>
    <row r="316" spans="1:31" x14ac:dyDescent="0.3">
      <c r="A316" s="48" t="s">
        <v>1320</v>
      </c>
      <c r="B316" s="48" t="s">
        <v>6</v>
      </c>
      <c r="C316" s="48" t="s">
        <v>1322</v>
      </c>
      <c r="D316" s="48" t="s">
        <v>1413</v>
      </c>
      <c r="E316" s="50">
        <v>45473</v>
      </c>
      <c r="F316" s="49" t="s">
        <v>1321</v>
      </c>
      <c r="G316" s="48" t="s">
        <v>36</v>
      </c>
      <c r="H316" s="48" t="s">
        <v>58</v>
      </c>
      <c r="I316" s="51">
        <v>-1500000</v>
      </c>
      <c r="J316" s="51"/>
      <c r="K316" s="51"/>
      <c r="L316" s="48" t="s">
        <v>40</v>
      </c>
      <c r="M316" s="48" t="s">
        <v>1433</v>
      </c>
      <c r="N316" s="48" t="s">
        <v>1447</v>
      </c>
      <c r="O316" s="49" t="s">
        <v>1448</v>
      </c>
      <c r="P316" s="48" t="s">
        <v>38</v>
      </c>
      <c r="Q316" s="48" t="s">
        <v>37</v>
      </c>
      <c r="R316" s="48" t="s">
        <v>1436</v>
      </c>
      <c r="S316" s="48" t="s">
        <v>1436</v>
      </c>
      <c r="T316" s="48" t="s">
        <v>1436</v>
      </c>
      <c r="U316" s="48" t="s">
        <v>38</v>
      </c>
      <c r="V316" s="48" t="s">
        <v>39</v>
      </c>
      <c r="W316" s="48" t="s">
        <v>40</v>
      </c>
      <c r="X316" s="48" t="s">
        <v>41</v>
      </c>
      <c r="Y316" s="48" t="s">
        <v>1436</v>
      </c>
      <c r="Z316" s="48" t="s">
        <v>1436</v>
      </c>
      <c r="AA316" s="48" t="s">
        <v>1436</v>
      </c>
      <c r="AB316" s="49" t="s">
        <v>193</v>
      </c>
      <c r="AC316" s="48" t="s">
        <v>1194</v>
      </c>
      <c r="AD316" s="48" t="s">
        <v>1244</v>
      </c>
      <c r="AE316" s="48" t="s">
        <v>36</v>
      </c>
    </row>
    <row r="317" spans="1:31" x14ac:dyDescent="0.3">
      <c r="A317" s="48" t="s">
        <v>1320</v>
      </c>
      <c r="B317" s="48" t="s">
        <v>6</v>
      </c>
      <c r="C317" s="48" t="s">
        <v>1322</v>
      </c>
      <c r="D317" s="48" t="s">
        <v>1412</v>
      </c>
      <c r="E317" s="50">
        <v>45473</v>
      </c>
      <c r="F317" s="49" t="s">
        <v>1321</v>
      </c>
      <c r="G317" s="48" t="s">
        <v>36</v>
      </c>
      <c r="H317" s="48" t="s">
        <v>52</v>
      </c>
      <c r="I317" s="51">
        <v>-1269914.71</v>
      </c>
      <c r="J317" s="51"/>
      <c r="K317" s="51"/>
      <c r="L317" s="48" t="s">
        <v>40</v>
      </c>
      <c r="M317" s="48" t="s">
        <v>1433</v>
      </c>
      <c r="N317" s="48" t="s">
        <v>1434</v>
      </c>
      <c r="O317" s="49" t="s">
        <v>1435</v>
      </c>
      <c r="P317" s="48" t="s">
        <v>38</v>
      </c>
      <c r="Q317" s="48" t="s">
        <v>37</v>
      </c>
      <c r="R317" s="48" t="s">
        <v>1436</v>
      </c>
      <c r="S317" s="48" t="s">
        <v>1436</v>
      </c>
      <c r="T317" s="48" t="s">
        <v>1436</v>
      </c>
      <c r="U317" s="48" t="s">
        <v>38</v>
      </c>
      <c r="V317" s="48" t="s">
        <v>39</v>
      </c>
      <c r="W317" s="48" t="s">
        <v>40</v>
      </c>
      <c r="X317" s="48" t="s">
        <v>41</v>
      </c>
      <c r="Y317" s="48" t="s">
        <v>1436</v>
      </c>
      <c r="Z317" s="48" t="s">
        <v>1436</v>
      </c>
      <c r="AA317" s="48" t="s">
        <v>1436</v>
      </c>
      <c r="AB317" s="49" t="s">
        <v>193</v>
      </c>
      <c r="AC317" s="48" t="s">
        <v>1194</v>
      </c>
      <c r="AD317" s="48" t="s">
        <v>1244</v>
      </c>
      <c r="AE317" s="48" t="s">
        <v>36</v>
      </c>
    </row>
    <row r="318" spans="1:31" x14ac:dyDescent="0.3">
      <c r="A318" s="48" t="s">
        <v>1320</v>
      </c>
      <c r="B318" s="48" t="s">
        <v>6</v>
      </c>
      <c r="C318" s="48" t="s">
        <v>1322</v>
      </c>
      <c r="D318" s="48" t="s">
        <v>1411</v>
      </c>
      <c r="E318" s="50">
        <v>45473</v>
      </c>
      <c r="F318" s="49" t="s">
        <v>1321</v>
      </c>
      <c r="G318" s="48" t="s">
        <v>36</v>
      </c>
      <c r="H318" s="48" t="s">
        <v>50</v>
      </c>
      <c r="I318" s="51">
        <v>253982.94</v>
      </c>
      <c r="J318" s="51"/>
      <c r="K318" s="51"/>
      <c r="L318" s="48" t="s">
        <v>40</v>
      </c>
      <c r="M318" s="48" t="s">
        <v>1438</v>
      </c>
      <c r="N318" s="48" t="s">
        <v>1444</v>
      </c>
      <c r="O318" s="49" t="s">
        <v>1445</v>
      </c>
      <c r="P318" s="48" t="s">
        <v>38</v>
      </c>
      <c r="Q318" s="48" t="s">
        <v>37</v>
      </c>
      <c r="R318" s="48" t="s">
        <v>1436</v>
      </c>
      <c r="S318" s="48" t="s">
        <v>1436</v>
      </c>
      <c r="T318" s="48" t="s">
        <v>1436</v>
      </c>
      <c r="U318" s="48" t="s">
        <v>38</v>
      </c>
      <c r="V318" s="48" t="s">
        <v>39</v>
      </c>
      <c r="W318" s="48" t="s">
        <v>40</v>
      </c>
      <c r="X318" s="48" t="s">
        <v>41</v>
      </c>
      <c r="Y318" s="48" t="s">
        <v>1436</v>
      </c>
      <c r="Z318" s="48" t="s">
        <v>1436</v>
      </c>
      <c r="AA318" s="48" t="s">
        <v>1436</v>
      </c>
      <c r="AB318" s="49" t="s">
        <v>193</v>
      </c>
      <c r="AC318" s="48" t="s">
        <v>1194</v>
      </c>
      <c r="AD318" s="48" t="s">
        <v>1244</v>
      </c>
      <c r="AE318" s="48" t="s">
        <v>36</v>
      </c>
    </row>
    <row r="319" spans="1:31" x14ac:dyDescent="0.3">
      <c r="A319" s="48" t="s">
        <v>1320</v>
      </c>
      <c r="B319" s="48" t="s">
        <v>6</v>
      </c>
      <c r="C319" s="48" t="s">
        <v>1322</v>
      </c>
      <c r="D319" s="48" t="s">
        <v>1410</v>
      </c>
      <c r="E319" s="50">
        <v>45473</v>
      </c>
      <c r="F319" s="49" t="s">
        <v>1321</v>
      </c>
      <c r="G319" s="48" t="s">
        <v>36</v>
      </c>
      <c r="H319" s="48" t="s">
        <v>42</v>
      </c>
      <c r="I319" s="51">
        <v>2539829.423163</v>
      </c>
      <c r="J319" s="51"/>
      <c r="K319" s="51"/>
      <c r="L319" s="48" t="s">
        <v>40</v>
      </c>
      <c r="M319" s="48" t="s">
        <v>1433</v>
      </c>
      <c r="N319" s="48" t="s">
        <v>1434</v>
      </c>
      <c r="O319" s="49" t="s">
        <v>1437</v>
      </c>
      <c r="P319" s="48" t="s">
        <v>38</v>
      </c>
      <c r="Q319" s="48" t="s">
        <v>37</v>
      </c>
      <c r="R319" s="48" t="s">
        <v>1436</v>
      </c>
      <c r="S319" s="48" t="s">
        <v>1436</v>
      </c>
      <c r="T319" s="48" t="s">
        <v>1436</v>
      </c>
      <c r="U319" s="48" t="s">
        <v>38</v>
      </c>
      <c r="V319" s="48" t="s">
        <v>39</v>
      </c>
      <c r="W319" s="48" t="s">
        <v>40</v>
      </c>
      <c r="X319" s="48" t="s">
        <v>41</v>
      </c>
      <c r="Y319" s="48" t="s">
        <v>1436</v>
      </c>
      <c r="Z319" s="48" t="s">
        <v>1436</v>
      </c>
      <c r="AA319" s="48" t="s">
        <v>1436</v>
      </c>
      <c r="AB319" s="49" t="s">
        <v>193</v>
      </c>
      <c r="AC319" s="48" t="s">
        <v>1194</v>
      </c>
      <c r="AD319" s="48" t="s">
        <v>1244</v>
      </c>
      <c r="AE319" s="48" t="s">
        <v>36</v>
      </c>
    </row>
    <row r="320" spans="1:31" x14ac:dyDescent="0.3">
      <c r="A320" s="48" t="s">
        <v>1320</v>
      </c>
      <c r="B320" s="48" t="s">
        <v>6</v>
      </c>
      <c r="C320" s="48" t="s">
        <v>1322</v>
      </c>
      <c r="D320" s="48" t="s">
        <v>1409</v>
      </c>
      <c r="E320" s="50">
        <v>45473</v>
      </c>
      <c r="F320" s="49" t="s">
        <v>1321</v>
      </c>
      <c r="G320" s="48" t="s">
        <v>36</v>
      </c>
      <c r="H320" s="48" t="s">
        <v>45</v>
      </c>
      <c r="I320" s="51">
        <v>-852006.67468900001</v>
      </c>
      <c r="J320" s="51"/>
      <c r="K320" s="51"/>
      <c r="L320" s="48" t="s">
        <v>40</v>
      </c>
      <c r="M320" s="48" t="s">
        <v>1433</v>
      </c>
      <c r="N320" s="48" t="s">
        <v>1447</v>
      </c>
      <c r="O320" s="49" t="s">
        <v>1449</v>
      </c>
      <c r="P320" s="48" t="s">
        <v>38</v>
      </c>
      <c r="Q320" s="48" t="s">
        <v>37</v>
      </c>
      <c r="R320" s="48" t="s">
        <v>1436</v>
      </c>
      <c r="S320" s="48" t="s">
        <v>1436</v>
      </c>
      <c r="T320" s="48" t="s">
        <v>1436</v>
      </c>
      <c r="U320" s="48" t="s">
        <v>38</v>
      </c>
      <c r="V320" s="48" t="s">
        <v>39</v>
      </c>
      <c r="W320" s="48" t="s">
        <v>40</v>
      </c>
      <c r="X320" s="48" t="s">
        <v>41</v>
      </c>
      <c r="Y320" s="48" t="s">
        <v>1436</v>
      </c>
      <c r="Z320" s="48" t="s">
        <v>1436</v>
      </c>
      <c r="AA320" s="48" t="s">
        <v>1436</v>
      </c>
      <c r="AB320" s="49" t="s">
        <v>193</v>
      </c>
      <c r="AC320" s="48" t="s">
        <v>1194</v>
      </c>
      <c r="AD320" s="48" t="s">
        <v>1244</v>
      </c>
      <c r="AE320" s="48" t="s">
        <v>36</v>
      </c>
    </row>
    <row r="321" spans="1:31" x14ac:dyDescent="0.3">
      <c r="A321" s="48" t="s">
        <v>1320</v>
      </c>
      <c r="B321" s="48" t="s">
        <v>6</v>
      </c>
      <c r="C321" s="48" t="s">
        <v>1322</v>
      </c>
      <c r="D321" s="48" t="s">
        <v>1408</v>
      </c>
      <c r="E321" s="50">
        <v>45473</v>
      </c>
      <c r="F321" s="49" t="s">
        <v>1321</v>
      </c>
      <c r="G321" s="48" t="s">
        <v>36</v>
      </c>
      <c r="H321" s="48" t="s">
        <v>54</v>
      </c>
      <c r="I321" s="51">
        <v>-520416.67</v>
      </c>
      <c r="J321" s="51"/>
      <c r="K321" s="51"/>
      <c r="L321" s="48" t="s">
        <v>40</v>
      </c>
      <c r="M321" s="48" t="s">
        <v>1433</v>
      </c>
      <c r="N321" s="48" t="s">
        <v>1447</v>
      </c>
      <c r="O321" s="49" t="s">
        <v>1450</v>
      </c>
      <c r="P321" s="48" t="s">
        <v>38</v>
      </c>
      <c r="Q321" s="48" t="s">
        <v>37</v>
      </c>
      <c r="R321" s="48" t="s">
        <v>1436</v>
      </c>
      <c r="S321" s="48" t="s">
        <v>1436</v>
      </c>
      <c r="T321" s="48" t="s">
        <v>1436</v>
      </c>
      <c r="U321" s="48" t="s">
        <v>38</v>
      </c>
      <c r="V321" s="48" t="s">
        <v>39</v>
      </c>
      <c r="W321" s="48" t="s">
        <v>40</v>
      </c>
      <c r="X321" s="48" t="s">
        <v>41</v>
      </c>
      <c r="Y321" s="48" t="s">
        <v>1436</v>
      </c>
      <c r="Z321" s="48" t="s">
        <v>1436</v>
      </c>
      <c r="AA321" s="48" t="s">
        <v>1436</v>
      </c>
      <c r="AB321" s="49" t="s">
        <v>193</v>
      </c>
      <c r="AC321" s="48" t="s">
        <v>1194</v>
      </c>
      <c r="AD321" s="48" t="s">
        <v>1244</v>
      </c>
      <c r="AE321" s="48" t="s">
        <v>36</v>
      </c>
    </row>
    <row r="322" spans="1:31" x14ac:dyDescent="0.3">
      <c r="A322" s="48" t="s">
        <v>1320</v>
      </c>
      <c r="B322" s="48" t="s">
        <v>6</v>
      </c>
      <c r="C322" s="48" t="s">
        <v>1322</v>
      </c>
      <c r="D322" s="48" t="s">
        <v>1407</v>
      </c>
      <c r="E322" s="50">
        <v>45473</v>
      </c>
      <c r="F322" s="49" t="s">
        <v>1321</v>
      </c>
      <c r="G322" s="48" t="s">
        <v>36</v>
      </c>
      <c r="H322" s="48" t="s">
        <v>47</v>
      </c>
      <c r="I322" s="51">
        <v>51659.872820999997</v>
      </c>
      <c r="J322" s="51"/>
      <c r="K322" s="51"/>
      <c r="L322" s="48" t="s">
        <v>40</v>
      </c>
      <c r="M322" s="48" t="s">
        <v>1438</v>
      </c>
      <c r="N322" s="48" t="s">
        <v>1444</v>
      </c>
      <c r="O322" s="49" t="s">
        <v>1446</v>
      </c>
      <c r="P322" s="48" t="s">
        <v>38</v>
      </c>
      <c r="Q322" s="48" t="s">
        <v>37</v>
      </c>
      <c r="R322" s="48" t="s">
        <v>1436</v>
      </c>
      <c r="S322" s="48" t="s">
        <v>1436</v>
      </c>
      <c r="T322" s="48" t="s">
        <v>1436</v>
      </c>
      <c r="U322" s="48" t="s">
        <v>38</v>
      </c>
      <c r="V322" s="48" t="s">
        <v>39</v>
      </c>
      <c r="W322" s="48" t="s">
        <v>40</v>
      </c>
      <c r="X322" s="48" t="s">
        <v>41</v>
      </c>
      <c r="Y322" s="48" t="s">
        <v>1436</v>
      </c>
      <c r="Z322" s="48" t="s">
        <v>1436</v>
      </c>
      <c r="AA322" s="48" t="s">
        <v>1436</v>
      </c>
      <c r="AB322" s="49" t="s">
        <v>193</v>
      </c>
      <c r="AC322" s="48" t="s">
        <v>1194</v>
      </c>
      <c r="AD322" s="48" t="s">
        <v>1244</v>
      </c>
      <c r="AE322" s="48" t="s">
        <v>36</v>
      </c>
    </row>
    <row r="323" spans="1:31" x14ac:dyDescent="0.3">
      <c r="A323" s="48" t="s">
        <v>1320</v>
      </c>
      <c r="B323" s="48" t="s">
        <v>6</v>
      </c>
      <c r="C323" s="48" t="s">
        <v>1322</v>
      </c>
      <c r="D323" s="48" t="s">
        <v>1406</v>
      </c>
      <c r="E323" s="50">
        <v>45473</v>
      </c>
      <c r="F323" s="49" t="s">
        <v>1321</v>
      </c>
      <c r="G323" s="48" t="s">
        <v>36</v>
      </c>
      <c r="H323" s="48" t="s">
        <v>1441</v>
      </c>
      <c r="I323" s="51">
        <v>0</v>
      </c>
      <c r="J323" s="51"/>
      <c r="K323" s="51"/>
      <c r="L323" s="48" t="s">
        <v>1194</v>
      </c>
      <c r="M323" s="48" t="s">
        <v>1438</v>
      </c>
      <c r="N323" s="48" t="s">
        <v>1439</v>
      </c>
      <c r="O323" s="49" t="s">
        <v>1440</v>
      </c>
      <c r="P323" s="48" t="s">
        <v>38</v>
      </c>
      <c r="Q323" s="48" t="s">
        <v>37</v>
      </c>
      <c r="R323" s="48" t="s">
        <v>1436</v>
      </c>
      <c r="S323" s="48" t="s">
        <v>1436</v>
      </c>
      <c r="T323" s="48" t="s">
        <v>1436</v>
      </c>
      <c r="U323" s="48" t="s">
        <v>38</v>
      </c>
      <c r="V323" s="48" t="s">
        <v>39</v>
      </c>
      <c r="W323" s="48" t="s">
        <v>1194</v>
      </c>
      <c r="X323" s="48" t="s">
        <v>41</v>
      </c>
      <c r="Y323" s="48" t="s">
        <v>1436</v>
      </c>
      <c r="Z323" s="48" t="s">
        <v>1436</v>
      </c>
      <c r="AA323" s="48" t="s">
        <v>1436</v>
      </c>
      <c r="AB323" s="49" t="s">
        <v>193</v>
      </c>
      <c r="AC323" s="48" t="s">
        <v>1194</v>
      </c>
      <c r="AD323" s="48" t="s">
        <v>1244</v>
      </c>
      <c r="AE323" s="48" t="s">
        <v>36</v>
      </c>
    </row>
    <row r="324" spans="1:31" x14ac:dyDescent="0.3">
      <c r="A324" s="48" t="s">
        <v>1320</v>
      </c>
      <c r="B324" s="48" t="s">
        <v>6</v>
      </c>
      <c r="C324" s="48" t="s">
        <v>1322</v>
      </c>
      <c r="D324" s="48" t="s">
        <v>1405</v>
      </c>
      <c r="E324" s="50">
        <v>45473</v>
      </c>
      <c r="F324" s="49" t="s">
        <v>1321</v>
      </c>
      <c r="G324" s="48" t="s">
        <v>36</v>
      </c>
      <c r="H324" s="48" t="s">
        <v>1443</v>
      </c>
      <c r="I324" s="51">
        <v>0</v>
      </c>
      <c r="J324" s="51"/>
      <c r="K324" s="51"/>
      <c r="L324" s="48" t="s">
        <v>1194</v>
      </c>
      <c r="M324" s="48" t="s">
        <v>1438</v>
      </c>
      <c r="N324" s="48" t="s">
        <v>1439</v>
      </c>
      <c r="O324" s="49" t="s">
        <v>1442</v>
      </c>
      <c r="P324" s="48" t="s">
        <v>38</v>
      </c>
      <c r="Q324" s="48" t="s">
        <v>37</v>
      </c>
      <c r="R324" s="48" t="s">
        <v>1436</v>
      </c>
      <c r="S324" s="48" t="s">
        <v>1436</v>
      </c>
      <c r="T324" s="48" t="s">
        <v>1436</v>
      </c>
      <c r="U324" s="48" t="s">
        <v>38</v>
      </c>
      <c r="V324" s="48" t="s">
        <v>39</v>
      </c>
      <c r="W324" s="48" t="s">
        <v>1194</v>
      </c>
      <c r="X324" s="48" t="s">
        <v>41</v>
      </c>
      <c r="Y324" s="48" t="s">
        <v>1436</v>
      </c>
      <c r="Z324" s="48" t="s">
        <v>1436</v>
      </c>
      <c r="AA324" s="48" t="s">
        <v>1436</v>
      </c>
      <c r="AB324" s="49" t="s">
        <v>193</v>
      </c>
      <c r="AC324" s="48" t="s">
        <v>1194</v>
      </c>
      <c r="AD324" s="48" t="s">
        <v>1244</v>
      </c>
      <c r="AE324" s="48" t="s">
        <v>36</v>
      </c>
    </row>
    <row r="325" spans="1:31" x14ac:dyDescent="0.3">
      <c r="A325" s="48" t="s">
        <v>1320</v>
      </c>
      <c r="B325" s="48" t="s">
        <v>6</v>
      </c>
      <c r="C325" s="48" t="s">
        <v>1322</v>
      </c>
      <c r="D325" s="48" t="s">
        <v>1404</v>
      </c>
      <c r="E325" s="50">
        <v>45473</v>
      </c>
      <c r="F325" s="49" t="s">
        <v>1321</v>
      </c>
      <c r="G325" s="48" t="s">
        <v>36</v>
      </c>
      <c r="H325" s="48" t="s">
        <v>49</v>
      </c>
      <c r="I325" s="51">
        <v>-8005.8028439999998</v>
      </c>
      <c r="J325" s="51"/>
      <c r="K325" s="51"/>
      <c r="L325" s="48" t="s">
        <v>38</v>
      </c>
      <c r="M325" s="48" t="s">
        <v>1433</v>
      </c>
      <c r="N325" s="48" t="s">
        <v>1447</v>
      </c>
      <c r="O325" s="49" t="s">
        <v>1451</v>
      </c>
      <c r="P325" s="48" t="s">
        <v>38</v>
      </c>
      <c r="Q325" s="48" t="s">
        <v>37</v>
      </c>
      <c r="R325" s="48" t="s">
        <v>1436</v>
      </c>
      <c r="S325" s="48" t="s">
        <v>1436</v>
      </c>
      <c r="T325" s="48" t="s">
        <v>1436</v>
      </c>
      <c r="U325" s="48" t="s">
        <v>38</v>
      </c>
      <c r="V325" s="48" t="s">
        <v>39</v>
      </c>
      <c r="W325" s="48" t="s">
        <v>38</v>
      </c>
      <c r="X325" s="48" t="s">
        <v>41</v>
      </c>
      <c r="Y325" s="48" t="s">
        <v>1436</v>
      </c>
      <c r="Z325" s="48" t="s">
        <v>1436</v>
      </c>
      <c r="AA325" s="48" t="s">
        <v>1436</v>
      </c>
      <c r="AB325" s="49" t="s">
        <v>193</v>
      </c>
      <c r="AC325" s="48" t="s">
        <v>1194</v>
      </c>
      <c r="AD325" s="48" t="s">
        <v>1244</v>
      </c>
      <c r="AE325" s="48" t="s">
        <v>36</v>
      </c>
    </row>
    <row r="326" spans="1:31" x14ac:dyDescent="0.3">
      <c r="A326" s="48" t="s">
        <v>1320</v>
      </c>
      <c r="B326" s="48" t="s">
        <v>6</v>
      </c>
      <c r="C326" s="48" t="s">
        <v>1322</v>
      </c>
      <c r="D326" s="48" t="s">
        <v>1413</v>
      </c>
      <c r="E326" s="50">
        <v>45504</v>
      </c>
      <c r="F326" s="49" t="s">
        <v>1321</v>
      </c>
      <c r="G326" s="48" t="s">
        <v>36</v>
      </c>
      <c r="H326" s="48" t="s">
        <v>58</v>
      </c>
      <c r="I326" s="51">
        <v>-1550000</v>
      </c>
      <c r="J326" s="51"/>
      <c r="K326" s="51"/>
      <c r="L326" s="48" t="s">
        <v>40</v>
      </c>
      <c r="M326" s="48" t="s">
        <v>1433</v>
      </c>
      <c r="N326" s="48" t="s">
        <v>1447</v>
      </c>
      <c r="O326" s="49" t="s">
        <v>1448</v>
      </c>
      <c r="P326" s="48" t="s">
        <v>38</v>
      </c>
      <c r="Q326" s="48" t="s">
        <v>37</v>
      </c>
      <c r="R326" s="48" t="s">
        <v>1436</v>
      </c>
      <c r="S326" s="48" t="s">
        <v>1436</v>
      </c>
      <c r="T326" s="48" t="s">
        <v>1436</v>
      </c>
      <c r="U326" s="48" t="s">
        <v>38</v>
      </c>
      <c r="V326" s="48" t="s">
        <v>39</v>
      </c>
      <c r="W326" s="48" t="s">
        <v>40</v>
      </c>
      <c r="X326" s="48" t="s">
        <v>41</v>
      </c>
      <c r="Y326" s="48" t="s">
        <v>1436</v>
      </c>
      <c r="Z326" s="48" t="s">
        <v>1436</v>
      </c>
      <c r="AA326" s="48" t="s">
        <v>1436</v>
      </c>
      <c r="AB326" s="49" t="s">
        <v>193</v>
      </c>
      <c r="AC326" s="48" t="s">
        <v>1194</v>
      </c>
      <c r="AD326" s="48" t="s">
        <v>1244</v>
      </c>
      <c r="AE326" s="48" t="s">
        <v>36</v>
      </c>
    </row>
    <row r="327" spans="1:31" x14ac:dyDescent="0.3">
      <c r="A327" s="48" t="s">
        <v>1320</v>
      </c>
      <c r="B327" s="48" t="s">
        <v>6</v>
      </c>
      <c r="C327" s="48" t="s">
        <v>1322</v>
      </c>
      <c r="D327" s="48" t="s">
        <v>1412</v>
      </c>
      <c r="E327" s="50">
        <v>45504</v>
      </c>
      <c r="F327" s="49" t="s">
        <v>1321</v>
      </c>
      <c r="G327" s="48" t="s">
        <v>36</v>
      </c>
      <c r="H327" s="48" t="s">
        <v>52</v>
      </c>
      <c r="I327" s="51">
        <v>-1312245.2</v>
      </c>
      <c r="J327" s="51"/>
      <c r="K327" s="51"/>
      <c r="L327" s="48" t="s">
        <v>40</v>
      </c>
      <c r="M327" s="48" t="s">
        <v>1433</v>
      </c>
      <c r="N327" s="48" t="s">
        <v>1434</v>
      </c>
      <c r="O327" s="49" t="s">
        <v>1435</v>
      </c>
      <c r="P327" s="48" t="s">
        <v>38</v>
      </c>
      <c r="Q327" s="48" t="s">
        <v>37</v>
      </c>
      <c r="R327" s="48" t="s">
        <v>1436</v>
      </c>
      <c r="S327" s="48" t="s">
        <v>1436</v>
      </c>
      <c r="T327" s="48" t="s">
        <v>1436</v>
      </c>
      <c r="U327" s="48" t="s">
        <v>38</v>
      </c>
      <c r="V327" s="48" t="s">
        <v>39</v>
      </c>
      <c r="W327" s="48" t="s">
        <v>40</v>
      </c>
      <c r="X327" s="48" t="s">
        <v>41</v>
      </c>
      <c r="Y327" s="48" t="s">
        <v>1436</v>
      </c>
      <c r="Z327" s="48" t="s">
        <v>1436</v>
      </c>
      <c r="AA327" s="48" t="s">
        <v>1436</v>
      </c>
      <c r="AB327" s="49" t="s">
        <v>193</v>
      </c>
      <c r="AC327" s="48" t="s">
        <v>1194</v>
      </c>
      <c r="AD327" s="48" t="s">
        <v>1244</v>
      </c>
      <c r="AE327" s="48" t="s">
        <v>36</v>
      </c>
    </row>
    <row r="328" spans="1:31" x14ac:dyDescent="0.3">
      <c r="A328" s="48" t="s">
        <v>1320</v>
      </c>
      <c r="B328" s="48" t="s">
        <v>6</v>
      </c>
      <c r="C328" s="48" t="s">
        <v>1322</v>
      </c>
      <c r="D328" s="48" t="s">
        <v>1411</v>
      </c>
      <c r="E328" s="50">
        <v>45504</v>
      </c>
      <c r="F328" s="49" t="s">
        <v>1321</v>
      </c>
      <c r="G328" s="48" t="s">
        <v>36</v>
      </c>
      <c r="H328" s="48" t="s">
        <v>50</v>
      </c>
      <c r="I328" s="51">
        <v>296313.43</v>
      </c>
      <c r="J328" s="51"/>
      <c r="K328" s="51"/>
      <c r="L328" s="48" t="s">
        <v>40</v>
      </c>
      <c r="M328" s="48" t="s">
        <v>1438</v>
      </c>
      <c r="N328" s="48" t="s">
        <v>1444</v>
      </c>
      <c r="O328" s="49" t="s">
        <v>1445</v>
      </c>
      <c r="P328" s="48" t="s">
        <v>38</v>
      </c>
      <c r="Q328" s="48" t="s">
        <v>37</v>
      </c>
      <c r="R328" s="48" t="s">
        <v>1436</v>
      </c>
      <c r="S328" s="48" t="s">
        <v>1436</v>
      </c>
      <c r="T328" s="48" t="s">
        <v>1436</v>
      </c>
      <c r="U328" s="48" t="s">
        <v>38</v>
      </c>
      <c r="V328" s="48" t="s">
        <v>39</v>
      </c>
      <c r="W328" s="48" t="s">
        <v>40</v>
      </c>
      <c r="X328" s="48" t="s">
        <v>41</v>
      </c>
      <c r="Y328" s="48" t="s">
        <v>1436</v>
      </c>
      <c r="Z328" s="48" t="s">
        <v>1436</v>
      </c>
      <c r="AA328" s="48" t="s">
        <v>1436</v>
      </c>
      <c r="AB328" s="49" t="s">
        <v>193</v>
      </c>
      <c r="AC328" s="48" t="s">
        <v>1194</v>
      </c>
      <c r="AD328" s="48" t="s">
        <v>1244</v>
      </c>
      <c r="AE328" s="48" t="s">
        <v>36</v>
      </c>
    </row>
    <row r="329" spans="1:31" x14ac:dyDescent="0.3">
      <c r="A329" s="48" t="s">
        <v>1320</v>
      </c>
      <c r="B329" s="48" t="s">
        <v>6</v>
      </c>
      <c r="C329" s="48" t="s">
        <v>1322</v>
      </c>
      <c r="D329" s="48" t="s">
        <v>1410</v>
      </c>
      <c r="E329" s="50">
        <v>45504</v>
      </c>
      <c r="F329" s="49" t="s">
        <v>1321</v>
      </c>
      <c r="G329" s="48" t="s">
        <v>36</v>
      </c>
      <c r="H329" s="48" t="s">
        <v>42</v>
      </c>
      <c r="I329" s="51">
        <v>2539829.423163</v>
      </c>
      <c r="J329" s="51"/>
      <c r="K329" s="51"/>
      <c r="L329" s="48" t="s">
        <v>40</v>
      </c>
      <c r="M329" s="48" t="s">
        <v>1433</v>
      </c>
      <c r="N329" s="48" t="s">
        <v>1434</v>
      </c>
      <c r="O329" s="49" t="s">
        <v>1437</v>
      </c>
      <c r="P329" s="48" t="s">
        <v>38</v>
      </c>
      <c r="Q329" s="48" t="s">
        <v>37</v>
      </c>
      <c r="R329" s="48" t="s">
        <v>1436</v>
      </c>
      <c r="S329" s="48" t="s">
        <v>1436</v>
      </c>
      <c r="T329" s="48" t="s">
        <v>1436</v>
      </c>
      <c r="U329" s="48" t="s">
        <v>38</v>
      </c>
      <c r="V329" s="48" t="s">
        <v>39</v>
      </c>
      <c r="W329" s="48" t="s">
        <v>40</v>
      </c>
      <c r="X329" s="48" t="s">
        <v>41</v>
      </c>
      <c r="Y329" s="48" t="s">
        <v>1436</v>
      </c>
      <c r="Z329" s="48" t="s">
        <v>1436</v>
      </c>
      <c r="AA329" s="48" t="s">
        <v>1436</v>
      </c>
      <c r="AB329" s="49" t="s">
        <v>193</v>
      </c>
      <c r="AC329" s="48" t="s">
        <v>1194</v>
      </c>
      <c r="AD329" s="48" t="s">
        <v>1244</v>
      </c>
      <c r="AE329" s="48" t="s">
        <v>36</v>
      </c>
    </row>
    <row r="330" spans="1:31" x14ac:dyDescent="0.3">
      <c r="A330" s="48" t="s">
        <v>1320</v>
      </c>
      <c r="B330" s="48" t="s">
        <v>6</v>
      </c>
      <c r="C330" s="48" t="s">
        <v>1322</v>
      </c>
      <c r="D330" s="48" t="s">
        <v>1409</v>
      </c>
      <c r="E330" s="50">
        <v>45504</v>
      </c>
      <c r="F330" s="49" t="s">
        <v>1321</v>
      </c>
      <c r="G330" s="48" t="s">
        <v>36</v>
      </c>
      <c r="H330" s="48" t="s">
        <v>45</v>
      </c>
      <c r="I330" s="51">
        <v>-806976.71753300005</v>
      </c>
      <c r="J330" s="51"/>
      <c r="K330" s="51"/>
      <c r="L330" s="48" t="s">
        <v>40</v>
      </c>
      <c r="M330" s="48" t="s">
        <v>1433</v>
      </c>
      <c r="N330" s="48" t="s">
        <v>1447</v>
      </c>
      <c r="O330" s="49" t="s">
        <v>1449</v>
      </c>
      <c r="P330" s="48" t="s">
        <v>38</v>
      </c>
      <c r="Q330" s="48" t="s">
        <v>37</v>
      </c>
      <c r="R330" s="48" t="s">
        <v>1436</v>
      </c>
      <c r="S330" s="48" t="s">
        <v>1436</v>
      </c>
      <c r="T330" s="48" t="s">
        <v>1436</v>
      </c>
      <c r="U330" s="48" t="s">
        <v>38</v>
      </c>
      <c r="V330" s="48" t="s">
        <v>39</v>
      </c>
      <c r="W330" s="48" t="s">
        <v>40</v>
      </c>
      <c r="X330" s="48" t="s">
        <v>41</v>
      </c>
      <c r="Y330" s="48" t="s">
        <v>1436</v>
      </c>
      <c r="Z330" s="48" t="s">
        <v>1436</v>
      </c>
      <c r="AA330" s="48" t="s">
        <v>1436</v>
      </c>
      <c r="AB330" s="49" t="s">
        <v>193</v>
      </c>
      <c r="AC330" s="48" t="s">
        <v>1194</v>
      </c>
      <c r="AD330" s="48" t="s">
        <v>1244</v>
      </c>
      <c r="AE330" s="48" t="s">
        <v>36</v>
      </c>
    </row>
    <row r="331" spans="1:31" x14ac:dyDescent="0.3">
      <c r="A331" s="48" t="s">
        <v>1320</v>
      </c>
      <c r="B331" s="48" t="s">
        <v>6</v>
      </c>
      <c r="C331" s="48" t="s">
        <v>1322</v>
      </c>
      <c r="D331" s="48" t="s">
        <v>1408</v>
      </c>
      <c r="E331" s="50">
        <v>45504</v>
      </c>
      <c r="F331" s="49" t="s">
        <v>1321</v>
      </c>
      <c r="G331" s="48" t="s">
        <v>36</v>
      </c>
      <c r="H331" s="48" t="s">
        <v>54</v>
      </c>
      <c r="I331" s="51">
        <v>-523452.43</v>
      </c>
      <c r="J331" s="51"/>
      <c r="K331" s="51"/>
      <c r="L331" s="48" t="s">
        <v>40</v>
      </c>
      <c r="M331" s="48" t="s">
        <v>1433</v>
      </c>
      <c r="N331" s="48" t="s">
        <v>1447</v>
      </c>
      <c r="O331" s="49" t="s">
        <v>1450</v>
      </c>
      <c r="P331" s="48" t="s">
        <v>38</v>
      </c>
      <c r="Q331" s="48" t="s">
        <v>37</v>
      </c>
      <c r="R331" s="48" t="s">
        <v>1436</v>
      </c>
      <c r="S331" s="48" t="s">
        <v>1436</v>
      </c>
      <c r="T331" s="48" t="s">
        <v>1436</v>
      </c>
      <c r="U331" s="48" t="s">
        <v>38</v>
      </c>
      <c r="V331" s="48" t="s">
        <v>39</v>
      </c>
      <c r="W331" s="48" t="s">
        <v>40</v>
      </c>
      <c r="X331" s="48" t="s">
        <v>41</v>
      </c>
      <c r="Y331" s="48" t="s">
        <v>1436</v>
      </c>
      <c r="Z331" s="48" t="s">
        <v>1436</v>
      </c>
      <c r="AA331" s="48" t="s">
        <v>1436</v>
      </c>
      <c r="AB331" s="49" t="s">
        <v>193</v>
      </c>
      <c r="AC331" s="48" t="s">
        <v>1194</v>
      </c>
      <c r="AD331" s="48" t="s">
        <v>1244</v>
      </c>
      <c r="AE331" s="48" t="s">
        <v>36</v>
      </c>
    </row>
    <row r="332" spans="1:31" x14ac:dyDescent="0.3">
      <c r="A332" s="48" t="s">
        <v>1320</v>
      </c>
      <c r="B332" s="48" t="s">
        <v>6</v>
      </c>
      <c r="C332" s="48" t="s">
        <v>1322</v>
      </c>
      <c r="D332" s="48" t="s">
        <v>1407</v>
      </c>
      <c r="E332" s="50">
        <v>45504</v>
      </c>
      <c r="F332" s="49" t="s">
        <v>1321</v>
      </c>
      <c r="G332" s="48" t="s">
        <v>36</v>
      </c>
      <c r="H332" s="48" t="s">
        <v>47</v>
      </c>
      <c r="I332" s="51">
        <v>59420.709515000002</v>
      </c>
      <c r="J332" s="51"/>
      <c r="K332" s="51"/>
      <c r="L332" s="48" t="s">
        <v>40</v>
      </c>
      <c r="M332" s="48" t="s">
        <v>1438</v>
      </c>
      <c r="N332" s="48" t="s">
        <v>1444</v>
      </c>
      <c r="O332" s="49" t="s">
        <v>1446</v>
      </c>
      <c r="P332" s="48" t="s">
        <v>38</v>
      </c>
      <c r="Q332" s="48" t="s">
        <v>37</v>
      </c>
      <c r="R332" s="48" t="s">
        <v>1436</v>
      </c>
      <c r="S332" s="48" t="s">
        <v>1436</v>
      </c>
      <c r="T332" s="48" t="s">
        <v>1436</v>
      </c>
      <c r="U332" s="48" t="s">
        <v>38</v>
      </c>
      <c r="V332" s="48" t="s">
        <v>39</v>
      </c>
      <c r="W332" s="48" t="s">
        <v>40</v>
      </c>
      <c r="X332" s="48" t="s">
        <v>41</v>
      </c>
      <c r="Y332" s="48" t="s">
        <v>1436</v>
      </c>
      <c r="Z332" s="48" t="s">
        <v>1436</v>
      </c>
      <c r="AA332" s="48" t="s">
        <v>1436</v>
      </c>
      <c r="AB332" s="49" t="s">
        <v>193</v>
      </c>
      <c r="AC332" s="48" t="s">
        <v>1194</v>
      </c>
      <c r="AD332" s="48" t="s">
        <v>1244</v>
      </c>
      <c r="AE332" s="48" t="s">
        <v>36</v>
      </c>
    </row>
    <row r="333" spans="1:31" x14ac:dyDescent="0.3">
      <c r="A333" s="48" t="s">
        <v>1320</v>
      </c>
      <c r="B333" s="48" t="s">
        <v>6</v>
      </c>
      <c r="C333" s="48" t="s">
        <v>1322</v>
      </c>
      <c r="D333" s="48" t="s">
        <v>1406</v>
      </c>
      <c r="E333" s="50">
        <v>45504</v>
      </c>
      <c r="F333" s="49" t="s">
        <v>1321</v>
      </c>
      <c r="G333" s="48" t="s">
        <v>36</v>
      </c>
      <c r="H333" s="48" t="s">
        <v>1441</v>
      </c>
      <c r="I333" s="51">
        <v>0</v>
      </c>
      <c r="J333" s="51"/>
      <c r="K333" s="51"/>
      <c r="L333" s="48" t="s">
        <v>1194</v>
      </c>
      <c r="M333" s="48" t="s">
        <v>1438</v>
      </c>
      <c r="N333" s="48" t="s">
        <v>1439</v>
      </c>
      <c r="O333" s="49" t="s">
        <v>1440</v>
      </c>
      <c r="P333" s="48" t="s">
        <v>38</v>
      </c>
      <c r="Q333" s="48" t="s">
        <v>37</v>
      </c>
      <c r="R333" s="48" t="s">
        <v>1436</v>
      </c>
      <c r="S333" s="48" t="s">
        <v>1436</v>
      </c>
      <c r="T333" s="48" t="s">
        <v>1436</v>
      </c>
      <c r="U333" s="48" t="s">
        <v>38</v>
      </c>
      <c r="V333" s="48" t="s">
        <v>39</v>
      </c>
      <c r="W333" s="48" t="s">
        <v>1194</v>
      </c>
      <c r="X333" s="48" t="s">
        <v>41</v>
      </c>
      <c r="Y333" s="48" t="s">
        <v>1436</v>
      </c>
      <c r="Z333" s="48" t="s">
        <v>1436</v>
      </c>
      <c r="AA333" s="48" t="s">
        <v>1436</v>
      </c>
      <c r="AB333" s="49" t="s">
        <v>193</v>
      </c>
      <c r="AC333" s="48" t="s">
        <v>1194</v>
      </c>
      <c r="AD333" s="48" t="s">
        <v>1244</v>
      </c>
      <c r="AE333" s="48" t="s">
        <v>36</v>
      </c>
    </row>
    <row r="334" spans="1:31" x14ac:dyDescent="0.3">
      <c r="A334" s="48" t="s">
        <v>1320</v>
      </c>
      <c r="B334" s="48" t="s">
        <v>6</v>
      </c>
      <c r="C334" s="48" t="s">
        <v>1322</v>
      </c>
      <c r="D334" s="48" t="s">
        <v>1405</v>
      </c>
      <c r="E334" s="50">
        <v>45504</v>
      </c>
      <c r="F334" s="49" t="s">
        <v>1321</v>
      </c>
      <c r="G334" s="48" t="s">
        <v>36</v>
      </c>
      <c r="H334" s="48" t="s">
        <v>1443</v>
      </c>
      <c r="I334" s="51">
        <v>0</v>
      </c>
      <c r="J334" s="51"/>
      <c r="K334" s="51"/>
      <c r="L334" s="48" t="s">
        <v>1194</v>
      </c>
      <c r="M334" s="48" t="s">
        <v>1438</v>
      </c>
      <c r="N334" s="48" t="s">
        <v>1439</v>
      </c>
      <c r="O334" s="49" t="s">
        <v>1442</v>
      </c>
      <c r="P334" s="48" t="s">
        <v>38</v>
      </c>
      <c r="Q334" s="48" t="s">
        <v>37</v>
      </c>
      <c r="R334" s="48" t="s">
        <v>1436</v>
      </c>
      <c r="S334" s="48" t="s">
        <v>1436</v>
      </c>
      <c r="T334" s="48" t="s">
        <v>1436</v>
      </c>
      <c r="U334" s="48" t="s">
        <v>38</v>
      </c>
      <c r="V334" s="48" t="s">
        <v>39</v>
      </c>
      <c r="W334" s="48" t="s">
        <v>1194</v>
      </c>
      <c r="X334" s="48" t="s">
        <v>41</v>
      </c>
      <c r="Y334" s="48" t="s">
        <v>1436</v>
      </c>
      <c r="Z334" s="48" t="s">
        <v>1436</v>
      </c>
      <c r="AA334" s="48" t="s">
        <v>1436</v>
      </c>
      <c r="AB334" s="49" t="s">
        <v>193</v>
      </c>
      <c r="AC334" s="48" t="s">
        <v>1194</v>
      </c>
      <c r="AD334" s="48" t="s">
        <v>1244</v>
      </c>
      <c r="AE334" s="48" t="s">
        <v>36</v>
      </c>
    </row>
    <row r="335" spans="1:31" x14ac:dyDescent="0.3">
      <c r="A335" s="48" t="s">
        <v>1320</v>
      </c>
      <c r="B335" s="48" t="s">
        <v>6</v>
      </c>
      <c r="C335" s="48" t="s">
        <v>1322</v>
      </c>
      <c r="D335" s="48" t="s">
        <v>1404</v>
      </c>
      <c r="E335" s="50">
        <v>45504</v>
      </c>
      <c r="F335" s="49" t="s">
        <v>1321</v>
      </c>
      <c r="G335" s="48" t="s">
        <v>36</v>
      </c>
      <c r="H335" s="48" t="s">
        <v>49</v>
      </c>
      <c r="I335" s="51">
        <v>-7760.8366939999996</v>
      </c>
      <c r="J335" s="51"/>
      <c r="K335" s="51"/>
      <c r="L335" s="48" t="s">
        <v>38</v>
      </c>
      <c r="M335" s="48" t="s">
        <v>1433</v>
      </c>
      <c r="N335" s="48" t="s">
        <v>1447</v>
      </c>
      <c r="O335" s="49" t="s">
        <v>1451</v>
      </c>
      <c r="P335" s="48" t="s">
        <v>38</v>
      </c>
      <c r="Q335" s="48" t="s">
        <v>37</v>
      </c>
      <c r="R335" s="48" t="s">
        <v>1436</v>
      </c>
      <c r="S335" s="48" t="s">
        <v>1436</v>
      </c>
      <c r="T335" s="48" t="s">
        <v>1436</v>
      </c>
      <c r="U335" s="48" t="s">
        <v>38</v>
      </c>
      <c r="V335" s="48" t="s">
        <v>39</v>
      </c>
      <c r="W335" s="48" t="s">
        <v>38</v>
      </c>
      <c r="X335" s="48" t="s">
        <v>41</v>
      </c>
      <c r="Y335" s="48" t="s">
        <v>1436</v>
      </c>
      <c r="Z335" s="48" t="s">
        <v>1436</v>
      </c>
      <c r="AA335" s="48" t="s">
        <v>1436</v>
      </c>
      <c r="AB335" s="49" t="s">
        <v>193</v>
      </c>
      <c r="AC335" s="48" t="s">
        <v>1194</v>
      </c>
      <c r="AD335" s="48" t="s">
        <v>1244</v>
      </c>
      <c r="AE335" s="48" t="s">
        <v>36</v>
      </c>
    </row>
    <row r="336" spans="1:31" x14ac:dyDescent="0.3">
      <c r="A336" s="48" t="s">
        <v>1320</v>
      </c>
      <c r="B336" s="48" t="s">
        <v>6</v>
      </c>
      <c r="C336" s="48" t="s">
        <v>1322</v>
      </c>
      <c r="D336" s="48" t="s">
        <v>1413</v>
      </c>
      <c r="E336" s="50">
        <v>45535</v>
      </c>
      <c r="F336" s="49" t="s">
        <v>1321</v>
      </c>
      <c r="G336" s="48" t="s">
        <v>36</v>
      </c>
      <c r="H336" s="48" t="s">
        <v>58</v>
      </c>
      <c r="I336" s="51">
        <v>-1600000</v>
      </c>
      <c r="J336" s="51"/>
      <c r="K336" s="51"/>
      <c r="L336" s="48" t="s">
        <v>40</v>
      </c>
      <c r="M336" s="48" t="s">
        <v>1433</v>
      </c>
      <c r="N336" s="48" t="s">
        <v>1447</v>
      </c>
      <c r="O336" s="49" t="s">
        <v>1448</v>
      </c>
      <c r="P336" s="48" t="s">
        <v>38</v>
      </c>
      <c r="Q336" s="48" t="s">
        <v>37</v>
      </c>
      <c r="R336" s="48" t="s">
        <v>1436</v>
      </c>
      <c r="S336" s="48" t="s">
        <v>1436</v>
      </c>
      <c r="T336" s="48" t="s">
        <v>1436</v>
      </c>
      <c r="U336" s="48" t="s">
        <v>38</v>
      </c>
      <c r="V336" s="48" t="s">
        <v>39</v>
      </c>
      <c r="W336" s="48" t="s">
        <v>40</v>
      </c>
      <c r="X336" s="48" t="s">
        <v>41</v>
      </c>
      <c r="Y336" s="48" t="s">
        <v>1436</v>
      </c>
      <c r="Z336" s="48" t="s">
        <v>1436</v>
      </c>
      <c r="AA336" s="48" t="s">
        <v>1436</v>
      </c>
      <c r="AB336" s="49" t="s">
        <v>193</v>
      </c>
      <c r="AC336" s="48" t="s">
        <v>1194</v>
      </c>
      <c r="AD336" s="48" t="s">
        <v>1244</v>
      </c>
      <c r="AE336" s="48" t="s">
        <v>36</v>
      </c>
    </row>
    <row r="337" spans="1:31" x14ac:dyDescent="0.3">
      <c r="A337" s="48" t="s">
        <v>1320</v>
      </c>
      <c r="B337" s="48" t="s">
        <v>6</v>
      </c>
      <c r="C337" s="48" t="s">
        <v>1322</v>
      </c>
      <c r="D337" s="48" t="s">
        <v>1412</v>
      </c>
      <c r="E337" s="50">
        <v>45535</v>
      </c>
      <c r="F337" s="49" t="s">
        <v>1321</v>
      </c>
      <c r="G337" s="48" t="s">
        <v>36</v>
      </c>
      <c r="H337" s="48" t="s">
        <v>52</v>
      </c>
      <c r="I337" s="51">
        <v>-1354575.69</v>
      </c>
      <c r="J337" s="51"/>
      <c r="K337" s="51"/>
      <c r="L337" s="48" t="s">
        <v>40</v>
      </c>
      <c r="M337" s="48" t="s">
        <v>1433</v>
      </c>
      <c r="N337" s="48" t="s">
        <v>1434</v>
      </c>
      <c r="O337" s="49" t="s">
        <v>1435</v>
      </c>
      <c r="P337" s="48" t="s">
        <v>38</v>
      </c>
      <c r="Q337" s="48" t="s">
        <v>37</v>
      </c>
      <c r="R337" s="48" t="s">
        <v>1436</v>
      </c>
      <c r="S337" s="48" t="s">
        <v>1436</v>
      </c>
      <c r="T337" s="48" t="s">
        <v>1436</v>
      </c>
      <c r="U337" s="48" t="s">
        <v>38</v>
      </c>
      <c r="V337" s="48" t="s">
        <v>39</v>
      </c>
      <c r="W337" s="48" t="s">
        <v>40</v>
      </c>
      <c r="X337" s="48" t="s">
        <v>41</v>
      </c>
      <c r="Y337" s="48" t="s">
        <v>1436</v>
      </c>
      <c r="Z337" s="48" t="s">
        <v>1436</v>
      </c>
      <c r="AA337" s="48" t="s">
        <v>1436</v>
      </c>
      <c r="AB337" s="49" t="s">
        <v>193</v>
      </c>
      <c r="AC337" s="48" t="s">
        <v>1194</v>
      </c>
      <c r="AD337" s="48" t="s">
        <v>1244</v>
      </c>
      <c r="AE337" s="48" t="s">
        <v>36</v>
      </c>
    </row>
    <row r="338" spans="1:31" x14ac:dyDescent="0.3">
      <c r="A338" s="48" t="s">
        <v>1320</v>
      </c>
      <c r="B338" s="48" t="s">
        <v>6</v>
      </c>
      <c r="C338" s="48" t="s">
        <v>1322</v>
      </c>
      <c r="D338" s="48" t="s">
        <v>1411</v>
      </c>
      <c r="E338" s="50">
        <v>45535</v>
      </c>
      <c r="F338" s="49" t="s">
        <v>1321</v>
      </c>
      <c r="G338" s="48" t="s">
        <v>36</v>
      </c>
      <c r="H338" s="48" t="s">
        <v>50</v>
      </c>
      <c r="I338" s="51">
        <v>338643.92</v>
      </c>
      <c r="J338" s="51"/>
      <c r="K338" s="51"/>
      <c r="L338" s="48" t="s">
        <v>40</v>
      </c>
      <c r="M338" s="48" t="s">
        <v>1438</v>
      </c>
      <c r="N338" s="48" t="s">
        <v>1444</v>
      </c>
      <c r="O338" s="49" t="s">
        <v>1445</v>
      </c>
      <c r="P338" s="48" t="s">
        <v>38</v>
      </c>
      <c r="Q338" s="48" t="s">
        <v>37</v>
      </c>
      <c r="R338" s="48" t="s">
        <v>1436</v>
      </c>
      <c r="S338" s="48" t="s">
        <v>1436</v>
      </c>
      <c r="T338" s="48" t="s">
        <v>1436</v>
      </c>
      <c r="U338" s="48" t="s">
        <v>38</v>
      </c>
      <c r="V338" s="48" t="s">
        <v>39</v>
      </c>
      <c r="W338" s="48" t="s">
        <v>40</v>
      </c>
      <c r="X338" s="48" t="s">
        <v>41</v>
      </c>
      <c r="Y338" s="48" t="s">
        <v>1436</v>
      </c>
      <c r="Z338" s="48" t="s">
        <v>1436</v>
      </c>
      <c r="AA338" s="48" t="s">
        <v>1436</v>
      </c>
      <c r="AB338" s="49" t="s">
        <v>193</v>
      </c>
      <c r="AC338" s="48" t="s">
        <v>1194</v>
      </c>
      <c r="AD338" s="48" t="s">
        <v>1244</v>
      </c>
      <c r="AE338" s="48" t="s">
        <v>36</v>
      </c>
    </row>
    <row r="339" spans="1:31" x14ac:dyDescent="0.3">
      <c r="A339" s="48" t="s">
        <v>1320</v>
      </c>
      <c r="B339" s="48" t="s">
        <v>6</v>
      </c>
      <c r="C339" s="48" t="s">
        <v>1322</v>
      </c>
      <c r="D339" s="48" t="s">
        <v>1410</v>
      </c>
      <c r="E339" s="50">
        <v>45535</v>
      </c>
      <c r="F339" s="49" t="s">
        <v>1321</v>
      </c>
      <c r="G339" s="48" t="s">
        <v>36</v>
      </c>
      <c r="H339" s="48" t="s">
        <v>42</v>
      </c>
      <c r="I339" s="51">
        <v>2539829.423163</v>
      </c>
      <c r="J339" s="51"/>
      <c r="K339" s="51"/>
      <c r="L339" s="48" t="s">
        <v>40</v>
      </c>
      <c r="M339" s="48" t="s">
        <v>1433</v>
      </c>
      <c r="N339" s="48" t="s">
        <v>1434</v>
      </c>
      <c r="O339" s="49" t="s">
        <v>1437</v>
      </c>
      <c r="P339" s="48" t="s">
        <v>38</v>
      </c>
      <c r="Q339" s="48" t="s">
        <v>37</v>
      </c>
      <c r="R339" s="48" t="s">
        <v>1436</v>
      </c>
      <c r="S339" s="48" t="s">
        <v>1436</v>
      </c>
      <c r="T339" s="48" t="s">
        <v>1436</v>
      </c>
      <c r="U339" s="48" t="s">
        <v>38</v>
      </c>
      <c r="V339" s="48" t="s">
        <v>39</v>
      </c>
      <c r="W339" s="48" t="s">
        <v>40</v>
      </c>
      <c r="X339" s="48" t="s">
        <v>41</v>
      </c>
      <c r="Y339" s="48" t="s">
        <v>1436</v>
      </c>
      <c r="Z339" s="48" t="s">
        <v>1436</v>
      </c>
      <c r="AA339" s="48" t="s">
        <v>1436</v>
      </c>
      <c r="AB339" s="49" t="s">
        <v>193</v>
      </c>
      <c r="AC339" s="48" t="s">
        <v>1194</v>
      </c>
      <c r="AD339" s="48" t="s">
        <v>1244</v>
      </c>
      <c r="AE339" s="48" t="s">
        <v>36</v>
      </c>
    </row>
    <row r="340" spans="1:31" x14ac:dyDescent="0.3">
      <c r="A340" s="48" t="s">
        <v>1320</v>
      </c>
      <c r="B340" s="48" t="s">
        <v>6</v>
      </c>
      <c r="C340" s="48" t="s">
        <v>1322</v>
      </c>
      <c r="D340" s="48" t="s">
        <v>1409</v>
      </c>
      <c r="E340" s="50">
        <v>45535</v>
      </c>
      <c r="F340" s="49" t="s">
        <v>1321</v>
      </c>
      <c r="G340" s="48" t="s">
        <v>36</v>
      </c>
      <c r="H340" s="48" t="s">
        <v>45</v>
      </c>
      <c r="I340" s="51">
        <v>-761684.074227</v>
      </c>
      <c r="J340" s="51"/>
      <c r="K340" s="51"/>
      <c r="L340" s="48" t="s">
        <v>40</v>
      </c>
      <c r="M340" s="48" t="s">
        <v>1433</v>
      </c>
      <c r="N340" s="48" t="s">
        <v>1447</v>
      </c>
      <c r="O340" s="49" t="s">
        <v>1449</v>
      </c>
      <c r="P340" s="48" t="s">
        <v>38</v>
      </c>
      <c r="Q340" s="48" t="s">
        <v>37</v>
      </c>
      <c r="R340" s="48" t="s">
        <v>1436</v>
      </c>
      <c r="S340" s="48" t="s">
        <v>1436</v>
      </c>
      <c r="T340" s="48" t="s">
        <v>1436</v>
      </c>
      <c r="U340" s="48" t="s">
        <v>38</v>
      </c>
      <c r="V340" s="48" t="s">
        <v>39</v>
      </c>
      <c r="W340" s="48" t="s">
        <v>40</v>
      </c>
      <c r="X340" s="48" t="s">
        <v>41</v>
      </c>
      <c r="Y340" s="48" t="s">
        <v>1436</v>
      </c>
      <c r="Z340" s="48" t="s">
        <v>1436</v>
      </c>
      <c r="AA340" s="48" t="s">
        <v>1436</v>
      </c>
      <c r="AB340" s="49" t="s">
        <v>193</v>
      </c>
      <c r="AC340" s="48" t="s">
        <v>1194</v>
      </c>
      <c r="AD340" s="48" t="s">
        <v>1244</v>
      </c>
      <c r="AE340" s="48" t="s">
        <v>36</v>
      </c>
    </row>
    <row r="341" spans="1:31" x14ac:dyDescent="0.3">
      <c r="A341" s="48" t="s">
        <v>1320</v>
      </c>
      <c r="B341" s="48" t="s">
        <v>6</v>
      </c>
      <c r="C341" s="48" t="s">
        <v>1322</v>
      </c>
      <c r="D341" s="48" t="s">
        <v>1408</v>
      </c>
      <c r="E341" s="50">
        <v>45535</v>
      </c>
      <c r="F341" s="49" t="s">
        <v>1321</v>
      </c>
      <c r="G341" s="48" t="s">
        <v>36</v>
      </c>
      <c r="H341" s="48" t="s">
        <v>54</v>
      </c>
      <c r="I341" s="51">
        <v>-526505.91</v>
      </c>
      <c r="J341" s="51"/>
      <c r="K341" s="51"/>
      <c r="L341" s="48" t="s">
        <v>40</v>
      </c>
      <c r="M341" s="48" t="s">
        <v>1433</v>
      </c>
      <c r="N341" s="48" t="s">
        <v>1447</v>
      </c>
      <c r="O341" s="49" t="s">
        <v>1450</v>
      </c>
      <c r="P341" s="48" t="s">
        <v>38</v>
      </c>
      <c r="Q341" s="48" t="s">
        <v>37</v>
      </c>
      <c r="R341" s="48" t="s">
        <v>1436</v>
      </c>
      <c r="S341" s="48" t="s">
        <v>1436</v>
      </c>
      <c r="T341" s="48" t="s">
        <v>1436</v>
      </c>
      <c r="U341" s="48" t="s">
        <v>38</v>
      </c>
      <c r="V341" s="48" t="s">
        <v>39</v>
      </c>
      <c r="W341" s="48" t="s">
        <v>40</v>
      </c>
      <c r="X341" s="48" t="s">
        <v>41</v>
      </c>
      <c r="Y341" s="48" t="s">
        <v>1436</v>
      </c>
      <c r="Z341" s="48" t="s">
        <v>1436</v>
      </c>
      <c r="AA341" s="48" t="s">
        <v>1436</v>
      </c>
      <c r="AB341" s="49" t="s">
        <v>193</v>
      </c>
      <c r="AC341" s="48" t="s">
        <v>1194</v>
      </c>
      <c r="AD341" s="48" t="s">
        <v>1244</v>
      </c>
      <c r="AE341" s="48" t="s">
        <v>36</v>
      </c>
    </row>
    <row r="342" spans="1:31" x14ac:dyDescent="0.3">
      <c r="A342" s="48" t="s">
        <v>1320</v>
      </c>
      <c r="B342" s="48" t="s">
        <v>6</v>
      </c>
      <c r="C342" s="48" t="s">
        <v>1322</v>
      </c>
      <c r="D342" s="48" t="s">
        <v>1407</v>
      </c>
      <c r="E342" s="50">
        <v>45535</v>
      </c>
      <c r="F342" s="49" t="s">
        <v>1321</v>
      </c>
      <c r="G342" s="48" t="s">
        <v>36</v>
      </c>
      <c r="H342" s="48" t="s">
        <v>47</v>
      </c>
      <c r="I342" s="51">
        <v>66935.151089999999</v>
      </c>
      <c r="J342" s="51"/>
      <c r="K342" s="51"/>
      <c r="L342" s="48" t="s">
        <v>40</v>
      </c>
      <c r="M342" s="48" t="s">
        <v>1438</v>
      </c>
      <c r="N342" s="48" t="s">
        <v>1444</v>
      </c>
      <c r="O342" s="49" t="s">
        <v>1446</v>
      </c>
      <c r="P342" s="48" t="s">
        <v>38</v>
      </c>
      <c r="Q342" s="48" t="s">
        <v>37</v>
      </c>
      <c r="R342" s="48" t="s">
        <v>1436</v>
      </c>
      <c r="S342" s="48" t="s">
        <v>1436</v>
      </c>
      <c r="T342" s="48" t="s">
        <v>1436</v>
      </c>
      <c r="U342" s="48" t="s">
        <v>38</v>
      </c>
      <c r="V342" s="48" t="s">
        <v>39</v>
      </c>
      <c r="W342" s="48" t="s">
        <v>40</v>
      </c>
      <c r="X342" s="48" t="s">
        <v>41</v>
      </c>
      <c r="Y342" s="48" t="s">
        <v>1436</v>
      </c>
      <c r="Z342" s="48" t="s">
        <v>1436</v>
      </c>
      <c r="AA342" s="48" t="s">
        <v>1436</v>
      </c>
      <c r="AB342" s="49" t="s">
        <v>193</v>
      </c>
      <c r="AC342" s="48" t="s">
        <v>1194</v>
      </c>
      <c r="AD342" s="48" t="s">
        <v>1244</v>
      </c>
      <c r="AE342" s="48" t="s">
        <v>36</v>
      </c>
    </row>
    <row r="343" spans="1:31" x14ac:dyDescent="0.3">
      <c r="A343" s="48" t="s">
        <v>1320</v>
      </c>
      <c r="B343" s="48" t="s">
        <v>6</v>
      </c>
      <c r="C343" s="48" t="s">
        <v>1322</v>
      </c>
      <c r="D343" s="48" t="s">
        <v>1406</v>
      </c>
      <c r="E343" s="50">
        <v>45535</v>
      </c>
      <c r="F343" s="49" t="s">
        <v>1321</v>
      </c>
      <c r="G343" s="48" t="s">
        <v>36</v>
      </c>
      <c r="H343" s="48" t="s">
        <v>1441</v>
      </c>
      <c r="I343" s="51">
        <v>0</v>
      </c>
      <c r="J343" s="51"/>
      <c r="K343" s="51"/>
      <c r="L343" s="48" t="s">
        <v>1194</v>
      </c>
      <c r="M343" s="48" t="s">
        <v>1438</v>
      </c>
      <c r="N343" s="48" t="s">
        <v>1439</v>
      </c>
      <c r="O343" s="49" t="s">
        <v>1440</v>
      </c>
      <c r="P343" s="48" t="s">
        <v>38</v>
      </c>
      <c r="Q343" s="48" t="s">
        <v>37</v>
      </c>
      <c r="R343" s="48" t="s">
        <v>1436</v>
      </c>
      <c r="S343" s="48" t="s">
        <v>1436</v>
      </c>
      <c r="T343" s="48" t="s">
        <v>1436</v>
      </c>
      <c r="U343" s="48" t="s">
        <v>38</v>
      </c>
      <c r="V343" s="48" t="s">
        <v>39</v>
      </c>
      <c r="W343" s="48" t="s">
        <v>1194</v>
      </c>
      <c r="X343" s="48" t="s">
        <v>41</v>
      </c>
      <c r="Y343" s="48" t="s">
        <v>1436</v>
      </c>
      <c r="Z343" s="48" t="s">
        <v>1436</v>
      </c>
      <c r="AA343" s="48" t="s">
        <v>1436</v>
      </c>
      <c r="AB343" s="49" t="s">
        <v>193</v>
      </c>
      <c r="AC343" s="48" t="s">
        <v>1194</v>
      </c>
      <c r="AD343" s="48" t="s">
        <v>1244</v>
      </c>
      <c r="AE343" s="48" t="s">
        <v>36</v>
      </c>
    </row>
    <row r="344" spans="1:31" x14ac:dyDescent="0.3">
      <c r="A344" s="48" t="s">
        <v>1320</v>
      </c>
      <c r="B344" s="48" t="s">
        <v>6</v>
      </c>
      <c r="C344" s="48" t="s">
        <v>1322</v>
      </c>
      <c r="D344" s="48" t="s">
        <v>1405</v>
      </c>
      <c r="E344" s="50">
        <v>45535</v>
      </c>
      <c r="F344" s="49" t="s">
        <v>1321</v>
      </c>
      <c r="G344" s="48" t="s">
        <v>36</v>
      </c>
      <c r="H344" s="48" t="s">
        <v>1443</v>
      </c>
      <c r="I344" s="51">
        <v>0</v>
      </c>
      <c r="J344" s="51"/>
      <c r="K344" s="51"/>
      <c r="L344" s="48" t="s">
        <v>1194</v>
      </c>
      <c r="M344" s="48" t="s">
        <v>1438</v>
      </c>
      <c r="N344" s="48" t="s">
        <v>1439</v>
      </c>
      <c r="O344" s="49" t="s">
        <v>1442</v>
      </c>
      <c r="P344" s="48" t="s">
        <v>38</v>
      </c>
      <c r="Q344" s="48" t="s">
        <v>37</v>
      </c>
      <c r="R344" s="48" t="s">
        <v>1436</v>
      </c>
      <c r="S344" s="48" t="s">
        <v>1436</v>
      </c>
      <c r="T344" s="48" t="s">
        <v>1436</v>
      </c>
      <c r="U344" s="48" t="s">
        <v>38</v>
      </c>
      <c r="V344" s="48" t="s">
        <v>39</v>
      </c>
      <c r="W344" s="48" t="s">
        <v>1194</v>
      </c>
      <c r="X344" s="48" t="s">
        <v>41</v>
      </c>
      <c r="Y344" s="48" t="s">
        <v>1436</v>
      </c>
      <c r="Z344" s="48" t="s">
        <v>1436</v>
      </c>
      <c r="AA344" s="48" t="s">
        <v>1436</v>
      </c>
      <c r="AB344" s="49" t="s">
        <v>193</v>
      </c>
      <c r="AC344" s="48" t="s">
        <v>1194</v>
      </c>
      <c r="AD344" s="48" t="s">
        <v>1244</v>
      </c>
      <c r="AE344" s="48" t="s">
        <v>36</v>
      </c>
    </row>
    <row r="345" spans="1:31" x14ac:dyDescent="0.3">
      <c r="A345" s="48" t="s">
        <v>1320</v>
      </c>
      <c r="B345" s="48" t="s">
        <v>6</v>
      </c>
      <c r="C345" s="48" t="s">
        <v>1322</v>
      </c>
      <c r="D345" s="48" t="s">
        <v>1404</v>
      </c>
      <c r="E345" s="50">
        <v>45535</v>
      </c>
      <c r="F345" s="49" t="s">
        <v>1321</v>
      </c>
      <c r="G345" s="48" t="s">
        <v>36</v>
      </c>
      <c r="H345" s="48" t="s">
        <v>49</v>
      </c>
      <c r="I345" s="51">
        <v>-7514.4415749999998</v>
      </c>
      <c r="J345" s="51"/>
      <c r="K345" s="51"/>
      <c r="L345" s="48" t="s">
        <v>38</v>
      </c>
      <c r="M345" s="48" t="s">
        <v>1433</v>
      </c>
      <c r="N345" s="48" t="s">
        <v>1447</v>
      </c>
      <c r="O345" s="49" t="s">
        <v>1451</v>
      </c>
      <c r="P345" s="48" t="s">
        <v>38</v>
      </c>
      <c r="Q345" s="48" t="s">
        <v>37</v>
      </c>
      <c r="R345" s="48" t="s">
        <v>1436</v>
      </c>
      <c r="S345" s="48" t="s">
        <v>1436</v>
      </c>
      <c r="T345" s="48" t="s">
        <v>1436</v>
      </c>
      <c r="U345" s="48" t="s">
        <v>38</v>
      </c>
      <c r="V345" s="48" t="s">
        <v>39</v>
      </c>
      <c r="W345" s="48" t="s">
        <v>38</v>
      </c>
      <c r="X345" s="48" t="s">
        <v>41</v>
      </c>
      <c r="Y345" s="48" t="s">
        <v>1436</v>
      </c>
      <c r="Z345" s="48" t="s">
        <v>1436</v>
      </c>
      <c r="AA345" s="48" t="s">
        <v>1436</v>
      </c>
      <c r="AB345" s="49" t="s">
        <v>193</v>
      </c>
      <c r="AC345" s="48" t="s">
        <v>1194</v>
      </c>
      <c r="AD345" s="48" t="s">
        <v>1244</v>
      </c>
      <c r="AE345" s="48" t="s">
        <v>36</v>
      </c>
    </row>
    <row r="346" spans="1:31" x14ac:dyDescent="0.3">
      <c r="A346" s="48" t="s">
        <v>1320</v>
      </c>
      <c r="B346" s="48" t="s">
        <v>6</v>
      </c>
      <c r="C346" s="48" t="s">
        <v>1322</v>
      </c>
      <c r="D346" s="48" t="s">
        <v>1413</v>
      </c>
      <c r="E346" s="50">
        <v>45565</v>
      </c>
      <c r="F346" s="49" t="s">
        <v>1321</v>
      </c>
      <c r="G346" s="48" t="s">
        <v>36</v>
      </c>
      <c r="H346" s="48" t="s">
        <v>58</v>
      </c>
      <c r="I346" s="51">
        <v>-1650000</v>
      </c>
      <c r="J346" s="51"/>
      <c r="K346" s="51"/>
      <c r="L346" s="48" t="s">
        <v>40</v>
      </c>
      <c r="M346" s="48" t="s">
        <v>1433</v>
      </c>
      <c r="N346" s="48" t="s">
        <v>1447</v>
      </c>
      <c r="O346" s="49" t="s">
        <v>1448</v>
      </c>
      <c r="P346" s="48" t="s">
        <v>38</v>
      </c>
      <c r="Q346" s="48" t="s">
        <v>37</v>
      </c>
      <c r="R346" s="48" t="s">
        <v>1436</v>
      </c>
      <c r="S346" s="48" t="s">
        <v>1436</v>
      </c>
      <c r="T346" s="48" t="s">
        <v>1436</v>
      </c>
      <c r="U346" s="48" t="s">
        <v>38</v>
      </c>
      <c r="V346" s="48" t="s">
        <v>39</v>
      </c>
      <c r="W346" s="48" t="s">
        <v>40</v>
      </c>
      <c r="X346" s="48" t="s">
        <v>41</v>
      </c>
      <c r="Y346" s="48" t="s">
        <v>1436</v>
      </c>
      <c r="Z346" s="48" t="s">
        <v>1436</v>
      </c>
      <c r="AA346" s="48" t="s">
        <v>1436</v>
      </c>
      <c r="AB346" s="49" t="s">
        <v>193</v>
      </c>
      <c r="AC346" s="48" t="s">
        <v>1194</v>
      </c>
      <c r="AD346" s="48" t="s">
        <v>1244</v>
      </c>
      <c r="AE346" s="48" t="s">
        <v>36</v>
      </c>
    </row>
    <row r="347" spans="1:31" x14ac:dyDescent="0.3">
      <c r="A347" s="48" t="s">
        <v>1320</v>
      </c>
      <c r="B347" s="48" t="s">
        <v>6</v>
      </c>
      <c r="C347" s="48" t="s">
        <v>1322</v>
      </c>
      <c r="D347" s="48" t="s">
        <v>1412</v>
      </c>
      <c r="E347" s="50">
        <v>45565</v>
      </c>
      <c r="F347" s="49" t="s">
        <v>1321</v>
      </c>
      <c r="G347" s="48" t="s">
        <v>36</v>
      </c>
      <c r="H347" s="48" t="s">
        <v>52</v>
      </c>
      <c r="I347" s="51">
        <v>-1396906.18</v>
      </c>
      <c r="J347" s="51"/>
      <c r="K347" s="51"/>
      <c r="L347" s="48" t="s">
        <v>40</v>
      </c>
      <c r="M347" s="48" t="s">
        <v>1433</v>
      </c>
      <c r="N347" s="48" t="s">
        <v>1434</v>
      </c>
      <c r="O347" s="49" t="s">
        <v>1435</v>
      </c>
      <c r="P347" s="48" t="s">
        <v>38</v>
      </c>
      <c r="Q347" s="48" t="s">
        <v>37</v>
      </c>
      <c r="R347" s="48" t="s">
        <v>1436</v>
      </c>
      <c r="S347" s="48" t="s">
        <v>1436</v>
      </c>
      <c r="T347" s="48" t="s">
        <v>1436</v>
      </c>
      <c r="U347" s="48" t="s">
        <v>38</v>
      </c>
      <c r="V347" s="48" t="s">
        <v>39</v>
      </c>
      <c r="W347" s="48" t="s">
        <v>40</v>
      </c>
      <c r="X347" s="48" t="s">
        <v>41</v>
      </c>
      <c r="Y347" s="48" t="s">
        <v>1436</v>
      </c>
      <c r="Z347" s="48" t="s">
        <v>1436</v>
      </c>
      <c r="AA347" s="48" t="s">
        <v>1436</v>
      </c>
      <c r="AB347" s="49" t="s">
        <v>193</v>
      </c>
      <c r="AC347" s="48" t="s">
        <v>1194</v>
      </c>
      <c r="AD347" s="48" t="s">
        <v>1244</v>
      </c>
      <c r="AE347" s="48" t="s">
        <v>36</v>
      </c>
    </row>
    <row r="348" spans="1:31" x14ac:dyDescent="0.3">
      <c r="A348" s="48" t="s">
        <v>1320</v>
      </c>
      <c r="B348" s="48" t="s">
        <v>6</v>
      </c>
      <c r="C348" s="48" t="s">
        <v>1322</v>
      </c>
      <c r="D348" s="48" t="s">
        <v>1411</v>
      </c>
      <c r="E348" s="50">
        <v>45565</v>
      </c>
      <c r="F348" s="49" t="s">
        <v>1321</v>
      </c>
      <c r="G348" s="48" t="s">
        <v>36</v>
      </c>
      <c r="H348" s="48" t="s">
        <v>50</v>
      </c>
      <c r="I348" s="51">
        <v>380974.41</v>
      </c>
      <c r="J348" s="51"/>
      <c r="K348" s="51"/>
      <c r="L348" s="48" t="s">
        <v>40</v>
      </c>
      <c r="M348" s="48" t="s">
        <v>1438</v>
      </c>
      <c r="N348" s="48" t="s">
        <v>1444</v>
      </c>
      <c r="O348" s="49" t="s">
        <v>1445</v>
      </c>
      <c r="P348" s="48" t="s">
        <v>38</v>
      </c>
      <c r="Q348" s="48" t="s">
        <v>37</v>
      </c>
      <c r="R348" s="48" t="s">
        <v>1436</v>
      </c>
      <c r="S348" s="48" t="s">
        <v>1436</v>
      </c>
      <c r="T348" s="48" t="s">
        <v>1436</v>
      </c>
      <c r="U348" s="48" t="s">
        <v>38</v>
      </c>
      <c r="V348" s="48" t="s">
        <v>39</v>
      </c>
      <c r="W348" s="48" t="s">
        <v>40</v>
      </c>
      <c r="X348" s="48" t="s">
        <v>41</v>
      </c>
      <c r="Y348" s="48" t="s">
        <v>1436</v>
      </c>
      <c r="Z348" s="48" t="s">
        <v>1436</v>
      </c>
      <c r="AA348" s="48" t="s">
        <v>1436</v>
      </c>
      <c r="AB348" s="49" t="s">
        <v>193</v>
      </c>
      <c r="AC348" s="48" t="s">
        <v>1194</v>
      </c>
      <c r="AD348" s="48" t="s">
        <v>1244</v>
      </c>
      <c r="AE348" s="48" t="s">
        <v>36</v>
      </c>
    </row>
    <row r="349" spans="1:31" x14ac:dyDescent="0.3">
      <c r="A349" s="48" t="s">
        <v>1320</v>
      </c>
      <c r="B349" s="48" t="s">
        <v>6</v>
      </c>
      <c r="C349" s="48" t="s">
        <v>1322</v>
      </c>
      <c r="D349" s="48" t="s">
        <v>1410</v>
      </c>
      <c r="E349" s="50">
        <v>45565</v>
      </c>
      <c r="F349" s="49" t="s">
        <v>1321</v>
      </c>
      <c r="G349" s="48" t="s">
        <v>36</v>
      </c>
      <c r="H349" s="48" t="s">
        <v>42</v>
      </c>
      <c r="I349" s="51">
        <v>2539829.423163</v>
      </c>
      <c r="J349" s="51"/>
      <c r="K349" s="51"/>
      <c r="L349" s="48" t="s">
        <v>40</v>
      </c>
      <c r="M349" s="48" t="s">
        <v>1433</v>
      </c>
      <c r="N349" s="48" t="s">
        <v>1434</v>
      </c>
      <c r="O349" s="49" t="s">
        <v>1437</v>
      </c>
      <c r="P349" s="48" t="s">
        <v>38</v>
      </c>
      <c r="Q349" s="48" t="s">
        <v>37</v>
      </c>
      <c r="R349" s="48" t="s">
        <v>1436</v>
      </c>
      <c r="S349" s="48" t="s">
        <v>1436</v>
      </c>
      <c r="T349" s="48" t="s">
        <v>1436</v>
      </c>
      <c r="U349" s="48" t="s">
        <v>38</v>
      </c>
      <c r="V349" s="48" t="s">
        <v>39</v>
      </c>
      <c r="W349" s="48" t="s">
        <v>40</v>
      </c>
      <c r="X349" s="48" t="s">
        <v>41</v>
      </c>
      <c r="Y349" s="48" t="s">
        <v>1436</v>
      </c>
      <c r="Z349" s="48" t="s">
        <v>1436</v>
      </c>
      <c r="AA349" s="48" t="s">
        <v>1436</v>
      </c>
      <c r="AB349" s="49" t="s">
        <v>193</v>
      </c>
      <c r="AC349" s="48" t="s">
        <v>1194</v>
      </c>
      <c r="AD349" s="48" t="s">
        <v>1244</v>
      </c>
      <c r="AE349" s="48" t="s">
        <v>36</v>
      </c>
    </row>
    <row r="350" spans="1:31" x14ac:dyDescent="0.3">
      <c r="A350" s="48" t="s">
        <v>1320</v>
      </c>
      <c r="B350" s="48" t="s">
        <v>6</v>
      </c>
      <c r="C350" s="48" t="s">
        <v>1322</v>
      </c>
      <c r="D350" s="48" t="s">
        <v>1409</v>
      </c>
      <c r="E350" s="50">
        <v>45565</v>
      </c>
      <c r="F350" s="49" t="s">
        <v>1321</v>
      </c>
      <c r="G350" s="48" t="s">
        <v>36</v>
      </c>
      <c r="H350" s="48" t="s">
        <v>45</v>
      </c>
      <c r="I350" s="51">
        <v>-716127.23580200004</v>
      </c>
      <c r="J350" s="51"/>
      <c r="K350" s="51"/>
      <c r="L350" s="48" t="s">
        <v>40</v>
      </c>
      <c r="M350" s="48" t="s">
        <v>1433</v>
      </c>
      <c r="N350" s="48" t="s">
        <v>1447</v>
      </c>
      <c r="O350" s="49" t="s">
        <v>1449</v>
      </c>
      <c r="P350" s="48" t="s">
        <v>38</v>
      </c>
      <c r="Q350" s="48" t="s">
        <v>37</v>
      </c>
      <c r="R350" s="48" t="s">
        <v>1436</v>
      </c>
      <c r="S350" s="48" t="s">
        <v>1436</v>
      </c>
      <c r="T350" s="48" t="s">
        <v>1436</v>
      </c>
      <c r="U350" s="48" t="s">
        <v>38</v>
      </c>
      <c r="V350" s="48" t="s">
        <v>39</v>
      </c>
      <c r="W350" s="48" t="s">
        <v>40</v>
      </c>
      <c r="X350" s="48" t="s">
        <v>41</v>
      </c>
      <c r="Y350" s="48" t="s">
        <v>1436</v>
      </c>
      <c r="Z350" s="48" t="s">
        <v>1436</v>
      </c>
      <c r="AA350" s="48" t="s">
        <v>1436</v>
      </c>
      <c r="AB350" s="49" t="s">
        <v>193</v>
      </c>
      <c r="AC350" s="48" t="s">
        <v>1194</v>
      </c>
      <c r="AD350" s="48" t="s">
        <v>1244</v>
      </c>
      <c r="AE350" s="48" t="s">
        <v>36</v>
      </c>
    </row>
    <row r="351" spans="1:31" x14ac:dyDescent="0.3">
      <c r="A351" s="48" t="s">
        <v>1320</v>
      </c>
      <c r="B351" s="48" t="s">
        <v>6</v>
      </c>
      <c r="C351" s="48" t="s">
        <v>1322</v>
      </c>
      <c r="D351" s="48" t="s">
        <v>1408</v>
      </c>
      <c r="E351" s="50">
        <v>45565</v>
      </c>
      <c r="F351" s="49" t="s">
        <v>1321</v>
      </c>
      <c r="G351" s="48" t="s">
        <v>36</v>
      </c>
      <c r="H351" s="48" t="s">
        <v>54</v>
      </c>
      <c r="I351" s="51">
        <v>-529577.18999999994</v>
      </c>
      <c r="J351" s="51"/>
      <c r="K351" s="51"/>
      <c r="L351" s="48" t="s">
        <v>40</v>
      </c>
      <c r="M351" s="48" t="s">
        <v>1433</v>
      </c>
      <c r="N351" s="48" t="s">
        <v>1447</v>
      </c>
      <c r="O351" s="49" t="s">
        <v>1450</v>
      </c>
      <c r="P351" s="48" t="s">
        <v>38</v>
      </c>
      <c r="Q351" s="48" t="s">
        <v>37</v>
      </c>
      <c r="R351" s="48" t="s">
        <v>1436</v>
      </c>
      <c r="S351" s="48" t="s">
        <v>1436</v>
      </c>
      <c r="T351" s="48" t="s">
        <v>1436</v>
      </c>
      <c r="U351" s="48" t="s">
        <v>38</v>
      </c>
      <c r="V351" s="48" t="s">
        <v>39</v>
      </c>
      <c r="W351" s="48" t="s">
        <v>40</v>
      </c>
      <c r="X351" s="48" t="s">
        <v>41</v>
      </c>
      <c r="Y351" s="48" t="s">
        <v>1436</v>
      </c>
      <c r="Z351" s="48" t="s">
        <v>1436</v>
      </c>
      <c r="AA351" s="48" t="s">
        <v>1436</v>
      </c>
      <c r="AB351" s="49" t="s">
        <v>193</v>
      </c>
      <c r="AC351" s="48" t="s">
        <v>1194</v>
      </c>
      <c r="AD351" s="48" t="s">
        <v>1244</v>
      </c>
      <c r="AE351" s="48" t="s">
        <v>36</v>
      </c>
    </row>
    <row r="352" spans="1:31" x14ac:dyDescent="0.3">
      <c r="A352" s="48" t="s">
        <v>1320</v>
      </c>
      <c r="B352" s="48" t="s">
        <v>6</v>
      </c>
      <c r="C352" s="48" t="s">
        <v>1322</v>
      </c>
      <c r="D352" s="48" t="s">
        <v>1407</v>
      </c>
      <c r="E352" s="50">
        <v>45565</v>
      </c>
      <c r="F352" s="49" t="s">
        <v>1321</v>
      </c>
      <c r="G352" s="48" t="s">
        <v>36</v>
      </c>
      <c r="H352" s="48" t="s">
        <v>47</v>
      </c>
      <c r="I352" s="51">
        <v>74201.760240999996</v>
      </c>
      <c r="J352" s="51"/>
      <c r="K352" s="51"/>
      <c r="L352" s="48" t="s">
        <v>40</v>
      </c>
      <c r="M352" s="48" t="s">
        <v>1438</v>
      </c>
      <c r="N352" s="48" t="s">
        <v>1444</v>
      </c>
      <c r="O352" s="49" t="s">
        <v>1446</v>
      </c>
      <c r="P352" s="48" t="s">
        <v>38</v>
      </c>
      <c r="Q352" s="48" t="s">
        <v>37</v>
      </c>
      <c r="R352" s="48" t="s">
        <v>1436</v>
      </c>
      <c r="S352" s="48" t="s">
        <v>1436</v>
      </c>
      <c r="T352" s="48" t="s">
        <v>1436</v>
      </c>
      <c r="U352" s="48" t="s">
        <v>38</v>
      </c>
      <c r="V352" s="48" t="s">
        <v>39</v>
      </c>
      <c r="W352" s="48" t="s">
        <v>40</v>
      </c>
      <c r="X352" s="48" t="s">
        <v>41</v>
      </c>
      <c r="Y352" s="48" t="s">
        <v>1436</v>
      </c>
      <c r="Z352" s="48" t="s">
        <v>1436</v>
      </c>
      <c r="AA352" s="48" t="s">
        <v>1436</v>
      </c>
      <c r="AB352" s="49" t="s">
        <v>193</v>
      </c>
      <c r="AC352" s="48" t="s">
        <v>1194</v>
      </c>
      <c r="AD352" s="48" t="s">
        <v>1244</v>
      </c>
      <c r="AE352" s="48" t="s">
        <v>36</v>
      </c>
    </row>
    <row r="353" spans="1:31" x14ac:dyDescent="0.3">
      <c r="A353" s="48" t="s">
        <v>1320</v>
      </c>
      <c r="B353" s="48" t="s">
        <v>6</v>
      </c>
      <c r="C353" s="48" t="s">
        <v>1322</v>
      </c>
      <c r="D353" s="48" t="s">
        <v>1406</v>
      </c>
      <c r="E353" s="50">
        <v>45565</v>
      </c>
      <c r="F353" s="49" t="s">
        <v>1321</v>
      </c>
      <c r="G353" s="48" t="s">
        <v>36</v>
      </c>
      <c r="H353" s="48" t="s">
        <v>1441</v>
      </c>
      <c r="I353" s="51">
        <v>0</v>
      </c>
      <c r="J353" s="51"/>
      <c r="K353" s="51"/>
      <c r="L353" s="48" t="s">
        <v>1194</v>
      </c>
      <c r="M353" s="48" t="s">
        <v>1438</v>
      </c>
      <c r="N353" s="48" t="s">
        <v>1439</v>
      </c>
      <c r="O353" s="49" t="s">
        <v>1440</v>
      </c>
      <c r="P353" s="48" t="s">
        <v>38</v>
      </c>
      <c r="Q353" s="48" t="s">
        <v>37</v>
      </c>
      <c r="R353" s="48" t="s">
        <v>1436</v>
      </c>
      <c r="S353" s="48" t="s">
        <v>1436</v>
      </c>
      <c r="T353" s="48" t="s">
        <v>1436</v>
      </c>
      <c r="U353" s="48" t="s">
        <v>38</v>
      </c>
      <c r="V353" s="48" t="s">
        <v>39</v>
      </c>
      <c r="W353" s="48" t="s">
        <v>1194</v>
      </c>
      <c r="X353" s="48" t="s">
        <v>41</v>
      </c>
      <c r="Y353" s="48" t="s">
        <v>1436</v>
      </c>
      <c r="Z353" s="48" t="s">
        <v>1436</v>
      </c>
      <c r="AA353" s="48" t="s">
        <v>1436</v>
      </c>
      <c r="AB353" s="49" t="s">
        <v>193</v>
      </c>
      <c r="AC353" s="48" t="s">
        <v>1194</v>
      </c>
      <c r="AD353" s="48" t="s">
        <v>1244</v>
      </c>
      <c r="AE353" s="48" t="s">
        <v>36</v>
      </c>
    </row>
    <row r="354" spans="1:31" x14ac:dyDescent="0.3">
      <c r="A354" s="48" t="s">
        <v>1320</v>
      </c>
      <c r="B354" s="48" t="s">
        <v>6</v>
      </c>
      <c r="C354" s="48" t="s">
        <v>1322</v>
      </c>
      <c r="D354" s="48" t="s">
        <v>1405</v>
      </c>
      <c r="E354" s="50">
        <v>45565</v>
      </c>
      <c r="F354" s="49" t="s">
        <v>1321</v>
      </c>
      <c r="G354" s="48" t="s">
        <v>36</v>
      </c>
      <c r="H354" s="48" t="s">
        <v>1443</v>
      </c>
      <c r="I354" s="51">
        <v>0</v>
      </c>
      <c r="J354" s="51"/>
      <c r="K354" s="51"/>
      <c r="L354" s="48" t="s">
        <v>1194</v>
      </c>
      <c r="M354" s="48" t="s">
        <v>1438</v>
      </c>
      <c r="N354" s="48" t="s">
        <v>1439</v>
      </c>
      <c r="O354" s="49" t="s">
        <v>1442</v>
      </c>
      <c r="P354" s="48" t="s">
        <v>38</v>
      </c>
      <c r="Q354" s="48" t="s">
        <v>37</v>
      </c>
      <c r="R354" s="48" t="s">
        <v>1436</v>
      </c>
      <c r="S354" s="48" t="s">
        <v>1436</v>
      </c>
      <c r="T354" s="48" t="s">
        <v>1436</v>
      </c>
      <c r="U354" s="48" t="s">
        <v>38</v>
      </c>
      <c r="V354" s="48" t="s">
        <v>39</v>
      </c>
      <c r="W354" s="48" t="s">
        <v>1194</v>
      </c>
      <c r="X354" s="48" t="s">
        <v>41</v>
      </c>
      <c r="Y354" s="48" t="s">
        <v>1436</v>
      </c>
      <c r="Z354" s="48" t="s">
        <v>1436</v>
      </c>
      <c r="AA354" s="48" t="s">
        <v>1436</v>
      </c>
      <c r="AB354" s="49" t="s">
        <v>193</v>
      </c>
      <c r="AC354" s="48" t="s">
        <v>1194</v>
      </c>
      <c r="AD354" s="48" t="s">
        <v>1244</v>
      </c>
      <c r="AE354" s="48" t="s">
        <v>36</v>
      </c>
    </row>
    <row r="355" spans="1:31" x14ac:dyDescent="0.3">
      <c r="A355" s="48" t="s">
        <v>1320</v>
      </c>
      <c r="B355" s="48" t="s">
        <v>6</v>
      </c>
      <c r="C355" s="48" t="s">
        <v>1322</v>
      </c>
      <c r="D355" s="48" t="s">
        <v>1404</v>
      </c>
      <c r="E355" s="50">
        <v>45565</v>
      </c>
      <c r="F355" s="49" t="s">
        <v>1321</v>
      </c>
      <c r="G355" s="48" t="s">
        <v>36</v>
      </c>
      <c r="H355" s="48" t="s">
        <v>49</v>
      </c>
      <c r="I355" s="51">
        <v>-7266.6091509999997</v>
      </c>
      <c r="J355" s="51"/>
      <c r="K355" s="51"/>
      <c r="L355" s="48" t="s">
        <v>38</v>
      </c>
      <c r="M355" s="48" t="s">
        <v>1433</v>
      </c>
      <c r="N355" s="48" t="s">
        <v>1447</v>
      </c>
      <c r="O355" s="49" t="s">
        <v>1451</v>
      </c>
      <c r="P355" s="48" t="s">
        <v>38</v>
      </c>
      <c r="Q355" s="48" t="s">
        <v>37</v>
      </c>
      <c r="R355" s="48" t="s">
        <v>1436</v>
      </c>
      <c r="S355" s="48" t="s">
        <v>1436</v>
      </c>
      <c r="T355" s="48" t="s">
        <v>1436</v>
      </c>
      <c r="U355" s="48" t="s">
        <v>38</v>
      </c>
      <c r="V355" s="48" t="s">
        <v>39</v>
      </c>
      <c r="W355" s="48" t="s">
        <v>38</v>
      </c>
      <c r="X355" s="48" t="s">
        <v>41</v>
      </c>
      <c r="Y355" s="48" t="s">
        <v>1436</v>
      </c>
      <c r="Z355" s="48" t="s">
        <v>1436</v>
      </c>
      <c r="AA355" s="48" t="s">
        <v>1436</v>
      </c>
      <c r="AB355" s="49" t="s">
        <v>193</v>
      </c>
      <c r="AC355" s="48" t="s">
        <v>1194</v>
      </c>
      <c r="AD355" s="48" t="s">
        <v>1244</v>
      </c>
      <c r="AE355" s="48" t="s">
        <v>36</v>
      </c>
    </row>
    <row r="356" spans="1:31" x14ac:dyDescent="0.3">
      <c r="A356" s="48" t="s">
        <v>1320</v>
      </c>
      <c r="B356" s="48" t="s">
        <v>6</v>
      </c>
      <c r="C356" s="48" t="s">
        <v>1322</v>
      </c>
      <c r="D356" s="48" t="s">
        <v>1413</v>
      </c>
      <c r="E356" s="50">
        <v>45596</v>
      </c>
      <c r="F356" s="49" t="s">
        <v>1321</v>
      </c>
      <c r="G356" s="48" t="s">
        <v>36</v>
      </c>
      <c r="H356" s="48" t="s">
        <v>58</v>
      </c>
      <c r="I356" s="51">
        <v>-1700000</v>
      </c>
      <c r="J356" s="51"/>
      <c r="K356" s="51"/>
      <c r="L356" s="48" t="s">
        <v>40</v>
      </c>
      <c r="M356" s="48" t="s">
        <v>1433</v>
      </c>
      <c r="N356" s="48" t="s">
        <v>1447</v>
      </c>
      <c r="O356" s="49" t="s">
        <v>1448</v>
      </c>
      <c r="P356" s="48" t="s">
        <v>38</v>
      </c>
      <c r="Q356" s="48" t="s">
        <v>37</v>
      </c>
      <c r="R356" s="48" t="s">
        <v>1436</v>
      </c>
      <c r="S356" s="48" t="s">
        <v>1436</v>
      </c>
      <c r="T356" s="48" t="s">
        <v>1436</v>
      </c>
      <c r="U356" s="48" t="s">
        <v>38</v>
      </c>
      <c r="V356" s="48" t="s">
        <v>39</v>
      </c>
      <c r="W356" s="48" t="s">
        <v>40</v>
      </c>
      <c r="X356" s="48" t="s">
        <v>41</v>
      </c>
      <c r="Y356" s="48" t="s">
        <v>1436</v>
      </c>
      <c r="Z356" s="48" t="s">
        <v>1436</v>
      </c>
      <c r="AA356" s="48" t="s">
        <v>1436</v>
      </c>
      <c r="AB356" s="49" t="s">
        <v>193</v>
      </c>
      <c r="AC356" s="48" t="s">
        <v>1194</v>
      </c>
      <c r="AD356" s="48" t="s">
        <v>1244</v>
      </c>
      <c r="AE356" s="48" t="s">
        <v>36</v>
      </c>
    </row>
    <row r="357" spans="1:31" x14ac:dyDescent="0.3">
      <c r="A357" s="48" t="s">
        <v>1320</v>
      </c>
      <c r="B357" s="48" t="s">
        <v>6</v>
      </c>
      <c r="C357" s="48" t="s">
        <v>1322</v>
      </c>
      <c r="D357" s="48" t="s">
        <v>1412</v>
      </c>
      <c r="E357" s="50">
        <v>45596</v>
      </c>
      <c r="F357" s="49" t="s">
        <v>1321</v>
      </c>
      <c r="G357" s="48" t="s">
        <v>36</v>
      </c>
      <c r="H357" s="48" t="s">
        <v>52</v>
      </c>
      <c r="I357" s="51">
        <v>-1439236.67</v>
      </c>
      <c r="J357" s="51"/>
      <c r="K357" s="51"/>
      <c r="L357" s="48" t="s">
        <v>40</v>
      </c>
      <c r="M357" s="48" t="s">
        <v>1433</v>
      </c>
      <c r="N357" s="48" t="s">
        <v>1434</v>
      </c>
      <c r="O357" s="49" t="s">
        <v>1435</v>
      </c>
      <c r="P357" s="48" t="s">
        <v>38</v>
      </c>
      <c r="Q357" s="48" t="s">
        <v>37</v>
      </c>
      <c r="R357" s="48" t="s">
        <v>1436</v>
      </c>
      <c r="S357" s="48" t="s">
        <v>1436</v>
      </c>
      <c r="T357" s="48" t="s">
        <v>1436</v>
      </c>
      <c r="U357" s="48" t="s">
        <v>38</v>
      </c>
      <c r="V357" s="48" t="s">
        <v>39</v>
      </c>
      <c r="W357" s="48" t="s">
        <v>40</v>
      </c>
      <c r="X357" s="48" t="s">
        <v>41</v>
      </c>
      <c r="Y357" s="48" t="s">
        <v>1436</v>
      </c>
      <c r="Z357" s="48" t="s">
        <v>1436</v>
      </c>
      <c r="AA357" s="48" t="s">
        <v>1436</v>
      </c>
      <c r="AB357" s="49" t="s">
        <v>193</v>
      </c>
      <c r="AC357" s="48" t="s">
        <v>1194</v>
      </c>
      <c r="AD357" s="48" t="s">
        <v>1244</v>
      </c>
      <c r="AE357" s="48" t="s">
        <v>36</v>
      </c>
    </row>
    <row r="358" spans="1:31" x14ac:dyDescent="0.3">
      <c r="A358" s="48" t="s">
        <v>1320</v>
      </c>
      <c r="B358" s="48" t="s">
        <v>6</v>
      </c>
      <c r="C358" s="48" t="s">
        <v>1322</v>
      </c>
      <c r="D358" s="48" t="s">
        <v>1411</v>
      </c>
      <c r="E358" s="50">
        <v>45596</v>
      </c>
      <c r="F358" s="49" t="s">
        <v>1321</v>
      </c>
      <c r="G358" s="48" t="s">
        <v>36</v>
      </c>
      <c r="H358" s="48" t="s">
        <v>50</v>
      </c>
      <c r="I358" s="51">
        <v>423304.9</v>
      </c>
      <c r="J358" s="51"/>
      <c r="K358" s="51"/>
      <c r="L358" s="48" t="s">
        <v>40</v>
      </c>
      <c r="M358" s="48" t="s">
        <v>1438</v>
      </c>
      <c r="N358" s="48" t="s">
        <v>1444</v>
      </c>
      <c r="O358" s="49" t="s">
        <v>1445</v>
      </c>
      <c r="P358" s="48" t="s">
        <v>38</v>
      </c>
      <c r="Q358" s="48" t="s">
        <v>37</v>
      </c>
      <c r="R358" s="48" t="s">
        <v>1436</v>
      </c>
      <c r="S358" s="48" t="s">
        <v>1436</v>
      </c>
      <c r="T358" s="48" t="s">
        <v>1436</v>
      </c>
      <c r="U358" s="48" t="s">
        <v>38</v>
      </c>
      <c r="V358" s="48" t="s">
        <v>39</v>
      </c>
      <c r="W358" s="48" t="s">
        <v>40</v>
      </c>
      <c r="X358" s="48" t="s">
        <v>41</v>
      </c>
      <c r="Y358" s="48" t="s">
        <v>1436</v>
      </c>
      <c r="Z358" s="48" t="s">
        <v>1436</v>
      </c>
      <c r="AA358" s="48" t="s">
        <v>1436</v>
      </c>
      <c r="AB358" s="49" t="s">
        <v>193</v>
      </c>
      <c r="AC358" s="48" t="s">
        <v>1194</v>
      </c>
      <c r="AD358" s="48" t="s">
        <v>1244</v>
      </c>
      <c r="AE358" s="48" t="s">
        <v>36</v>
      </c>
    </row>
    <row r="359" spans="1:31" x14ac:dyDescent="0.3">
      <c r="A359" s="48" t="s">
        <v>1320</v>
      </c>
      <c r="B359" s="48" t="s">
        <v>6</v>
      </c>
      <c r="C359" s="48" t="s">
        <v>1322</v>
      </c>
      <c r="D359" s="48" t="s">
        <v>1410</v>
      </c>
      <c r="E359" s="50">
        <v>45596</v>
      </c>
      <c r="F359" s="49" t="s">
        <v>1321</v>
      </c>
      <c r="G359" s="48" t="s">
        <v>36</v>
      </c>
      <c r="H359" s="48" t="s">
        <v>42</v>
      </c>
      <c r="I359" s="51">
        <v>2539829.423163</v>
      </c>
      <c r="J359" s="51"/>
      <c r="K359" s="51"/>
      <c r="L359" s="48" t="s">
        <v>40</v>
      </c>
      <c r="M359" s="48" t="s">
        <v>1433</v>
      </c>
      <c r="N359" s="48" t="s">
        <v>1434</v>
      </c>
      <c r="O359" s="49" t="s">
        <v>1437</v>
      </c>
      <c r="P359" s="48" t="s">
        <v>38</v>
      </c>
      <c r="Q359" s="48" t="s">
        <v>37</v>
      </c>
      <c r="R359" s="48" t="s">
        <v>1436</v>
      </c>
      <c r="S359" s="48" t="s">
        <v>1436</v>
      </c>
      <c r="T359" s="48" t="s">
        <v>1436</v>
      </c>
      <c r="U359" s="48" t="s">
        <v>38</v>
      </c>
      <c r="V359" s="48" t="s">
        <v>39</v>
      </c>
      <c r="W359" s="48" t="s">
        <v>40</v>
      </c>
      <c r="X359" s="48" t="s">
        <v>41</v>
      </c>
      <c r="Y359" s="48" t="s">
        <v>1436</v>
      </c>
      <c r="Z359" s="48" t="s">
        <v>1436</v>
      </c>
      <c r="AA359" s="48" t="s">
        <v>1436</v>
      </c>
      <c r="AB359" s="49" t="s">
        <v>193</v>
      </c>
      <c r="AC359" s="48" t="s">
        <v>1194</v>
      </c>
      <c r="AD359" s="48" t="s">
        <v>1244</v>
      </c>
      <c r="AE359" s="48" t="s">
        <v>36</v>
      </c>
    </row>
    <row r="360" spans="1:31" x14ac:dyDescent="0.3">
      <c r="A360" s="48" t="s">
        <v>1320</v>
      </c>
      <c r="B360" s="48" t="s">
        <v>6</v>
      </c>
      <c r="C360" s="48" t="s">
        <v>1322</v>
      </c>
      <c r="D360" s="48" t="s">
        <v>1409</v>
      </c>
      <c r="E360" s="50">
        <v>45596</v>
      </c>
      <c r="F360" s="49" t="s">
        <v>1321</v>
      </c>
      <c r="G360" s="48" t="s">
        <v>36</v>
      </c>
      <c r="H360" s="48" t="s">
        <v>45</v>
      </c>
      <c r="I360" s="51">
        <v>-670304.64495300001</v>
      </c>
      <c r="J360" s="51"/>
      <c r="K360" s="51"/>
      <c r="L360" s="48" t="s">
        <v>40</v>
      </c>
      <c r="M360" s="48" t="s">
        <v>1433</v>
      </c>
      <c r="N360" s="48" t="s">
        <v>1447</v>
      </c>
      <c r="O360" s="49" t="s">
        <v>1449</v>
      </c>
      <c r="P360" s="48" t="s">
        <v>38</v>
      </c>
      <c r="Q360" s="48" t="s">
        <v>37</v>
      </c>
      <c r="R360" s="48" t="s">
        <v>1436</v>
      </c>
      <c r="S360" s="48" t="s">
        <v>1436</v>
      </c>
      <c r="T360" s="48" t="s">
        <v>1436</v>
      </c>
      <c r="U360" s="48" t="s">
        <v>38</v>
      </c>
      <c r="V360" s="48" t="s">
        <v>39</v>
      </c>
      <c r="W360" s="48" t="s">
        <v>40</v>
      </c>
      <c r="X360" s="48" t="s">
        <v>41</v>
      </c>
      <c r="Y360" s="48" t="s">
        <v>1436</v>
      </c>
      <c r="Z360" s="48" t="s">
        <v>1436</v>
      </c>
      <c r="AA360" s="48" t="s">
        <v>1436</v>
      </c>
      <c r="AB360" s="49" t="s">
        <v>193</v>
      </c>
      <c r="AC360" s="48" t="s">
        <v>1194</v>
      </c>
      <c r="AD360" s="48" t="s">
        <v>1244</v>
      </c>
      <c r="AE360" s="48" t="s">
        <v>36</v>
      </c>
    </row>
    <row r="361" spans="1:31" x14ac:dyDescent="0.3">
      <c r="A361" s="48" t="s">
        <v>1320</v>
      </c>
      <c r="B361" s="48" t="s">
        <v>6</v>
      </c>
      <c r="C361" s="48" t="s">
        <v>1322</v>
      </c>
      <c r="D361" s="48" t="s">
        <v>1408</v>
      </c>
      <c r="E361" s="50">
        <v>45596</v>
      </c>
      <c r="F361" s="49" t="s">
        <v>1321</v>
      </c>
      <c r="G361" s="48" t="s">
        <v>36</v>
      </c>
      <c r="H361" s="48" t="s">
        <v>54</v>
      </c>
      <c r="I361" s="51">
        <v>-532666.39</v>
      </c>
      <c r="J361" s="51"/>
      <c r="K361" s="51"/>
      <c r="L361" s="48" t="s">
        <v>40</v>
      </c>
      <c r="M361" s="48" t="s">
        <v>1433</v>
      </c>
      <c r="N361" s="48" t="s">
        <v>1447</v>
      </c>
      <c r="O361" s="49" t="s">
        <v>1450</v>
      </c>
      <c r="P361" s="48" t="s">
        <v>38</v>
      </c>
      <c r="Q361" s="48" t="s">
        <v>37</v>
      </c>
      <c r="R361" s="48" t="s">
        <v>1436</v>
      </c>
      <c r="S361" s="48" t="s">
        <v>1436</v>
      </c>
      <c r="T361" s="48" t="s">
        <v>1436</v>
      </c>
      <c r="U361" s="48" t="s">
        <v>38</v>
      </c>
      <c r="V361" s="48" t="s">
        <v>39</v>
      </c>
      <c r="W361" s="48" t="s">
        <v>40</v>
      </c>
      <c r="X361" s="48" t="s">
        <v>41</v>
      </c>
      <c r="Y361" s="48" t="s">
        <v>1436</v>
      </c>
      <c r="Z361" s="48" t="s">
        <v>1436</v>
      </c>
      <c r="AA361" s="48" t="s">
        <v>1436</v>
      </c>
      <c r="AB361" s="49" t="s">
        <v>193</v>
      </c>
      <c r="AC361" s="48" t="s">
        <v>1194</v>
      </c>
      <c r="AD361" s="48" t="s">
        <v>1244</v>
      </c>
      <c r="AE361" s="48" t="s">
        <v>36</v>
      </c>
    </row>
    <row r="362" spans="1:31" x14ac:dyDescent="0.3">
      <c r="A362" s="48" t="s">
        <v>1320</v>
      </c>
      <c r="B362" s="48" t="s">
        <v>6</v>
      </c>
      <c r="C362" s="48" t="s">
        <v>1322</v>
      </c>
      <c r="D362" s="48" t="s">
        <v>1407</v>
      </c>
      <c r="E362" s="50">
        <v>45596</v>
      </c>
      <c r="F362" s="49" t="s">
        <v>1321</v>
      </c>
      <c r="G362" s="48" t="s">
        <v>36</v>
      </c>
      <c r="H362" s="48" t="s">
        <v>47</v>
      </c>
      <c r="I362" s="51">
        <v>81219.091278000007</v>
      </c>
      <c r="J362" s="51"/>
      <c r="K362" s="51"/>
      <c r="L362" s="48" t="s">
        <v>40</v>
      </c>
      <c r="M362" s="48" t="s">
        <v>1438</v>
      </c>
      <c r="N362" s="48" t="s">
        <v>1444</v>
      </c>
      <c r="O362" s="49" t="s">
        <v>1446</v>
      </c>
      <c r="P362" s="48" t="s">
        <v>38</v>
      </c>
      <c r="Q362" s="48" t="s">
        <v>37</v>
      </c>
      <c r="R362" s="48" t="s">
        <v>1436</v>
      </c>
      <c r="S362" s="48" t="s">
        <v>1436</v>
      </c>
      <c r="T362" s="48" t="s">
        <v>1436</v>
      </c>
      <c r="U362" s="48" t="s">
        <v>38</v>
      </c>
      <c r="V362" s="48" t="s">
        <v>39</v>
      </c>
      <c r="W362" s="48" t="s">
        <v>40</v>
      </c>
      <c r="X362" s="48" t="s">
        <v>41</v>
      </c>
      <c r="Y362" s="48" t="s">
        <v>1436</v>
      </c>
      <c r="Z362" s="48" t="s">
        <v>1436</v>
      </c>
      <c r="AA362" s="48" t="s">
        <v>1436</v>
      </c>
      <c r="AB362" s="49" t="s">
        <v>193</v>
      </c>
      <c r="AC362" s="48" t="s">
        <v>1194</v>
      </c>
      <c r="AD362" s="48" t="s">
        <v>1244</v>
      </c>
      <c r="AE362" s="48" t="s">
        <v>36</v>
      </c>
    </row>
    <row r="363" spans="1:31" x14ac:dyDescent="0.3">
      <c r="A363" s="48" t="s">
        <v>1320</v>
      </c>
      <c r="B363" s="48" t="s">
        <v>6</v>
      </c>
      <c r="C363" s="48" t="s">
        <v>1322</v>
      </c>
      <c r="D363" s="48" t="s">
        <v>1406</v>
      </c>
      <c r="E363" s="50">
        <v>45596</v>
      </c>
      <c r="F363" s="49" t="s">
        <v>1321</v>
      </c>
      <c r="G363" s="48" t="s">
        <v>36</v>
      </c>
      <c r="H363" s="48" t="s">
        <v>1441</v>
      </c>
      <c r="I363" s="51">
        <v>0</v>
      </c>
      <c r="J363" s="51"/>
      <c r="K363" s="51"/>
      <c r="L363" s="48" t="s">
        <v>1194</v>
      </c>
      <c r="M363" s="48" t="s">
        <v>1438</v>
      </c>
      <c r="N363" s="48" t="s">
        <v>1439</v>
      </c>
      <c r="O363" s="49" t="s">
        <v>1440</v>
      </c>
      <c r="P363" s="48" t="s">
        <v>38</v>
      </c>
      <c r="Q363" s="48" t="s">
        <v>37</v>
      </c>
      <c r="R363" s="48" t="s">
        <v>1436</v>
      </c>
      <c r="S363" s="48" t="s">
        <v>1436</v>
      </c>
      <c r="T363" s="48" t="s">
        <v>1436</v>
      </c>
      <c r="U363" s="48" t="s">
        <v>38</v>
      </c>
      <c r="V363" s="48" t="s">
        <v>39</v>
      </c>
      <c r="W363" s="48" t="s">
        <v>1194</v>
      </c>
      <c r="X363" s="48" t="s">
        <v>41</v>
      </c>
      <c r="Y363" s="48" t="s">
        <v>1436</v>
      </c>
      <c r="Z363" s="48" t="s">
        <v>1436</v>
      </c>
      <c r="AA363" s="48" t="s">
        <v>1436</v>
      </c>
      <c r="AB363" s="49" t="s">
        <v>193</v>
      </c>
      <c r="AC363" s="48" t="s">
        <v>1194</v>
      </c>
      <c r="AD363" s="48" t="s">
        <v>1244</v>
      </c>
      <c r="AE363" s="48" t="s">
        <v>36</v>
      </c>
    </row>
    <row r="364" spans="1:31" x14ac:dyDescent="0.3">
      <c r="A364" s="48" t="s">
        <v>1320</v>
      </c>
      <c r="B364" s="48" t="s">
        <v>6</v>
      </c>
      <c r="C364" s="48" t="s">
        <v>1322</v>
      </c>
      <c r="D364" s="48" t="s">
        <v>1405</v>
      </c>
      <c r="E364" s="50">
        <v>45596</v>
      </c>
      <c r="F364" s="49" t="s">
        <v>1321</v>
      </c>
      <c r="G364" s="48" t="s">
        <v>36</v>
      </c>
      <c r="H364" s="48" t="s">
        <v>1443</v>
      </c>
      <c r="I364" s="51">
        <v>0</v>
      </c>
      <c r="J364" s="51"/>
      <c r="K364" s="51"/>
      <c r="L364" s="48" t="s">
        <v>1194</v>
      </c>
      <c r="M364" s="48" t="s">
        <v>1438</v>
      </c>
      <c r="N364" s="48" t="s">
        <v>1439</v>
      </c>
      <c r="O364" s="49" t="s">
        <v>1442</v>
      </c>
      <c r="P364" s="48" t="s">
        <v>38</v>
      </c>
      <c r="Q364" s="48" t="s">
        <v>37</v>
      </c>
      <c r="R364" s="48" t="s">
        <v>1436</v>
      </c>
      <c r="S364" s="48" t="s">
        <v>1436</v>
      </c>
      <c r="T364" s="48" t="s">
        <v>1436</v>
      </c>
      <c r="U364" s="48" t="s">
        <v>38</v>
      </c>
      <c r="V364" s="48" t="s">
        <v>39</v>
      </c>
      <c r="W364" s="48" t="s">
        <v>1194</v>
      </c>
      <c r="X364" s="48" t="s">
        <v>41</v>
      </c>
      <c r="Y364" s="48" t="s">
        <v>1436</v>
      </c>
      <c r="Z364" s="48" t="s">
        <v>1436</v>
      </c>
      <c r="AA364" s="48" t="s">
        <v>1436</v>
      </c>
      <c r="AB364" s="49" t="s">
        <v>193</v>
      </c>
      <c r="AC364" s="48" t="s">
        <v>1194</v>
      </c>
      <c r="AD364" s="48" t="s">
        <v>1244</v>
      </c>
      <c r="AE364" s="48" t="s">
        <v>36</v>
      </c>
    </row>
    <row r="365" spans="1:31" x14ac:dyDescent="0.3">
      <c r="A365" s="48" t="s">
        <v>1320</v>
      </c>
      <c r="B365" s="48" t="s">
        <v>6</v>
      </c>
      <c r="C365" s="48" t="s">
        <v>1322</v>
      </c>
      <c r="D365" s="48" t="s">
        <v>1404</v>
      </c>
      <c r="E365" s="50">
        <v>45596</v>
      </c>
      <c r="F365" s="49" t="s">
        <v>1321</v>
      </c>
      <c r="G365" s="48" t="s">
        <v>36</v>
      </c>
      <c r="H365" s="48" t="s">
        <v>49</v>
      </c>
      <c r="I365" s="51">
        <v>-7017.3310369999999</v>
      </c>
      <c r="J365" s="51"/>
      <c r="K365" s="51"/>
      <c r="L365" s="48" t="s">
        <v>38</v>
      </c>
      <c r="M365" s="48" t="s">
        <v>1433</v>
      </c>
      <c r="N365" s="48" t="s">
        <v>1447</v>
      </c>
      <c r="O365" s="49" t="s">
        <v>1451</v>
      </c>
      <c r="P365" s="48" t="s">
        <v>38</v>
      </c>
      <c r="Q365" s="48" t="s">
        <v>37</v>
      </c>
      <c r="R365" s="48" t="s">
        <v>1436</v>
      </c>
      <c r="S365" s="48" t="s">
        <v>1436</v>
      </c>
      <c r="T365" s="48" t="s">
        <v>1436</v>
      </c>
      <c r="U365" s="48" t="s">
        <v>38</v>
      </c>
      <c r="V365" s="48" t="s">
        <v>39</v>
      </c>
      <c r="W365" s="48" t="s">
        <v>38</v>
      </c>
      <c r="X365" s="48" t="s">
        <v>41</v>
      </c>
      <c r="Y365" s="48" t="s">
        <v>1436</v>
      </c>
      <c r="Z365" s="48" t="s">
        <v>1436</v>
      </c>
      <c r="AA365" s="48" t="s">
        <v>1436</v>
      </c>
      <c r="AB365" s="49" t="s">
        <v>193</v>
      </c>
      <c r="AC365" s="48" t="s">
        <v>1194</v>
      </c>
      <c r="AD365" s="48" t="s">
        <v>1244</v>
      </c>
      <c r="AE365" s="48" t="s">
        <v>36</v>
      </c>
    </row>
    <row r="366" spans="1:31" x14ac:dyDescent="0.3">
      <c r="A366" s="48" t="s">
        <v>1320</v>
      </c>
      <c r="B366" s="48" t="s">
        <v>6</v>
      </c>
      <c r="C366" s="48" t="s">
        <v>1322</v>
      </c>
      <c r="D366" s="48" t="s">
        <v>1413</v>
      </c>
      <c r="E366" s="50">
        <v>45626</v>
      </c>
      <c r="F366" s="49" t="s">
        <v>1321</v>
      </c>
      <c r="G366" s="48" t="s">
        <v>36</v>
      </c>
      <c r="H366" s="48" t="s">
        <v>58</v>
      </c>
      <c r="I366" s="51">
        <v>-1750000</v>
      </c>
      <c r="J366" s="51"/>
      <c r="K366" s="51"/>
      <c r="L366" s="48" t="s">
        <v>40</v>
      </c>
      <c r="M366" s="48" t="s">
        <v>1433</v>
      </c>
      <c r="N366" s="48" t="s">
        <v>1447</v>
      </c>
      <c r="O366" s="49" t="s">
        <v>1448</v>
      </c>
      <c r="P366" s="48" t="s">
        <v>38</v>
      </c>
      <c r="Q366" s="48" t="s">
        <v>37</v>
      </c>
      <c r="R366" s="48" t="s">
        <v>1436</v>
      </c>
      <c r="S366" s="48" t="s">
        <v>1436</v>
      </c>
      <c r="T366" s="48" t="s">
        <v>1436</v>
      </c>
      <c r="U366" s="48" t="s">
        <v>38</v>
      </c>
      <c r="V366" s="48" t="s">
        <v>39</v>
      </c>
      <c r="W366" s="48" t="s">
        <v>40</v>
      </c>
      <c r="X366" s="48" t="s">
        <v>41</v>
      </c>
      <c r="Y366" s="48" t="s">
        <v>1436</v>
      </c>
      <c r="Z366" s="48" t="s">
        <v>1436</v>
      </c>
      <c r="AA366" s="48" t="s">
        <v>1436</v>
      </c>
      <c r="AB366" s="49" t="s">
        <v>193</v>
      </c>
      <c r="AC366" s="48" t="s">
        <v>1194</v>
      </c>
      <c r="AD366" s="48" t="s">
        <v>1244</v>
      </c>
      <c r="AE366" s="48" t="s">
        <v>36</v>
      </c>
    </row>
    <row r="367" spans="1:31" x14ac:dyDescent="0.3">
      <c r="A367" s="48" t="s">
        <v>1320</v>
      </c>
      <c r="B367" s="48" t="s">
        <v>6</v>
      </c>
      <c r="C367" s="48" t="s">
        <v>1322</v>
      </c>
      <c r="D367" s="48" t="s">
        <v>1412</v>
      </c>
      <c r="E367" s="50">
        <v>45626</v>
      </c>
      <c r="F367" s="49" t="s">
        <v>1321</v>
      </c>
      <c r="G367" s="48" t="s">
        <v>36</v>
      </c>
      <c r="H367" s="48" t="s">
        <v>52</v>
      </c>
      <c r="I367" s="51">
        <v>-1481567.16</v>
      </c>
      <c r="J367" s="51"/>
      <c r="K367" s="51"/>
      <c r="L367" s="48" t="s">
        <v>40</v>
      </c>
      <c r="M367" s="48" t="s">
        <v>1433</v>
      </c>
      <c r="N367" s="48" t="s">
        <v>1434</v>
      </c>
      <c r="O367" s="49" t="s">
        <v>1435</v>
      </c>
      <c r="P367" s="48" t="s">
        <v>38</v>
      </c>
      <c r="Q367" s="48" t="s">
        <v>37</v>
      </c>
      <c r="R367" s="48" t="s">
        <v>1436</v>
      </c>
      <c r="S367" s="48" t="s">
        <v>1436</v>
      </c>
      <c r="T367" s="48" t="s">
        <v>1436</v>
      </c>
      <c r="U367" s="48" t="s">
        <v>38</v>
      </c>
      <c r="V367" s="48" t="s">
        <v>39</v>
      </c>
      <c r="W367" s="48" t="s">
        <v>40</v>
      </c>
      <c r="X367" s="48" t="s">
        <v>41</v>
      </c>
      <c r="Y367" s="48" t="s">
        <v>1436</v>
      </c>
      <c r="Z367" s="48" t="s">
        <v>1436</v>
      </c>
      <c r="AA367" s="48" t="s">
        <v>1436</v>
      </c>
      <c r="AB367" s="49" t="s">
        <v>193</v>
      </c>
      <c r="AC367" s="48" t="s">
        <v>1194</v>
      </c>
      <c r="AD367" s="48" t="s">
        <v>1244</v>
      </c>
      <c r="AE367" s="48" t="s">
        <v>36</v>
      </c>
    </row>
    <row r="368" spans="1:31" x14ac:dyDescent="0.3">
      <c r="A368" s="48" t="s">
        <v>1320</v>
      </c>
      <c r="B368" s="48" t="s">
        <v>6</v>
      </c>
      <c r="C368" s="48" t="s">
        <v>1322</v>
      </c>
      <c r="D368" s="48" t="s">
        <v>1411</v>
      </c>
      <c r="E368" s="50">
        <v>45626</v>
      </c>
      <c r="F368" s="49" t="s">
        <v>1321</v>
      </c>
      <c r="G368" s="48" t="s">
        <v>36</v>
      </c>
      <c r="H368" s="48" t="s">
        <v>50</v>
      </c>
      <c r="I368" s="51">
        <v>465635.39</v>
      </c>
      <c r="J368" s="51"/>
      <c r="K368" s="51"/>
      <c r="L368" s="48" t="s">
        <v>40</v>
      </c>
      <c r="M368" s="48" t="s">
        <v>1438</v>
      </c>
      <c r="N368" s="48" t="s">
        <v>1444</v>
      </c>
      <c r="O368" s="49" t="s">
        <v>1445</v>
      </c>
      <c r="P368" s="48" t="s">
        <v>38</v>
      </c>
      <c r="Q368" s="48" t="s">
        <v>37</v>
      </c>
      <c r="R368" s="48" t="s">
        <v>1436</v>
      </c>
      <c r="S368" s="48" t="s">
        <v>1436</v>
      </c>
      <c r="T368" s="48" t="s">
        <v>1436</v>
      </c>
      <c r="U368" s="48" t="s">
        <v>38</v>
      </c>
      <c r="V368" s="48" t="s">
        <v>39</v>
      </c>
      <c r="W368" s="48" t="s">
        <v>40</v>
      </c>
      <c r="X368" s="48" t="s">
        <v>41</v>
      </c>
      <c r="Y368" s="48" t="s">
        <v>1436</v>
      </c>
      <c r="Z368" s="48" t="s">
        <v>1436</v>
      </c>
      <c r="AA368" s="48" t="s">
        <v>1436</v>
      </c>
      <c r="AB368" s="49" t="s">
        <v>193</v>
      </c>
      <c r="AC368" s="48" t="s">
        <v>1194</v>
      </c>
      <c r="AD368" s="48" t="s">
        <v>1244</v>
      </c>
      <c r="AE368" s="48" t="s">
        <v>36</v>
      </c>
    </row>
    <row r="369" spans="1:31" x14ac:dyDescent="0.3">
      <c r="A369" s="48" t="s">
        <v>1320</v>
      </c>
      <c r="B369" s="48" t="s">
        <v>6</v>
      </c>
      <c r="C369" s="48" t="s">
        <v>1322</v>
      </c>
      <c r="D369" s="48" t="s">
        <v>1410</v>
      </c>
      <c r="E369" s="50">
        <v>45626</v>
      </c>
      <c r="F369" s="49" t="s">
        <v>1321</v>
      </c>
      <c r="G369" s="48" t="s">
        <v>36</v>
      </c>
      <c r="H369" s="48" t="s">
        <v>42</v>
      </c>
      <c r="I369" s="51">
        <v>2539829.423163</v>
      </c>
      <c r="J369" s="51"/>
      <c r="K369" s="51"/>
      <c r="L369" s="48" t="s">
        <v>40</v>
      </c>
      <c r="M369" s="48" t="s">
        <v>1433</v>
      </c>
      <c r="N369" s="48" t="s">
        <v>1434</v>
      </c>
      <c r="O369" s="49" t="s">
        <v>1437</v>
      </c>
      <c r="P369" s="48" t="s">
        <v>38</v>
      </c>
      <c r="Q369" s="48" t="s">
        <v>37</v>
      </c>
      <c r="R369" s="48" t="s">
        <v>1436</v>
      </c>
      <c r="S369" s="48" t="s">
        <v>1436</v>
      </c>
      <c r="T369" s="48" t="s">
        <v>1436</v>
      </c>
      <c r="U369" s="48" t="s">
        <v>38</v>
      </c>
      <c r="V369" s="48" t="s">
        <v>39</v>
      </c>
      <c r="W369" s="48" t="s">
        <v>40</v>
      </c>
      <c r="X369" s="48" t="s">
        <v>41</v>
      </c>
      <c r="Y369" s="48" t="s">
        <v>1436</v>
      </c>
      <c r="Z369" s="48" t="s">
        <v>1436</v>
      </c>
      <c r="AA369" s="48" t="s">
        <v>1436</v>
      </c>
      <c r="AB369" s="49" t="s">
        <v>193</v>
      </c>
      <c r="AC369" s="48" t="s">
        <v>1194</v>
      </c>
      <c r="AD369" s="48" t="s">
        <v>1244</v>
      </c>
      <c r="AE369" s="48" t="s">
        <v>36</v>
      </c>
    </row>
    <row r="370" spans="1:31" x14ac:dyDescent="0.3">
      <c r="A370" s="48" t="s">
        <v>1320</v>
      </c>
      <c r="B370" s="48" t="s">
        <v>6</v>
      </c>
      <c r="C370" s="48" t="s">
        <v>1322</v>
      </c>
      <c r="D370" s="48" t="s">
        <v>1409</v>
      </c>
      <c r="E370" s="50">
        <v>45626</v>
      </c>
      <c r="F370" s="49" t="s">
        <v>1321</v>
      </c>
      <c r="G370" s="48" t="s">
        <v>36</v>
      </c>
      <c r="H370" s="48" t="s">
        <v>45</v>
      </c>
      <c r="I370" s="51">
        <v>-624214.75598999998</v>
      </c>
      <c r="J370" s="51"/>
      <c r="K370" s="51"/>
      <c r="L370" s="48" t="s">
        <v>40</v>
      </c>
      <c r="M370" s="48" t="s">
        <v>1433</v>
      </c>
      <c r="N370" s="48" t="s">
        <v>1447</v>
      </c>
      <c r="O370" s="49" t="s">
        <v>1449</v>
      </c>
      <c r="P370" s="48" t="s">
        <v>38</v>
      </c>
      <c r="Q370" s="48" t="s">
        <v>37</v>
      </c>
      <c r="R370" s="48" t="s">
        <v>1436</v>
      </c>
      <c r="S370" s="48" t="s">
        <v>1436</v>
      </c>
      <c r="T370" s="48" t="s">
        <v>1436</v>
      </c>
      <c r="U370" s="48" t="s">
        <v>38</v>
      </c>
      <c r="V370" s="48" t="s">
        <v>39</v>
      </c>
      <c r="W370" s="48" t="s">
        <v>40</v>
      </c>
      <c r="X370" s="48" t="s">
        <v>41</v>
      </c>
      <c r="Y370" s="48" t="s">
        <v>1436</v>
      </c>
      <c r="Z370" s="48" t="s">
        <v>1436</v>
      </c>
      <c r="AA370" s="48" t="s">
        <v>1436</v>
      </c>
      <c r="AB370" s="49" t="s">
        <v>193</v>
      </c>
      <c r="AC370" s="48" t="s">
        <v>1194</v>
      </c>
      <c r="AD370" s="48" t="s">
        <v>1244</v>
      </c>
      <c r="AE370" s="48" t="s">
        <v>36</v>
      </c>
    </row>
    <row r="371" spans="1:31" x14ac:dyDescent="0.3">
      <c r="A371" s="48" t="s">
        <v>1320</v>
      </c>
      <c r="B371" s="48" t="s">
        <v>6</v>
      </c>
      <c r="C371" s="48" t="s">
        <v>1322</v>
      </c>
      <c r="D371" s="48" t="s">
        <v>1408</v>
      </c>
      <c r="E371" s="50">
        <v>45626</v>
      </c>
      <c r="F371" s="49" t="s">
        <v>1321</v>
      </c>
      <c r="G371" s="48" t="s">
        <v>36</v>
      </c>
      <c r="H371" s="48" t="s">
        <v>54</v>
      </c>
      <c r="I371" s="51">
        <v>-535773.61</v>
      </c>
      <c r="J371" s="51"/>
      <c r="K371" s="51"/>
      <c r="L371" s="48" t="s">
        <v>40</v>
      </c>
      <c r="M371" s="48" t="s">
        <v>1433</v>
      </c>
      <c r="N371" s="48" t="s">
        <v>1447</v>
      </c>
      <c r="O371" s="49" t="s">
        <v>1450</v>
      </c>
      <c r="P371" s="48" t="s">
        <v>38</v>
      </c>
      <c r="Q371" s="48" t="s">
        <v>37</v>
      </c>
      <c r="R371" s="48" t="s">
        <v>1436</v>
      </c>
      <c r="S371" s="48" t="s">
        <v>1436</v>
      </c>
      <c r="T371" s="48" t="s">
        <v>1436</v>
      </c>
      <c r="U371" s="48" t="s">
        <v>38</v>
      </c>
      <c r="V371" s="48" t="s">
        <v>39</v>
      </c>
      <c r="W371" s="48" t="s">
        <v>40</v>
      </c>
      <c r="X371" s="48" t="s">
        <v>41</v>
      </c>
      <c r="Y371" s="48" t="s">
        <v>1436</v>
      </c>
      <c r="Z371" s="48" t="s">
        <v>1436</v>
      </c>
      <c r="AA371" s="48" t="s">
        <v>1436</v>
      </c>
      <c r="AB371" s="49" t="s">
        <v>193</v>
      </c>
      <c r="AC371" s="48" t="s">
        <v>1194</v>
      </c>
      <c r="AD371" s="48" t="s">
        <v>1244</v>
      </c>
      <c r="AE371" s="48" t="s">
        <v>36</v>
      </c>
    </row>
    <row r="372" spans="1:31" x14ac:dyDescent="0.3">
      <c r="A372" s="48" t="s">
        <v>1320</v>
      </c>
      <c r="B372" s="48" t="s">
        <v>6</v>
      </c>
      <c r="C372" s="48" t="s">
        <v>1322</v>
      </c>
      <c r="D372" s="48" t="s">
        <v>1407</v>
      </c>
      <c r="E372" s="50">
        <v>45626</v>
      </c>
      <c r="F372" s="49" t="s">
        <v>1321</v>
      </c>
      <c r="G372" s="48" t="s">
        <v>36</v>
      </c>
      <c r="H372" s="48" t="s">
        <v>47</v>
      </c>
      <c r="I372" s="51">
        <v>87985.69008</v>
      </c>
      <c r="J372" s="51"/>
      <c r="K372" s="51"/>
      <c r="L372" s="48" t="s">
        <v>40</v>
      </c>
      <c r="M372" s="48" t="s">
        <v>1438</v>
      </c>
      <c r="N372" s="48" t="s">
        <v>1444</v>
      </c>
      <c r="O372" s="49" t="s">
        <v>1446</v>
      </c>
      <c r="P372" s="48" t="s">
        <v>38</v>
      </c>
      <c r="Q372" s="48" t="s">
        <v>37</v>
      </c>
      <c r="R372" s="48" t="s">
        <v>1436</v>
      </c>
      <c r="S372" s="48" t="s">
        <v>1436</v>
      </c>
      <c r="T372" s="48" t="s">
        <v>1436</v>
      </c>
      <c r="U372" s="48" t="s">
        <v>38</v>
      </c>
      <c r="V372" s="48" t="s">
        <v>39</v>
      </c>
      <c r="W372" s="48" t="s">
        <v>40</v>
      </c>
      <c r="X372" s="48" t="s">
        <v>41</v>
      </c>
      <c r="Y372" s="48" t="s">
        <v>1436</v>
      </c>
      <c r="Z372" s="48" t="s">
        <v>1436</v>
      </c>
      <c r="AA372" s="48" t="s">
        <v>1436</v>
      </c>
      <c r="AB372" s="49" t="s">
        <v>193</v>
      </c>
      <c r="AC372" s="48" t="s">
        <v>1194</v>
      </c>
      <c r="AD372" s="48" t="s">
        <v>1244</v>
      </c>
      <c r="AE372" s="48" t="s">
        <v>36</v>
      </c>
    </row>
    <row r="373" spans="1:31" x14ac:dyDescent="0.3">
      <c r="A373" s="48" t="s">
        <v>1320</v>
      </c>
      <c r="B373" s="48" t="s">
        <v>6</v>
      </c>
      <c r="C373" s="48" t="s">
        <v>1322</v>
      </c>
      <c r="D373" s="48" t="s">
        <v>1406</v>
      </c>
      <c r="E373" s="50">
        <v>45626</v>
      </c>
      <c r="F373" s="49" t="s">
        <v>1321</v>
      </c>
      <c r="G373" s="48" t="s">
        <v>36</v>
      </c>
      <c r="H373" s="48" t="s">
        <v>1441</v>
      </c>
      <c r="I373" s="51">
        <v>0</v>
      </c>
      <c r="J373" s="51"/>
      <c r="K373" s="51"/>
      <c r="L373" s="48" t="s">
        <v>1194</v>
      </c>
      <c r="M373" s="48" t="s">
        <v>1438</v>
      </c>
      <c r="N373" s="48" t="s">
        <v>1439</v>
      </c>
      <c r="O373" s="49" t="s">
        <v>1440</v>
      </c>
      <c r="P373" s="48" t="s">
        <v>38</v>
      </c>
      <c r="Q373" s="48" t="s">
        <v>37</v>
      </c>
      <c r="R373" s="48" t="s">
        <v>1436</v>
      </c>
      <c r="S373" s="48" t="s">
        <v>1436</v>
      </c>
      <c r="T373" s="48" t="s">
        <v>1436</v>
      </c>
      <c r="U373" s="48" t="s">
        <v>38</v>
      </c>
      <c r="V373" s="48" t="s">
        <v>39</v>
      </c>
      <c r="W373" s="48" t="s">
        <v>1194</v>
      </c>
      <c r="X373" s="48" t="s">
        <v>41</v>
      </c>
      <c r="Y373" s="48" t="s">
        <v>1436</v>
      </c>
      <c r="Z373" s="48" t="s">
        <v>1436</v>
      </c>
      <c r="AA373" s="48" t="s">
        <v>1436</v>
      </c>
      <c r="AB373" s="49" t="s">
        <v>193</v>
      </c>
      <c r="AC373" s="48" t="s">
        <v>1194</v>
      </c>
      <c r="AD373" s="48" t="s">
        <v>1244</v>
      </c>
      <c r="AE373" s="48" t="s">
        <v>36</v>
      </c>
    </row>
    <row r="374" spans="1:31" x14ac:dyDescent="0.3">
      <c r="A374" s="48" t="s">
        <v>1320</v>
      </c>
      <c r="B374" s="48" t="s">
        <v>6</v>
      </c>
      <c r="C374" s="48" t="s">
        <v>1322</v>
      </c>
      <c r="D374" s="48" t="s">
        <v>1405</v>
      </c>
      <c r="E374" s="50">
        <v>45626</v>
      </c>
      <c r="F374" s="49" t="s">
        <v>1321</v>
      </c>
      <c r="G374" s="48" t="s">
        <v>36</v>
      </c>
      <c r="H374" s="48" t="s">
        <v>1443</v>
      </c>
      <c r="I374" s="51">
        <v>0</v>
      </c>
      <c r="J374" s="51"/>
      <c r="K374" s="51"/>
      <c r="L374" s="48" t="s">
        <v>1194</v>
      </c>
      <c r="M374" s="48" t="s">
        <v>1438</v>
      </c>
      <c r="N374" s="48" t="s">
        <v>1439</v>
      </c>
      <c r="O374" s="49" t="s">
        <v>1442</v>
      </c>
      <c r="P374" s="48" t="s">
        <v>38</v>
      </c>
      <c r="Q374" s="48" t="s">
        <v>37</v>
      </c>
      <c r="R374" s="48" t="s">
        <v>1436</v>
      </c>
      <c r="S374" s="48" t="s">
        <v>1436</v>
      </c>
      <c r="T374" s="48" t="s">
        <v>1436</v>
      </c>
      <c r="U374" s="48" t="s">
        <v>38</v>
      </c>
      <c r="V374" s="48" t="s">
        <v>39</v>
      </c>
      <c r="W374" s="48" t="s">
        <v>1194</v>
      </c>
      <c r="X374" s="48" t="s">
        <v>41</v>
      </c>
      <c r="Y374" s="48" t="s">
        <v>1436</v>
      </c>
      <c r="Z374" s="48" t="s">
        <v>1436</v>
      </c>
      <c r="AA374" s="48" t="s">
        <v>1436</v>
      </c>
      <c r="AB374" s="49" t="s">
        <v>193</v>
      </c>
      <c r="AC374" s="48" t="s">
        <v>1194</v>
      </c>
      <c r="AD374" s="48" t="s">
        <v>1244</v>
      </c>
      <c r="AE374" s="48" t="s">
        <v>36</v>
      </c>
    </row>
    <row r="375" spans="1:31" x14ac:dyDescent="0.3">
      <c r="A375" s="48" t="s">
        <v>1320</v>
      </c>
      <c r="B375" s="48" t="s">
        <v>6</v>
      </c>
      <c r="C375" s="48" t="s">
        <v>1322</v>
      </c>
      <c r="D375" s="48" t="s">
        <v>1404</v>
      </c>
      <c r="E375" s="50">
        <v>45626</v>
      </c>
      <c r="F375" s="49" t="s">
        <v>1321</v>
      </c>
      <c r="G375" s="48" t="s">
        <v>36</v>
      </c>
      <c r="H375" s="48" t="s">
        <v>49</v>
      </c>
      <c r="I375" s="51">
        <v>-6766.5988020000004</v>
      </c>
      <c r="J375" s="51"/>
      <c r="K375" s="51"/>
      <c r="L375" s="48" t="s">
        <v>38</v>
      </c>
      <c r="M375" s="48" t="s">
        <v>1433</v>
      </c>
      <c r="N375" s="48" t="s">
        <v>1447</v>
      </c>
      <c r="O375" s="49" t="s">
        <v>1451</v>
      </c>
      <c r="P375" s="48" t="s">
        <v>38</v>
      </c>
      <c r="Q375" s="48" t="s">
        <v>37</v>
      </c>
      <c r="R375" s="48" t="s">
        <v>1436</v>
      </c>
      <c r="S375" s="48" t="s">
        <v>1436</v>
      </c>
      <c r="T375" s="48" t="s">
        <v>1436</v>
      </c>
      <c r="U375" s="48" t="s">
        <v>38</v>
      </c>
      <c r="V375" s="48" t="s">
        <v>39</v>
      </c>
      <c r="W375" s="48" t="s">
        <v>38</v>
      </c>
      <c r="X375" s="48" t="s">
        <v>41</v>
      </c>
      <c r="Y375" s="48" t="s">
        <v>1436</v>
      </c>
      <c r="Z375" s="48" t="s">
        <v>1436</v>
      </c>
      <c r="AA375" s="48" t="s">
        <v>1436</v>
      </c>
      <c r="AB375" s="49" t="s">
        <v>193</v>
      </c>
      <c r="AC375" s="48" t="s">
        <v>1194</v>
      </c>
      <c r="AD375" s="48" t="s">
        <v>1244</v>
      </c>
      <c r="AE375" s="48" t="s">
        <v>36</v>
      </c>
    </row>
    <row r="376" spans="1:31" x14ac:dyDescent="0.3">
      <c r="A376" s="48" t="s">
        <v>1320</v>
      </c>
      <c r="B376" s="48" t="s">
        <v>6</v>
      </c>
      <c r="C376" s="48" t="s">
        <v>1322</v>
      </c>
      <c r="D376" s="48" t="s">
        <v>1413</v>
      </c>
      <c r="E376" s="50">
        <v>45657</v>
      </c>
      <c r="F376" s="49" t="s">
        <v>1321</v>
      </c>
      <c r="G376" s="48" t="s">
        <v>36</v>
      </c>
      <c r="H376" s="48" t="s">
        <v>58</v>
      </c>
      <c r="I376" s="51">
        <v>-1800000</v>
      </c>
      <c r="J376" s="51"/>
      <c r="K376" s="51"/>
      <c r="L376" s="48" t="s">
        <v>40</v>
      </c>
      <c r="M376" s="48" t="s">
        <v>1433</v>
      </c>
      <c r="N376" s="48" t="s">
        <v>1447</v>
      </c>
      <c r="O376" s="49" t="s">
        <v>1448</v>
      </c>
      <c r="P376" s="48" t="s">
        <v>38</v>
      </c>
      <c r="Q376" s="48" t="s">
        <v>37</v>
      </c>
      <c r="R376" s="48" t="s">
        <v>1436</v>
      </c>
      <c r="S376" s="48" t="s">
        <v>1436</v>
      </c>
      <c r="T376" s="48" t="s">
        <v>1436</v>
      </c>
      <c r="U376" s="48" t="s">
        <v>38</v>
      </c>
      <c r="V376" s="48" t="s">
        <v>39</v>
      </c>
      <c r="W376" s="48" t="s">
        <v>40</v>
      </c>
      <c r="X376" s="48" t="s">
        <v>41</v>
      </c>
      <c r="Y376" s="48" t="s">
        <v>1436</v>
      </c>
      <c r="Z376" s="48" t="s">
        <v>1436</v>
      </c>
      <c r="AA376" s="48" t="s">
        <v>1436</v>
      </c>
      <c r="AB376" s="49" t="s">
        <v>193</v>
      </c>
      <c r="AC376" s="48" t="s">
        <v>1194</v>
      </c>
      <c r="AD376" s="48" t="s">
        <v>1244</v>
      </c>
      <c r="AE376" s="48" t="s">
        <v>36</v>
      </c>
    </row>
    <row r="377" spans="1:31" x14ac:dyDescent="0.3">
      <c r="A377" s="48" t="s">
        <v>1320</v>
      </c>
      <c r="B377" s="48" t="s">
        <v>6</v>
      </c>
      <c r="C377" s="48" t="s">
        <v>1322</v>
      </c>
      <c r="D377" s="48" t="s">
        <v>1412</v>
      </c>
      <c r="E377" s="50">
        <v>45657</v>
      </c>
      <c r="F377" s="49" t="s">
        <v>1321</v>
      </c>
      <c r="G377" s="48" t="s">
        <v>36</v>
      </c>
      <c r="H377" s="48" t="s">
        <v>52</v>
      </c>
      <c r="I377" s="51">
        <v>-1523897.65</v>
      </c>
      <c r="J377" s="51"/>
      <c r="K377" s="51"/>
      <c r="L377" s="48" t="s">
        <v>40</v>
      </c>
      <c r="M377" s="48" t="s">
        <v>1433</v>
      </c>
      <c r="N377" s="48" t="s">
        <v>1434</v>
      </c>
      <c r="O377" s="49" t="s">
        <v>1435</v>
      </c>
      <c r="P377" s="48" t="s">
        <v>38</v>
      </c>
      <c r="Q377" s="48" t="s">
        <v>37</v>
      </c>
      <c r="R377" s="48" t="s">
        <v>1436</v>
      </c>
      <c r="S377" s="48" t="s">
        <v>1436</v>
      </c>
      <c r="T377" s="48" t="s">
        <v>1436</v>
      </c>
      <c r="U377" s="48" t="s">
        <v>38</v>
      </c>
      <c r="V377" s="48" t="s">
        <v>39</v>
      </c>
      <c r="W377" s="48" t="s">
        <v>40</v>
      </c>
      <c r="X377" s="48" t="s">
        <v>41</v>
      </c>
      <c r="Y377" s="48" t="s">
        <v>1436</v>
      </c>
      <c r="Z377" s="48" t="s">
        <v>1436</v>
      </c>
      <c r="AA377" s="48" t="s">
        <v>1436</v>
      </c>
      <c r="AB377" s="49" t="s">
        <v>193</v>
      </c>
      <c r="AC377" s="48" t="s">
        <v>1194</v>
      </c>
      <c r="AD377" s="48" t="s">
        <v>1244</v>
      </c>
      <c r="AE377" s="48" t="s">
        <v>36</v>
      </c>
    </row>
    <row r="378" spans="1:31" x14ac:dyDescent="0.3">
      <c r="A378" s="48" t="s">
        <v>1320</v>
      </c>
      <c r="B378" s="48" t="s">
        <v>6</v>
      </c>
      <c r="C378" s="48" t="s">
        <v>1322</v>
      </c>
      <c r="D378" s="48" t="s">
        <v>1411</v>
      </c>
      <c r="E378" s="50">
        <v>45657</v>
      </c>
      <c r="F378" s="49" t="s">
        <v>1321</v>
      </c>
      <c r="G378" s="48" t="s">
        <v>36</v>
      </c>
      <c r="H378" s="48" t="s">
        <v>50</v>
      </c>
      <c r="I378" s="51">
        <v>507965.88</v>
      </c>
      <c r="J378" s="51"/>
      <c r="K378" s="51"/>
      <c r="L378" s="48" t="s">
        <v>40</v>
      </c>
      <c r="M378" s="48" t="s">
        <v>1438</v>
      </c>
      <c r="N378" s="48" t="s">
        <v>1444</v>
      </c>
      <c r="O378" s="49" t="s">
        <v>1445</v>
      </c>
      <c r="P378" s="48" t="s">
        <v>38</v>
      </c>
      <c r="Q378" s="48" t="s">
        <v>37</v>
      </c>
      <c r="R378" s="48" t="s">
        <v>1436</v>
      </c>
      <c r="S378" s="48" t="s">
        <v>1436</v>
      </c>
      <c r="T378" s="48" t="s">
        <v>1436</v>
      </c>
      <c r="U378" s="48" t="s">
        <v>38</v>
      </c>
      <c r="V378" s="48" t="s">
        <v>39</v>
      </c>
      <c r="W378" s="48" t="s">
        <v>40</v>
      </c>
      <c r="X378" s="48" t="s">
        <v>41</v>
      </c>
      <c r="Y378" s="48" t="s">
        <v>1436</v>
      </c>
      <c r="Z378" s="48" t="s">
        <v>1436</v>
      </c>
      <c r="AA378" s="48" t="s">
        <v>1436</v>
      </c>
      <c r="AB378" s="49" t="s">
        <v>193</v>
      </c>
      <c r="AC378" s="48" t="s">
        <v>1194</v>
      </c>
      <c r="AD378" s="48" t="s">
        <v>1244</v>
      </c>
      <c r="AE378" s="48" t="s">
        <v>36</v>
      </c>
    </row>
    <row r="379" spans="1:31" x14ac:dyDescent="0.3">
      <c r="A379" s="48" t="s">
        <v>1320</v>
      </c>
      <c r="B379" s="48" t="s">
        <v>6</v>
      </c>
      <c r="C379" s="48" t="s">
        <v>1322</v>
      </c>
      <c r="D379" s="48" t="s">
        <v>1410</v>
      </c>
      <c r="E379" s="50">
        <v>45657</v>
      </c>
      <c r="F379" s="49" t="s">
        <v>1321</v>
      </c>
      <c r="G379" s="48" t="s">
        <v>36</v>
      </c>
      <c r="H379" s="48" t="s">
        <v>42</v>
      </c>
      <c r="I379" s="51">
        <v>2539829.423163</v>
      </c>
      <c r="J379" s="51"/>
      <c r="K379" s="51"/>
      <c r="L379" s="48" t="s">
        <v>40</v>
      </c>
      <c r="M379" s="48" t="s">
        <v>1433</v>
      </c>
      <c r="N379" s="48" t="s">
        <v>1434</v>
      </c>
      <c r="O379" s="49" t="s">
        <v>1437</v>
      </c>
      <c r="P379" s="48" t="s">
        <v>38</v>
      </c>
      <c r="Q379" s="48" t="s">
        <v>37</v>
      </c>
      <c r="R379" s="48" t="s">
        <v>1436</v>
      </c>
      <c r="S379" s="48" t="s">
        <v>1436</v>
      </c>
      <c r="T379" s="48" t="s">
        <v>1436</v>
      </c>
      <c r="U379" s="48" t="s">
        <v>38</v>
      </c>
      <c r="V379" s="48" t="s">
        <v>39</v>
      </c>
      <c r="W379" s="48" t="s">
        <v>40</v>
      </c>
      <c r="X379" s="48" t="s">
        <v>41</v>
      </c>
      <c r="Y379" s="48" t="s">
        <v>1436</v>
      </c>
      <c r="Z379" s="48" t="s">
        <v>1436</v>
      </c>
      <c r="AA379" s="48" t="s">
        <v>1436</v>
      </c>
      <c r="AB379" s="49" t="s">
        <v>193</v>
      </c>
      <c r="AC379" s="48" t="s">
        <v>1194</v>
      </c>
      <c r="AD379" s="48" t="s">
        <v>1244</v>
      </c>
      <c r="AE379" s="48" t="s">
        <v>36</v>
      </c>
    </row>
    <row r="380" spans="1:31" x14ac:dyDescent="0.3">
      <c r="A380" s="48" t="s">
        <v>1320</v>
      </c>
      <c r="B380" s="48" t="s">
        <v>6</v>
      </c>
      <c r="C380" s="48" t="s">
        <v>1322</v>
      </c>
      <c r="D380" s="48" t="s">
        <v>1409</v>
      </c>
      <c r="E380" s="50">
        <v>45657</v>
      </c>
      <c r="F380" s="49" t="s">
        <v>1321</v>
      </c>
      <c r="G380" s="48" t="s">
        <v>36</v>
      </c>
      <c r="H380" s="48" t="s">
        <v>45</v>
      </c>
      <c r="I380" s="51">
        <v>-577856.00479200005</v>
      </c>
      <c r="J380" s="51"/>
      <c r="K380" s="51"/>
      <c r="L380" s="48" t="s">
        <v>40</v>
      </c>
      <c r="M380" s="48" t="s">
        <v>1433</v>
      </c>
      <c r="N380" s="48" t="s">
        <v>1447</v>
      </c>
      <c r="O380" s="49" t="s">
        <v>1449</v>
      </c>
      <c r="P380" s="48" t="s">
        <v>38</v>
      </c>
      <c r="Q380" s="48" t="s">
        <v>37</v>
      </c>
      <c r="R380" s="48" t="s">
        <v>1436</v>
      </c>
      <c r="S380" s="48" t="s">
        <v>1436</v>
      </c>
      <c r="T380" s="48" t="s">
        <v>1436</v>
      </c>
      <c r="U380" s="48" t="s">
        <v>38</v>
      </c>
      <c r="V380" s="48" t="s">
        <v>39</v>
      </c>
      <c r="W380" s="48" t="s">
        <v>40</v>
      </c>
      <c r="X380" s="48" t="s">
        <v>41</v>
      </c>
      <c r="Y380" s="48" t="s">
        <v>1436</v>
      </c>
      <c r="Z380" s="48" t="s">
        <v>1436</v>
      </c>
      <c r="AA380" s="48" t="s">
        <v>1436</v>
      </c>
      <c r="AB380" s="49" t="s">
        <v>193</v>
      </c>
      <c r="AC380" s="48" t="s">
        <v>1194</v>
      </c>
      <c r="AD380" s="48" t="s">
        <v>1244</v>
      </c>
      <c r="AE380" s="48" t="s">
        <v>36</v>
      </c>
    </row>
    <row r="381" spans="1:31" x14ac:dyDescent="0.3">
      <c r="A381" s="48" t="s">
        <v>1320</v>
      </c>
      <c r="B381" s="48" t="s">
        <v>6</v>
      </c>
      <c r="C381" s="48" t="s">
        <v>1322</v>
      </c>
      <c r="D381" s="48" t="s">
        <v>1408</v>
      </c>
      <c r="E381" s="50">
        <v>45657</v>
      </c>
      <c r="F381" s="49" t="s">
        <v>1321</v>
      </c>
      <c r="G381" s="48" t="s">
        <v>36</v>
      </c>
      <c r="H381" s="48" t="s">
        <v>54</v>
      </c>
      <c r="I381" s="51">
        <v>-538898.96</v>
      </c>
      <c r="J381" s="51"/>
      <c r="K381" s="51"/>
      <c r="L381" s="48" t="s">
        <v>40</v>
      </c>
      <c r="M381" s="48" t="s">
        <v>1433</v>
      </c>
      <c r="N381" s="48" t="s">
        <v>1447</v>
      </c>
      <c r="O381" s="49" t="s">
        <v>1450</v>
      </c>
      <c r="P381" s="48" t="s">
        <v>38</v>
      </c>
      <c r="Q381" s="48" t="s">
        <v>37</v>
      </c>
      <c r="R381" s="48" t="s">
        <v>1436</v>
      </c>
      <c r="S381" s="48" t="s">
        <v>1436</v>
      </c>
      <c r="T381" s="48" t="s">
        <v>1436</v>
      </c>
      <c r="U381" s="48" t="s">
        <v>38</v>
      </c>
      <c r="V381" s="48" t="s">
        <v>39</v>
      </c>
      <c r="W381" s="48" t="s">
        <v>40</v>
      </c>
      <c r="X381" s="48" t="s">
        <v>41</v>
      </c>
      <c r="Y381" s="48" t="s">
        <v>1436</v>
      </c>
      <c r="Z381" s="48" t="s">
        <v>1436</v>
      </c>
      <c r="AA381" s="48" t="s">
        <v>1436</v>
      </c>
      <c r="AB381" s="49" t="s">
        <v>193</v>
      </c>
      <c r="AC381" s="48" t="s">
        <v>1194</v>
      </c>
      <c r="AD381" s="48" t="s">
        <v>1244</v>
      </c>
      <c r="AE381" s="48" t="s">
        <v>36</v>
      </c>
    </row>
    <row r="382" spans="1:31" x14ac:dyDescent="0.3">
      <c r="A382" s="48" t="s">
        <v>1320</v>
      </c>
      <c r="B382" s="48" t="s">
        <v>6</v>
      </c>
      <c r="C382" s="48" t="s">
        <v>1322</v>
      </c>
      <c r="D382" s="48" t="s">
        <v>1407</v>
      </c>
      <c r="E382" s="50">
        <v>45657</v>
      </c>
      <c r="F382" s="49" t="s">
        <v>1321</v>
      </c>
      <c r="G382" s="48" t="s">
        <v>36</v>
      </c>
      <c r="H382" s="48" t="s">
        <v>47</v>
      </c>
      <c r="I382" s="51">
        <v>94500.094041000004</v>
      </c>
      <c r="J382" s="51"/>
      <c r="K382" s="51"/>
      <c r="L382" s="48" t="s">
        <v>40</v>
      </c>
      <c r="M382" s="48" t="s">
        <v>1438</v>
      </c>
      <c r="N382" s="48" t="s">
        <v>1444</v>
      </c>
      <c r="O382" s="49" t="s">
        <v>1446</v>
      </c>
      <c r="P382" s="48" t="s">
        <v>38</v>
      </c>
      <c r="Q382" s="48" t="s">
        <v>37</v>
      </c>
      <c r="R382" s="48" t="s">
        <v>1436</v>
      </c>
      <c r="S382" s="48" t="s">
        <v>1436</v>
      </c>
      <c r="T382" s="48" t="s">
        <v>1436</v>
      </c>
      <c r="U382" s="48" t="s">
        <v>38</v>
      </c>
      <c r="V382" s="48" t="s">
        <v>39</v>
      </c>
      <c r="W382" s="48" t="s">
        <v>40</v>
      </c>
      <c r="X382" s="48" t="s">
        <v>41</v>
      </c>
      <c r="Y382" s="48" t="s">
        <v>1436</v>
      </c>
      <c r="Z382" s="48" t="s">
        <v>1436</v>
      </c>
      <c r="AA382" s="48" t="s">
        <v>1436</v>
      </c>
      <c r="AB382" s="49" t="s">
        <v>193</v>
      </c>
      <c r="AC382" s="48" t="s">
        <v>1194</v>
      </c>
      <c r="AD382" s="48" t="s">
        <v>1244</v>
      </c>
      <c r="AE382" s="48" t="s">
        <v>36</v>
      </c>
    </row>
    <row r="383" spans="1:31" x14ac:dyDescent="0.3">
      <c r="A383" s="48" t="s">
        <v>1320</v>
      </c>
      <c r="B383" s="48" t="s">
        <v>6</v>
      </c>
      <c r="C383" s="48" t="s">
        <v>1322</v>
      </c>
      <c r="D383" s="48" t="s">
        <v>1406</v>
      </c>
      <c r="E383" s="50">
        <v>45657</v>
      </c>
      <c r="F383" s="49" t="s">
        <v>1321</v>
      </c>
      <c r="G383" s="48" t="s">
        <v>36</v>
      </c>
      <c r="H383" s="48" t="s">
        <v>1441</v>
      </c>
      <c r="I383" s="51">
        <v>0</v>
      </c>
      <c r="J383" s="51"/>
      <c r="K383" s="51"/>
      <c r="L383" s="48" t="s">
        <v>1194</v>
      </c>
      <c r="M383" s="48" t="s">
        <v>1438</v>
      </c>
      <c r="N383" s="48" t="s">
        <v>1439</v>
      </c>
      <c r="O383" s="49" t="s">
        <v>1440</v>
      </c>
      <c r="P383" s="48" t="s">
        <v>38</v>
      </c>
      <c r="Q383" s="48" t="s">
        <v>37</v>
      </c>
      <c r="R383" s="48" t="s">
        <v>1436</v>
      </c>
      <c r="S383" s="48" t="s">
        <v>1436</v>
      </c>
      <c r="T383" s="48" t="s">
        <v>1436</v>
      </c>
      <c r="U383" s="48" t="s">
        <v>38</v>
      </c>
      <c r="V383" s="48" t="s">
        <v>39</v>
      </c>
      <c r="W383" s="48" t="s">
        <v>1194</v>
      </c>
      <c r="X383" s="48" t="s">
        <v>41</v>
      </c>
      <c r="Y383" s="48" t="s">
        <v>1436</v>
      </c>
      <c r="Z383" s="48" t="s">
        <v>1436</v>
      </c>
      <c r="AA383" s="48" t="s">
        <v>1436</v>
      </c>
      <c r="AB383" s="49" t="s">
        <v>193</v>
      </c>
      <c r="AC383" s="48" t="s">
        <v>1194</v>
      </c>
      <c r="AD383" s="48" t="s">
        <v>1244</v>
      </c>
      <c r="AE383" s="48" t="s">
        <v>36</v>
      </c>
    </row>
    <row r="384" spans="1:31" x14ac:dyDescent="0.3">
      <c r="A384" s="48" t="s">
        <v>1320</v>
      </c>
      <c r="B384" s="48" t="s">
        <v>6</v>
      </c>
      <c r="C384" s="48" t="s">
        <v>1322</v>
      </c>
      <c r="D384" s="48" t="s">
        <v>1405</v>
      </c>
      <c r="E384" s="50">
        <v>45657</v>
      </c>
      <c r="F384" s="49" t="s">
        <v>1321</v>
      </c>
      <c r="G384" s="48" t="s">
        <v>36</v>
      </c>
      <c r="H384" s="48" t="s">
        <v>1443</v>
      </c>
      <c r="I384" s="51">
        <v>0</v>
      </c>
      <c r="J384" s="51"/>
      <c r="K384" s="51"/>
      <c r="L384" s="48" t="s">
        <v>1194</v>
      </c>
      <c r="M384" s="48" t="s">
        <v>1438</v>
      </c>
      <c r="N384" s="48" t="s">
        <v>1439</v>
      </c>
      <c r="O384" s="49" t="s">
        <v>1442</v>
      </c>
      <c r="P384" s="48" t="s">
        <v>38</v>
      </c>
      <c r="Q384" s="48" t="s">
        <v>37</v>
      </c>
      <c r="R384" s="48" t="s">
        <v>1436</v>
      </c>
      <c r="S384" s="48" t="s">
        <v>1436</v>
      </c>
      <c r="T384" s="48" t="s">
        <v>1436</v>
      </c>
      <c r="U384" s="48" t="s">
        <v>38</v>
      </c>
      <c r="V384" s="48" t="s">
        <v>39</v>
      </c>
      <c r="W384" s="48" t="s">
        <v>1194</v>
      </c>
      <c r="X384" s="48" t="s">
        <v>41</v>
      </c>
      <c r="Y384" s="48" t="s">
        <v>1436</v>
      </c>
      <c r="Z384" s="48" t="s">
        <v>1436</v>
      </c>
      <c r="AA384" s="48" t="s">
        <v>1436</v>
      </c>
      <c r="AB384" s="49" t="s">
        <v>193</v>
      </c>
      <c r="AC384" s="48" t="s">
        <v>1194</v>
      </c>
      <c r="AD384" s="48" t="s">
        <v>1244</v>
      </c>
      <c r="AE384" s="48" t="s">
        <v>36</v>
      </c>
    </row>
    <row r="385" spans="1:31" x14ac:dyDescent="0.3">
      <c r="A385" s="48" t="s">
        <v>1320</v>
      </c>
      <c r="B385" s="48" t="s">
        <v>6</v>
      </c>
      <c r="C385" s="48" t="s">
        <v>1322</v>
      </c>
      <c r="D385" s="48" t="s">
        <v>1404</v>
      </c>
      <c r="E385" s="50">
        <v>45657</v>
      </c>
      <c r="F385" s="49" t="s">
        <v>1321</v>
      </c>
      <c r="G385" s="48" t="s">
        <v>36</v>
      </c>
      <c r="H385" s="48" t="s">
        <v>49</v>
      </c>
      <c r="I385" s="51">
        <v>-6514.403961</v>
      </c>
      <c r="J385" s="51"/>
      <c r="K385" s="51"/>
      <c r="L385" s="48" t="s">
        <v>38</v>
      </c>
      <c r="M385" s="48" t="s">
        <v>1433</v>
      </c>
      <c r="N385" s="48" t="s">
        <v>1447</v>
      </c>
      <c r="O385" s="49" t="s">
        <v>1451</v>
      </c>
      <c r="P385" s="48" t="s">
        <v>38</v>
      </c>
      <c r="Q385" s="48" t="s">
        <v>37</v>
      </c>
      <c r="R385" s="48" t="s">
        <v>1436</v>
      </c>
      <c r="S385" s="48" t="s">
        <v>1436</v>
      </c>
      <c r="T385" s="48" t="s">
        <v>1436</v>
      </c>
      <c r="U385" s="48" t="s">
        <v>38</v>
      </c>
      <c r="V385" s="48" t="s">
        <v>39</v>
      </c>
      <c r="W385" s="48" t="s">
        <v>38</v>
      </c>
      <c r="X385" s="48" t="s">
        <v>41</v>
      </c>
      <c r="Y385" s="48" t="s">
        <v>1436</v>
      </c>
      <c r="Z385" s="48" t="s">
        <v>1436</v>
      </c>
      <c r="AA385" s="48" t="s">
        <v>1436</v>
      </c>
      <c r="AB385" s="49" t="s">
        <v>193</v>
      </c>
      <c r="AC385" s="48" t="s">
        <v>1194</v>
      </c>
      <c r="AD385" s="48" t="s">
        <v>1244</v>
      </c>
      <c r="AE385" s="48" t="s">
        <v>36</v>
      </c>
    </row>
    <row r="386" spans="1:31" x14ac:dyDescent="0.3">
      <c r="A386" s="48" t="s">
        <v>1320</v>
      </c>
      <c r="B386" s="48" t="s">
        <v>6</v>
      </c>
      <c r="C386" s="48" t="s">
        <v>1322</v>
      </c>
      <c r="D386" s="48" t="s">
        <v>1413</v>
      </c>
      <c r="E386" s="50">
        <v>45688</v>
      </c>
      <c r="F386" s="49" t="s">
        <v>1321</v>
      </c>
      <c r="G386" s="48" t="s">
        <v>36</v>
      </c>
      <c r="H386" s="48" t="s">
        <v>58</v>
      </c>
      <c r="I386" s="51">
        <v>-1850000</v>
      </c>
      <c r="J386" s="51"/>
      <c r="K386" s="51"/>
      <c r="L386" s="48" t="s">
        <v>40</v>
      </c>
      <c r="M386" s="48" t="s">
        <v>1433</v>
      </c>
      <c r="N386" s="48" t="s">
        <v>1447</v>
      </c>
      <c r="O386" s="49" t="s">
        <v>1448</v>
      </c>
      <c r="P386" s="48" t="s">
        <v>38</v>
      </c>
      <c r="Q386" s="48" t="s">
        <v>37</v>
      </c>
      <c r="R386" s="48" t="s">
        <v>1436</v>
      </c>
      <c r="S386" s="48" t="s">
        <v>1436</v>
      </c>
      <c r="T386" s="48" t="s">
        <v>1436</v>
      </c>
      <c r="U386" s="48" t="s">
        <v>38</v>
      </c>
      <c r="V386" s="48" t="s">
        <v>39</v>
      </c>
      <c r="W386" s="48" t="s">
        <v>40</v>
      </c>
      <c r="X386" s="48" t="s">
        <v>41</v>
      </c>
      <c r="Y386" s="48" t="s">
        <v>1436</v>
      </c>
      <c r="Z386" s="48" t="s">
        <v>1436</v>
      </c>
      <c r="AA386" s="48" t="s">
        <v>1436</v>
      </c>
      <c r="AB386" s="49" t="s">
        <v>193</v>
      </c>
      <c r="AC386" s="48" t="s">
        <v>1194</v>
      </c>
      <c r="AD386" s="48" t="s">
        <v>1244</v>
      </c>
      <c r="AE386" s="48" t="s">
        <v>36</v>
      </c>
    </row>
    <row r="387" spans="1:31" x14ac:dyDescent="0.3">
      <c r="A387" s="48" t="s">
        <v>1320</v>
      </c>
      <c r="B387" s="48" t="s">
        <v>6</v>
      </c>
      <c r="C387" s="48" t="s">
        <v>1322</v>
      </c>
      <c r="D387" s="48" t="s">
        <v>1412</v>
      </c>
      <c r="E387" s="50">
        <v>45688</v>
      </c>
      <c r="F387" s="49" t="s">
        <v>1321</v>
      </c>
      <c r="G387" s="48" t="s">
        <v>36</v>
      </c>
      <c r="H387" s="48" t="s">
        <v>52</v>
      </c>
      <c r="I387" s="51">
        <v>-1566228.14</v>
      </c>
      <c r="J387" s="51"/>
      <c r="K387" s="51"/>
      <c r="L387" s="48" t="s">
        <v>40</v>
      </c>
      <c r="M387" s="48" t="s">
        <v>1433</v>
      </c>
      <c r="N387" s="48" t="s">
        <v>1434</v>
      </c>
      <c r="O387" s="49" t="s">
        <v>1435</v>
      </c>
      <c r="P387" s="48" t="s">
        <v>38</v>
      </c>
      <c r="Q387" s="48" t="s">
        <v>37</v>
      </c>
      <c r="R387" s="48" t="s">
        <v>1436</v>
      </c>
      <c r="S387" s="48" t="s">
        <v>1436</v>
      </c>
      <c r="T387" s="48" t="s">
        <v>1436</v>
      </c>
      <c r="U387" s="48" t="s">
        <v>38</v>
      </c>
      <c r="V387" s="48" t="s">
        <v>39</v>
      </c>
      <c r="W387" s="48" t="s">
        <v>40</v>
      </c>
      <c r="X387" s="48" t="s">
        <v>41</v>
      </c>
      <c r="Y387" s="48" t="s">
        <v>1436</v>
      </c>
      <c r="Z387" s="48" t="s">
        <v>1436</v>
      </c>
      <c r="AA387" s="48" t="s">
        <v>1436</v>
      </c>
      <c r="AB387" s="49" t="s">
        <v>193</v>
      </c>
      <c r="AC387" s="48" t="s">
        <v>1194</v>
      </c>
      <c r="AD387" s="48" t="s">
        <v>1244</v>
      </c>
      <c r="AE387" s="48" t="s">
        <v>36</v>
      </c>
    </row>
    <row r="388" spans="1:31" x14ac:dyDescent="0.3">
      <c r="A388" s="48" t="s">
        <v>1320</v>
      </c>
      <c r="B388" s="48" t="s">
        <v>6</v>
      </c>
      <c r="C388" s="48" t="s">
        <v>1322</v>
      </c>
      <c r="D388" s="48" t="s">
        <v>1411</v>
      </c>
      <c r="E388" s="50">
        <v>45688</v>
      </c>
      <c r="F388" s="49" t="s">
        <v>1321</v>
      </c>
      <c r="G388" s="48" t="s">
        <v>36</v>
      </c>
      <c r="H388" s="48" t="s">
        <v>50</v>
      </c>
      <c r="I388" s="51">
        <v>42330.49</v>
      </c>
      <c r="J388" s="51"/>
      <c r="K388" s="51"/>
      <c r="L388" s="48" t="s">
        <v>40</v>
      </c>
      <c r="M388" s="48" t="s">
        <v>1438</v>
      </c>
      <c r="N388" s="48" t="s">
        <v>1444</v>
      </c>
      <c r="O388" s="49" t="s">
        <v>1445</v>
      </c>
      <c r="P388" s="48" t="s">
        <v>38</v>
      </c>
      <c r="Q388" s="48" t="s">
        <v>37</v>
      </c>
      <c r="R388" s="48" t="s">
        <v>1436</v>
      </c>
      <c r="S388" s="48" t="s">
        <v>1436</v>
      </c>
      <c r="T388" s="48" t="s">
        <v>1436</v>
      </c>
      <c r="U388" s="48" t="s">
        <v>38</v>
      </c>
      <c r="V388" s="48" t="s">
        <v>39</v>
      </c>
      <c r="W388" s="48" t="s">
        <v>40</v>
      </c>
      <c r="X388" s="48" t="s">
        <v>41</v>
      </c>
      <c r="Y388" s="48" t="s">
        <v>1436</v>
      </c>
      <c r="Z388" s="48" t="s">
        <v>1436</v>
      </c>
      <c r="AA388" s="48" t="s">
        <v>1436</v>
      </c>
      <c r="AB388" s="49" t="s">
        <v>193</v>
      </c>
      <c r="AC388" s="48" t="s">
        <v>1194</v>
      </c>
      <c r="AD388" s="48" t="s">
        <v>1244</v>
      </c>
      <c r="AE388" s="48" t="s">
        <v>36</v>
      </c>
    </row>
    <row r="389" spans="1:31" x14ac:dyDescent="0.3">
      <c r="A389" s="48" t="s">
        <v>1320</v>
      </c>
      <c r="B389" s="48" t="s">
        <v>6</v>
      </c>
      <c r="C389" s="48" t="s">
        <v>1322</v>
      </c>
      <c r="D389" s="48" t="s">
        <v>1410</v>
      </c>
      <c r="E389" s="50">
        <v>45688</v>
      </c>
      <c r="F389" s="49" t="s">
        <v>1321</v>
      </c>
      <c r="G389" s="48" t="s">
        <v>36</v>
      </c>
      <c r="H389" s="48" t="s">
        <v>42</v>
      </c>
      <c r="I389" s="51">
        <v>2539829.423163</v>
      </c>
      <c r="J389" s="51"/>
      <c r="K389" s="51"/>
      <c r="L389" s="48" t="s">
        <v>40</v>
      </c>
      <c r="M389" s="48" t="s">
        <v>1433</v>
      </c>
      <c r="N389" s="48" t="s">
        <v>1434</v>
      </c>
      <c r="O389" s="49" t="s">
        <v>1437</v>
      </c>
      <c r="P389" s="48" t="s">
        <v>38</v>
      </c>
      <c r="Q389" s="48" t="s">
        <v>37</v>
      </c>
      <c r="R389" s="48" t="s">
        <v>1436</v>
      </c>
      <c r="S389" s="48" t="s">
        <v>1436</v>
      </c>
      <c r="T389" s="48" t="s">
        <v>1436</v>
      </c>
      <c r="U389" s="48" t="s">
        <v>38</v>
      </c>
      <c r="V389" s="48" t="s">
        <v>39</v>
      </c>
      <c r="W389" s="48" t="s">
        <v>40</v>
      </c>
      <c r="X389" s="48" t="s">
        <v>41</v>
      </c>
      <c r="Y389" s="48" t="s">
        <v>1436</v>
      </c>
      <c r="Z389" s="48" t="s">
        <v>1436</v>
      </c>
      <c r="AA389" s="48" t="s">
        <v>1436</v>
      </c>
      <c r="AB389" s="49" t="s">
        <v>193</v>
      </c>
      <c r="AC389" s="48" t="s">
        <v>1194</v>
      </c>
      <c r="AD389" s="48" t="s">
        <v>1244</v>
      </c>
      <c r="AE389" s="48" t="s">
        <v>36</v>
      </c>
    </row>
    <row r="390" spans="1:31" x14ac:dyDescent="0.3">
      <c r="A390" s="48" t="s">
        <v>1320</v>
      </c>
      <c r="B390" s="48" t="s">
        <v>6</v>
      </c>
      <c r="C390" s="48" t="s">
        <v>1322</v>
      </c>
      <c r="D390" s="48" t="s">
        <v>1409</v>
      </c>
      <c r="E390" s="50">
        <v>45688</v>
      </c>
      <c r="F390" s="49" t="s">
        <v>1321</v>
      </c>
      <c r="G390" s="48" t="s">
        <v>36</v>
      </c>
      <c r="H390" s="48" t="s">
        <v>45</v>
      </c>
      <c r="I390" s="51">
        <v>-531226.82875300001</v>
      </c>
      <c r="J390" s="51"/>
      <c r="K390" s="51"/>
      <c r="L390" s="48" t="s">
        <v>40</v>
      </c>
      <c r="M390" s="48" t="s">
        <v>1433</v>
      </c>
      <c r="N390" s="48" t="s">
        <v>1447</v>
      </c>
      <c r="O390" s="49" t="s">
        <v>1449</v>
      </c>
      <c r="P390" s="48" t="s">
        <v>38</v>
      </c>
      <c r="Q390" s="48" t="s">
        <v>37</v>
      </c>
      <c r="R390" s="48" t="s">
        <v>1436</v>
      </c>
      <c r="S390" s="48" t="s">
        <v>1436</v>
      </c>
      <c r="T390" s="48" t="s">
        <v>1436</v>
      </c>
      <c r="U390" s="48" t="s">
        <v>38</v>
      </c>
      <c r="V390" s="48" t="s">
        <v>39</v>
      </c>
      <c r="W390" s="48" t="s">
        <v>40</v>
      </c>
      <c r="X390" s="48" t="s">
        <v>41</v>
      </c>
      <c r="Y390" s="48" t="s">
        <v>1436</v>
      </c>
      <c r="Z390" s="48" t="s">
        <v>1436</v>
      </c>
      <c r="AA390" s="48" t="s">
        <v>1436</v>
      </c>
      <c r="AB390" s="49" t="s">
        <v>193</v>
      </c>
      <c r="AC390" s="48" t="s">
        <v>1194</v>
      </c>
      <c r="AD390" s="48" t="s">
        <v>1244</v>
      </c>
      <c r="AE390" s="48" t="s">
        <v>36</v>
      </c>
    </row>
    <row r="391" spans="1:31" x14ac:dyDescent="0.3">
      <c r="A391" s="48" t="s">
        <v>1320</v>
      </c>
      <c r="B391" s="48" t="s">
        <v>6</v>
      </c>
      <c r="C391" s="48" t="s">
        <v>1322</v>
      </c>
      <c r="D391" s="48" t="s">
        <v>1408</v>
      </c>
      <c r="E391" s="50">
        <v>45688</v>
      </c>
      <c r="F391" s="49" t="s">
        <v>1321</v>
      </c>
      <c r="G391" s="48" t="s">
        <v>36</v>
      </c>
      <c r="H391" s="48" t="s">
        <v>54</v>
      </c>
      <c r="I391" s="51">
        <v>-542042.54</v>
      </c>
      <c r="J391" s="51"/>
      <c r="K391" s="51"/>
      <c r="L391" s="48" t="s">
        <v>40</v>
      </c>
      <c r="M391" s="48" t="s">
        <v>1433</v>
      </c>
      <c r="N391" s="48" t="s">
        <v>1447</v>
      </c>
      <c r="O391" s="49" t="s">
        <v>1450</v>
      </c>
      <c r="P391" s="48" t="s">
        <v>38</v>
      </c>
      <c r="Q391" s="48" t="s">
        <v>37</v>
      </c>
      <c r="R391" s="48" t="s">
        <v>1436</v>
      </c>
      <c r="S391" s="48" t="s">
        <v>1436</v>
      </c>
      <c r="T391" s="48" t="s">
        <v>1436</v>
      </c>
      <c r="U391" s="48" t="s">
        <v>38</v>
      </c>
      <c r="V391" s="48" t="s">
        <v>39</v>
      </c>
      <c r="W391" s="48" t="s">
        <v>40</v>
      </c>
      <c r="X391" s="48" t="s">
        <v>41</v>
      </c>
      <c r="Y391" s="48" t="s">
        <v>1436</v>
      </c>
      <c r="Z391" s="48" t="s">
        <v>1436</v>
      </c>
      <c r="AA391" s="48" t="s">
        <v>1436</v>
      </c>
      <c r="AB391" s="49" t="s">
        <v>193</v>
      </c>
      <c r="AC391" s="48" t="s">
        <v>1194</v>
      </c>
      <c r="AD391" s="48" t="s">
        <v>1244</v>
      </c>
      <c r="AE391" s="48" t="s">
        <v>36</v>
      </c>
    </row>
    <row r="392" spans="1:31" x14ac:dyDescent="0.3">
      <c r="A392" s="48" t="s">
        <v>1320</v>
      </c>
      <c r="B392" s="48" t="s">
        <v>6</v>
      </c>
      <c r="C392" s="48" t="s">
        <v>1322</v>
      </c>
      <c r="D392" s="48" t="s">
        <v>1407</v>
      </c>
      <c r="E392" s="50">
        <v>45688</v>
      </c>
      <c r="F392" s="49" t="s">
        <v>1321</v>
      </c>
      <c r="G392" s="48" t="s">
        <v>36</v>
      </c>
      <c r="H392" s="48" t="s">
        <v>47</v>
      </c>
      <c r="I392" s="51">
        <v>6260.7379840000003</v>
      </c>
      <c r="J392" s="51"/>
      <c r="K392" s="51"/>
      <c r="L392" s="48" t="s">
        <v>40</v>
      </c>
      <c r="M392" s="48" t="s">
        <v>1438</v>
      </c>
      <c r="N392" s="48" t="s">
        <v>1444</v>
      </c>
      <c r="O392" s="49" t="s">
        <v>1446</v>
      </c>
      <c r="P392" s="48" t="s">
        <v>38</v>
      </c>
      <c r="Q392" s="48" t="s">
        <v>37</v>
      </c>
      <c r="R392" s="48" t="s">
        <v>1436</v>
      </c>
      <c r="S392" s="48" t="s">
        <v>1436</v>
      </c>
      <c r="T392" s="48" t="s">
        <v>1436</v>
      </c>
      <c r="U392" s="48" t="s">
        <v>38</v>
      </c>
      <c r="V392" s="48" t="s">
        <v>39</v>
      </c>
      <c r="W392" s="48" t="s">
        <v>40</v>
      </c>
      <c r="X392" s="48" t="s">
        <v>41</v>
      </c>
      <c r="Y392" s="48" t="s">
        <v>1436</v>
      </c>
      <c r="Z392" s="48" t="s">
        <v>1436</v>
      </c>
      <c r="AA392" s="48" t="s">
        <v>1436</v>
      </c>
      <c r="AB392" s="49" t="s">
        <v>193</v>
      </c>
      <c r="AC392" s="48" t="s">
        <v>1194</v>
      </c>
      <c r="AD392" s="48" t="s">
        <v>1244</v>
      </c>
      <c r="AE392" s="48" t="s">
        <v>36</v>
      </c>
    </row>
    <row r="393" spans="1:31" x14ac:dyDescent="0.3">
      <c r="A393" s="48" t="s">
        <v>1320</v>
      </c>
      <c r="B393" s="48" t="s">
        <v>6</v>
      </c>
      <c r="C393" s="48" t="s">
        <v>1322</v>
      </c>
      <c r="D393" s="48" t="s">
        <v>1406</v>
      </c>
      <c r="E393" s="50">
        <v>45688</v>
      </c>
      <c r="F393" s="49" t="s">
        <v>1321</v>
      </c>
      <c r="G393" s="48" t="s">
        <v>36</v>
      </c>
      <c r="H393" s="48" t="s">
        <v>1441</v>
      </c>
      <c r="I393" s="51">
        <v>0</v>
      </c>
      <c r="J393" s="51"/>
      <c r="K393" s="51"/>
      <c r="L393" s="48" t="s">
        <v>1194</v>
      </c>
      <c r="M393" s="48" t="s">
        <v>1438</v>
      </c>
      <c r="N393" s="48" t="s">
        <v>1439</v>
      </c>
      <c r="O393" s="49" t="s">
        <v>1440</v>
      </c>
      <c r="P393" s="48" t="s">
        <v>38</v>
      </c>
      <c r="Q393" s="48" t="s">
        <v>37</v>
      </c>
      <c r="R393" s="48" t="s">
        <v>1436</v>
      </c>
      <c r="S393" s="48" t="s">
        <v>1436</v>
      </c>
      <c r="T393" s="48" t="s">
        <v>1436</v>
      </c>
      <c r="U393" s="48" t="s">
        <v>38</v>
      </c>
      <c r="V393" s="48" t="s">
        <v>39</v>
      </c>
      <c r="W393" s="48" t="s">
        <v>1194</v>
      </c>
      <c r="X393" s="48" t="s">
        <v>41</v>
      </c>
      <c r="Y393" s="48" t="s">
        <v>1436</v>
      </c>
      <c r="Z393" s="48" t="s">
        <v>1436</v>
      </c>
      <c r="AA393" s="48" t="s">
        <v>1436</v>
      </c>
      <c r="AB393" s="49" t="s">
        <v>193</v>
      </c>
      <c r="AC393" s="48" t="s">
        <v>1194</v>
      </c>
      <c r="AD393" s="48" t="s">
        <v>1244</v>
      </c>
      <c r="AE393" s="48" t="s">
        <v>36</v>
      </c>
    </row>
    <row r="394" spans="1:31" x14ac:dyDescent="0.3">
      <c r="A394" s="48" t="s">
        <v>1320</v>
      </c>
      <c r="B394" s="48" t="s">
        <v>6</v>
      </c>
      <c r="C394" s="48" t="s">
        <v>1322</v>
      </c>
      <c r="D394" s="48" t="s">
        <v>1405</v>
      </c>
      <c r="E394" s="50">
        <v>45688</v>
      </c>
      <c r="F394" s="49" t="s">
        <v>1321</v>
      </c>
      <c r="G394" s="48" t="s">
        <v>36</v>
      </c>
      <c r="H394" s="48" t="s">
        <v>1443</v>
      </c>
      <c r="I394" s="51">
        <v>0</v>
      </c>
      <c r="J394" s="51"/>
      <c r="K394" s="51"/>
      <c r="L394" s="48" t="s">
        <v>1194</v>
      </c>
      <c r="M394" s="48" t="s">
        <v>1438</v>
      </c>
      <c r="N394" s="48" t="s">
        <v>1439</v>
      </c>
      <c r="O394" s="49" t="s">
        <v>1442</v>
      </c>
      <c r="P394" s="48" t="s">
        <v>38</v>
      </c>
      <c r="Q394" s="48" t="s">
        <v>37</v>
      </c>
      <c r="R394" s="48" t="s">
        <v>1436</v>
      </c>
      <c r="S394" s="48" t="s">
        <v>1436</v>
      </c>
      <c r="T394" s="48" t="s">
        <v>1436</v>
      </c>
      <c r="U394" s="48" t="s">
        <v>38</v>
      </c>
      <c r="V394" s="48" t="s">
        <v>39</v>
      </c>
      <c r="W394" s="48" t="s">
        <v>1194</v>
      </c>
      <c r="X394" s="48" t="s">
        <v>41</v>
      </c>
      <c r="Y394" s="48" t="s">
        <v>1436</v>
      </c>
      <c r="Z394" s="48" t="s">
        <v>1436</v>
      </c>
      <c r="AA394" s="48" t="s">
        <v>1436</v>
      </c>
      <c r="AB394" s="49" t="s">
        <v>193</v>
      </c>
      <c r="AC394" s="48" t="s">
        <v>1194</v>
      </c>
      <c r="AD394" s="48" t="s">
        <v>1244</v>
      </c>
      <c r="AE394" s="48" t="s">
        <v>36</v>
      </c>
    </row>
    <row r="395" spans="1:31" x14ac:dyDescent="0.3">
      <c r="A395" s="48" t="s">
        <v>1320</v>
      </c>
      <c r="B395" s="48" t="s">
        <v>6</v>
      </c>
      <c r="C395" s="48" t="s">
        <v>1322</v>
      </c>
      <c r="D395" s="48" t="s">
        <v>1404</v>
      </c>
      <c r="E395" s="50">
        <v>45688</v>
      </c>
      <c r="F395" s="49" t="s">
        <v>1321</v>
      </c>
      <c r="G395" s="48" t="s">
        <v>36</v>
      </c>
      <c r="H395" s="48" t="s">
        <v>49</v>
      </c>
      <c r="I395" s="51">
        <v>-6260.7379840000003</v>
      </c>
      <c r="J395" s="51"/>
      <c r="K395" s="51"/>
      <c r="L395" s="48" t="s">
        <v>38</v>
      </c>
      <c r="M395" s="48" t="s">
        <v>1433</v>
      </c>
      <c r="N395" s="48" t="s">
        <v>1447</v>
      </c>
      <c r="O395" s="49" t="s">
        <v>1451</v>
      </c>
      <c r="P395" s="48" t="s">
        <v>38</v>
      </c>
      <c r="Q395" s="48" t="s">
        <v>37</v>
      </c>
      <c r="R395" s="48" t="s">
        <v>1436</v>
      </c>
      <c r="S395" s="48" t="s">
        <v>1436</v>
      </c>
      <c r="T395" s="48" t="s">
        <v>1436</v>
      </c>
      <c r="U395" s="48" t="s">
        <v>38</v>
      </c>
      <c r="V395" s="48" t="s">
        <v>39</v>
      </c>
      <c r="W395" s="48" t="s">
        <v>38</v>
      </c>
      <c r="X395" s="48" t="s">
        <v>41</v>
      </c>
      <c r="Y395" s="48" t="s">
        <v>1436</v>
      </c>
      <c r="Z395" s="48" t="s">
        <v>1436</v>
      </c>
      <c r="AA395" s="48" t="s">
        <v>1436</v>
      </c>
      <c r="AB395" s="49" t="s">
        <v>193</v>
      </c>
      <c r="AC395" s="48" t="s">
        <v>1194</v>
      </c>
      <c r="AD395" s="48" t="s">
        <v>1244</v>
      </c>
      <c r="AE395" s="48" t="s">
        <v>36</v>
      </c>
    </row>
    <row r="396" spans="1:31" x14ac:dyDescent="0.3">
      <c r="A396" s="48" t="s">
        <v>1320</v>
      </c>
      <c r="B396" s="48" t="s">
        <v>6</v>
      </c>
      <c r="C396" s="48" t="s">
        <v>1322</v>
      </c>
      <c r="D396" s="48" t="s">
        <v>1413</v>
      </c>
      <c r="E396" s="50">
        <v>45716</v>
      </c>
      <c r="F396" s="49" t="s">
        <v>1321</v>
      </c>
      <c r="G396" s="48" t="s">
        <v>36</v>
      </c>
      <c r="H396" s="48" t="s">
        <v>58</v>
      </c>
      <c r="I396" s="51">
        <v>-1900000</v>
      </c>
      <c r="J396" s="51"/>
      <c r="K396" s="51"/>
      <c r="L396" s="48" t="s">
        <v>40</v>
      </c>
      <c r="M396" s="48" t="s">
        <v>1433</v>
      </c>
      <c r="N396" s="48" t="s">
        <v>1447</v>
      </c>
      <c r="O396" s="49" t="s">
        <v>1448</v>
      </c>
      <c r="P396" s="48" t="s">
        <v>38</v>
      </c>
      <c r="Q396" s="48" t="s">
        <v>37</v>
      </c>
      <c r="R396" s="48" t="s">
        <v>1436</v>
      </c>
      <c r="S396" s="48" t="s">
        <v>1436</v>
      </c>
      <c r="T396" s="48" t="s">
        <v>1436</v>
      </c>
      <c r="U396" s="48" t="s">
        <v>38</v>
      </c>
      <c r="V396" s="48" t="s">
        <v>39</v>
      </c>
      <c r="W396" s="48" t="s">
        <v>40</v>
      </c>
      <c r="X396" s="48" t="s">
        <v>41</v>
      </c>
      <c r="Y396" s="48" t="s">
        <v>1436</v>
      </c>
      <c r="Z396" s="48" t="s">
        <v>1436</v>
      </c>
      <c r="AA396" s="48" t="s">
        <v>1436</v>
      </c>
      <c r="AB396" s="49" t="s">
        <v>193</v>
      </c>
      <c r="AC396" s="48" t="s">
        <v>1194</v>
      </c>
      <c r="AD396" s="48" t="s">
        <v>1244</v>
      </c>
      <c r="AE396" s="48" t="s">
        <v>36</v>
      </c>
    </row>
    <row r="397" spans="1:31" x14ac:dyDescent="0.3">
      <c r="A397" s="48" t="s">
        <v>1320</v>
      </c>
      <c r="B397" s="48" t="s">
        <v>6</v>
      </c>
      <c r="C397" s="48" t="s">
        <v>1322</v>
      </c>
      <c r="D397" s="48" t="s">
        <v>1412</v>
      </c>
      <c r="E397" s="50">
        <v>45716</v>
      </c>
      <c r="F397" s="49" t="s">
        <v>1321</v>
      </c>
      <c r="G397" s="48" t="s">
        <v>36</v>
      </c>
      <c r="H397" s="48" t="s">
        <v>52</v>
      </c>
      <c r="I397" s="51">
        <v>-1608558.63</v>
      </c>
      <c r="J397" s="51"/>
      <c r="K397" s="51"/>
      <c r="L397" s="48" t="s">
        <v>40</v>
      </c>
      <c r="M397" s="48" t="s">
        <v>1433</v>
      </c>
      <c r="N397" s="48" t="s">
        <v>1434</v>
      </c>
      <c r="O397" s="49" t="s">
        <v>1435</v>
      </c>
      <c r="P397" s="48" t="s">
        <v>38</v>
      </c>
      <c r="Q397" s="48" t="s">
        <v>37</v>
      </c>
      <c r="R397" s="48" t="s">
        <v>1436</v>
      </c>
      <c r="S397" s="48" t="s">
        <v>1436</v>
      </c>
      <c r="T397" s="48" t="s">
        <v>1436</v>
      </c>
      <c r="U397" s="48" t="s">
        <v>38</v>
      </c>
      <c r="V397" s="48" t="s">
        <v>39</v>
      </c>
      <c r="W397" s="48" t="s">
        <v>40</v>
      </c>
      <c r="X397" s="48" t="s">
        <v>41</v>
      </c>
      <c r="Y397" s="48" t="s">
        <v>1436</v>
      </c>
      <c r="Z397" s="48" t="s">
        <v>1436</v>
      </c>
      <c r="AA397" s="48" t="s">
        <v>1436</v>
      </c>
      <c r="AB397" s="49" t="s">
        <v>193</v>
      </c>
      <c r="AC397" s="48" t="s">
        <v>1194</v>
      </c>
      <c r="AD397" s="48" t="s">
        <v>1244</v>
      </c>
      <c r="AE397" s="48" t="s">
        <v>36</v>
      </c>
    </row>
    <row r="398" spans="1:31" x14ac:dyDescent="0.3">
      <c r="A398" s="48" t="s">
        <v>1320</v>
      </c>
      <c r="B398" s="48" t="s">
        <v>6</v>
      </c>
      <c r="C398" s="48" t="s">
        <v>1322</v>
      </c>
      <c r="D398" s="48" t="s">
        <v>1411</v>
      </c>
      <c r="E398" s="50">
        <v>45716</v>
      </c>
      <c r="F398" s="49" t="s">
        <v>1321</v>
      </c>
      <c r="G398" s="48" t="s">
        <v>36</v>
      </c>
      <c r="H398" s="48" t="s">
        <v>50</v>
      </c>
      <c r="I398" s="51">
        <v>84660.98</v>
      </c>
      <c r="J398" s="51"/>
      <c r="K398" s="51"/>
      <c r="L398" s="48" t="s">
        <v>40</v>
      </c>
      <c r="M398" s="48" t="s">
        <v>1438</v>
      </c>
      <c r="N398" s="48" t="s">
        <v>1444</v>
      </c>
      <c r="O398" s="49" t="s">
        <v>1445</v>
      </c>
      <c r="P398" s="48" t="s">
        <v>38</v>
      </c>
      <c r="Q398" s="48" t="s">
        <v>37</v>
      </c>
      <c r="R398" s="48" t="s">
        <v>1436</v>
      </c>
      <c r="S398" s="48" t="s">
        <v>1436</v>
      </c>
      <c r="T398" s="48" t="s">
        <v>1436</v>
      </c>
      <c r="U398" s="48" t="s">
        <v>38</v>
      </c>
      <c r="V398" s="48" t="s">
        <v>39</v>
      </c>
      <c r="W398" s="48" t="s">
        <v>40</v>
      </c>
      <c r="X398" s="48" t="s">
        <v>41</v>
      </c>
      <c r="Y398" s="48" t="s">
        <v>1436</v>
      </c>
      <c r="Z398" s="48" t="s">
        <v>1436</v>
      </c>
      <c r="AA398" s="48" t="s">
        <v>1436</v>
      </c>
      <c r="AB398" s="49" t="s">
        <v>193</v>
      </c>
      <c r="AC398" s="48" t="s">
        <v>1194</v>
      </c>
      <c r="AD398" s="48" t="s">
        <v>1244</v>
      </c>
      <c r="AE398" s="48" t="s">
        <v>36</v>
      </c>
    </row>
    <row r="399" spans="1:31" x14ac:dyDescent="0.3">
      <c r="A399" s="48" t="s">
        <v>1320</v>
      </c>
      <c r="B399" s="48" t="s">
        <v>6</v>
      </c>
      <c r="C399" s="48" t="s">
        <v>1322</v>
      </c>
      <c r="D399" s="48" t="s">
        <v>1410</v>
      </c>
      <c r="E399" s="50">
        <v>45716</v>
      </c>
      <c r="F399" s="49" t="s">
        <v>1321</v>
      </c>
      <c r="G399" s="48" t="s">
        <v>36</v>
      </c>
      <c r="H399" s="48" t="s">
        <v>42</v>
      </c>
      <c r="I399" s="51">
        <v>2539829.423163</v>
      </c>
      <c r="J399" s="51"/>
      <c r="K399" s="51"/>
      <c r="L399" s="48" t="s">
        <v>40</v>
      </c>
      <c r="M399" s="48" t="s">
        <v>1433</v>
      </c>
      <c r="N399" s="48" t="s">
        <v>1434</v>
      </c>
      <c r="O399" s="49" t="s">
        <v>1437</v>
      </c>
      <c r="P399" s="48" t="s">
        <v>38</v>
      </c>
      <c r="Q399" s="48" t="s">
        <v>37</v>
      </c>
      <c r="R399" s="48" t="s">
        <v>1436</v>
      </c>
      <c r="S399" s="48" t="s">
        <v>1436</v>
      </c>
      <c r="T399" s="48" t="s">
        <v>1436</v>
      </c>
      <c r="U399" s="48" t="s">
        <v>38</v>
      </c>
      <c r="V399" s="48" t="s">
        <v>39</v>
      </c>
      <c r="W399" s="48" t="s">
        <v>40</v>
      </c>
      <c r="X399" s="48" t="s">
        <v>41</v>
      </c>
      <c r="Y399" s="48" t="s">
        <v>1436</v>
      </c>
      <c r="Z399" s="48" t="s">
        <v>1436</v>
      </c>
      <c r="AA399" s="48" t="s">
        <v>1436</v>
      </c>
      <c r="AB399" s="49" t="s">
        <v>193</v>
      </c>
      <c r="AC399" s="48" t="s">
        <v>1194</v>
      </c>
      <c r="AD399" s="48" t="s">
        <v>1244</v>
      </c>
      <c r="AE399" s="48" t="s">
        <v>36</v>
      </c>
    </row>
    <row r="400" spans="1:31" x14ac:dyDescent="0.3">
      <c r="A400" s="48" t="s">
        <v>1320</v>
      </c>
      <c r="B400" s="48" t="s">
        <v>6</v>
      </c>
      <c r="C400" s="48" t="s">
        <v>1322</v>
      </c>
      <c r="D400" s="48" t="s">
        <v>1409</v>
      </c>
      <c r="E400" s="50">
        <v>45716</v>
      </c>
      <c r="F400" s="49" t="s">
        <v>1321</v>
      </c>
      <c r="G400" s="48" t="s">
        <v>36</v>
      </c>
      <c r="H400" s="48" t="s">
        <v>45</v>
      </c>
      <c r="I400" s="51">
        <v>-484325.65673699998</v>
      </c>
      <c r="J400" s="51"/>
      <c r="K400" s="51"/>
      <c r="L400" s="48" t="s">
        <v>40</v>
      </c>
      <c r="M400" s="48" t="s">
        <v>1433</v>
      </c>
      <c r="N400" s="48" t="s">
        <v>1447</v>
      </c>
      <c r="O400" s="49" t="s">
        <v>1449</v>
      </c>
      <c r="P400" s="48" t="s">
        <v>38</v>
      </c>
      <c r="Q400" s="48" t="s">
        <v>37</v>
      </c>
      <c r="R400" s="48" t="s">
        <v>1436</v>
      </c>
      <c r="S400" s="48" t="s">
        <v>1436</v>
      </c>
      <c r="T400" s="48" t="s">
        <v>1436</v>
      </c>
      <c r="U400" s="48" t="s">
        <v>38</v>
      </c>
      <c r="V400" s="48" t="s">
        <v>39</v>
      </c>
      <c r="W400" s="48" t="s">
        <v>40</v>
      </c>
      <c r="X400" s="48" t="s">
        <v>41</v>
      </c>
      <c r="Y400" s="48" t="s">
        <v>1436</v>
      </c>
      <c r="Z400" s="48" t="s">
        <v>1436</v>
      </c>
      <c r="AA400" s="48" t="s">
        <v>1436</v>
      </c>
      <c r="AB400" s="49" t="s">
        <v>193</v>
      </c>
      <c r="AC400" s="48" t="s">
        <v>1194</v>
      </c>
      <c r="AD400" s="48" t="s">
        <v>1244</v>
      </c>
      <c r="AE400" s="48" t="s">
        <v>36</v>
      </c>
    </row>
    <row r="401" spans="1:31" x14ac:dyDescent="0.3">
      <c r="A401" s="48" t="s">
        <v>1320</v>
      </c>
      <c r="B401" s="48" t="s">
        <v>6</v>
      </c>
      <c r="C401" s="48" t="s">
        <v>1322</v>
      </c>
      <c r="D401" s="48" t="s">
        <v>1408</v>
      </c>
      <c r="E401" s="50">
        <v>45716</v>
      </c>
      <c r="F401" s="49" t="s">
        <v>1321</v>
      </c>
      <c r="G401" s="48" t="s">
        <v>36</v>
      </c>
      <c r="H401" s="48" t="s">
        <v>54</v>
      </c>
      <c r="I401" s="51">
        <v>-545204.44999999995</v>
      </c>
      <c r="J401" s="51"/>
      <c r="K401" s="51"/>
      <c r="L401" s="48" t="s">
        <v>40</v>
      </c>
      <c r="M401" s="48" t="s">
        <v>1433</v>
      </c>
      <c r="N401" s="48" t="s">
        <v>1447</v>
      </c>
      <c r="O401" s="49" t="s">
        <v>1450</v>
      </c>
      <c r="P401" s="48" t="s">
        <v>38</v>
      </c>
      <c r="Q401" s="48" t="s">
        <v>37</v>
      </c>
      <c r="R401" s="48" t="s">
        <v>1436</v>
      </c>
      <c r="S401" s="48" t="s">
        <v>1436</v>
      </c>
      <c r="T401" s="48" t="s">
        <v>1436</v>
      </c>
      <c r="U401" s="48" t="s">
        <v>38</v>
      </c>
      <c r="V401" s="48" t="s">
        <v>39</v>
      </c>
      <c r="W401" s="48" t="s">
        <v>40</v>
      </c>
      <c r="X401" s="48" t="s">
        <v>41</v>
      </c>
      <c r="Y401" s="48" t="s">
        <v>1436</v>
      </c>
      <c r="Z401" s="48" t="s">
        <v>1436</v>
      </c>
      <c r="AA401" s="48" t="s">
        <v>1436</v>
      </c>
      <c r="AB401" s="49" t="s">
        <v>193</v>
      </c>
      <c r="AC401" s="48" t="s">
        <v>1194</v>
      </c>
      <c r="AD401" s="48" t="s">
        <v>1244</v>
      </c>
      <c r="AE401" s="48" t="s">
        <v>36</v>
      </c>
    </row>
    <row r="402" spans="1:31" x14ac:dyDescent="0.3">
      <c r="A402" s="48" t="s">
        <v>1320</v>
      </c>
      <c r="B402" s="48" t="s">
        <v>6</v>
      </c>
      <c r="C402" s="48" t="s">
        <v>1322</v>
      </c>
      <c r="D402" s="48" t="s">
        <v>1407</v>
      </c>
      <c r="E402" s="50">
        <v>45716</v>
      </c>
      <c r="F402" s="49" t="s">
        <v>1321</v>
      </c>
      <c r="G402" s="48" t="s">
        <v>36</v>
      </c>
      <c r="H402" s="48" t="s">
        <v>47</v>
      </c>
      <c r="I402" s="51">
        <v>12266.330273</v>
      </c>
      <c r="J402" s="51"/>
      <c r="K402" s="51"/>
      <c r="L402" s="48" t="s">
        <v>40</v>
      </c>
      <c r="M402" s="48" t="s">
        <v>1438</v>
      </c>
      <c r="N402" s="48" t="s">
        <v>1444</v>
      </c>
      <c r="O402" s="49" t="s">
        <v>1446</v>
      </c>
      <c r="P402" s="48" t="s">
        <v>38</v>
      </c>
      <c r="Q402" s="48" t="s">
        <v>37</v>
      </c>
      <c r="R402" s="48" t="s">
        <v>1436</v>
      </c>
      <c r="S402" s="48" t="s">
        <v>1436</v>
      </c>
      <c r="T402" s="48" t="s">
        <v>1436</v>
      </c>
      <c r="U402" s="48" t="s">
        <v>38</v>
      </c>
      <c r="V402" s="48" t="s">
        <v>39</v>
      </c>
      <c r="W402" s="48" t="s">
        <v>40</v>
      </c>
      <c r="X402" s="48" t="s">
        <v>41</v>
      </c>
      <c r="Y402" s="48" t="s">
        <v>1436</v>
      </c>
      <c r="Z402" s="48" t="s">
        <v>1436</v>
      </c>
      <c r="AA402" s="48" t="s">
        <v>1436</v>
      </c>
      <c r="AB402" s="49" t="s">
        <v>193</v>
      </c>
      <c r="AC402" s="48" t="s">
        <v>1194</v>
      </c>
      <c r="AD402" s="48" t="s">
        <v>1244</v>
      </c>
      <c r="AE402" s="48" t="s">
        <v>36</v>
      </c>
    </row>
    <row r="403" spans="1:31" x14ac:dyDescent="0.3">
      <c r="A403" s="48" t="s">
        <v>1320</v>
      </c>
      <c r="B403" s="48" t="s">
        <v>6</v>
      </c>
      <c r="C403" s="48" t="s">
        <v>1322</v>
      </c>
      <c r="D403" s="48" t="s">
        <v>1406</v>
      </c>
      <c r="E403" s="50">
        <v>45716</v>
      </c>
      <c r="F403" s="49" t="s">
        <v>1321</v>
      </c>
      <c r="G403" s="48" t="s">
        <v>36</v>
      </c>
      <c r="H403" s="48" t="s">
        <v>1441</v>
      </c>
      <c r="I403" s="51">
        <v>0</v>
      </c>
      <c r="J403" s="51"/>
      <c r="K403" s="51"/>
      <c r="L403" s="48" t="s">
        <v>1194</v>
      </c>
      <c r="M403" s="48" t="s">
        <v>1438</v>
      </c>
      <c r="N403" s="48" t="s">
        <v>1439</v>
      </c>
      <c r="O403" s="49" t="s">
        <v>1440</v>
      </c>
      <c r="P403" s="48" t="s">
        <v>38</v>
      </c>
      <c r="Q403" s="48" t="s">
        <v>37</v>
      </c>
      <c r="R403" s="48" t="s">
        <v>1436</v>
      </c>
      <c r="S403" s="48" t="s">
        <v>1436</v>
      </c>
      <c r="T403" s="48" t="s">
        <v>1436</v>
      </c>
      <c r="U403" s="48" t="s">
        <v>38</v>
      </c>
      <c r="V403" s="48" t="s">
        <v>39</v>
      </c>
      <c r="W403" s="48" t="s">
        <v>1194</v>
      </c>
      <c r="X403" s="48" t="s">
        <v>41</v>
      </c>
      <c r="Y403" s="48" t="s">
        <v>1436</v>
      </c>
      <c r="Z403" s="48" t="s">
        <v>1436</v>
      </c>
      <c r="AA403" s="48" t="s">
        <v>1436</v>
      </c>
      <c r="AB403" s="49" t="s">
        <v>193</v>
      </c>
      <c r="AC403" s="48" t="s">
        <v>1194</v>
      </c>
      <c r="AD403" s="48" t="s">
        <v>1244</v>
      </c>
      <c r="AE403" s="48" t="s">
        <v>36</v>
      </c>
    </row>
    <row r="404" spans="1:31" x14ac:dyDescent="0.3">
      <c r="A404" s="48" t="s">
        <v>1320</v>
      </c>
      <c r="B404" s="48" t="s">
        <v>6</v>
      </c>
      <c r="C404" s="48" t="s">
        <v>1322</v>
      </c>
      <c r="D404" s="48" t="s">
        <v>1405</v>
      </c>
      <c r="E404" s="50">
        <v>45716</v>
      </c>
      <c r="F404" s="49" t="s">
        <v>1321</v>
      </c>
      <c r="G404" s="48" t="s">
        <v>36</v>
      </c>
      <c r="H404" s="48" t="s">
        <v>1443</v>
      </c>
      <c r="I404" s="51">
        <v>0</v>
      </c>
      <c r="J404" s="51"/>
      <c r="K404" s="51"/>
      <c r="L404" s="48" t="s">
        <v>1194</v>
      </c>
      <c r="M404" s="48" t="s">
        <v>1438</v>
      </c>
      <c r="N404" s="48" t="s">
        <v>1439</v>
      </c>
      <c r="O404" s="49" t="s">
        <v>1442</v>
      </c>
      <c r="P404" s="48" t="s">
        <v>38</v>
      </c>
      <c r="Q404" s="48" t="s">
        <v>37</v>
      </c>
      <c r="R404" s="48" t="s">
        <v>1436</v>
      </c>
      <c r="S404" s="48" t="s">
        <v>1436</v>
      </c>
      <c r="T404" s="48" t="s">
        <v>1436</v>
      </c>
      <c r="U404" s="48" t="s">
        <v>38</v>
      </c>
      <c r="V404" s="48" t="s">
        <v>39</v>
      </c>
      <c r="W404" s="48" t="s">
        <v>1194</v>
      </c>
      <c r="X404" s="48" t="s">
        <v>41</v>
      </c>
      <c r="Y404" s="48" t="s">
        <v>1436</v>
      </c>
      <c r="Z404" s="48" t="s">
        <v>1436</v>
      </c>
      <c r="AA404" s="48" t="s">
        <v>1436</v>
      </c>
      <c r="AB404" s="49" t="s">
        <v>193</v>
      </c>
      <c r="AC404" s="48" t="s">
        <v>1194</v>
      </c>
      <c r="AD404" s="48" t="s">
        <v>1244</v>
      </c>
      <c r="AE404" s="48" t="s">
        <v>36</v>
      </c>
    </row>
    <row r="405" spans="1:31" x14ac:dyDescent="0.3">
      <c r="A405" s="48" t="s">
        <v>1320</v>
      </c>
      <c r="B405" s="48" t="s">
        <v>6</v>
      </c>
      <c r="C405" s="48" t="s">
        <v>1322</v>
      </c>
      <c r="D405" s="48" t="s">
        <v>1404</v>
      </c>
      <c r="E405" s="50">
        <v>45716</v>
      </c>
      <c r="F405" s="49" t="s">
        <v>1321</v>
      </c>
      <c r="G405" s="48" t="s">
        <v>36</v>
      </c>
      <c r="H405" s="48" t="s">
        <v>49</v>
      </c>
      <c r="I405" s="51">
        <v>-6005.5922890000002</v>
      </c>
      <c r="J405" s="51"/>
      <c r="K405" s="51"/>
      <c r="L405" s="48" t="s">
        <v>38</v>
      </c>
      <c r="M405" s="48" t="s">
        <v>1433</v>
      </c>
      <c r="N405" s="48" t="s">
        <v>1447</v>
      </c>
      <c r="O405" s="49" t="s">
        <v>1451</v>
      </c>
      <c r="P405" s="48" t="s">
        <v>38</v>
      </c>
      <c r="Q405" s="48" t="s">
        <v>37</v>
      </c>
      <c r="R405" s="48" t="s">
        <v>1436</v>
      </c>
      <c r="S405" s="48" t="s">
        <v>1436</v>
      </c>
      <c r="T405" s="48" t="s">
        <v>1436</v>
      </c>
      <c r="U405" s="48" t="s">
        <v>38</v>
      </c>
      <c r="V405" s="48" t="s">
        <v>39</v>
      </c>
      <c r="W405" s="48" t="s">
        <v>38</v>
      </c>
      <c r="X405" s="48" t="s">
        <v>41</v>
      </c>
      <c r="Y405" s="48" t="s">
        <v>1436</v>
      </c>
      <c r="Z405" s="48" t="s">
        <v>1436</v>
      </c>
      <c r="AA405" s="48" t="s">
        <v>1436</v>
      </c>
      <c r="AB405" s="49" t="s">
        <v>193</v>
      </c>
      <c r="AC405" s="48" t="s">
        <v>1194</v>
      </c>
      <c r="AD405" s="48" t="s">
        <v>1244</v>
      </c>
      <c r="AE405" s="48" t="s">
        <v>36</v>
      </c>
    </row>
    <row r="406" spans="1:31" x14ac:dyDescent="0.3">
      <c r="A406" s="48" t="s">
        <v>1320</v>
      </c>
      <c r="B406" s="48" t="s">
        <v>6</v>
      </c>
      <c r="C406" s="48" t="s">
        <v>1322</v>
      </c>
      <c r="D406" s="48" t="s">
        <v>1413</v>
      </c>
      <c r="E406" s="50">
        <v>45747</v>
      </c>
      <c r="F406" s="49" t="s">
        <v>1321</v>
      </c>
      <c r="G406" s="48" t="s">
        <v>36</v>
      </c>
      <c r="H406" s="48" t="s">
        <v>58</v>
      </c>
      <c r="I406" s="51">
        <v>-1950000</v>
      </c>
      <c r="J406" s="51"/>
      <c r="K406" s="51"/>
      <c r="L406" s="48" t="s">
        <v>40</v>
      </c>
      <c r="M406" s="48" t="s">
        <v>1433</v>
      </c>
      <c r="N406" s="48" t="s">
        <v>1447</v>
      </c>
      <c r="O406" s="49" t="s">
        <v>1448</v>
      </c>
      <c r="P406" s="48" t="s">
        <v>38</v>
      </c>
      <c r="Q406" s="48" t="s">
        <v>37</v>
      </c>
      <c r="R406" s="48" t="s">
        <v>1436</v>
      </c>
      <c r="S406" s="48" t="s">
        <v>1436</v>
      </c>
      <c r="T406" s="48" t="s">
        <v>1436</v>
      </c>
      <c r="U406" s="48" t="s">
        <v>38</v>
      </c>
      <c r="V406" s="48" t="s">
        <v>39</v>
      </c>
      <c r="W406" s="48" t="s">
        <v>40</v>
      </c>
      <c r="X406" s="48" t="s">
        <v>41</v>
      </c>
      <c r="Y406" s="48" t="s">
        <v>1436</v>
      </c>
      <c r="Z406" s="48" t="s">
        <v>1436</v>
      </c>
      <c r="AA406" s="48" t="s">
        <v>1436</v>
      </c>
      <c r="AB406" s="49" t="s">
        <v>193</v>
      </c>
      <c r="AC406" s="48" t="s">
        <v>1194</v>
      </c>
      <c r="AD406" s="48" t="s">
        <v>1244</v>
      </c>
      <c r="AE406" s="48" t="s">
        <v>36</v>
      </c>
    </row>
    <row r="407" spans="1:31" x14ac:dyDescent="0.3">
      <c r="A407" s="48" t="s">
        <v>1320</v>
      </c>
      <c r="B407" s="48" t="s">
        <v>6</v>
      </c>
      <c r="C407" s="48" t="s">
        <v>1322</v>
      </c>
      <c r="D407" s="48" t="s">
        <v>1412</v>
      </c>
      <c r="E407" s="50">
        <v>45747</v>
      </c>
      <c r="F407" s="49" t="s">
        <v>1321</v>
      </c>
      <c r="G407" s="48" t="s">
        <v>36</v>
      </c>
      <c r="H407" s="48" t="s">
        <v>52</v>
      </c>
      <c r="I407" s="51">
        <v>-1650889.13</v>
      </c>
      <c r="J407" s="51"/>
      <c r="K407" s="51"/>
      <c r="L407" s="48" t="s">
        <v>40</v>
      </c>
      <c r="M407" s="48" t="s">
        <v>1433</v>
      </c>
      <c r="N407" s="48" t="s">
        <v>1434</v>
      </c>
      <c r="O407" s="49" t="s">
        <v>1435</v>
      </c>
      <c r="P407" s="48" t="s">
        <v>38</v>
      </c>
      <c r="Q407" s="48" t="s">
        <v>37</v>
      </c>
      <c r="R407" s="48" t="s">
        <v>1436</v>
      </c>
      <c r="S407" s="48" t="s">
        <v>1436</v>
      </c>
      <c r="T407" s="48" t="s">
        <v>1436</v>
      </c>
      <c r="U407" s="48" t="s">
        <v>38</v>
      </c>
      <c r="V407" s="48" t="s">
        <v>39</v>
      </c>
      <c r="W407" s="48" t="s">
        <v>40</v>
      </c>
      <c r="X407" s="48" t="s">
        <v>41</v>
      </c>
      <c r="Y407" s="48" t="s">
        <v>1436</v>
      </c>
      <c r="Z407" s="48" t="s">
        <v>1436</v>
      </c>
      <c r="AA407" s="48" t="s">
        <v>1436</v>
      </c>
      <c r="AB407" s="49" t="s">
        <v>193</v>
      </c>
      <c r="AC407" s="48" t="s">
        <v>1194</v>
      </c>
      <c r="AD407" s="48" t="s">
        <v>1244</v>
      </c>
      <c r="AE407" s="48" t="s">
        <v>36</v>
      </c>
    </row>
    <row r="408" spans="1:31" x14ac:dyDescent="0.3">
      <c r="A408" s="48" t="s">
        <v>1320</v>
      </c>
      <c r="B408" s="48" t="s">
        <v>6</v>
      </c>
      <c r="C408" s="48" t="s">
        <v>1322</v>
      </c>
      <c r="D408" s="48" t="s">
        <v>1411</v>
      </c>
      <c r="E408" s="50">
        <v>45747</v>
      </c>
      <c r="F408" s="49" t="s">
        <v>1321</v>
      </c>
      <c r="G408" s="48" t="s">
        <v>36</v>
      </c>
      <c r="H408" s="48" t="s">
        <v>50</v>
      </c>
      <c r="I408" s="51">
        <v>126991.48</v>
      </c>
      <c r="J408" s="51"/>
      <c r="K408" s="51"/>
      <c r="L408" s="48" t="s">
        <v>40</v>
      </c>
      <c r="M408" s="48" t="s">
        <v>1438</v>
      </c>
      <c r="N408" s="48" t="s">
        <v>1444</v>
      </c>
      <c r="O408" s="49" t="s">
        <v>1445</v>
      </c>
      <c r="P408" s="48" t="s">
        <v>38</v>
      </c>
      <c r="Q408" s="48" t="s">
        <v>37</v>
      </c>
      <c r="R408" s="48" t="s">
        <v>1436</v>
      </c>
      <c r="S408" s="48" t="s">
        <v>1436</v>
      </c>
      <c r="T408" s="48" t="s">
        <v>1436</v>
      </c>
      <c r="U408" s="48" t="s">
        <v>38</v>
      </c>
      <c r="V408" s="48" t="s">
        <v>39</v>
      </c>
      <c r="W408" s="48" t="s">
        <v>40</v>
      </c>
      <c r="X408" s="48" t="s">
        <v>41</v>
      </c>
      <c r="Y408" s="48" t="s">
        <v>1436</v>
      </c>
      <c r="Z408" s="48" t="s">
        <v>1436</v>
      </c>
      <c r="AA408" s="48" t="s">
        <v>1436</v>
      </c>
      <c r="AB408" s="49" t="s">
        <v>193</v>
      </c>
      <c r="AC408" s="48" t="s">
        <v>1194</v>
      </c>
      <c r="AD408" s="48" t="s">
        <v>1244</v>
      </c>
      <c r="AE408" s="48" t="s">
        <v>36</v>
      </c>
    </row>
    <row r="409" spans="1:31" x14ac:dyDescent="0.3">
      <c r="A409" s="48" t="s">
        <v>1320</v>
      </c>
      <c r="B409" s="48" t="s">
        <v>6</v>
      </c>
      <c r="C409" s="48" t="s">
        <v>1322</v>
      </c>
      <c r="D409" s="48" t="s">
        <v>1410</v>
      </c>
      <c r="E409" s="50">
        <v>45747</v>
      </c>
      <c r="F409" s="49" t="s">
        <v>1321</v>
      </c>
      <c r="G409" s="48" t="s">
        <v>36</v>
      </c>
      <c r="H409" s="48" t="s">
        <v>42</v>
      </c>
      <c r="I409" s="51">
        <v>2539829.423163</v>
      </c>
      <c r="J409" s="51"/>
      <c r="K409" s="51"/>
      <c r="L409" s="48" t="s">
        <v>40</v>
      </c>
      <c r="M409" s="48" t="s">
        <v>1433</v>
      </c>
      <c r="N409" s="48" t="s">
        <v>1434</v>
      </c>
      <c r="O409" s="49" t="s">
        <v>1437</v>
      </c>
      <c r="P409" s="48" t="s">
        <v>38</v>
      </c>
      <c r="Q409" s="48" t="s">
        <v>37</v>
      </c>
      <c r="R409" s="48" t="s">
        <v>1436</v>
      </c>
      <c r="S409" s="48" t="s">
        <v>1436</v>
      </c>
      <c r="T409" s="48" t="s">
        <v>1436</v>
      </c>
      <c r="U409" s="48" t="s">
        <v>38</v>
      </c>
      <c r="V409" s="48" t="s">
        <v>39</v>
      </c>
      <c r="W409" s="48" t="s">
        <v>40</v>
      </c>
      <c r="X409" s="48" t="s">
        <v>41</v>
      </c>
      <c r="Y409" s="48" t="s">
        <v>1436</v>
      </c>
      <c r="Z409" s="48" t="s">
        <v>1436</v>
      </c>
      <c r="AA409" s="48" t="s">
        <v>1436</v>
      </c>
      <c r="AB409" s="49" t="s">
        <v>193</v>
      </c>
      <c r="AC409" s="48" t="s">
        <v>1194</v>
      </c>
      <c r="AD409" s="48" t="s">
        <v>1244</v>
      </c>
      <c r="AE409" s="48" t="s">
        <v>36</v>
      </c>
    </row>
    <row r="410" spans="1:31" x14ac:dyDescent="0.3">
      <c r="A410" s="48" t="s">
        <v>1320</v>
      </c>
      <c r="B410" s="48" t="s">
        <v>6</v>
      </c>
      <c r="C410" s="48" t="s">
        <v>1322</v>
      </c>
      <c r="D410" s="48" t="s">
        <v>1409</v>
      </c>
      <c r="E410" s="50">
        <v>45747</v>
      </c>
      <c r="F410" s="49" t="s">
        <v>1321</v>
      </c>
      <c r="G410" s="48" t="s">
        <v>36</v>
      </c>
      <c r="H410" s="48" t="s">
        <v>45</v>
      </c>
      <c r="I410" s="51">
        <v>-437150.88902599999</v>
      </c>
      <c r="J410" s="51"/>
      <c r="K410" s="51"/>
      <c r="L410" s="48" t="s">
        <v>40</v>
      </c>
      <c r="M410" s="48" t="s">
        <v>1433</v>
      </c>
      <c r="N410" s="48" t="s">
        <v>1447</v>
      </c>
      <c r="O410" s="49" t="s">
        <v>1449</v>
      </c>
      <c r="P410" s="48" t="s">
        <v>38</v>
      </c>
      <c r="Q410" s="48" t="s">
        <v>37</v>
      </c>
      <c r="R410" s="48" t="s">
        <v>1436</v>
      </c>
      <c r="S410" s="48" t="s">
        <v>1436</v>
      </c>
      <c r="T410" s="48" t="s">
        <v>1436</v>
      </c>
      <c r="U410" s="48" t="s">
        <v>38</v>
      </c>
      <c r="V410" s="48" t="s">
        <v>39</v>
      </c>
      <c r="W410" s="48" t="s">
        <v>40</v>
      </c>
      <c r="X410" s="48" t="s">
        <v>41</v>
      </c>
      <c r="Y410" s="48" t="s">
        <v>1436</v>
      </c>
      <c r="Z410" s="48" t="s">
        <v>1436</v>
      </c>
      <c r="AA410" s="48" t="s">
        <v>1436</v>
      </c>
      <c r="AB410" s="49" t="s">
        <v>193</v>
      </c>
      <c r="AC410" s="48" t="s">
        <v>1194</v>
      </c>
      <c r="AD410" s="48" t="s">
        <v>1244</v>
      </c>
      <c r="AE410" s="48" t="s">
        <v>36</v>
      </c>
    </row>
    <row r="411" spans="1:31" x14ac:dyDescent="0.3">
      <c r="A411" s="48" t="s">
        <v>1320</v>
      </c>
      <c r="B411" s="48" t="s">
        <v>6</v>
      </c>
      <c r="C411" s="48" t="s">
        <v>1322</v>
      </c>
      <c r="D411" s="48" t="s">
        <v>1408</v>
      </c>
      <c r="E411" s="50">
        <v>45747</v>
      </c>
      <c r="F411" s="49" t="s">
        <v>1321</v>
      </c>
      <c r="G411" s="48" t="s">
        <v>36</v>
      </c>
      <c r="H411" s="48" t="s">
        <v>54</v>
      </c>
      <c r="I411" s="51">
        <v>-548384.81000000006</v>
      </c>
      <c r="J411" s="51"/>
      <c r="K411" s="51"/>
      <c r="L411" s="48" t="s">
        <v>40</v>
      </c>
      <c r="M411" s="48" t="s">
        <v>1433</v>
      </c>
      <c r="N411" s="48" t="s">
        <v>1447</v>
      </c>
      <c r="O411" s="49" t="s">
        <v>1450</v>
      </c>
      <c r="P411" s="48" t="s">
        <v>38</v>
      </c>
      <c r="Q411" s="48" t="s">
        <v>37</v>
      </c>
      <c r="R411" s="48" t="s">
        <v>1436</v>
      </c>
      <c r="S411" s="48" t="s">
        <v>1436</v>
      </c>
      <c r="T411" s="48" t="s">
        <v>1436</v>
      </c>
      <c r="U411" s="48" t="s">
        <v>38</v>
      </c>
      <c r="V411" s="48" t="s">
        <v>39</v>
      </c>
      <c r="W411" s="48" t="s">
        <v>40</v>
      </c>
      <c r="X411" s="48" t="s">
        <v>41</v>
      </c>
      <c r="Y411" s="48" t="s">
        <v>1436</v>
      </c>
      <c r="Z411" s="48" t="s">
        <v>1436</v>
      </c>
      <c r="AA411" s="48" t="s">
        <v>1436</v>
      </c>
      <c r="AB411" s="49" t="s">
        <v>193</v>
      </c>
      <c r="AC411" s="48" t="s">
        <v>1194</v>
      </c>
      <c r="AD411" s="48" t="s">
        <v>1244</v>
      </c>
      <c r="AE411" s="48" t="s">
        <v>36</v>
      </c>
    </row>
    <row r="412" spans="1:31" x14ac:dyDescent="0.3">
      <c r="A412" s="48" t="s">
        <v>1320</v>
      </c>
      <c r="B412" s="48" t="s">
        <v>6</v>
      </c>
      <c r="C412" s="48" t="s">
        <v>1322</v>
      </c>
      <c r="D412" s="48" t="s">
        <v>1407</v>
      </c>
      <c r="E412" s="50">
        <v>45747</v>
      </c>
      <c r="F412" s="49" t="s">
        <v>1321</v>
      </c>
      <c r="G412" s="48" t="s">
        <v>36</v>
      </c>
      <c r="H412" s="48" t="s">
        <v>47</v>
      </c>
      <c r="I412" s="51">
        <v>18015.288517000001</v>
      </c>
      <c r="J412" s="51"/>
      <c r="K412" s="51"/>
      <c r="L412" s="48" t="s">
        <v>40</v>
      </c>
      <c r="M412" s="48" t="s">
        <v>1438</v>
      </c>
      <c r="N412" s="48" t="s">
        <v>1444</v>
      </c>
      <c r="O412" s="49" t="s">
        <v>1446</v>
      </c>
      <c r="P412" s="48" t="s">
        <v>38</v>
      </c>
      <c r="Q412" s="48" t="s">
        <v>37</v>
      </c>
      <c r="R412" s="48" t="s">
        <v>1436</v>
      </c>
      <c r="S412" s="48" t="s">
        <v>1436</v>
      </c>
      <c r="T412" s="48" t="s">
        <v>1436</v>
      </c>
      <c r="U412" s="48" t="s">
        <v>38</v>
      </c>
      <c r="V412" s="48" t="s">
        <v>39</v>
      </c>
      <c r="W412" s="48" t="s">
        <v>40</v>
      </c>
      <c r="X412" s="48" t="s">
        <v>41</v>
      </c>
      <c r="Y412" s="48" t="s">
        <v>1436</v>
      </c>
      <c r="Z412" s="48" t="s">
        <v>1436</v>
      </c>
      <c r="AA412" s="48" t="s">
        <v>1436</v>
      </c>
      <c r="AB412" s="49" t="s">
        <v>193</v>
      </c>
      <c r="AC412" s="48" t="s">
        <v>1194</v>
      </c>
      <c r="AD412" s="48" t="s">
        <v>1244</v>
      </c>
      <c r="AE412" s="48" t="s">
        <v>36</v>
      </c>
    </row>
    <row r="413" spans="1:31" x14ac:dyDescent="0.3">
      <c r="A413" s="48" t="s">
        <v>1320</v>
      </c>
      <c r="B413" s="48" t="s">
        <v>6</v>
      </c>
      <c r="C413" s="48" t="s">
        <v>1322</v>
      </c>
      <c r="D413" s="48" t="s">
        <v>1406</v>
      </c>
      <c r="E413" s="50">
        <v>45747</v>
      </c>
      <c r="F413" s="49" t="s">
        <v>1321</v>
      </c>
      <c r="G413" s="48" t="s">
        <v>36</v>
      </c>
      <c r="H413" s="48" t="s">
        <v>1441</v>
      </c>
      <c r="I413" s="51">
        <v>0</v>
      </c>
      <c r="J413" s="51"/>
      <c r="K413" s="51"/>
      <c r="L413" s="48" t="s">
        <v>1194</v>
      </c>
      <c r="M413" s="48" t="s">
        <v>1438</v>
      </c>
      <c r="N413" s="48" t="s">
        <v>1439</v>
      </c>
      <c r="O413" s="49" t="s">
        <v>1440</v>
      </c>
      <c r="P413" s="48" t="s">
        <v>38</v>
      </c>
      <c r="Q413" s="48" t="s">
        <v>37</v>
      </c>
      <c r="R413" s="48" t="s">
        <v>1436</v>
      </c>
      <c r="S413" s="48" t="s">
        <v>1436</v>
      </c>
      <c r="T413" s="48" t="s">
        <v>1436</v>
      </c>
      <c r="U413" s="48" t="s">
        <v>38</v>
      </c>
      <c r="V413" s="48" t="s">
        <v>39</v>
      </c>
      <c r="W413" s="48" t="s">
        <v>1194</v>
      </c>
      <c r="X413" s="48" t="s">
        <v>41</v>
      </c>
      <c r="Y413" s="48" t="s">
        <v>1436</v>
      </c>
      <c r="Z413" s="48" t="s">
        <v>1436</v>
      </c>
      <c r="AA413" s="48" t="s">
        <v>1436</v>
      </c>
      <c r="AB413" s="49" t="s">
        <v>193</v>
      </c>
      <c r="AC413" s="48" t="s">
        <v>1194</v>
      </c>
      <c r="AD413" s="48" t="s">
        <v>1244</v>
      </c>
      <c r="AE413" s="48" t="s">
        <v>36</v>
      </c>
    </row>
    <row r="414" spans="1:31" x14ac:dyDescent="0.3">
      <c r="A414" s="48" t="s">
        <v>1320</v>
      </c>
      <c r="B414" s="48" t="s">
        <v>6</v>
      </c>
      <c r="C414" s="48" t="s">
        <v>1322</v>
      </c>
      <c r="D414" s="48" t="s">
        <v>1405</v>
      </c>
      <c r="E414" s="50">
        <v>45747</v>
      </c>
      <c r="F414" s="49" t="s">
        <v>1321</v>
      </c>
      <c r="G414" s="48" t="s">
        <v>36</v>
      </c>
      <c r="H414" s="48" t="s">
        <v>1443</v>
      </c>
      <c r="I414" s="51">
        <v>0</v>
      </c>
      <c r="J414" s="51"/>
      <c r="K414" s="51"/>
      <c r="L414" s="48" t="s">
        <v>1194</v>
      </c>
      <c r="M414" s="48" t="s">
        <v>1438</v>
      </c>
      <c r="N414" s="48" t="s">
        <v>1439</v>
      </c>
      <c r="O414" s="49" t="s">
        <v>1442</v>
      </c>
      <c r="P414" s="48" t="s">
        <v>38</v>
      </c>
      <c r="Q414" s="48" t="s">
        <v>37</v>
      </c>
      <c r="R414" s="48" t="s">
        <v>1436</v>
      </c>
      <c r="S414" s="48" t="s">
        <v>1436</v>
      </c>
      <c r="T414" s="48" t="s">
        <v>1436</v>
      </c>
      <c r="U414" s="48" t="s">
        <v>38</v>
      </c>
      <c r="V414" s="48" t="s">
        <v>39</v>
      </c>
      <c r="W414" s="48" t="s">
        <v>1194</v>
      </c>
      <c r="X414" s="48" t="s">
        <v>41</v>
      </c>
      <c r="Y414" s="48" t="s">
        <v>1436</v>
      </c>
      <c r="Z414" s="48" t="s">
        <v>1436</v>
      </c>
      <c r="AA414" s="48" t="s">
        <v>1436</v>
      </c>
      <c r="AB414" s="49" t="s">
        <v>193</v>
      </c>
      <c r="AC414" s="48" t="s">
        <v>1194</v>
      </c>
      <c r="AD414" s="48" t="s">
        <v>1244</v>
      </c>
      <c r="AE414" s="48" t="s">
        <v>36</v>
      </c>
    </row>
    <row r="415" spans="1:31" x14ac:dyDescent="0.3">
      <c r="A415" s="48" t="s">
        <v>1320</v>
      </c>
      <c r="B415" s="48" t="s">
        <v>6</v>
      </c>
      <c r="C415" s="48" t="s">
        <v>1322</v>
      </c>
      <c r="D415" s="48" t="s">
        <v>1404</v>
      </c>
      <c r="E415" s="50">
        <v>45747</v>
      </c>
      <c r="F415" s="49" t="s">
        <v>1321</v>
      </c>
      <c r="G415" s="48" t="s">
        <v>36</v>
      </c>
      <c r="H415" s="48" t="s">
        <v>49</v>
      </c>
      <c r="I415" s="51">
        <v>-5748.9582440000004</v>
      </c>
      <c r="J415" s="51"/>
      <c r="K415" s="51"/>
      <c r="L415" s="48" t="s">
        <v>38</v>
      </c>
      <c r="M415" s="48" t="s">
        <v>1433</v>
      </c>
      <c r="N415" s="48" t="s">
        <v>1447</v>
      </c>
      <c r="O415" s="49" t="s">
        <v>1451</v>
      </c>
      <c r="P415" s="48" t="s">
        <v>38</v>
      </c>
      <c r="Q415" s="48" t="s">
        <v>37</v>
      </c>
      <c r="R415" s="48" t="s">
        <v>1436</v>
      </c>
      <c r="S415" s="48" t="s">
        <v>1436</v>
      </c>
      <c r="T415" s="48" t="s">
        <v>1436</v>
      </c>
      <c r="U415" s="48" t="s">
        <v>38</v>
      </c>
      <c r="V415" s="48" t="s">
        <v>39</v>
      </c>
      <c r="W415" s="48" t="s">
        <v>38</v>
      </c>
      <c r="X415" s="48" t="s">
        <v>41</v>
      </c>
      <c r="Y415" s="48" t="s">
        <v>1436</v>
      </c>
      <c r="Z415" s="48" t="s">
        <v>1436</v>
      </c>
      <c r="AA415" s="48" t="s">
        <v>1436</v>
      </c>
      <c r="AB415" s="49" t="s">
        <v>193</v>
      </c>
      <c r="AC415" s="48" t="s">
        <v>1194</v>
      </c>
      <c r="AD415" s="48" t="s">
        <v>1244</v>
      </c>
      <c r="AE415" s="48" t="s">
        <v>36</v>
      </c>
    </row>
    <row r="416" spans="1:31" x14ac:dyDescent="0.3">
      <c r="A416" s="48" t="s">
        <v>1320</v>
      </c>
      <c r="B416" s="48" t="s">
        <v>6</v>
      </c>
      <c r="C416" s="48" t="s">
        <v>1322</v>
      </c>
      <c r="D416" s="48" t="s">
        <v>1413</v>
      </c>
      <c r="E416" s="50">
        <v>45777</v>
      </c>
      <c r="F416" s="49" t="s">
        <v>1321</v>
      </c>
      <c r="G416" s="48" t="s">
        <v>36</v>
      </c>
      <c r="H416" s="48" t="s">
        <v>58</v>
      </c>
      <c r="I416" s="51">
        <v>-2000000</v>
      </c>
      <c r="J416" s="51"/>
      <c r="K416" s="51"/>
      <c r="L416" s="48" t="s">
        <v>40</v>
      </c>
      <c r="M416" s="48" t="s">
        <v>1433</v>
      </c>
      <c r="N416" s="48" t="s">
        <v>1447</v>
      </c>
      <c r="O416" s="49" t="s">
        <v>1448</v>
      </c>
      <c r="P416" s="48" t="s">
        <v>38</v>
      </c>
      <c r="Q416" s="48" t="s">
        <v>37</v>
      </c>
      <c r="R416" s="48" t="s">
        <v>1436</v>
      </c>
      <c r="S416" s="48" t="s">
        <v>1436</v>
      </c>
      <c r="T416" s="48" t="s">
        <v>1436</v>
      </c>
      <c r="U416" s="48" t="s">
        <v>38</v>
      </c>
      <c r="V416" s="48" t="s">
        <v>39</v>
      </c>
      <c r="W416" s="48" t="s">
        <v>40</v>
      </c>
      <c r="X416" s="48" t="s">
        <v>41</v>
      </c>
      <c r="Y416" s="48" t="s">
        <v>1436</v>
      </c>
      <c r="Z416" s="48" t="s">
        <v>1436</v>
      </c>
      <c r="AA416" s="48" t="s">
        <v>1436</v>
      </c>
      <c r="AB416" s="49" t="s">
        <v>193</v>
      </c>
      <c r="AC416" s="48" t="s">
        <v>1194</v>
      </c>
      <c r="AD416" s="48" t="s">
        <v>1244</v>
      </c>
      <c r="AE416" s="48" t="s">
        <v>36</v>
      </c>
    </row>
    <row r="417" spans="1:31" x14ac:dyDescent="0.3">
      <c r="A417" s="48" t="s">
        <v>1320</v>
      </c>
      <c r="B417" s="48" t="s">
        <v>6</v>
      </c>
      <c r="C417" s="48" t="s">
        <v>1322</v>
      </c>
      <c r="D417" s="48" t="s">
        <v>1412</v>
      </c>
      <c r="E417" s="50">
        <v>45777</v>
      </c>
      <c r="F417" s="49" t="s">
        <v>1321</v>
      </c>
      <c r="G417" s="48" t="s">
        <v>36</v>
      </c>
      <c r="H417" s="48" t="s">
        <v>52</v>
      </c>
      <c r="I417" s="51">
        <v>-1693219.62</v>
      </c>
      <c r="J417" s="51"/>
      <c r="K417" s="51"/>
      <c r="L417" s="48" t="s">
        <v>40</v>
      </c>
      <c r="M417" s="48" t="s">
        <v>1433</v>
      </c>
      <c r="N417" s="48" t="s">
        <v>1434</v>
      </c>
      <c r="O417" s="49" t="s">
        <v>1435</v>
      </c>
      <c r="P417" s="48" t="s">
        <v>38</v>
      </c>
      <c r="Q417" s="48" t="s">
        <v>37</v>
      </c>
      <c r="R417" s="48" t="s">
        <v>1436</v>
      </c>
      <c r="S417" s="48" t="s">
        <v>1436</v>
      </c>
      <c r="T417" s="48" t="s">
        <v>1436</v>
      </c>
      <c r="U417" s="48" t="s">
        <v>38</v>
      </c>
      <c r="V417" s="48" t="s">
        <v>39</v>
      </c>
      <c r="W417" s="48" t="s">
        <v>40</v>
      </c>
      <c r="X417" s="48" t="s">
        <v>41</v>
      </c>
      <c r="Y417" s="48" t="s">
        <v>1436</v>
      </c>
      <c r="Z417" s="48" t="s">
        <v>1436</v>
      </c>
      <c r="AA417" s="48" t="s">
        <v>1436</v>
      </c>
      <c r="AB417" s="49" t="s">
        <v>193</v>
      </c>
      <c r="AC417" s="48" t="s">
        <v>1194</v>
      </c>
      <c r="AD417" s="48" t="s">
        <v>1244</v>
      </c>
      <c r="AE417" s="48" t="s">
        <v>36</v>
      </c>
    </row>
    <row r="418" spans="1:31" x14ac:dyDescent="0.3">
      <c r="A418" s="48" t="s">
        <v>1320</v>
      </c>
      <c r="B418" s="48" t="s">
        <v>6</v>
      </c>
      <c r="C418" s="48" t="s">
        <v>1322</v>
      </c>
      <c r="D418" s="48" t="s">
        <v>1411</v>
      </c>
      <c r="E418" s="50">
        <v>45777</v>
      </c>
      <c r="F418" s="49" t="s">
        <v>1321</v>
      </c>
      <c r="G418" s="48" t="s">
        <v>36</v>
      </c>
      <c r="H418" s="48" t="s">
        <v>50</v>
      </c>
      <c r="I418" s="51">
        <v>169321.97</v>
      </c>
      <c r="J418" s="51"/>
      <c r="K418" s="51"/>
      <c r="L418" s="48" t="s">
        <v>40</v>
      </c>
      <c r="M418" s="48" t="s">
        <v>1438</v>
      </c>
      <c r="N418" s="48" t="s">
        <v>1444</v>
      </c>
      <c r="O418" s="49" t="s">
        <v>1445</v>
      </c>
      <c r="P418" s="48" t="s">
        <v>38</v>
      </c>
      <c r="Q418" s="48" t="s">
        <v>37</v>
      </c>
      <c r="R418" s="48" t="s">
        <v>1436</v>
      </c>
      <c r="S418" s="48" t="s">
        <v>1436</v>
      </c>
      <c r="T418" s="48" t="s">
        <v>1436</v>
      </c>
      <c r="U418" s="48" t="s">
        <v>38</v>
      </c>
      <c r="V418" s="48" t="s">
        <v>39</v>
      </c>
      <c r="W418" s="48" t="s">
        <v>40</v>
      </c>
      <c r="X418" s="48" t="s">
        <v>41</v>
      </c>
      <c r="Y418" s="48" t="s">
        <v>1436</v>
      </c>
      <c r="Z418" s="48" t="s">
        <v>1436</v>
      </c>
      <c r="AA418" s="48" t="s">
        <v>1436</v>
      </c>
      <c r="AB418" s="49" t="s">
        <v>193</v>
      </c>
      <c r="AC418" s="48" t="s">
        <v>1194</v>
      </c>
      <c r="AD418" s="48" t="s">
        <v>1244</v>
      </c>
      <c r="AE418" s="48" t="s">
        <v>36</v>
      </c>
    </row>
    <row r="419" spans="1:31" x14ac:dyDescent="0.3">
      <c r="A419" s="48" t="s">
        <v>1320</v>
      </c>
      <c r="B419" s="48" t="s">
        <v>6</v>
      </c>
      <c r="C419" s="48" t="s">
        <v>1322</v>
      </c>
      <c r="D419" s="48" t="s">
        <v>1410</v>
      </c>
      <c r="E419" s="50">
        <v>45777</v>
      </c>
      <c r="F419" s="49" t="s">
        <v>1321</v>
      </c>
      <c r="G419" s="48" t="s">
        <v>36</v>
      </c>
      <c r="H419" s="48" t="s">
        <v>42</v>
      </c>
      <c r="I419" s="51">
        <v>2539829.423163</v>
      </c>
      <c r="J419" s="51"/>
      <c r="K419" s="51"/>
      <c r="L419" s="48" t="s">
        <v>40</v>
      </c>
      <c r="M419" s="48" t="s">
        <v>1433</v>
      </c>
      <c r="N419" s="48" t="s">
        <v>1434</v>
      </c>
      <c r="O419" s="49" t="s">
        <v>1437</v>
      </c>
      <c r="P419" s="48" t="s">
        <v>38</v>
      </c>
      <c r="Q419" s="48" t="s">
        <v>37</v>
      </c>
      <c r="R419" s="48" t="s">
        <v>1436</v>
      </c>
      <c r="S419" s="48" t="s">
        <v>1436</v>
      </c>
      <c r="T419" s="48" t="s">
        <v>1436</v>
      </c>
      <c r="U419" s="48" t="s">
        <v>38</v>
      </c>
      <c r="V419" s="48" t="s">
        <v>39</v>
      </c>
      <c r="W419" s="48" t="s">
        <v>40</v>
      </c>
      <c r="X419" s="48" t="s">
        <v>41</v>
      </c>
      <c r="Y419" s="48" t="s">
        <v>1436</v>
      </c>
      <c r="Z419" s="48" t="s">
        <v>1436</v>
      </c>
      <c r="AA419" s="48" t="s">
        <v>1436</v>
      </c>
      <c r="AB419" s="49" t="s">
        <v>193</v>
      </c>
      <c r="AC419" s="48" t="s">
        <v>1194</v>
      </c>
      <c r="AD419" s="48" t="s">
        <v>1244</v>
      </c>
      <c r="AE419" s="48" t="s">
        <v>36</v>
      </c>
    </row>
    <row r="420" spans="1:31" x14ac:dyDescent="0.3">
      <c r="A420" s="48" t="s">
        <v>1320</v>
      </c>
      <c r="B420" s="48" t="s">
        <v>6</v>
      </c>
      <c r="C420" s="48" t="s">
        <v>1322</v>
      </c>
      <c r="D420" s="48" t="s">
        <v>1409</v>
      </c>
      <c r="E420" s="50">
        <v>45777</v>
      </c>
      <c r="F420" s="49" t="s">
        <v>1321</v>
      </c>
      <c r="G420" s="48" t="s">
        <v>36</v>
      </c>
      <c r="H420" s="48" t="s">
        <v>45</v>
      </c>
      <c r="I420" s="51">
        <v>-389700.93726999999</v>
      </c>
      <c r="J420" s="51"/>
      <c r="K420" s="51"/>
      <c r="L420" s="48" t="s">
        <v>40</v>
      </c>
      <c r="M420" s="48" t="s">
        <v>1433</v>
      </c>
      <c r="N420" s="48" t="s">
        <v>1447</v>
      </c>
      <c r="O420" s="49" t="s">
        <v>1449</v>
      </c>
      <c r="P420" s="48" t="s">
        <v>38</v>
      </c>
      <c r="Q420" s="48" t="s">
        <v>37</v>
      </c>
      <c r="R420" s="48" t="s">
        <v>1436</v>
      </c>
      <c r="S420" s="48" t="s">
        <v>1436</v>
      </c>
      <c r="T420" s="48" t="s">
        <v>1436</v>
      </c>
      <c r="U420" s="48" t="s">
        <v>38</v>
      </c>
      <c r="V420" s="48" t="s">
        <v>39</v>
      </c>
      <c r="W420" s="48" t="s">
        <v>40</v>
      </c>
      <c r="X420" s="48" t="s">
        <v>41</v>
      </c>
      <c r="Y420" s="48" t="s">
        <v>1436</v>
      </c>
      <c r="Z420" s="48" t="s">
        <v>1436</v>
      </c>
      <c r="AA420" s="48" t="s">
        <v>1436</v>
      </c>
      <c r="AB420" s="49" t="s">
        <v>193</v>
      </c>
      <c r="AC420" s="48" t="s">
        <v>1194</v>
      </c>
      <c r="AD420" s="48" t="s">
        <v>1244</v>
      </c>
      <c r="AE420" s="48" t="s">
        <v>36</v>
      </c>
    </row>
    <row r="421" spans="1:31" x14ac:dyDescent="0.3">
      <c r="A421" s="48" t="s">
        <v>1320</v>
      </c>
      <c r="B421" s="48" t="s">
        <v>6</v>
      </c>
      <c r="C421" s="48" t="s">
        <v>1322</v>
      </c>
      <c r="D421" s="48" t="s">
        <v>1408</v>
      </c>
      <c r="E421" s="50">
        <v>45777</v>
      </c>
      <c r="F421" s="49" t="s">
        <v>1321</v>
      </c>
      <c r="G421" s="48" t="s">
        <v>36</v>
      </c>
      <c r="H421" s="48" t="s">
        <v>54</v>
      </c>
      <c r="I421" s="51">
        <v>-551583.72</v>
      </c>
      <c r="J421" s="51"/>
      <c r="K421" s="51"/>
      <c r="L421" s="48" t="s">
        <v>40</v>
      </c>
      <c r="M421" s="48" t="s">
        <v>1433</v>
      </c>
      <c r="N421" s="48" t="s">
        <v>1447</v>
      </c>
      <c r="O421" s="49" t="s">
        <v>1450</v>
      </c>
      <c r="P421" s="48" t="s">
        <v>38</v>
      </c>
      <c r="Q421" s="48" t="s">
        <v>37</v>
      </c>
      <c r="R421" s="48" t="s">
        <v>1436</v>
      </c>
      <c r="S421" s="48" t="s">
        <v>1436</v>
      </c>
      <c r="T421" s="48" t="s">
        <v>1436</v>
      </c>
      <c r="U421" s="48" t="s">
        <v>38</v>
      </c>
      <c r="V421" s="48" t="s">
        <v>39</v>
      </c>
      <c r="W421" s="48" t="s">
        <v>40</v>
      </c>
      <c r="X421" s="48" t="s">
        <v>41</v>
      </c>
      <c r="Y421" s="48" t="s">
        <v>1436</v>
      </c>
      <c r="Z421" s="48" t="s">
        <v>1436</v>
      </c>
      <c r="AA421" s="48" t="s">
        <v>1436</v>
      </c>
      <c r="AB421" s="49" t="s">
        <v>193</v>
      </c>
      <c r="AC421" s="48" t="s">
        <v>1194</v>
      </c>
      <c r="AD421" s="48" t="s">
        <v>1244</v>
      </c>
      <c r="AE421" s="48" t="s">
        <v>36</v>
      </c>
    </row>
    <row r="422" spans="1:31" x14ac:dyDescent="0.3">
      <c r="A422" s="48" t="s">
        <v>1320</v>
      </c>
      <c r="B422" s="48" t="s">
        <v>6</v>
      </c>
      <c r="C422" s="48" t="s">
        <v>1322</v>
      </c>
      <c r="D422" s="48" t="s">
        <v>1407</v>
      </c>
      <c r="E422" s="50">
        <v>45777</v>
      </c>
      <c r="F422" s="49" t="s">
        <v>1321</v>
      </c>
      <c r="G422" s="48" t="s">
        <v>36</v>
      </c>
      <c r="H422" s="48" t="s">
        <v>47</v>
      </c>
      <c r="I422" s="51">
        <v>23506.115684</v>
      </c>
      <c r="J422" s="51"/>
      <c r="K422" s="51"/>
      <c r="L422" s="48" t="s">
        <v>40</v>
      </c>
      <c r="M422" s="48" t="s">
        <v>1438</v>
      </c>
      <c r="N422" s="48" t="s">
        <v>1444</v>
      </c>
      <c r="O422" s="49" t="s">
        <v>1446</v>
      </c>
      <c r="P422" s="48" t="s">
        <v>38</v>
      </c>
      <c r="Q422" s="48" t="s">
        <v>37</v>
      </c>
      <c r="R422" s="48" t="s">
        <v>1436</v>
      </c>
      <c r="S422" s="48" t="s">
        <v>1436</v>
      </c>
      <c r="T422" s="48" t="s">
        <v>1436</v>
      </c>
      <c r="U422" s="48" t="s">
        <v>38</v>
      </c>
      <c r="V422" s="48" t="s">
        <v>39</v>
      </c>
      <c r="W422" s="48" t="s">
        <v>40</v>
      </c>
      <c r="X422" s="48" t="s">
        <v>41</v>
      </c>
      <c r="Y422" s="48" t="s">
        <v>1436</v>
      </c>
      <c r="Z422" s="48" t="s">
        <v>1436</v>
      </c>
      <c r="AA422" s="48" t="s">
        <v>1436</v>
      </c>
      <c r="AB422" s="49" t="s">
        <v>193</v>
      </c>
      <c r="AC422" s="48" t="s">
        <v>1194</v>
      </c>
      <c r="AD422" s="48" t="s">
        <v>1244</v>
      </c>
      <c r="AE422" s="48" t="s">
        <v>36</v>
      </c>
    </row>
    <row r="423" spans="1:31" x14ac:dyDescent="0.3">
      <c r="A423" s="48" t="s">
        <v>1320</v>
      </c>
      <c r="B423" s="48" t="s">
        <v>6</v>
      </c>
      <c r="C423" s="48" t="s">
        <v>1322</v>
      </c>
      <c r="D423" s="48" t="s">
        <v>1406</v>
      </c>
      <c r="E423" s="50">
        <v>45777</v>
      </c>
      <c r="F423" s="49" t="s">
        <v>1321</v>
      </c>
      <c r="G423" s="48" t="s">
        <v>36</v>
      </c>
      <c r="H423" s="48" t="s">
        <v>1441</v>
      </c>
      <c r="I423" s="51">
        <v>0</v>
      </c>
      <c r="J423" s="51"/>
      <c r="K423" s="51"/>
      <c r="L423" s="48" t="s">
        <v>1194</v>
      </c>
      <c r="M423" s="48" t="s">
        <v>1438</v>
      </c>
      <c r="N423" s="48" t="s">
        <v>1439</v>
      </c>
      <c r="O423" s="49" t="s">
        <v>1440</v>
      </c>
      <c r="P423" s="48" t="s">
        <v>38</v>
      </c>
      <c r="Q423" s="48" t="s">
        <v>37</v>
      </c>
      <c r="R423" s="48" t="s">
        <v>1436</v>
      </c>
      <c r="S423" s="48" t="s">
        <v>1436</v>
      </c>
      <c r="T423" s="48" t="s">
        <v>1436</v>
      </c>
      <c r="U423" s="48" t="s">
        <v>38</v>
      </c>
      <c r="V423" s="48" t="s">
        <v>39</v>
      </c>
      <c r="W423" s="48" t="s">
        <v>1194</v>
      </c>
      <c r="X423" s="48" t="s">
        <v>41</v>
      </c>
      <c r="Y423" s="48" t="s">
        <v>1436</v>
      </c>
      <c r="Z423" s="48" t="s">
        <v>1436</v>
      </c>
      <c r="AA423" s="48" t="s">
        <v>1436</v>
      </c>
      <c r="AB423" s="49" t="s">
        <v>193</v>
      </c>
      <c r="AC423" s="48" t="s">
        <v>1194</v>
      </c>
      <c r="AD423" s="48" t="s">
        <v>1244</v>
      </c>
      <c r="AE423" s="48" t="s">
        <v>36</v>
      </c>
    </row>
    <row r="424" spans="1:31" x14ac:dyDescent="0.3">
      <c r="A424" s="48" t="s">
        <v>1320</v>
      </c>
      <c r="B424" s="48" t="s">
        <v>6</v>
      </c>
      <c r="C424" s="48" t="s">
        <v>1322</v>
      </c>
      <c r="D424" s="48" t="s">
        <v>1405</v>
      </c>
      <c r="E424" s="50">
        <v>45777</v>
      </c>
      <c r="F424" s="49" t="s">
        <v>1321</v>
      </c>
      <c r="G424" s="48" t="s">
        <v>36</v>
      </c>
      <c r="H424" s="48" t="s">
        <v>1443</v>
      </c>
      <c r="I424" s="51">
        <v>0</v>
      </c>
      <c r="J424" s="51"/>
      <c r="K424" s="51"/>
      <c r="L424" s="48" t="s">
        <v>1194</v>
      </c>
      <c r="M424" s="48" t="s">
        <v>1438</v>
      </c>
      <c r="N424" s="48" t="s">
        <v>1439</v>
      </c>
      <c r="O424" s="49" t="s">
        <v>1442</v>
      </c>
      <c r="P424" s="48" t="s">
        <v>38</v>
      </c>
      <c r="Q424" s="48" t="s">
        <v>37</v>
      </c>
      <c r="R424" s="48" t="s">
        <v>1436</v>
      </c>
      <c r="S424" s="48" t="s">
        <v>1436</v>
      </c>
      <c r="T424" s="48" t="s">
        <v>1436</v>
      </c>
      <c r="U424" s="48" t="s">
        <v>38</v>
      </c>
      <c r="V424" s="48" t="s">
        <v>39</v>
      </c>
      <c r="W424" s="48" t="s">
        <v>1194</v>
      </c>
      <c r="X424" s="48" t="s">
        <v>41</v>
      </c>
      <c r="Y424" s="48" t="s">
        <v>1436</v>
      </c>
      <c r="Z424" s="48" t="s">
        <v>1436</v>
      </c>
      <c r="AA424" s="48" t="s">
        <v>1436</v>
      </c>
      <c r="AB424" s="49" t="s">
        <v>193</v>
      </c>
      <c r="AC424" s="48" t="s">
        <v>1194</v>
      </c>
      <c r="AD424" s="48" t="s">
        <v>1244</v>
      </c>
      <c r="AE424" s="48" t="s">
        <v>36</v>
      </c>
    </row>
    <row r="425" spans="1:31" x14ac:dyDescent="0.3">
      <c r="A425" s="48" t="s">
        <v>1320</v>
      </c>
      <c r="B425" s="48" t="s">
        <v>6</v>
      </c>
      <c r="C425" s="48" t="s">
        <v>1322</v>
      </c>
      <c r="D425" s="48" t="s">
        <v>1404</v>
      </c>
      <c r="E425" s="50">
        <v>45777</v>
      </c>
      <c r="F425" s="49" t="s">
        <v>1321</v>
      </c>
      <c r="G425" s="48" t="s">
        <v>36</v>
      </c>
      <c r="H425" s="48" t="s">
        <v>49</v>
      </c>
      <c r="I425" s="51">
        <v>-5490.8271670000004</v>
      </c>
      <c r="J425" s="51"/>
      <c r="K425" s="51"/>
      <c r="L425" s="48" t="s">
        <v>38</v>
      </c>
      <c r="M425" s="48" t="s">
        <v>1433</v>
      </c>
      <c r="N425" s="48" t="s">
        <v>1447</v>
      </c>
      <c r="O425" s="49" t="s">
        <v>1451</v>
      </c>
      <c r="P425" s="48" t="s">
        <v>38</v>
      </c>
      <c r="Q425" s="48" t="s">
        <v>37</v>
      </c>
      <c r="R425" s="48" t="s">
        <v>1436</v>
      </c>
      <c r="S425" s="48" t="s">
        <v>1436</v>
      </c>
      <c r="T425" s="48" t="s">
        <v>1436</v>
      </c>
      <c r="U425" s="48" t="s">
        <v>38</v>
      </c>
      <c r="V425" s="48" t="s">
        <v>39</v>
      </c>
      <c r="W425" s="48" t="s">
        <v>38</v>
      </c>
      <c r="X425" s="48" t="s">
        <v>41</v>
      </c>
      <c r="Y425" s="48" t="s">
        <v>1436</v>
      </c>
      <c r="Z425" s="48" t="s">
        <v>1436</v>
      </c>
      <c r="AA425" s="48" t="s">
        <v>1436</v>
      </c>
      <c r="AB425" s="49" t="s">
        <v>193</v>
      </c>
      <c r="AC425" s="48" t="s">
        <v>1194</v>
      </c>
      <c r="AD425" s="48" t="s">
        <v>1244</v>
      </c>
      <c r="AE425" s="48" t="s">
        <v>36</v>
      </c>
    </row>
    <row r="426" spans="1:31" x14ac:dyDescent="0.3">
      <c r="A426" s="48" t="s">
        <v>1320</v>
      </c>
      <c r="B426" s="48" t="s">
        <v>6</v>
      </c>
      <c r="C426" s="48" t="s">
        <v>1322</v>
      </c>
      <c r="D426" s="48" t="s">
        <v>1413</v>
      </c>
      <c r="E426" s="50">
        <v>45808</v>
      </c>
      <c r="F426" s="49" t="s">
        <v>1321</v>
      </c>
      <c r="G426" s="48" t="s">
        <v>36</v>
      </c>
      <c r="H426" s="48" t="s">
        <v>58</v>
      </c>
      <c r="I426" s="51">
        <v>-2050000</v>
      </c>
      <c r="J426" s="51"/>
      <c r="K426" s="51"/>
      <c r="L426" s="48" t="s">
        <v>40</v>
      </c>
      <c r="M426" s="48" t="s">
        <v>1433</v>
      </c>
      <c r="N426" s="48" t="s">
        <v>1447</v>
      </c>
      <c r="O426" s="49" t="s">
        <v>1448</v>
      </c>
      <c r="P426" s="48" t="s">
        <v>38</v>
      </c>
      <c r="Q426" s="48" t="s">
        <v>37</v>
      </c>
      <c r="R426" s="48" t="s">
        <v>1436</v>
      </c>
      <c r="S426" s="48" t="s">
        <v>1436</v>
      </c>
      <c r="T426" s="48" t="s">
        <v>1436</v>
      </c>
      <c r="U426" s="48" t="s">
        <v>38</v>
      </c>
      <c r="V426" s="48" t="s">
        <v>39</v>
      </c>
      <c r="W426" s="48" t="s">
        <v>40</v>
      </c>
      <c r="X426" s="48" t="s">
        <v>41</v>
      </c>
      <c r="Y426" s="48" t="s">
        <v>1436</v>
      </c>
      <c r="Z426" s="48" t="s">
        <v>1436</v>
      </c>
      <c r="AA426" s="48" t="s">
        <v>1436</v>
      </c>
      <c r="AB426" s="49" t="s">
        <v>193</v>
      </c>
      <c r="AC426" s="48" t="s">
        <v>1194</v>
      </c>
      <c r="AD426" s="48" t="s">
        <v>1244</v>
      </c>
      <c r="AE426" s="48" t="s">
        <v>36</v>
      </c>
    </row>
    <row r="427" spans="1:31" x14ac:dyDescent="0.3">
      <c r="A427" s="48" t="s">
        <v>1320</v>
      </c>
      <c r="B427" s="48" t="s">
        <v>6</v>
      </c>
      <c r="C427" s="48" t="s">
        <v>1322</v>
      </c>
      <c r="D427" s="48" t="s">
        <v>1412</v>
      </c>
      <c r="E427" s="50">
        <v>45808</v>
      </c>
      <c r="F427" s="49" t="s">
        <v>1321</v>
      </c>
      <c r="G427" s="48" t="s">
        <v>36</v>
      </c>
      <c r="H427" s="48" t="s">
        <v>52</v>
      </c>
      <c r="I427" s="51">
        <v>-1735550.11</v>
      </c>
      <c r="J427" s="51"/>
      <c r="K427" s="51"/>
      <c r="L427" s="48" t="s">
        <v>40</v>
      </c>
      <c r="M427" s="48" t="s">
        <v>1433</v>
      </c>
      <c r="N427" s="48" t="s">
        <v>1434</v>
      </c>
      <c r="O427" s="49" t="s">
        <v>1435</v>
      </c>
      <c r="P427" s="48" t="s">
        <v>38</v>
      </c>
      <c r="Q427" s="48" t="s">
        <v>37</v>
      </c>
      <c r="R427" s="48" t="s">
        <v>1436</v>
      </c>
      <c r="S427" s="48" t="s">
        <v>1436</v>
      </c>
      <c r="T427" s="48" t="s">
        <v>1436</v>
      </c>
      <c r="U427" s="48" t="s">
        <v>38</v>
      </c>
      <c r="V427" s="48" t="s">
        <v>39</v>
      </c>
      <c r="W427" s="48" t="s">
        <v>40</v>
      </c>
      <c r="X427" s="48" t="s">
        <v>41</v>
      </c>
      <c r="Y427" s="48" t="s">
        <v>1436</v>
      </c>
      <c r="Z427" s="48" t="s">
        <v>1436</v>
      </c>
      <c r="AA427" s="48" t="s">
        <v>1436</v>
      </c>
      <c r="AB427" s="49" t="s">
        <v>193</v>
      </c>
      <c r="AC427" s="48" t="s">
        <v>1194</v>
      </c>
      <c r="AD427" s="48" t="s">
        <v>1244</v>
      </c>
      <c r="AE427" s="48" t="s">
        <v>36</v>
      </c>
    </row>
    <row r="428" spans="1:31" x14ac:dyDescent="0.3">
      <c r="A428" s="48" t="s">
        <v>1320</v>
      </c>
      <c r="B428" s="48" t="s">
        <v>6</v>
      </c>
      <c r="C428" s="48" t="s">
        <v>1322</v>
      </c>
      <c r="D428" s="48" t="s">
        <v>1411</v>
      </c>
      <c r="E428" s="50">
        <v>45808</v>
      </c>
      <c r="F428" s="49" t="s">
        <v>1321</v>
      </c>
      <c r="G428" s="48" t="s">
        <v>36</v>
      </c>
      <c r="H428" s="48" t="s">
        <v>50</v>
      </c>
      <c r="I428" s="51">
        <v>211652.46</v>
      </c>
      <c r="J428" s="51"/>
      <c r="K428" s="51"/>
      <c r="L428" s="48" t="s">
        <v>40</v>
      </c>
      <c r="M428" s="48" t="s">
        <v>1438</v>
      </c>
      <c r="N428" s="48" t="s">
        <v>1444</v>
      </c>
      <c r="O428" s="49" t="s">
        <v>1445</v>
      </c>
      <c r="P428" s="48" t="s">
        <v>38</v>
      </c>
      <c r="Q428" s="48" t="s">
        <v>37</v>
      </c>
      <c r="R428" s="48" t="s">
        <v>1436</v>
      </c>
      <c r="S428" s="48" t="s">
        <v>1436</v>
      </c>
      <c r="T428" s="48" t="s">
        <v>1436</v>
      </c>
      <c r="U428" s="48" t="s">
        <v>38</v>
      </c>
      <c r="V428" s="48" t="s">
        <v>39</v>
      </c>
      <c r="W428" s="48" t="s">
        <v>40</v>
      </c>
      <c r="X428" s="48" t="s">
        <v>41</v>
      </c>
      <c r="Y428" s="48" t="s">
        <v>1436</v>
      </c>
      <c r="Z428" s="48" t="s">
        <v>1436</v>
      </c>
      <c r="AA428" s="48" t="s">
        <v>1436</v>
      </c>
      <c r="AB428" s="49" t="s">
        <v>193</v>
      </c>
      <c r="AC428" s="48" t="s">
        <v>1194</v>
      </c>
      <c r="AD428" s="48" t="s">
        <v>1244</v>
      </c>
      <c r="AE428" s="48" t="s">
        <v>36</v>
      </c>
    </row>
    <row r="429" spans="1:31" x14ac:dyDescent="0.3">
      <c r="A429" s="48" t="s">
        <v>1320</v>
      </c>
      <c r="B429" s="48" t="s">
        <v>6</v>
      </c>
      <c r="C429" s="48" t="s">
        <v>1322</v>
      </c>
      <c r="D429" s="48" t="s">
        <v>1410</v>
      </c>
      <c r="E429" s="50">
        <v>45808</v>
      </c>
      <c r="F429" s="49" t="s">
        <v>1321</v>
      </c>
      <c r="G429" s="48" t="s">
        <v>36</v>
      </c>
      <c r="H429" s="48" t="s">
        <v>42</v>
      </c>
      <c r="I429" s="51">
        <v>2539829.423163</v>
      </c>
      <c r="J429" s="51"/>
      <c r="K429" s="51"/>
      <c r="L429" s="48" t="s">
        <v>40</v>
      </c>
      <c r="M429" s="48" t="s">
        <v>1433</v>
      </c>
      <c r="N429" s="48" t="s">
        <v>1434</v>
      </c>
      <c r="O429" s="49" t="s">
        <v>1437</v>
      </c>
      <c r="P429" s="48" t="s">
        <v>38</v>
      </c>
      <c r="Q429" s="48" t="s">
        <v>37</v>
      </c>
      <c r="R429" s="48" t="s">
        <v>1436</v>
      </c>
      <c r="S429" s="48" t="s">
        <v>1436</v>
      </c>
      <c r="T429" s="48" t="s">
        <v>1436</v>
      </c>
      <c r="U429" s="48" t="s">
        <v>38</v>
      </c>
      <c r="V429" s="48" t="s">
        <v>39</v>
      </c>
      <c r="W429" s="48" t="s">
        <v>40</v>
      </c>
      <c r="X429" s="48" t="s">
        <v>41</v>
      </c>
      <c r="Y429" s="48" t="s">
        <v>1436</v>
      </c>
      <c r="Z429" s="48" t="s">
        <v>1436</v>
      </c>
      <c r="AA429" s="48" t="s">
        <v>1436</v>
      </c>
      <c r="AB429" s="49" t="s">
        <v>193</v>
      </c>
      <c r="AC429" s="48" t="s">
        <v>1194</v>
      </c>
      <c r="AD429" s="48" t="s">
        <v>1244</v>
      </c>
      <c r="AE429" s="48" t="s">
        <v>36</v>
      </c>
    </row>
    <row r="430" spans="1:31" x14ac:dyDescent="0.3">
      <c r="A430" s="48" t="s">
        <v>1320</v>
      </c>
      <c r="B430" s="48" t="s">
        <v>6</v>
      </c>
      <c r="C430" s="48" t="s">
        <v>1322</v>
      </c>
      <c r="D430" s="48" t="s">
        <v>1409</v>
      </c>
      <c r="E430" s="50">
        <v>45808</v>
      </c>
      <c r="F430" s="49" t="s">
        <v>1321</v>
      </c>
      <c r="G430" s="48" t="s">
        <v>36</v>
      </c>
      <c r="H430" s="48" t="s">
        <v>45</v>
      </c>
      <c r="I430" s="51">
        <v>-341974.19443700003</v>
      </c>
      <c r="J430" s="51"/>
      <c r="K430" s="51"/>
      <c r="L430" s="48" t="s">
        <v>40</v>
      </c>
      <c r="M430" s="48" t="s">
        <v>1433</v>
      </c>
      <c r="N430" s="48" t="s">
        <v>1447</v>
      </c>
      <c r="O430" s="49" t="s">
        <v>1449</v>
      </c>
      <c r="P430" s="48" t="s">
        <v>38</v>
      </c>
      <c r="Q430" s="48" t="s">
        <v>37</v>
      </c>
      <c r="R430" s="48" t="s">
        <v>1436</v>
      </c>
      <c r="S430" s="48" t="s">
        <v>1436</v>
      </c>
      <c r="T430" s="48" t="s">
        <v>1436</v>
      </c>
      <c r="U430" s="48" t="s">
        <v>38</v>
      </c>
      <c r="V430" s="48" t="s">
        <v>39</v>
      </c>
      <c r="W430" s="48" t="s">
        <v>40</v>
      </c>
      <c r="X430" s="48" t="s">
        <v>41</v>
      </c>
      <c r="Y430" s="48" t="s">
        <v>1436</v>
      </c>
      <c r="Z430" s="48" t="s">
        <v>1436</v>
      </c>
      <c r="AA430" s="48" t="s">
        <v>1436</v>
      </c>
      <c r="AB430" s="49" t="s">
        <v>193</v>
      </c>
      <c r="AC430" s="48" t="s">
        <v>1194</v>
      </c>
      <c r="AD430" s="48" t="s">
        <v>1244</v>
      </c>
      <c r="AE430" s="48" t="s">
        <v>36</v>
      </c>
    </row>
    <row r="431" spans="1:31" x14ac:dyDescent="0.3">
      <c r="A431" s="48" t="s">
        <v>1320</v>
      </c>
      <c r="B431" s="48" t="s">
        <v>6</v>
      </c>
      <c r="C431" s="48" t="s">
        <v>1322</v>
      </c>
      <c r="D431" s="48" t="s">
        <v>1408</v>
      </c>
      <c r="E431" s="50">
        <v>45808</v>
      </c>
      <c r="F431" s="49" t="s">
        <v>1321</v>
      </c>
      <c r="G431" s="48" t="s">
        <v>36</v>
      </c>
      <c r="H431" s="48" t="s">
        <v>54</v>
      </c>
      <c r="I431" s="51">
        <v>-554801.29</v>
      </c>
      <c r="J431" s="51"/>
      <c r="K431" s="51"/>
      <c r="L431" s="48" t="s">
        <v>40</v>
      </c>
      <c r="M431" s="48" t="s">
        <v>1433</v>
      </c>
      <c r="N431" s="48" t="s">
        <v>1447</v>
      </c>
      <c r="O431" s="49" t="s">
        <v>1450</v>
      </c>
      <c r="P431" s="48" t="s">
        <v>38</v>
      </c>
      <c r="Q431" s="48" t="s">
        <v>37</v>
      </c>
      <c r="R431" s="48" t="s">
        <v>1436</v>
      </c>
      <c r="S431" s="48" t="s">
        <v>1436</v>
      </c>
      <c r="T431" s="48" t="s">
        <v>1436</v>
      </c>
      <c r="U431" s="48" t="s">
        <v>38</v>
      </c>
      <c r="V431" s="48" t="s">
        <v>39</v>
      </c>
      <c r="W431" s="48" t="s">
        <v>40</v>
      </c>
      <c r="X431" s="48" t="s">
        <v>41</v>
      </c>
      <c r="Y431" s="48" t="s">
        <v>1436</v>
      </c>
      <c r="Z431" s="48" t="s">
        <v>1436</v>
      </c>
      <c r="AA431" s="48" t="s">
        <v>1436</v>
      </c>
      <c r="AB431" s="49" t="s">
        <v>193</v>
      </c>
      <c r="AC431" s="48" t="s">
        <v>1194</v>
      </c>
      <c r="AD431" s="48" t="s">
        <v>1244</v>
      </c>
      <c r="AE431" s="48" t="s">
        <v>36</v>
      </c>
    </row>
    <row r="432" spans="1:31" x14ac:dyDescent="0.3">
      <c r="A432" s="48" t="s">
        <v>1320</v>
      </c>
      <c r="B432" s="48" t="s">
        <v>6</v>
      </c>
      <c r="C432" s="48" t="s">
        <v>1322</v>
      </c>
      <c r="D432" s="48" t="s">
        <v>1407</v>
      </c>
      <c r="E432" s="50">
        <v>45808</v>
      </c>
      <c r="F432" s="49" t="s">
        <v>1321</v>
      </c>
      <c r="G432" s="48" t="s">
        <v>36</v>
      </c>
      <c r="H432" s="48" t="s">
        <v>47</v>
      </c>
      <c r="I432" s="51">
        <v>28737.30601</v>
      </c>
      <c r="J432" s="51"/>
      <c r="K432" s="51"/>
      <c r="L432" s="48" t="s">
        <v>40</v>
      </c>
      <c r="M432" s="48" t="s">
        <v>1438</v>
      </c>
      <c r="N432" s="48" t="s">
        <v>1444</v>
      </c>
      <c r="O432" s="49" t="s">
        <v>1446</v>
      </c>
      <c r="P432" s="48" t="s">
        <v>38</v>
      </c>
      <c r="Q432" s="48" t="s">
        <v>37</v>
      </c>
      <c r="R432" s="48" t="s">
        <v>1436</v>
      </c>
      <c r="S432" s="48" t="s">
        <v>1436</v>
      </c>
      <c r="T432" s="48" t="s">
        <v>1436</v>
      </c>
      <c r="U432" s="48" t="s">
        <v>38</v>
      </c>
      <c r="V432" s="48" t="s">
        <v>39</v>
      </c>
      <c r="W432" s="48" t="s">
        <v>40</v>
      </c>
      <c r="X432" s="48" t="s">
        <v>41</v>
      </c>
      <c r="Y432" s="48" t="s">
        <v>1436</v>
      </c>
      <c r="Z432" s="48" t="s">
        <v>1436</v>
      </c>
      <c r="AA432" s="48" t="s">
        <v>1436</v>
      </c>
      <c r="AB432" s="49" t="s">
        <v>193</v>
      </c>
      <c r="AC432" s="48" t="s">
        <v>1194</v>
      </c>
      <c r="AD432" s="48" t="s">
        <v>1244</v>
      </c>
      <c r="AE432" s="48" t="s">
        <v>36</v>
      </c>
    </row>
    <row r="433" spans="1:31" x14ac:dyDescent="0.3">
      <c r="A433" s="48" t="s">
        <v>1320</v>
      </c>
      <c r="B433" s="48" t="s">
        <v>6</v>
      </c>
      <c r="C433" s="48" t="s">
        <v>1322</v>
      </c>
      <c r="D433" s="48" t="s">
        <v>1406</v>
      </c>
      <c r="E433" s="50">
        <v>45808</v>
      </c>
      <c r="F433" s="49" t="s">
        <v>1321</v>
      </c>
      <c r="G433" s="48" t="s">
        <v>36</v>
      </c>
      <c r="H433" s="48" t="s">
        <v>1441</v>
      </c>
      <c r="I433" s="51">
        <v>0</v>
      </c>
      <c r="J433" s="51"/>
      <c r="K433" s="51"/>
      <c r="L433" s="48" t="s">
        <v>1194</v>
      </c>
      <c r="M433" s="48" t="s">
        <v>1438</v>
      </c>
      <c r="N433" s="48" t="s">
        <v>1439</v>
      </c>
      <c r="O433" s="49" t="s">
        <v>1440</v>
      </c>
      <c r="P433" s="48" t="s">
        <v>38</v>
      </c>
      <c r="Q433" s="48" t="s">
        <v>37</v>
      </c>
      <c r="R433" s="48" t="s">
        <v>1436</v>
      </c>
      <c r="S433" s="48" t="s">
        <v>1436</v>
      </c>
      <c r="T433" s="48" t="s">
        <v>1436</v>
      </c>
      <c r="U433" s="48" t="s">
        <v>38</v>
      </c>
      <c r="V433" s="48" t="s">
        <v>39</v>
      </c>
      <c r="W433" s="48" t="s">
        <v>1194</v>
      </c>
      <c r="X433" s="48" t="s">
        <v>41</v>
      </c>
      <c r="Y433" s="48" t="s">
        <v>1436</v>
      </c>
      <c r="Z433" s="48" t="s">
        <v>1436</v>
      </c>
      <c r="AA433" s="48" t="s">
        <v>1436</v>
      </c>
      <c r="AB433" s="49" t="s">
        <v>193</v>
      </c>
      <c r="AC433" s="48" t="s">
        <v>1194</v>
      </c>
      <c r="AD433" s="48" t="s">
        <v>1244</v>
      </c>
      <c r="AE433" s="48" t="s">
        <v>36</v>
      </c>
    </row>
    <row r="434" spans="1:31" x14ac:dyDescent="0.3">
      <c r="A434" s="48" t="s">
        <v>1320</v>
      </c>
      <c r="B434" s="48" t="s">
        <v>6</v>
      </c>
      <c r="C434" s="48" t="s">
        <v>1322</v>
      </c>
      <c r="D434" s="48" t="s">
        <v>1405</v>
      </c>
      <c r="E434" s="50">
        <v>45808</v>
      </c>
      <c r="F434" s="49" t="s">
        <v>1321</v>
      </c>
      <c r="G434" s="48" t="s">
        <v>36</v>
      </c>
      <c r="H434" s="48" t="s">
        <v>1443</v>
      </c>
      <c r="I434" s="51">
        <v>0</v>
      </c>
      <c r="J434" s="51"/>
      <c r="K434" s="51"/>
      <c r="L434" s="48" t="s">
        <v>1194</v>
      </c>
      <c r="M434" s="48" t="s">
        <v>1438</v>
      </c>
      <c r="N434" s="48" t="s">
        <v>1439</v>
      </c>
      <c r="O434" s="49" t="s">
        <v>1442</v>
      </c>
      <c r="P434" s="48" t="s">
        <v>38</v>
      </c>
      <c r="Q434" s="48" t="s">
        <v>37</v>
      </c>
      <c r="R434" s="48" t="s">
        <v>1436</v>
      </c>
      <c r="S434" s="48" t="s">
        <v>1436</v>
      </c>
      <c r="T434" s="48" t="s">
        <v>1436</v>
      </c>
      <c r="U434" s="48" t="s">
        <v>38</v>
      </c>
      <c r="V434" s="48" t="s">
        <v>39</v>
      </c>
      <c r="W434" s="48" t="s">
        <v>1194</v>
      </c>
      <c r="X434" s="48" t="s">
        <v>41</v>
      </c>
      <c r="Y434" s="48" t="s">
        <v>1436</v>
      </c>
      <c r="Z434" s="48" t="s">
        <v>1436</v>
      </c>
      <c r="AA434" s="48" t="s">
        <v>1436</v>
      </c>
      <c r="AB434" s="49" t="s">
        <v>193</v>
      </c>
      <c r="AC434" s="48" t="s">
        <v>1194</v>
      </c>
      <c r="AD434" s="48" t="s">
        <v>1244</v>
      </c>
      <c r="AE434" s="48" t="s">
        <v>36</v>
      </c>
    </row>
    <row r="435" spans="1:31" x14ac:dyDescent="0.3">
      <c r="A435" s="48" t="s">
        <v>1320</v>
      </c>
      <c r="B435" s="48" t="s">
        <v>6</v>
      </c>
      <c r="C435" s="48" t="s">
        <v>1322</v>
      </c>
      <c r="D435" s="48" t="s">
        <v>1404</v>
      </c>
      <c r="E435" s="50">
        <v>45808</v>
      </c>
      <c r="F435" s="49" t="s">
        <v>1321</v>
      </c>
      <c r="G435" s="48" t="s">
        <v>36</v>
      </c>
      <c r="H435" s="48" t="s">
        <v>49</v>
      </c>
      <c r="I435" s="51">
        <v>-5231.1903259999999</v>
      </c>
      <c r="J435" s="51"/>
      <c r="K435" s="51"/>
      <c r="L435" s="48" t="s">
        <v>38</v>
      </c>
      <c r="M435" s="48" t="s">
        <v>1433</v>
      </c>
      <c r="N435" s="48" t="s">
        <v>1447</v>
      </c>
      <c r="O435" s="49" t="s">
        <v>1451</v>
      </c>
      <c r="P435" s="48" t="s">
        <v>38</v>
      </c>
      <c r="Q435" s="48" t="s">
        <v>37</v>
      </c>
      <c r="R435" s="48" t="s">
        <v>1436</v>
      </c>
      <c r="S435" s="48" t="s">
        <v>1436</v>
      </c>
      <c r="T435" s="48" t="s">
        <v>1436</v>
      </c>
      <c r="U435" s="48" t="s">
        <v>38</v>
      </c>
      <c r="V435" s="48" t="s">
        <v>39</v>
      </c>
      <c r="W435" s="48" t="s">
        <v>38</v>
      </c>
      <c r="X435" s="48" t="s">
        <v>41</v>
      </c>
      <c r="Y435" s="48" t="s">
        <v>1436</v>
      </c>
      <c r="Z435" s="48" t="s">
        <v>1436</v>
      </c>
      <c r="AA435" s="48" t="s">
        <v>1436</v>
      </c>
      <c r="AB435" s="49" t="s">
        <v>193</v>
      </c>
      <c r="AC435" s="48" t="s">
        <v>1194</v>
      </c>
      <c r="AD435" s="48" t="s">
        <v>1244</v>
      </c>
      <c r="AE435" s="48" t="s">
        <v>36</v>
      </c>
    </row>
    <row r="436" spans="1:31" x14ac:dyDescent="0.3">
      <c r="A436" s="48" t="s">
        <v>1320</v>
      </c>
      <c r="B436" s="48" t="s">
        <v>6</v>
      </c>
      <c r="C436" s="48" t="s">
        <v>1322</v>
      </c>
      <c r="D436" s="48" t="s">
        <v>1413</v>
      </c>
      <c r="E436" s="50">
        <v>45838</v>
      </c>
      <c r="F436" s="49" t="s">
        <v>1321</v>
      </c>
      <c r="G436" s="48" t="s">
        <v>36</v>
      </c>
      <c r="H436" s="48" t="s">
        <v>58</v>
      </c>
      <c r="I436" s="51">
        <v>-2100000</v>
      </c>
      <c r="J436" s="51"/>
      <c r="K436" s="51"/>
      <c r="L436" s="48" t="s">
        <v>40</v>
      </c>
      <c r="M436" s="48" t="s">
        <v>1433</v>
      </c>
      <c r="N436" s="48" t="s">
        <v>1447</v>
      </c>
      <c r="O436" s="49" t="s">
        <v>1448</v>
      </c>
      <c r="P436" s="48" t="s">
        <v>38</v>
      </c>
      <c r="Q436" s="48" t="s">
        <v>37</v>
      </c>
      <c r="R436" s="48" t="s">
        <v>1436</v>
      </c>
      <c r="S436" s="48" t="s">
        <v>1436</v>
      </c>
      <c r="T436" s="48" t="s">
        <v>1436</v>
      </c>
      <c r="U436" s="48" t="s">
        <v>38</v>
      </c>
      <c r="V436" s="48" t="s">
        <v>39</v>
      </c>
      <c r="W436" s="48" t="s">
        <v>40</v>
      </c>
      <c r="X436" s="48" t="s">
        <v>41</v>
      </c>
      <c r="Y436" s="48" t="s">
        <v>1436</v>
      </c>
      <c r="Z436" s="48" t="s">
        <v>1436</v>
      </c>
      <c r="AA436" s="48" t="s">
        <v>1436</v>
      </c>
      <c r="AB436" s="49" t="s">
        <v>193</v>
      </c>
      <c r="AC436" s="48" t="s">
        <v>1194</v>
      </c>
      <c r="AD436" s="48" t="s">
        <v>1244</v>
      </c>
      <c r="AE436" s="48" t="s">
        <v>36</v>
      </c>
    </row>
    <row r="437" spans="1:31" x14ac:dyDescent="0.3">
      <c r="A437" s="48" t="s">
        <v>1320</v>
      </c>
      <c r="B437" s="48" t="s">
        <v>6</v>
      </c>
      <c r="C437" s="48" t="s">
        <v>1322</v>
      </c>
      <c r="D437" s="48" t="s">
        <v>1412</v>
      </c>
      <c r="E437" s="50">
        <v>45838</v>
      </c>
      <c r="F437" s="49" t="s">
        <v>1321</v>
      </c>
      <c r="G437" s="48" t="s">
        <v>36</v>
      </c>
      <c r="H437" s="48" t="s">
        <v>52</v>
      </c>
      <c r="I437" s="51">
        <v>-1777880.6</v>
      </c>
      <c r="J437" s="51"/>
      <c r="K437" s="51"/>
      <c r="L437" s="48" t="s">
        <v>40</v>
      </c>
      <c r="M437" s="48" t="s">
        <v>1433</v>
      </c>
      <c r="N437" s="48" t="s">
        <v>1434</v>
      </c>
      <c r="O437" s="49" t="s">
        <v>1435</v>
      </c>
      <c r="P437" s="48" t="s">
        <v>38</v>
      </c>
      <c r="Q437" s="48" t="s">
        <v>37</v>
      </c>
      <c r="R437" s="48" t="s">
        <v>1436</v>
      </c>
      <c r="S437" s="48" t="s">
        <v>1436</v>
      </c>
      <c r="T437" s="48" t="s">
        <v>1436</v>
      </c>
      <c r="U437" s="48" t="s">
        <v>38</v>
      </c>
      <c r="V437" s="48" t="s">
        <v>39</v>
      </c>
      <c r="W437" s="48" t="s">
        <v>40</v>
      </c>
      <c r="X437" s="48" t="s">
        <v>41</v>
      </c>
      <c r="Y437" s="48" t="s">
        <v>1436</v>
      </c>
      <c r="Z437" s="48" t="s">
        <v>1436</v>
      </c>
      <c r="AA437" s="48" t="s">
        <v>1436</v>
      </c>
      <c r="AB437" s="49" t="s">
        <v>193</v>
      </c>
      <c r="AC437" s="48" t="s">
        <v>1194</v>
      </c>
      <c r="AD437" s="48" t="s">
        <v>1244</v>
      </c>
      <c r="AE437" s="48" t="s">
        <v>36</v>
      </c>
    </row>
    <row r="438" spans="1:31" x14ac:dyDescent="0.3">
      <c r="A438" s="48" t="s">
        <v>1320</v>
      </c>
      <c r="B438" s="48" t="s">
        <v>6</v>
      </c>
      <c r="C438" s="48" t="s">
        <v>1322</v>
      </c>
      <c r="D438" s="48" t="s">
        <v>1411</v>
      </c>
      <c r="E438" s="50">
        <v>45838</v>
      </c>
      <c r="F438" s="49" t="s">
        <v>1321</v>
      </c>
      <c r="G438" s="48" t="s">
        <v>36</v>
      </c>
      <c r="H438" s="48" t="s">
        <v>50</v>
      </c>
      <c r="I438" s="51">
        <v>253982.95</v>
      </c>
      <c r="J438" s="51"/>
      <c r="K438" s="51"/>
      <c r="L438" s="48" t="s">
        <v>40</v>
      </c>
      <c r="M438" s="48" t="s">
        <v>1438</v>
      </c>
      <c r="N438" s="48" t="s">
        <v>1444</v>
      </c>
      <c r="O438" s="49" t="s">
        <v>1445</v>
      </c>
      <c r="P438" s="48" t="s">
        <v>38</v>
      </c>
      <c r="Q438" s="48" t="s">
        <v>37</v>
      </c>
      <c r="R438" s="48" t="s">
        <v>1436</v>
      </c>
      <c r="S438" s="48" t="s">
        <v>1436</v>
      </c>
      <c r="T438" s="48" t="s">
        <v>1436</v>
      </c>
      <c r="U438" s="48" t="s">
        <v>38</v>
      </c>
      <c r="V438" s="48" t="s">
        <v>39</v>
      </c>
      <c r="W438" s="48" t="s">
        <v>40</v>
      </c>
      <c r="X438" s="48" t="s">
        <v>41</v>
      </c>
      <c r="Y438" s="48" t="s">
        <v>1436</v>
      </c>
      <c r="Z438" s="48" t="s">
        <v>1436</v>
      </c>
      <c r="AA438" s="48" t="s">
        <v>1436</v>
      </c>
      <c r="AB438" s="49" t="s">
        <v>193</v>
      </c>
      <c r="AC438" s="48" t="s">
        <v>1194</v>
      </c>
      <c r="AD438" s="48" t="s">
        <v>1244</v>
      </c>
      <c r="AE438" s="48" t="s">
        <v>36</v>
      </c>
    </row>
    <row r="439" spans="1:31" x14ac:dyDescent="0.3">
      <c r="A439" s="48" t="s">
        <v>1320</v>
      </c>
      <c r="B439" s="48" t="s">
        <v>6</v>
      </c>
      <c r="C439" s="48" t="s">
        <v>1322</v>
      </c>
      <c r="D439" s="48" t="s">
        <v>1410</v>
      </c>
      <c r="E439" s="50">
        <v>45838</v>
      </c>
      <c r="F439" s="49" t="s">
        <v>1321</v>
      </c>
      <c r="G439" s="48" t="s">
        <v>36</v>
      </c>
      <c r="H439" s="48" t="s">
        <v>42</v>
      </c>
      <c r="I439" s="51">
        <v>2539829.423163</v>
      </c>
      <c r="J439" s="51"/>
      <c r="K439" s="51"/>
      <c r="L439" s="48" t="s">
        <v>40</v>
      </c>
      <c r="M439" s="48" t="s">
        <v>1433</v>
      </c>
      <c r="N439" s="48" t="s">
        <v>1434</v>
      </c>
      <c r="O439" s="49" t="s">
        <v>1437</v>
      </c>
      <c r="P439" s="48" t="s">
        <v>38</v>
      </c>
      <c r="Q439" s="48" t="s">
        <v>37</v>
      </c>
      <c r="R439" s="48" t="s">
        <v>1436</v>
      </c>
      <c r="S439" s="48" t="s">
        <v>1436</v>
      </c>
      <c r="T439" s="48" t="s">
        <v>1436</v>
      </c>
      <c r="U439" s="48" t="s">
        <v>38</v>
      </c>
      <c r="V439" s="48" t="s">
        <v>39</v>
      </c>
      <c r="W439" s="48" t="s">
        <v>40</v>
      </c>
      <c r="X439" s="48" t="s">
        <v>41</v>
      </c>
      <c r="Y439" s="48" t="s">
        <v>1436</v>
      </c>
      <c r="Z439" s="48" t="s">
        <v>1436</v>
      </c>
      <c r="AA439" s="48" t="s">
        <v>1436</v>
      </c>
      <c r="AB439" s="49" t="s">
        <v>193</v>
      </c>
      <c r="AC439" s="48" t="s">
        <v>1194</v>
      </c>
      <c r="AD439" s="48" t="s">
        <v>1244</v>
      </c>
      <c r="AE439" s="48" t="s">
        <v>36</v>
      </c>
    </row>
    <row r="440" spans="1:31" x14ac:dyDescent="0.3">
      <c r="A440" s="48" t="s">
        <v>1320</v>
      </c>
      <c r="B440" s="48" t="s">
        <v>6</v>
      </c>
      <c r="C440" s="48" t="s">
        <v>1322</v>
      </c>
      <c r="D440" s="48" t="s">
        <v>1409</v>
      </c>
      <c r="E440" s="50">
        <v>45838</v>
      </c>
      <c r="F440" s="49" t="s">
        <v>1321</v>
      </c>
      <c r="G440" s="48" t="s">
        <v>36</v>
      </c>
      <c r="H440" s="48" t="s">
        <v>45</v>
      </c>
      <c r="I440" s="51">
        <v>-293969.04476299998</v>
      </c>
      <c r="J440" s="51"/>
      <c r="K440" s="51"/>
      <c r="L440" s="48" t="s">
        <v>40</v>
      </c>
      <c r="M440" s="48" t="s">
        <v>1433</v>
      </c>
      <c r="N440" s="48" t="s">
        <v>1447</v>
      </c>
      <c r="O440" s="49" t="s">
        <v>1449</v>
      </c>
      <c r="P440" s="48" t="s">
        <v>38</v>
      </c>
      <c r="Q440" s="48" t="s">
        <v>37</v>
      </c>
      <c r="R440" s="48" t="s">
        <v>1436</v>
      </c>
      <c r="S440" s="48" t="s">
        <v>1436</v>
      </c>
      <c r="T440" s="48" t="s">
        <v>1436</v>
      </c>
      <c r="U440" s="48" t="s">
        <v>38</v>
      </c>
      <c r="V440" s="48" t="s">
        <v>39</v>
      </c>
      <c r="W440" s="48" t="s">
        <v>40</v>
      </c>
      <c r="X440" s="48" t="s">
        <v>41</v>
      </c>
      <c r="Y440" s="48" t="s">
        <v>1436</v>
      </c>
      <c r="Z440" s="48" t="s">
        <v>1436</v>
      </c>
      <c r="AA440" s="48" t="s">
        <v>1436</v>
      </c>
      <c r="AB440" s="49" t="s">
        <v>193</v>
      </c>
      <c r="AC440" s="48" t="s">
        <v>1194</v>
      </c>
      <c r="AD440" s="48" t="s">
        <v>1244</v>
      </c>
      <c r="AE440" s="48" t="s">
        <v>36</v>
      </c>
    </row>
    <row r="441" spans="1:31" x14ac:dyDescent="0.3">
      <c r="A441" s="48" t="s">
        <v>1320</v>
      </c>
      <c r="B441" s="48" t="s">
        <v>6</v>
      </c>
      <c r="C441" s="48" t="s">
        <v>1322</v>
      </c>
      <c r="D441" s="48" t="s">
        <v>1408</v>
      </c>
      <c r="E441" s="50">
        <v>45838</v>
      </c>
      <c r="F441" s="49" t="s">
        <v>1321</v>
      </c>
      <c r="G441" s="48" t="s">
        <v>36</v>
      </c>
      <c r="H441" s="48" t="s">
        <v>54</v>
      </c>
      <c r="I441" s="51">
        <v>-558037.63</v>
      </c>
      <c r="J441" s="51"/>
      <c r="K441" s="51"/>
      <c r="L441" s="48" t="s">
        <v>40</v>
      </c>
      <c r="M441" s="48" t="s">
        <v>1433</v>
      </c>
      <c r="N441" s="48" t="s">
        <v>1447</v>
      </c>
      <c r="O441" s="49" t="s">
        <v>1450</v>
      </c>
      <c r="P441" s="48" t="s">
        <v>38</v>
      </c>
      <c r="Q441" s="48" t="s">
        <v>37</v>
      </c>
      <c r="R441" s="48" t="s">
        <v>1436</v>
      </c>
      <c r="S441" s="48" t="s">
        <v>1436</v>
      </c>
      <c r="T441" s="48" t="s">
        <v>1436</v>
      </c>
      <c r="U441" s="48" t="s">
        <v>38</v>
      </c>
      <c r="V441" s="48" t="s">
        <v>39</v>
      </c>
      <c r="W441" s="48" t="s">
        <v>40</v>
      </c>
      <c r="X441" s="48" t="s">
        <v>41</v>
      </c>
      <c r="Y441" s="48" t="s">
        <v>1436</v>
      </c>
      <c r="Z441" s="48" t="s">
        <v>1436</v>
      </c>
      <c r="AA441" s="48" t="s">
        <v>1436</v>
      </c>
      <c r="AB441" s="49" t="s">
        <v>193</v>
      </c>
      <c r="AC441" s="48" t="s">
        <v>1194</v>
      </c>
      <c r="AD441" s="48" t="s">
        <v>1244</v>
      </c>
      <c r="AE441" s="48" t="s">
        <v>36</v>
      </c>
    </row>
    <row r="442" spans="1:31" x14ac:dyDescent="0.3">
      <c r="A442" s="48" t="s">
        <v>1320</v>
      </c>
      <c r="B442" s="48" t="s">
        <v>6</v>
      </c>
      <c r="C442" s="48" t="s">
        <v>1322</v>
      </c>
      <c r="D442" s="48" t="s">
        <v>1407</v>
      </c>
      <c r="E442" s="50">
        <v>45838</v>
      </c>
      <c r="F442" s="49" t="s">
        <v>1321</v>
      </c>
      <c r="G442" s="48" t="s">
        <v>36</v>
      </c>
      <c r="H442" s="48" t="s">
        <v>47</v>
      </c>
      <c r="I442" s="51">
        <v>33707.344945999997</v>
      </c>
      <c r="J442" s="51"/>
      <c r="K442" s="51"/>
      <c r="L442" s="48" t="s">
        <v>40</v>
      </c>
      <c r="M442" s="48" t="s">
        <v>1438</v>
      </c>
      <c r="N442" s="48" t="s">
        <v>1444</v>
      </c>
      <c r="O442" s="49" t="s">
        <v>1446</v>
      </c>
      <c r="P442" s="48" t="s">
        <v>38</v>
      </c>
      <c r="Q442" s="48" t="s">
        <v>37</v>
      </c>
      <c r="R442" s="48" t="s">
        <v>1436</v>
      </c>
      <c r="S442" s="48" t="s">
        <v>1436</v>
      </c>
      <c r="T442" s="48" t="s">
        <v>1436</v>
      </c>
      <c r="U442" s="48" t="s">
        <v>38</v>
      </c>
      <c r="V442" s="48" t="s">
        <v>39</v>
      </c>
      <c r="W442" s="48" t="s">
        <v>40</v>
      </c>
      <c r="X442" s="48" t="s">
        <v>41</v>
      </c>
      <c r="Y442" s="48" t="s">
        <v>1436</v>
      </c>
      <c r="Z442" s="48" t="s">
        <v>1436</v>
      </c>
      <c r="AA442" s="48" t="s">
        <v>1436</v>
      </c>
      <c r="AB442" s="49" t="s">
        <v>193</v>
      </c>
      <c r="AC442" s="48" t="s">
        <v>1194</v>
      </c>
      <c r="AD442" s="48" t="s">
        <v>1244</v>
      </c>
      <c r="AE442" s="48" t="s">
        <v>36</v>
      </c>
    </row>
    <row r="443" spans="1:31" x14ac:dyDescent="0.3">
      <c r="A443" s="48" t="s">
        <v>1320</v>
      </c>
      <c r="B443" s="48" t="s">
        <v>6</v>
      </c>
      <c r="C443" s="48" t="s">
        <v>1322</v>
      </c>
      <c r="D443" s="48" t="s">
        <v>1406</v>
      </c>
      <c r="E443" s="50">
        <v>45838</v>
      </c>
      <c r="F443" s="49" t="s">
        <v>1321</v>
      </c>
      <c r="G443" s="48" t="s">
        <v>36</v>
      </c>
      <c r="H443" s="48" t="s">
        <v>1441</v>
      </c>
      <c r="I443" s="51">
        <v>0</v>
      </c>
      <c r="J443" s="51"/>
      <c r="K443" s="51"/>
      <c r="L443" s="48" t="s">
        <v>1194</v>
      </c>
      <c r="M443" s="48" t="s">
        <v>1438</v>
      </c>
      <c r="N443" s="48" t="s">
        <v>1439</v>
      </c>
      <c r="O443" s="49" t="s">
        <v>1440</v>
      </c>
      <c r="P443" s="48" t="s">
        <v>38</v>
      </c>
      <c r="Q443" s="48" t="s">
        <v>37</v>
      </c>
      <c r="R443" s="48" t="s">
        <v>1436</v>
      </c>
      <c r="S443" s="48" t="s">
        <v>1436</v>
      </c>
      <c r="T443" s="48" t="s">
        <v>1436</v>
      </c>
      <c r="U443" s="48" t="s">
        <v>38</v>
      </c>
      <c r="V443" s="48" t="s">
        <v>39</v>
      </c>
      <c r="W443" s="48" t="s">
        <v>1194</v>
      </c>
      <c r="X443" s="48" t="s">
        <v>41</v>
      </c>
      <c r="Y443" s="48" t="s">
        <v>1436</v>
      </c>
      <c r="Z443" s="48" t="s">
        <v>1436</v>
      </c>
      <c r="AA443" s="48" t="s">
        <v>1436</v>
      </c>
      <c r="AB443" s="49" t="s">
        <v>193</v>
      </c>
      <c r="AC443" s="48" t="s">
        <v>1194</v>
      </c>
      <c r="AD443" s="48" t="s">
        <v>1244</v>
      </c>
      <c r="AE443" s="48" t="s">
        <v>36</v>
      </c>
    </row>
    <row r="444" spans="1:31" x14ac:dyDescent="0.3">
      <c r="A444" s="48" t="s">
        <v>1320</v>
      </c>
      <c r="B444" s="48" t="s">
        <v>6</v>
      </c>
      <c r="C444" s="48" t="s">
        <v>1322</v>
      </c>
      <c r="D444" s="48" t="s">
        <v>1405</v>
      </c>
      <c r="E444" s="50">
        <v>45838</v>
      </c>
      <c r="F444" s="49" t="s">
        <v>1321</v>
      </c>
      <c r="G444" s="48" t="s">
        <v>36</v>
      </c>
      <c r="H444" s="48" t="s">
        <v>1443</v>
      </c>
      <c r="I444" s="51">
        <v>0</v>
      </c>
      <c r="J444" s="51"/>
      <c r="K444" s="51"/>
      <c r="L444" s="48" t="s">
        <v>1194</v>
      </c>
      <c r="M444" s="48" t="s">
        <v>1438</v>
      </c>
      <c r="N444" s="48" t="s">
        <v>1439</v>
      </c>
      <c r="O444" s="49" t="s">
        <v>1442</v>
      </c>
      <c r="P444" s="48" t="s">
        <v>38</v>
      </c>
      <c r="Q444" s="48" t="s">
        <v>37</v>
      </c>
      <c r="R444" s="48" t="s">
        <v>1436</v>
      </c>
      <c r="S444" s="48" t="s">
        <v>1436</v>
      </c>
      <c r="T444" s="48" t="s">
        <v>1436</v>
      </c>
      <c r="U444" s="48" t="s">
        <v>38</v>
      </c>
      <c r="V444" s="48" t="s">
        <v>39</v>
      </c>
      <c r="W444" s="48" t="s">
        <v>1194</v>
      </c>
      <c r="X444" s="48" t="s">
        <v>41</v>
      </c>
      <c r="Y444" s="48" t="s">
        <v>1436</v>
      </c>
      <c r="Z444" s="48" t="s">
        <v>1436</v>
      </c>
      <c r="AA444" s="48" t="s">
        <v>1436</v>
      </c>
      <c r="AB444" s="49" t="s">
        <v>193</v>
      </c>
      <c r="AC444" s="48" t="s">
        <v>1194</v>
      </c>
      <c r="AD444" s="48" t="s">
        <v>1244</v>
      </c>
      <c r="AE444" s="48" t="s">
        <v>36</v>
      </c>
    </row>
    <row r="445" spans="1:31" x14ac:dyDescent="0.3">
      <c r="A445" s="48" t="s">
        <v>1320</v>
      </c>
      <c r="B445" s="48" t="s">
        <v>6</v>
      </c>
      <c r="C445" s="48" t="s">
        <v>1322</v>
      </c>
      <c r="D445" s="48" t="s">
        <v>1404</v>
      </c>
      <c r="E445" s="50">
        <v>45838</v>
      </c>
      <c r="F445" s="49" t="s">
        <v>1321</v>
      </c>
      <c r="G445" s="48" t="s">
        <v>36</v>
      </c>
      <c r="H445" s="48" t="s">
        <v>49</v>
      </c>
      <c r="I445" s="51">
        <v>-4970.0389359999999</v>
      </c>
      <c r="J445" s="51"/>
      <c r="K445" s="51"/>
      <c r="L445" s="48" t="s">
        <v>38</v>
      </c>
      <c r="M445" s="48" t="s">
        <v>1433</v>
      </c>
      <c r="N445" s="48" t="s">
        <v>1447</v>
      </c>
      <c r="O445" s="49" t="s">
        <v>1451</v>
      </c>
      <c r="P445" s="48" t="s">
        <v>38</v>
      </c>
      <c r="Q445" s="48" t="s">
        <v>37</v>
      </c>
      <c r="R445" s="48" t="s">
        <v>1436</v>
      </c>
      <c r="S445" s="48" t="s">
        <v>1436</v>
      </c>
      <c r="T445" s="48" t="s">
        <v>1436</v>
      </c>
      <c r="U445" s="48" t="s">
        <v>38</v>
      </c>
      <c r="V445" s="48" t="s">
        <v>39</v>
      </c>
      <c r="W445" s="48" t="s">
        <v>38</v>
      </c>
      <c r="X445" s="48" t="s">
        <v>41</v>
      </c>
      <c r="Y445" s="48" t="s">
        <v>1436</v>
      </c>
      <c r="Z445" s="48" t="s">
        <v>1436</v>
      </c>
      <c r="AA445" s="48" t="s">
        <v>1436</v>
      </c>
      <c r="AB445" s="49" t="s">
        <v>193</v>
      </c>
      <c r="AC445" s="48" t="s">
        <v>1194</v>
      </c>
      <c r="AD445" s="48" t="s">
        <v>1244</v>
      </c>
      <c r="AE445" s="48" t="s">
        <v>36</v>
      </c>
    </row>
    <row r="446" spans="1:31" x14ac:dyDescent="0.3">
      <c r="A446" s="48" t="s">
        <v>1320</v>
      </c>
      <c r="B446" s="48" t="s">
        <v>6</v>
      </c>
      <c r="C446" s="48" t="s">
        <v>1322</v>
      </c>
      <c r="D446" s="48" t="s">
        <v>1413</v>
      </c>
      <c r="E446" s="50">
        <v>45869</v>
      </c>
      <c r="F446" s="49" t="s">
        <v>1321</v>
      </c>
      <c r="G446" s="48" t="s">
        <v>36</v>
      </c>
      <c r="H446" s="48" t="s">
        <v>58</v>
      </c>
      <c r="I446" s="51">
        <v>-2150000</v>
      </c>
      <c r="J446" s="51"/>
      <c r="K446" s="51"/>
      <c r="L446" s="48" t="s">
        <v>40</v>
      </c>
      <c r="M446" s="48" t="s">
        <v>1433</v>
      </c>
      <c r="N446" s="48" t="s">
        <v>1447</v>
      </c>
      <c r="O446" s="49" t="s">
        <v>1448</v>
      </c>
      <c r="P446" s="48" t="s">
        <v>38</v>
      </c>
      <c r="Q446" s="48" t="s">
        <v>37</v>
      </c>
      <c r="R446" s="48" t="s">
        <v>1436</v>
      </c>
      <c r="S446" s="48" t="s">
        <v>1436</v>
      </c>
      <c r="T446" s="48" t="s">
        <v>1436</v>
      </c>
      <c r="U446" s="48" t="s">
        <v>38</v>
      </c>
      <c r="V446" s="48" t="s">
        <v>39</v>
      </c>
      <c r="W446" s="48" t="s">
        <v>40</v>
      </c>
      <c r="X446" s="48" t="s">
        <v>41</v>
      </c>
      <c r="Y446" s="48" t="s">
        <v>1436</v>
      </c>
      <c r="Z446" s="48" t="s">
        <v>1436</v>
      </c>
      <c r="AA446" s="48" t="s">
        <v>1436</v>
      </c>
      <c r="AB446" s="49" t="s">
        <v>193</v>
      </c>
      <c r="AC446" s="48" t="s">
        <v>1194</v>
      </c>
      <c r="AD446" s="48" t="s">
        <v>1244</v>
      </c>
      <c r="AE446" s="48" t="s">
        <v>36</v>
      </c>
    </row>
    <row r="447" spans="1:31" x14ac:dyDescent="0.3">
      <c r="A447" s="48" t="s">
        <v>1320</v>
      </c>
      <c r="B447" s="48" t="s">
        <v>6</v>
      </c>
      <c r="C447" s="48" t="s">
        <v>1322</v>
      </c>
      <c r="D447" s="48" t="s">
        <v>1412</v>
      </c>
      <c r="E447" s="50">
        <v>45869</v>
      </c>
      <c r="F447" s="49" t="s">
        <v>1321</v>
      </c>
      <c r="G447" s="48" t="s">
        <v>36</v>
      </c>
      <c r="H447" s="48" t="s">
        <v>52</v>
      </c>
      <c r="I447" s="51">
        <v>-1820211.09</v>
      </c>
      <c r="J447" s="51"/>
      <c r="K447" s="51"/>
      <c r="L447" s="48" t="s">
        <v>40</v>
      </c>
      <c r="M447" s="48" t="s">
        <v>1433</v>
      </c>
      <c r="N447" s="48" t="s">
        <v>1434</v>
      </c>
      <c r="O447" s="49" t="s">
        <v>1435</v>
      </c>
      <c r="P447" s="48" t="s">
        <v>38</v>
      </c>
      <c r="Q447" s="48" t="s">
        <v>37</v>
      </c>
      <c r="R447" s="48" t="s">
        <v>1436</v>
      </c>
      <c r="S447" s="48" t="s">
        <v>1436</v>
      </c>
      <c r="T447" s="48" t="s">
        <v>1436</v>
      </c>
      <c r="U447" s="48" t="s">
        <v>38</v>
      </c>
      <c r="V447" s="48" t="s">
        <v>39</v>
      </c>
      <c r="W447" s="48" t="s">
        <v>40</v>
      </c>
      <c r="X447" s="48" t="s">
        <v>41</v>
      </c>
      <c r="Y447" s="48" t="s">
        <v>1436</v>
      </c>
      <c r="Z447" s="48" t="s">
        <v>1436</v>
      </c>
      <c r="AA447" s="48" t="s">
        <v>1436</v>
      </c>
      <c r="AB447" s="49" t="s">
        <v>193</v>
      </c>
      <c r="AC447" s="48" t="s">
        <v>1194</v>
      </c>
      <c r="AD447" s="48" t="s">
        <v>1244</v>
      </c>
      <c r="AE447" s="48" t="s">
        <v>36</v>
      </c>
    </row>
    <row r="448" spans="1:31" x14ac:dyDescent="0.3">
      <c r="A448" s="48" t="s">
        <v>1320</v>
      </c>
      <c r="B448" s="48" t="s">
        <v>6</v>
      </c>
      <c r="C448" s="48" t="s">
        <v>1322</v>
      </c>
      <c r="D448" s="48" t="s">
        <v>1411</v>
      </c>
      <c r="E448" s="50">
        <v>45869</v>
      </c>
      <c r="F448" s="49" t="s">
        <v>1321</v>
      </c>
      <c r="G448" s="48" t="s">
        <v>36</v>
      </c>
      <c r="H448" s="48" t="s">
        <v>50</v>
      </c>
      <c r="I448" s="51">
        <v>296313.44</v>
      </c>
      <c r="J448" s="51"/>
      <c r="K448" s="51"/>
      <c r="L448" s="48" t="s">
        <v>40</v>
      </c>
      <c r="M448" s="48" t="s">
        <v>1438</v>
      </c>
      <c r="N448" s="48" t="s">
        <v>1444</v>
      </c>
      <c r="O448" s="49" t="s">
        <v>1445</v>
      </c>
      <c r="P448" s="48" t="s">
        <v>38</v>
      </c>
      <c r="Q448" s="48" t="s">
        <v>37</v>
      </c>
      <c r="R448" s="48" t="s">
        <v>1436</v>
      </c>
      <c r="S448" s="48" t="s">
        <v>1436</v>
      </c>
      <c r="T448" s="48" t="s">
        <v>1436</v>
      </c>
      <c r="U448" s="48" t="s">
        <v>38</v>
      </c>
      <c r="V448" s="48" t="s">
        <v>39</v>
      </c>
      <c r="W448" s="48" t="s">
        <v>40</v>
      </c>
      <c r="X448" s="48" t="s">
        <v>41</v>
      </c>
      <c r="Y448" s="48" t="s">
        <v>1436</v>
      </c>
      <c r="Z448" s="48" t="s">
        <v>1436</v>
      </c>
      <c r="AA448" s="48" t="s">
        <v>1436</v>
      </c>
      <c r="AB448" s="49" t="s">
        <v>193</v>
      </c>
      <c r="AC448" s="48" t="s">
        <v>1194</v>
      </c>
      <c r="AD448" s="48" t="s">
        <v>1244</v>
      </c>
      <c r="AE448" s="48" t="s">
        <v>36</v>
      </c>
    </row>
    <row r="449" spans="1:31" x14ac:dyDescent="0.3">
      <c r="A449" s="48" t="s">
        <v>1320</v>
      </c>
      <c r="B449" s="48" t="s">
        <v>6</v>
      </c>
      <c r="C449" s="48" t="s">
        <v>1322</v>
      </c>
      <c r="D449" s="48" t="s">
        <v>1410</v>
      </c>
      <c r="E449" s="50">
        <v>45869</v>
      </c>
      <c r="F449" s="49" t="s">
        <v>1321</v>
      </c>
      <c r="G449" s="48" t="s">
        <v>36</v>
      </c>
      <c r="H449" s="48" t="s">
        <v>42</v>
      </c>
      <c r="I449" s="51">
        <v>2539829.423163</v>
      </c>
      <c r="J449" s="51"/>
      <c r="K449" s="51"/>
      <c r="L449" s="48" t="s">
        <v>40</v>
      </c>
      <c r="M449" s="48" t="s">
        <v>1433</v>
      </c>
      <c r="N449" s="48" t="s">
        <v>1434</v>
      </c>
      <c r="O449" s="49" t="s">
        <v>1437</v>
      </c>
      <c r="P449" s="48" t="s">
        <v>38</v>
      </c>
      <c r="Q449" s="48" t="s">
        <v>37</v>
      </c>
      <c r="R449" s="48" t="s">
        <v>1436</v>
      </c>
      <c r="S449" s="48" t="s">
        <v>1436</v>
      </c>
      <c r="T449" s="48" t="s">
        <v>1436</v>
      </c>
      <c r="U449" s="48" t="s">
        <v>38</v>
      </c>
      <c r="V449" s="48" t="s">
        <v>39</v>
      </c>
      <c r="W449" s="48" t="s">
        <v>40</v>
      </c>
      <c r="X449" s="48" t="s">
        <v>41</v>
      </c>
      <c r="Y449" s="48" t="s">
        <v>1436</v>
      </c>
      <c r="Z449" s="48" t="s">
        <v>1436</v>
      </c>
      <c r="AA449" s="48" t="s">
        <v>1436</v>
      </c>
      <c r="AB449" s="49" t="s">
        <v>193</v>
      </c>
      <c r="AC449" s="48" t="s">
        <v>1194</v>
      </c>
      <c r="AD449" s="48" t="s">
        <v>1244</v>
      </c>
      <c r="AE449" s="48" t="s">
        <v>36</v>
      </c>
    </row>
    <row r="450" spans="1:31" x14ac:dyDescent="0.3">
      <c r="A450" s="48" t="s">
        <v>1320</v>
      </c>
      <c r="B450" s="48" t="s">
        <v>6</v>
      </c>
      <c r="C450" s="48" t="s">
        <v>1322</v>
      </c>
      <c r="D450" s="48" t="s">
        <v>1409</v>
      </c>
      <c r="E450" s="50">
        <v>45869</v>
      </c>
      <c r="F450" s="49" t="s">
        <v>1321</v>
      </c>
      <c r="G450" s="48" t="s">
        <v>36</v>
      </c>
      <c r="H450" s="48" t="s">
        <v>45</v>
      </c>
      <c r="I450" s="51">
        <v>-245683.86369900001</v>
      </c>
      <c r="J450" s="51"/>
      <c r="K450" s="51"/>
      <c r="L450" s="48" t="s">
        <v>40</v>
      </c>
      <c r="M450" s="48" t="s">
        <v>1433</v>
      </c>
      <c r="N450" s="48" t="s">
        <v>1447</v>
      </c>
      <c r="O450" s="49" t="s">
        <v>1449</v>
      </c>
      <c r="P450" s="48" t="s">
        <v>38</v>
      </c>
      <c r="Q450" s="48" t="s">
        <v>37</v>
      </c>
      <c r="R450" s="48" t="s">
        <v>1436</v>
      </c>
      <c r="S450" s="48" t="s">
        <v>1436</v>
      </c>
      <c r="T450" s="48" t="s">
        <v>1436</v>
      </c>
      <c r="U450" s="48" t="s">
        <v>38</v>
      </c>
      <c r="V450" s="48" t="s">
        <v>39</v>
      </c>
      <c r="W450" s="48" t="s">
        <v>40</v>
      </c>
      <c r="X450" s="48" t="s">
        <v>41</v>
      </c>
      <c r="Y450" s="48" t="s">
        <v>1436</v>
      </c>
      <c r="Z450" s="48" t="s">
        <v>1436</v>
      </c>
      <c r="AA450" s="48" t="s">
        <v>1436</v>
      </c>
      <c r="AB450" s="49" t="s">
        <v>193</v>
      </c>
      <c r="AC450" s="48" t="s">
        <v>1194</v>
      </c>
      <c r="AD450" s="48" t="s">
        <v>1244</v>
      </c>
      <c r="AE450" s="48" t="s">
        <v>36</v>
      </c>
    </row>
    <row r="451" spans="1:31" x14ac:dyDescent="0.3">
      <c r="A451" s="48" t="s">
        <v>1320</v>
      </c>
      <c r="B451" s="48" t="s">
        <v>6</v>
      </c>
      <c r="C451" s="48" t="s">
        <v>1322</v>
      </c>
      <c r="D451" s="48" t="s">
        <v>1408</v>
      </c>
      <c r="E451" s="50">
        <v>45869</v>
      </c>
      <c r="F451" s="49" t="s">
        <v>1321</v>
      </c>
      <c r="G451" s="48" t="s">
        <v>36</v>
      </c>
      <c r="H451" s="48" t="s">
        <v>54</v>
      </c>
      <c r="I451" s="51">
        <v>-561292.85</v>
      </c>
      <c r="J451" s="51"/>
      <c r="K451" s="51"/>
      <c r="L451" s="48" t="s">
        <v>40</v>
      </c>
      <c r="M451" s="48" t="s">
        <v>1433</v>
      </c>
      <c r="N451" s="48" t="s">
        <v>1447</v>
      </c>
      <c r="O451" s="49" t="s">
        <v>1450</v>
      </c>
      <c r="P451" s="48" t="s">
        <v>38</v>
      </c>
      <c r="Q451" s="48" t="s">
        <v>37</v>
      </c>
      <c r="R451" s="48" t="s">
        <v>1436</v>
      </c>
      <c r="S451" s="48" t="s">
        <v>1436</v>
      </c>
      <c r="T451" s="48" t="s">
        <v>1436</v>
      </c>
      <c r="U451" s="48" t="s">
        <v>38</v>
      </c>
      <c r="V451" s="48" t="s">
        <v>39</v>
      </c>
      <c r="W451" s="48" t="s">
        <v>40</v>
      </c>
      <c r="X451" s="48" t="s">
        <v>41</v>
      </c>
      <c r="Y451" s="48" t="s">
        <v>1436</v>
      </c>
      <c r="Z451" s="48" t="s">
        <v>1436</v>
      </c>
      <c r="AA451" s="48" t="s">
        <v>1436</v>
      </c>
      <c r="AB451" s="49" t="s">
        <v>193</v>
      </c>
      <c r="AC451" s="48" t="s">
        <v>1194</v>
      </c>
      <c r="AD451" s="48" t="s">
        <v>1244</v>
      </c>
      <c r="AE451" s="48" t="s">
        <v>36</v>
      </c>
    </row>
    <row r="452" spans="1:31" x14ac:dyDescent="0.3">
      <c r="A452" s="48" t="s">
        <v>1320</v>
      </c>
      <c r="B452" s="48" t="s">
        <v>6</v>
      </c>
      <c r="C452" s="48" t="s">
        <v>1322</v>
      </c>
      <c r="D452" s="48" t="s">
        <v>1407</v>
      </c>
      <c r="E452" s="50">
        <v>45869</v>
      </c>
      <c r="F452" s="49" t="s">
        <v>1321</v>
      </c>
      <c r="G452" s="48" t="s">
        <v>36</v>
      </c>
      <c r="H452" s="48" t="s">
        <v>47</v>
      </c>
      <c r="I452" s="51">
        <v>38414.709109000003</v>
      </c>
      <c r="J452" s="51"/>
      <c r="K452" s="51"/>
      <c r="L452" s="48" t="s">
        <v>40</v>
      </c>
      <c r="M452" s="48" t="s">
        <v>1438</v>
      </c>
      <c r="N452" s="48" t="s">
        <v>1444</v>
      </c>
      <c r="O452" s="49" t="s">
        <v>1446</v>
      </c>
      <c r="P452" s="48" t="s">
        <v>38</v>
      </c>
      <c r="Q452" s="48" t="s">
        <v>37</v>
      </c>
      <c r="R452" s="48" t="s">
        <v>1436</v>
      </c>
      <c r="S452" s="48" t="s">
        <v>1436</v>
      </c>
      <c r="T452" s="48" t="s">
        <v>1436</v>
      </c>
      <c r="U452" s="48" t="s">
        <v>38</v>
      </c>
      <c r="V452" s="48" t="s">
        <v>39</v>
      </c>
      <c r="W452" s="48" t="s">
        <v>40</v>
      </c>
      <c r="X452" s="48" t="s">
        <v>41</v>
      </c>
      <c r="Y452" s="48" t="s">
        <v>1436</v>
      </c>
      <c r="Z452" s="48" t="s">
        <v>1436</v>
      </c>
      <c r="AA452" s="48" t="s">
        <v>1436</v>
      </c>
      <c r="AB452" s="49" t="s">
        <v>193</v>
      </c>
      <c r="AC452" s="48" t="s">
        <v>1194</v>
      </c>
      <c r="AD452" s="48" t="s">
        <v>1244</v>
      </c>
      <c r="AE452" s="48" t="s">
        <v>36</v>
      </c>
    </row>
    <row r="453" spans="1:31" x14ac:dyDescent="0.3">
      <c r="A453" s="48" t="s">
        <v>1320</v>
      </c>
      <c r="B453" s="48" t="s">
        <v>6</v>
      </c>
      <c r="C453" s="48" t="s">
        <v>1322</v>
      </c>
      <c r="D453" s="48" t="s">
        <v>1406</v>
      </c>
      <c r="E453" s="50">
        <v>45869</v>
      </c>
      <c r="F453" s="49" t="s">
        <v>1321</v>
      </c>
      <c r="G453" s="48" t="s">
        <v>36</v>
      </c>
      <c r="H453" s="48" t="s">
        <v>1441</v>
      </c>
      <c r="I453" s="51">
        <v>0</v>
      </c>
      <c r="J453" s="51"/>
      <c r="K453" s="51"/>
      <c r="L453" s="48" t="s">
        <v>1194</v>
      </c>
      <c r="M453" s="48" t="s">
        <v>1438</v>
      </c>
      <c r="N453" s="48" t="s">
        <v>1439</v>
      </c>
      <c r="O453" s="49" t="s">
        <v>1440</v>
      </c>
      <c r="P453" s="48" t="s">
        <v>38</v>
      </c>
      <c r="Q453" s="48" t="s">
        <v>37</v>
      </c>
      <c r="R453" s="48" t="s">
        <v>1436</v>
      </c>
      <c r="S453" s="48" t="s">
        <v>1436</v>
      </c>
      <c r="T453" s="48" t="s">
        <v>1436</v>
      </c>
      <c r="U453" s="48" t="s">
        <v>38</v>
      </c>
      <c r="V453" s="48" t="s">
        <v>39</v>
      </c>
      <c r="W453" s="48" t="s">
        <v>1194</v>
      </c>
      <c r="X453" s="48" t="s">
        <v>41</v>
      </c>
      <c r="Y453" s="48" t="s">
        <v>1436</v>
      </c>
      <c r="Z453" s="48" t="s">
        <v>1436</v>
      </c>
      <c r="AA453" s="48" t="s">
        <v>1436</v>
      </c>
      <c r="AB453" s="49" t="s">
        <v>193</v>
      </c>
      <c r="AC453" s="48" t="s">
        <v>1194</v>
      </c>
      <c r="AD453" s="48" t="s">
        <v>1244</v>
      </c>
      <c r="AE453" s="48" t="s">
        <v>36</v>
      </c>
    </row>
    <row r="454" spans="1:31" x14ac:dyDescent="0.3">
      <c r="A454" s="48" t="s">
        <v>1320</v>
      </c>
      <c r="B454" s="48" t="s">
        <v>6</v>
      </c>
      <c r="C454" s="48" t="s">
        <v>1322</v>
      </c>
      <c r="D454" s="48" t="s">
        <v>1405</v>
      </c>
      <c r="E454" s="50">
        <v>45869</v>
      </c>
      <c r="F454" s="49" t="s">
        <v>1321</v>
      </c>
      <c r="G454" s="48" t="s">
        <v>36</v>
      </c>
      <c r="H454" s="48" t="s">
        <v>1443</v>
      </c>
      <c r="I454" s="51">
        <v>0</v>
      </c>
      <c r="J454" s="51"/>
      <c r="K454" s="51"/>
      <c r="L454" s="48" t="s">
        <v>1194</v>
      </c>
      <c r="M454" s="48" t="s">
        <v>1438</v>
      </c>
      <c r="N454" s="48" t="s">
        <v>1439</v>
      </c>
      <c r="O454" s="49" t="s">
        <v>1442</v>
      </c>
      <c r="P454" s="48" t="s">
        <v>38</v>
      </c>
      <c r="Q454" s="48" t="s">
        <v>37</v>
      </c>
      <c r="R454" s="48" t="s">
        <v>1436</v>
      </c>
      <c r="S454" s="48" t="s">
        <v>1436</v>
      </c>
      <c r="T454" s="48" t="s">
        <v>1436</v>
      </c>
      <c r="U454" s="48" t="s">
        <v>38</v>
      </c>
      <c r="V454" s="48" t="s">
        <v>39</v>
      </c>
      <c r="W454" s="48" t="s">
        <v>1194</v>
      </c>
      <c r="X454" s="48" t="s">
        <v>41</v>
      </c>
      <c r="Y454" s="48" t="s">
        <v>1436</v>
      </c>
      <c r="Z454" s="48" t="s">
        <v>1436</v>
      </c>
      <c r="AA454" s="48" t="s">
        <v>1436</v>
      </c>
      <c r="AB454" s="49" t="s">
        <v>193</v>
      </c>
      <c r="AC454" s="48" t="s">
        <v>1194</v>
      </c>
      <c r="AD454" s="48" t="s">
        <v>1244</v>
      </c>
      <c r="AE454" s="48" t="s">
        <v>36</v>
      </c>
    </row>
    <row r="455" spans="1:31" x14ac:dyDescent="0.3">
      <c r="A455" s="48" t="s">
        <v>1320</v>
      </c>
      <c r="B455" s="48" t="s">
        <v>6</v>
      </c>
      <c r="C455" s="48" t="s">
        <v>1322</v>
      </c>
      <c r="D455" s="48" t="s">
        <v>1404</v>
      </c>
      <c r="E455" s="50">
        <v>45869</v>
      </c>
      <c r="F455" s="49" t="s">
        <v>1321</v>
      </c>
      <c r="G455" s="48" t="s">
        <v>36</v>
      </c>
      <c r="H455" s="48" t="s">
        <v>49</v>
      </c>
      <c r="I455" s="51">
        <v>-4707.3641630000002</v>
      </c>
      <c r="J455" s="51"/>
      <c r="K455" s="51"/>
      <c r="L455" s="48" t="s">
        <v>38</v>
      </c>
      <c r="M455" s="48" t="s">
        <v>1433</v>
      </c>
      <c r="N455" s="48" t="s">
        <v>1447</v>
      </c>
      <c r="O455" s="49" t="s">
        <v>1451</v>
      </c>
      <c r="P455" s="48" t="s">
        <v>38</v>
      </c>
      <c r="Q455" s="48" t="s">
        <v>37</v>
      </c>
      <c r="R455" s="48" t="s">
        <v>1436</v>
      </c>
      <c r="S455" s="48" t="s">
        <v>1436</v>
      </c>
      <c r="T455" s="48" t="s">
        <v>1436</v>
      </c>
      <c r="U455" s="48" t="s">
        <v>38</v>
      </c>
      <c r="V455" s="48" t="s">
        <v>39</v>
      </c>
      <c r="W455" s="48" t="s">
        <v>38</v>
      </c>
      <c r="X455" s="48" t="s">
        <v>41</v>
      </c>
      <c r="Y455" s="48" t="s">
        <v>1436</v>
      </c>
      <c r="Z455" s="48" t="s">
        <v>1436</v>
      </c>
      <c r="AA455" s="48" t="s">
        <v>1436</v>
      </c>
      <c r="AB455" s="49" t="s">
        <v>193</v>
      </c>
      <c r="AC455" s="48" t="s">
        <v>1194</v>
      </c>
      <c r="AD455" s="48" t="s">
        <v>1244</v>
      </c>
      <c r="AE455" s="48" t="s">
        <v>36</v>
      </c>
    </row>
    <row r="456" spans="1:31" x14ac:dyDescent="0.3">
      <c r="A456" s="48" t="s">
        <v>1320</v>
      </c>
      <c r="B456" s="48" t="s">
        <v>6</v>
      </c>
      <c r="C456" s="48" t="s">
        <v>1322</v>
      </c>
      <c r="D456" s="48" t="s">
        <v>1413</v>
      </c>
      <c r="E456" s="50">
        <v>45900</v>
      </c>
      <c r="F456" s="49" t="s">
        <v>1321</v>
      </c>
      <c r="G456" s="48" t="s">
        <v>36</v>
      </c>
      <c r="H456" s="48" t="s">
        <v>58</v>
      </c>
      <c r="I456" s="51">
        <v>-2200000</v>
      </c>
      <c r="J456" s="51"/>
      <c r="K456" s="51"/>
      <c r="L456" s="48" t="s">
        <v>40</v>
      </c>
      <c r="M456" s="48" t="s">
        <v>1433</v>
      </c>
      <c r="N456" s="48" t="s">
        <v>1447</v>
      </c>
      <c r="O456" s="49" t="s">
        <v>1448</v>
      </c>
      <c r="P456" s="48" t="s">
        <v>38</v>
      </c>
      <c r="Q456" s="48" t="s">
        <v>37</v>
      </c>
      <c r="R456" s="48" t="s">
        <v>1436</v>
      </c>
      <c r="S456" s="48" t="s">
        <v>1436</v>
      </c>
      <c r="T456" s="48" t="s">
        <v>1436</v>
      </c>
      <c r="U456" s="48" t="s">
        <v>38</v>
      </c>
      <c r="V456" s="48" t="s">
        <v>39</v>
      </c>
      <c r="W456" s="48" t="s">
        <v>40</v>
      </c>
      <c r="X456" s="48" t="s">
        <v>41</v>
      </c>
      <c r="Y456" s="48" t="s">
        <v>1436</v>
      </c>
      <c r="Z456" s="48" t="s">
        <v>1436</v>
      </c>
      <c r="AA456" s="48" t="s">
        <v>1436</v>
      </c>
      <c r="AB456" s="49" t="s">
        <v>193</v>
      </c>
      <c r="AC456" s="48" t="s">
        <v>1194</v>
      </c>
      <c r="AD456" s="48" t="s">
        <v>1244</v>
      </c>
      <c r="AE456" s="48" t="s">
        <v>36</v>
      </c>
    </row>
    <row r="457" spans="1:31" x14ac:dyDescent="0.3">
      <c r="A457" s="48" t="s">
        <v>1320</v>
      </c>
      <c r="B457" s="48" t="s">
        <v>6</v>
      </c>
      <c r="C457" s="48" t="s">
        <v>1322</v>
      </c>
      <c r="D457" s="48" t="s">
        <v>1412</v>
      </c>
      <c r="E457" s="50">
        <v>45900</v>
      </c>
      <c r="F457" s="49" t="s">
        <v>1321</v>
      </c>
      <c r="G457" s="48" t="s">
        <v>36</v>
      </c>
      <c r="H457" s="48" t="s">
        <v>52</v>
      </c>
      <c r="I457" s="51">
        <v>-1862541.58</v>
      </c>
      <c r="J457" s="51"/>
      <c r="K457" s="51"/>
      <c r="L457" s="48" t="s">
        <v>40</v>
      </c>
      <c r="M457" s="48" t="s">
        <v>1433</v>
      </c>
      <c r="N457" s="48" t="s">
        <v>1434</v>
      </c>
      <c r="O457" s="49" t="s">
        <v>1435</v>
      </c>
      <c r="P457" s="48" t="s">
        <v>38</v>
      </c>
      <c r="Q457" s="48" t="s">
        <v>37</v>
      </c>
      <c r="R457" s="48" t="s">
        <v>1436</v>
      </c>
      <c r="S457" s="48" t="s">
        <v>1436</v>
      </c>
      <c r="T457" s="48" t="s">
        <v>1436</v>
      </c>
      <c r="U457" s="48" t="s">
        <v>38</v>
      </c>
      <c r="V457" s="48" t="s">
        <v>39</v>
      </c>
      <c r="W457" s="48" t="s">
        <v>40</v>
      </c>
      <c r="X457" s="48" t="s">
        <v>41</v>
      </c>
      <c r="Y457" s="48" t="s">
        <v>1436</v>
      </c>
      <c r="Z457" s="48" t="s">
        <v>1436</v>
      </c>
      <c r="AA457" s="48" t="s">
        <v>1436</v>
      </c>
      <c r="AB457" s="49" t="s">
        <v>193</v>
      </c>
      <c r="AC457" s="48" t="s">
        <v>1194</v>
      </c>
      <c r="AD457" s="48" t="s">
        <v>1244</v>
      </c>
      <c r="AE457" s="48" t="s">
        <v>36</v>
      </c>
    </row>
    <row r="458" spans="1:31" x14ac:dyDescent="0.3">
      <c r="A458" s="48" t="s">
        <v>1320</v>
      </c>
      <c r="B458" s="48" t="s">
        <v>6</v>
      </c>
      <c r="C458" s="48" t="s">
        <v>1322</v>
      </c>
      <c r="D458" s="48" t="s">
        <v>1411</v>
      </c>
      <c r="E458" s="50">
        <v>45900</v>
      </c>
      <c r="F458" s="49" t="s">
        <v>1321</v>
      </c>
      <c r="G458" s="48" t="s">
        <v>36</v>
      </c>
      <c r="H458" s="48" t="s">
        <v>50</v>
      </c>
      <c r="I458" s="51">
        <v>338643.93</v>
      </c>
      <c r="J458" s="51"/>
      <c r="K458" s="51"/>
      <c r="L458" s="48" t="s">
        <v>40</v>
      </c>
      <c r="M458" s="48" t="s">
        <v>1438</v>
      </c>
      <c r="N458" s="48" t="s">
        <v>1444</v>
      </c>
      <c r="O458" s="49" t="s">
        <v>1445</v>
      </c>
      <c r="P458" s="48" t="s">
        <v>38</v>
      </c>
      <c r="Q458" s="48" t="s">
        <v>37</v>
      </c>
      <c r="R458" s="48" t="s">
        <v>1436</v>
      </c>
      <c r="S458" s="48" t="s">
        <v>1436</v>
      </c>
      <c r="T458" s="48" t="s">
        <v>1436</v>
      </c>
      <c r="U458" s="48" t="s">
        <v>38</v>
      </c>
      <c r="V458" s="48" t="s">
        <v>39</v>
      </c>
      <c r="W458" s="48" t="s">
        <v>40</v>
      </c>
      <c r="X458" s="48" t="s">
        <v>41</v>
      </c>
      <c r="Y458" s="48" t="s">
        <v>1436</v>
      </c>
      <c r="Z458" s="48" t="s">
        <v>1436</v>
      </c>
      <c r="AA458" s="48" t="s">
        <v>1436</v>
      </c>
      <c r="AB458" s="49" t="s">
        <v>193</v>
      </c>
      <c r="AC458" s="48" t="s">
        <v>1194</v>
      </c>
      <c r="AD458" s="48" t="s">
        <v>1244</v>
      </c>
      <c r="AE458" s="48" t="s">
        <v>36</v>
      </c>
    </row>
    <row r="459" spans="1:31" x14ac:dyDescent="0.3">
      <c r="A459" s="48" t="s">
        <v>1320</v>
      </c>
      <c r="B459" s="48" t="s">
        <v>6</v>
      </c>
      <c r="C459" s="48" t="s">
        <v>1322</v>
      </c>
      <c r="D459" s="48" t="s">
        <v>1410</v>
      </c>
      <c r="E459" s="50">
        <v>45900</v>
      </c>
      <c r="F459" s="49" t="s">
        <v>1321</v>
      </c>
      <c r="G459" s="48" t="s">
        <v>36</v>
      </c>
      <c r="H459" s="48" t="s">
        <v>42</v>
      </c>
      <c r="I459" s="51">
        <v>2539829.423163</v>
      </c>
      <c r="J459" s="51"/>
      <c r="K459" s="51"/>
      <c r="L459" s="48" t="s">
        <v>40</v>
      </c>
      <c r="M459" s="48" t="s">
        <v>1433</v>
      </c>
      <c r="N459" s="48" t="s">
        <v>1434</v>
      </c>
      <c r="O459" s="49" t="s">
        <v>1437</v>
      </c>
      <c r="P459" s="48" t="s">
        <v>38</v>
      </c>
      <c r="Q459" s="48" t="s">
        <v>37</v>
      </c>
      <c r="R459" s="48" t="s">
        <v>1436</v>
      </c>
      <c r="S459" s="48" t="s">
        <v>1436</v>
      </c>
      <c r="T459" s="48" t="s">
        <v>1436</v>
      </c>
      <c r="U459" s="48" t="s">
        <v>38</v>
      </c>
      <c r="V459" s="48" t="s">
        <v>39</v>
      </c>
      <c r="W459" s="48" t="s">
        <v>40</v>
      </c>
      <c r="X459" s="48" t="s">
        <v>41</v>
      </c>
      <c r="Y459" s="48" t="s">
        <v>1436</v>
      </c>
      <c r="Z459" s="48" t="s">
        <v>1436</v>
      </c>
      <c r="AA459" s="48" t="s">
        <v>1436</v>
      </c>
      <c r="AB459" s="49" t="s">
        <v>193</v>
      </c>
      <c r="AC459" s="48" t="s">
        <v>1194</v>
      </c>
      <c r="AD459" s="48" t="s">
        <v>1244</v>
      </c>
      <c r="AE459" s="48" t="s">
        <v>36</v>
      </c>
    </row>
    <row r="460" spans="1:31" x14ac:dyDescent="0.3">
      <c r="A460" s="48" t="s">
        <v>1320</v>
      </c>
      <c r="B460" s="48" t="s">
        <v>6</v>
      </c>
      <c r="C460" s="48" t="s">
        <v>1322</v>
      </c>
      <c r="D460" s="48" t="s">
        <v>1409</v>
      </c>
      <c r="E460" s="50">
        <v>45900</v>
      </c>
      <c r="F460" s="49" t="s">
        <v>1321</v>
      </c>
      <c r="G460" s="48" t="s">
        <v>36</v>
      </c>
      <c r="H460" s="48" t="s">
        <v>45</v>
      </c>
      <c r="I460" s="51">
        <v>-197117.007862</v>
      </c>
      <c r="J460" s="51"/>
      <c r="K460" s="51"/>
      <c r="L460" s="48" t="s">
        <v>40</v>
      </c>
      <c r="M460" s="48" t="s">
        <v>1433</v>
      </c>
      <c r="N460" s="48" t="s">
        <v>1447</v>
      </c>
      <c r="O460" s="49" t="s">
        <v>1449</v>
      </c>
      <c r="P460" s="48" t="s">
        <v>38</v>
      </c>
      <c r="Q460" s="48" t="s">
        <v>37</v>
      </c>
      <c r="R460" s="48" t="s">
        <v>1436</v>
      </c>
      <c r="S460" s="48" t="s">
        <v>1436</v>
      </c>
      <c r="T460" s="48" t="s">
        <v>1436</v>
      </c>
      <c r="U460" s="48" t="s">
        <v>38</v>
      </c>
      <c r="V460" s="48" t="s">
        <v>39</v>
      </c>
      <c r="W460" s="48" t="s">
        <v>40</v>
      </c>
      <c r="X460" s="48" t="s">
        <v>41</v>
      </c>
      <c r="Y460" s="48" t="s">
        <v>1436</v>
      </c>
      <c r="Z460" s="48" t="s">
        <v>1436</v>
      </c>
      <c r="AA460" s="48" t="s">
        <v>1436</v>
      </c>
      <c r="AB460" s="49" t="s">
        <v>193</v>
      </c>
      <c r="AC460" s="48" t="s">
        <v>1194</v>
      </c>
      <c r="AD460" s="48" t="s">
        <v>1244</v>
      </c>
      <c r="AE460" s="48" t="s">
        <v>36</v>
      </c>
    </row>
    <row r="461" spans="1:31" x14ac:dyDescent="0.3">
      <c r="A461" s="48" t="s">
        <v>1320</v>
      </c>
      <c r="B461" s="48" t="s">
        <v>6</v>
      </c>
      <c r="C461" s="48" t="s">
        <v>1322</v>
      </c>
      <c r="D461" s="48" t="s">
        <v>1408</v>
      </c>
      <c r="E461" s="50">
        <v>45900</v>
      </c>
      <c r="F461" s="49" t="s">
        <v>1321</v>
      </c>
      <c r="G461" s="48" t="s">
        <v>36</v>
      </c>
      <c r="H461" s="48" t="s">
        <v>54</v>
      </c>
      <c r="I461" s="51">
        <v>-564567.06999999995</v>
      </c>
      <c r="J461" s="51"/>
      <c r="K461" s="51"/>
      <c r="L461" s="48" t="s">
        <v>40</v>
      </c>
      <c r="M461" s="48" t="s">
        <v>1433</v>
      </c>
      <c r="N461" s="48" t="s">
        <v>1447</v>
      </c>
      <c r="O461" s="49" t="s">
        <v>1450</v>
      </c>
      <c r="P461" s="48" t="s">
        <v>38</v>
      </c>
      <c r="Q461" s="48" t="s">
        <v>37</v>
      </c>
      <c r="R461" s="48" t="s">
        <v>1436</v>
      </c>
      <c r="S461" s="48" t="s">
        <v>1436</v>
      </c>
      <c r="T461" s="48" t="s">
        <v>1436</v>
      </c>
      <c r="U461" s="48" t="s">
        <v>38</v>
      </c>
      <c r="V461" s="48" t="s">
        <v>39</v>
      </c>
      <c r="W461" s="48" t="s">
        <v>40</v>
      </c>
      <c r="X461" s="48" t="s">
        <v>41</v>
      </c>
      <c r="Y461" s="48" t="s">
        <v>1436</v>
      </c>
      <c r="Z461" s="48" t="s">
        <v>1436</v>
      </c>
      <c r="AA461" s="48" t="s">
        <v>1436</v>
      </c>
      <c r="AB461" s="49" t="s">
        <v>193</v>
      </c>
      <c r="AC461" s="48" t="s">
        <v>1194</v>
      </c>
      <c r="AD461" s="48" t="s">
        <v>1244</v>
      </c>
      <c r="AE461" s="48" t="s">
        <v>36</v>
      </c>
    </row>
    <row r="462" spans="1:31" x14ac:dyDescent="0.3">
      <c r="A462" s="48" t="s">
        <v>1320</v>
      </c>
      <c r="B462" s="48" t="s">
        <v>6</v>
      </c>
      <c r="C462" s="48" t="s">
        <v>1322</v>
      </c>
      <c r="D462" s="48" t="s">
        <v>1407</v>
      </c>
      <c r="E462" s="50">
        <v>45900</v>
      </c>
      <c r="F462" s="49" t="s">
        <v>1321</v>
      </c>
      <c r="G462" s="48" t="s">
        <v>36</v>
      </c>
      <c r="H462" s="48" t="s">
        <v>47</v>
      </c>
      <c r="I462" s="51">
        <v>42857.86623</v>
      </c>
      <c r="J462" s="51"/>
      <c r="K462" s="51"/>
      <c r="L462" s="48" t="s">
        <v>40</v>
      </c>
      <c r="M462" s="48" t="s">
        <v>1438</v>
      </c>
      <c r="N462" s="48" t="s">
        <v>1444</v>
      </c>
      <c r="O462" s="49" t="s">
        <v>1446</v>
      </c>
      <c r="P462" s="48" t="s">
        <v>38</v>
      </c>
      <c r="Q462" s="48" t="s">
        <v>37</v>
      </c>
      <c r="R462" s="48" t="s">
        <v>1436</v>
      </c>
      <c r="S462" s="48" t="s">
        <v>1436</v>
      </c>
      <c r="T462" s="48" t="s">
        <v>1436</v>
      </c>
      <c r="U462" s="48" t="s">
        <v>38</v>
      </c>
      <c r="V462" s="48" t="s">
        <v>39</v>
      </c>
      <c r="W462" s="48" t="s">
        <v>40</v>
      </c>
      <c r="X462" s="48" t="s">
        <v>41</v>
      </c>
      <c r="Y462" s="48" t="s">
        <v>1436</v>
      </c>
      <c r="Z462" s="48" t="s">
        <v>1436</v>
      </c>
      <c r="AA462" s="48" t="s">
        <v>1436</v>
      </c>
      <c r="AB462" s="49" t="s">
        <v>193</v>
      </c>
      <c r="AC462" s="48" t="s">
        <v>1194</v>
      </c>
      <c r="AD462" s="48" t="s">
        <v>1244</v>
      </c>
      <c r="AE462" s="48" t="s">
        <v>36</v>
      </c>
    </row>
    <row r="463" spans="1:31" x14ac:dyDescent="0.3">
      <c r="A463" s="48" t="s">
        <v>1320</v>
      </c>
      <c r="B463" s="48" t="s">
        <v>6</v>
      </c>
      <c r="C463" s="48" t="s">
        <v>1322</v>
      </c>
      <c r="D463" s="48" t="s">
        <v>1406</v>
      </c>
      <c r="E463" s="50">
        <v>45900</v>
      </c>
      <c r="F463" s="49" t="s">
        <v>1321</v>
      </c>
      <c r="G463" s="48" t="s">
        <v>36</v>
      </c>
      <c r="H463" s="48" t="s">
        <v>1441</v>
      </c>
      <c r="I463" s="51">
        <v>0</v>
      </c>
      <c r="J463" s="51"/>
      <c r="K463" s="51"/>
      <c r="L463" s="48" t="s">
        <v>1194</v>
      </c>
      <c r="M463" s="48" t="s">
        <v>1438</v>
      </c>
      <c r="N463" s="48" t="s">
        <v>1439</v>
      </c>
      <c r="O463" s="49" t="s">
        <v>1440</v>
      </c>
      <c r="P463" s="48" t="s">
        <v>38</v>
      </c>
      <c r="Q463" s="48" t="s">
        <v>37</v>
      </c>
      <c r="R463" s="48" t="s">
        <v>1436</v>
      </c>
      <c r="S463" s="48" t="s">
        <v>1436</v>
      </c>
      <c r="T463" s="48" t="s">
        <v>1436</v>
      </c>
      <c r="U463" s="48" t="s">
        <v>38</v>
      </c>
      <c r="V463" s="48" t="s">
        <v>39</v>
      </c>
      <c r="W463" s="48" t="s">
        <v>1194</v>
      </c>
      <c r="X463" s="48" t="s">
        <v>41</v>
      </c>
      <c r="Y463" s="48" t="s">
        <v>1436</v>
      </c>
      <c r="Z463" s="48" t="s">
        <v>1436</v>
      </c>
      <c r="AA463" s="48" t="s">
        <v>1436</v>
      </c>
      <c r="AB463" s="49" t="s">
        <v>193</v>
      </c>
      <c r="AC463" s="48" t="s">
        <v>1194</v>
      </c>
      <c r="AD463" s="48" t="s">
        <v>1244</v>
      </c>
      <c r="AE463" s="48" t="s">
        <v>36</v>
      </c>
    </row>
    <row r="464" spans="1:31" x14ac:dyDescent="0.3">
      <c r="A464" s="48" t="s">
        <v>1320</v>
      </c>
      <c r="B464" s="48" t="s">
        <v>6</v>
      </c>
      <c r="C464" s="48" t="s">
        <v>1322</v>
      </c>
      <c r="D464" s="48" t="s">
        <v>1405</v>
      </c>
      <c r="E464" s="50">
        <v>45900</v>
      </c>
      <c r="F464" s="49" t="s">
        <v>1321</v>
      </c>
      <c r="G464" s="48" t="s">
        <v>36</v>
      </c>
      <c r="H464" s="48" t="s">
        <v>1443</v>
      </c>
      <c r="I464" s="51">
        <v>0</v>
      </c>
      <c r="J464" s="51"/>
      <c r="K464" s="51"/>
      <c r="L464" s="48" t="s">
        <v>1194</v>
      </c>
      <c r="M464" s="48" t="s">
        <v>1438</v>
      </c>
      <c r="N464" s="48" t="s">
        <v>1439</v>
      </c>
      <c r="O464" s="49" t="s">
        <v>1442</v>
      </c>
      <c r="P464" s="48" t="s">
        <v>38</v>
      </c>
      <c r="Q464" s="48" t="s">
        <v>37</v>
      </c>
      <c r="R464" s="48" t="s">
        <v>1436</v>
      </c>
      <c r="S464" s="48" t="s">
        <v>1436</v>
      </c>
      <c r="T464" s="48" t="s">
        <v>1436</v>
      </c>
      <c r="U464" s="48" t="s">
        <v>38</v>
      </c>
      <c r="V464" s="48" t="s">
        <v>39</v>
      </c>
      <c r="W464" s="48" t="s">
        <v>1194</v>
      </c>
      <c r="X464" s="48" t="s">
        <v>41</v>
      </c>
      <c r="Y464" s="48" t="s">
        <v>1436</v>
      </c>
      <c r="Z464" s="48" t="s">
        <v>1436</v>
      </c>
      <c r="AA464" s="48" t="s">
        <v>1436</v>
      </c>
      <c r="AB464" s="49" t="s">
        <v>193</v>
      </c>
      <c r="AC464" s="48" t="s">
        <v>1194</v>
      </c>
      <c r="AD464" s="48" t="s">
        <v>1244</v>
      </c>
      <c r="AE464" s="48" t="s">
        <v>36</v>
      </c>
    </row>
    <row r="465" spans="1:31" x14ac:dyDescent="0.3">
      <c r="A465" s="48" t="s">
        <v>1320</v>
      </c>
      <c r="B465" s="48" t="s">
        <v>6</v>
      </c>
      <c r="C465" s="48" t="s">
        <v>1322</v>
      </c>
      <c r="D465" s="48" t="s">
        <v>1404</v>
      </c>
      <c r="E465" s="50">
        <v>45900</v>
      </c>
      <c r="F465" s="49" t="s">
        <v>1321</v>
      </c>
      <c r="G465" s="48" t="s">
        <v>36</v>
      </c>
      <c r="H465" s="48" t="s">
        <v>49</v>
      </c>
      <c r="I465" s="51">
        <v>-4443.1571210000002</v>
      </c>
      <c r="J465" s="51"/>
      <c r="K465" s="51"/>
      <c r="L465" s="48" t="s">
        <v>38</v>
      </c>
      <c r="M465" s="48" t="s">
        <v>1433</v>
      </c>
      <c r="N465" s="48" t="s">
        <v>1447</v>
      </c>
      <c r="O465" s="49" t="s">
        <v>1451</v>
      </c>
      <c r="P465" s="48" t="s">
        <v>38</v>
      </c>
      <c r="Q465" s="48" t="s">
        <v>37</v>
      </c>
      <c r="R465" s="48" t="s">
        <v>1436</v>
      </c>
      <c r="S465" s="48" t="s">
        <v>1436</v>
      </c>
      <c r="T465" s="48" t="s">
        <v>1436</v>
      </c>
      <c r="U465" s="48" t="s">
        <v>38</v>
      </c>
      <c r="V465" s="48" t="s">
        <v>39</v>
      </c>
      <c r="W465" s="48" t="s">
        <v>38</v>
      </c>
      <c r="X465" s="48" t="s">
        <v>41</v>
      </c>
      <c r="Y465" s="48" t="s">
        <v>1436</v>
      </c>
      <c r="Z465" s="48" t="s">
        <v>1436</v>
      </c>
      <c r="AA465" s="48" t="s">
        <v>1436</v>
      </c>
      <c r="AB465" s="49" t="s">
        <v>193</v>
      </c>
      <c r="AC465" s="48" t="s">
        <v>1194</v>
      </c>
      <c r="AD465" s="48" t="s">
        <v>1244</v>
      </c>
      <c r="AE465" s="48" t="s">
        <v>36</v>
      </c>
    </row>
    <row r="466" spans="1:31" x14ac:dyDescent="0.3">
      <c r="A466" s="48" t="s">
        <v>1320</v>
      </c>
      <c r="B466" s="48" t="s">
        <v>6</v>
      </c>
      <c r="C466" s="48" t="s">
        <v>1322</v>
      </c>
      <c r="D466" s="48" t="s">
        <v>1413</v>
      </c>
      <c r="E466" s="50">
        <v>45930</v>
      </c>
      <c r="F466" s="49" t="s">
        <v>1321</v>
      </c>
      <c r="G466" s="48" t="s">
        <v>36</v>
      </c>
      <c r="H466" s="48" t="s">
        <v>58</v>
      </c>
      <c r="I466" s="51">
        <v>-2250000</v>
      </c>
      <c r="J466" s="51"/>
      <c r="K466" s="51"/>
      <c r="L466" s="48" t="s">
        <v>40</v>
      </c>
      <c r="M466" s="48" t="s">
        <v>1433</v>
      </c>
      <c r="N466" s="48" t="s">
        <v>1447</v>
      </c>
      <c r="O466" s="49" t="s">
        <v>1448</v>
      </c>
      <c r="P466" s="48" t="s">
        <v>38</v>
      </c>
      <c r="Q466" s="48" t="s">
        <v>37</v>
      </c>
      <c r="R466" s="48" t="s">
        <v>1436</v>
      </c>
      <c r="S466" s="48" t="s">
        <v>1436</v>
      </c>
      <c r="T466" s="48" t="s">
        <v>1436</v>
      </c>
      <c r="U466" s="48" t="s">
        <v>38</v>
      </c>
      <c r="V466" s="48" t="s">
        <v>39</v>
      </c>
      <c r="W466" s="48" t="s">
        <v>40</v>
      </c>
      <c r="X466" s="48" t="s">
        <v>41</v>
      </c>
      <c r="Y466" s="48" t="s">
        <v>1436</v>
      </c>
      <c r="Z466" s="48" t="s">
        <v>1436</v>
      </c>
      <c r="AA466" s="48" t="s">
        <v>1436</v>
      </c>
      <c r="AB466" s="49" t="s">
        <v>193</v>
      </c>
      <c r="AC466" s="48" t="s">
        <v>1194</v>
      </c>
      <c r="AD466" s="48" t="s">
        <v>1244</v>
      </c>
      <c r="AE466" s="48" t="s">
        <v>36</v>
      </c>
    </row>
    <row r="467" spans="1:31" x14ac:dyDescent="0.3">
      <c r="A467" s="48" t="s">
        <v>1320</v>
      </c>
      <c r="B467" s="48" t="s">
        <v>6</v>
      </c>
      <c r="C467" s="48" t="s">
        <v>1322</v>
      </c>
      <c r="D467" s="48" t="s">
        <v>1412</v>
      </c>
      <c r="E467" s="50">
        <v>45930</v>
      </c>
      <c r="F467" s="49" t="s">
        <v>1321</v>
      </c>
      <c r="G467" s="48" t="s">
        <v>36</v>
      </c>
      <c r="H467" s="48" t="s">
        <v>52</v>
      </c>
      <c r="I467" s="51">
        <v>-1904872.07</v>
      </c>
      <c r="J467" s="51"/>
      <c r="K467" s="51"/>
      <c r="L467" s="48" t="s">
        <v>40</v>
      </c>
      <c r="M467" s="48" t="s">
        <v>1433</v>
      </c>
      <c r="N467" s="48" t="s">
        <v>1434</v>
      </c>
      <c r="O467" s="49" t="s">
        <v>1435</v>
      </c>
      <c r="P467" s="48" t="s">
        <v>38</v>
      </c>
      <c r="Q467" s="48" t="s">
        <v>37</v>
      </c>
      <c r="R467" s="48" t="s">
        <v>1436</v>
      </c>
      <c r="S467" s="48" t="s">
        <v>1436</v>
      </c>
      <c r="T467" s="48" t="s">
        <v>1436</v>
      </c>
      <c r="U467" s="48" t="s">
        <v>38</v>
      </c>
      <c r="V467" s="48" t="s">
        <v>39</v>
      </c>
      <c r="W467" s="48" t="s">
        <v>40</v>
      </c>
      <c r="X467" s="48" t="s">
        <v>41</v>
      </c>
      <c r="Y467" s="48" t="s">
        <v>1436</v>
      </c>
      <c r="Z467" s="48" t="s">
        <v>1436</v>
      </c>
      <c r="AA467" s="48" t="s">
        <v>1436</v>
      </c>
      <c r="AB467" s="49" t="s">
        <v>193</v>
      </c>
      <c r="AC467" s="48" t="s">
        <v>1194</v>
      </c>
      <c r="AD467" s="48" t="s">
        <v>1244</v>
      </c>
      <c r="AE467" s="48" t="s">
        <v>36</v>
      </c>
    </row>
    <row r="468" spans="1:31" x14ac:dyDescent="0.3">
      <c r="A468" s="48" t="s">
        <v>1320</v>
      </c>
      <c r="B468" s="48" t="s">
        <v>6</v>
      </c>
      <c r="C468" s="48" t="s">
        <v>1322</v>
      </c>
      <c r="D468" s="48" t="s">
        <v>1411</v>
      </c>
      <c r="E468" s="50">
        <v>45930</v>
      </c>
      <c r="F468" s="49" t="s">
        <v>1321</v>
      </c>
      <c r="G468" s="48" t="s">
        <v>36</v>
      </c>
      <c r="H468" s="48" t="s">
        <v>50</v>
      </c>
      <c r="I468" s="51">
        <v>380974.42</v>
      </c>
      <c r="J468" s="51"/>
      <c r="K468" s="51"/>
      <c r="L468" s="48" t="s">
        <v>40</v>
      </c>
      <c r="M468" s="48" t="s">
        <v>1438</v>
      </c>
      <c r="N468" s="48" t="s">
        <v>1444</v>
      </c>
      <c r="O468" s="49" t="s">
        <v>1445</v>
      </c>
      <c r="P468" s="48" t="s">
        <v>38</v>
      </c>
      <c r="Q468" s="48" t="s">
        <v>37</v>
      </c>
      <c r="R468" s="48" t="s">
        <v>1436</v>
      </c>
      <c r="S468" s="48" t="s">
        <v>1436</v>
      </c>
      <c r="T468" s="48" t="s">
        <v>1436</v>
      </c>
      <c r="U468" s="48" t="s">
        <v>38</v>
      </c>
      <c r="V468" s="48" t="s">
        <v>39</v>
      </c>
      <c r="W468" s="48" t="s">
        <v>40</v>
      </c>
      <c r="X468" s="48" t="s">
        <v>41</v>
      </c>
      <c r="Y468" s="48" t="s">
        <v>1436</v>
      </c>
      <c r="Z468" s="48" t="s">
        <v>1436</v>
      </c>
      <c r="AA468" s="48" t="s">
        <v>1436</v>
      </c>
      <c r="AB468" s="49" t="s">
        <v>193</v>
      </c>
      <c r="AC468" s="48" t="s">
        <v>1194</v>
      </c>
      <c r="AD468" s="48" t="s">
        <v>1244</v>
      </c>
      <c r="AE468" s="48" t="s">
        <v>36</v>
      </c>
    </row>
    <row r="469" spans="1:31" x14ac:dyDescent="0.3">
      <c r="A469" s="48" t="s">
        <v>1320</v>
      </c>
      <c r="B469" s="48" t="s">
        <v>6</v>
      </c>
      <c r="C469" s="48" t="s">
        <v>1322</v>
      </c>
      <c r="D469" s="48" t="s">
        <v>1410</v>
      </c>
      <c r="E469" s="50">
        <v>45930</v>
      </c>
      <c r="F469" s="49" t="s">
        <v>1321</v>
      </c>
      <c r="G469" s="48" t="s">
        <v>36</v>
      </c>
      <c r="H469" s="48" t="s">
        <v>42</v>
      </c>
      <c r="I469" s="51">
        <v>2539829.423163</v>
      </c>
      <c r="J469" s="51"/>
      <c r="K469" s="51"/>
      <c r="L469" s="48" t="s">
        <v>40</v>
      </c>
      <c r="M469" s="48" t="s">
        <v>1433</v>
      </c>
      <c r="N469" s="48" t="s">
        <v>1434</v>
      </c>
      <c r="O469" s="49" t="s">
        <v>1437</v>
      </c>
      <c r="P469" s="48" t="s">
        <v>38</v>
      </c>
      <c r="Q469" s="48" t="s">
        <v>37</v>
      </c>
      <c r="R469" s="48" t="s">
        <v>1436</v>
      </c>
      <c r="S469" s="48" t="s">
        <v>1436</v>
      </c>
      <c r="T469" s="48" t="s">
        <v>1436</v>
      </c>
      <c r="U469" s="48" t="s">
        <v>38</v>
      </c>
      <c r="V469" s="48" t="s">
        <v>39</v>
      </c>
      <c r="W469" s="48" t="s">
        <v>40</v>
      </c>
      <c r="X469" s="48" t="s">
        <v>41</v>
      </c>
      <c r="Y469" s="48" t="s">
        <v>1436</v>
      </c>
      <c r="Z469" s="48" t="s">
        <v>1436</v>
      </c>
      <c r="AA469" s="48" t="s">
        <v>1436</v>
      </c>
      <c r="AB469" s="49" t="s">
        <v>193</v>
      </c>
      <c r="AC469" s="48" t="s">
        <v>1194</v>
      </c>
      <c r="AD469" s="48" t="s">
        <v>1244</v>
      </c>
      <c r="AE469" s="48" t="s">
        <v>36</v>
      </c>
    </row>
    <row r="470" spans="1:31" x14ac:dyDescent="0.3">
      <c r="A470" s="48" t="s">
        <v>1320</v>
      </c>
      <c r="B470" s="48" t="s">
        <v>6</v>
      </c>
      <c r="C470" s="48" t="s">
        <v>1322</v>
      </c>
      <c r="D470" s="48" t="s">
        <v>1409</v>
      </c>
      <c r="E470" s="50">
        <v>45930</v>
      </c>
      <c r="F470" s="49" t="s">
        <v>1321</v>
      </c>
      <c r="G470" s="48" t="s">
        <v>36</v>
      </c>
      <c r="H470" s="48" t="s">
        <v>45</v>
      </c>
      <c r="I470" s="51">
        <v>-148266.87498299999</v>
      </c>
      <c r="J470" s="51"/>
      <c r="K470" s="51"/>
      <c r="L470" s="48" t="s">
        <v>40</v>
      </c>
      <c r="M470" s="48" t="s">
        <v>1433</v>
      </c>
      <c r="N470" s="48" t="s">
        <v>1447</v>
      </c>
      <c r="O470" s="49" t="s">
        <v>1449</v>
      </c>
      <c r="P470" s="48" t="s">
        <v>38</v>
      </c>
      <c r="Q470" s="48" t="s">
        <v>37</v>
      </c>
      <c r="R470" s="48" t="s">
        <v>1436</v>
      </c>
      <c r="S470" s="48" t="s">
        <v>1436</v>
      </c>
      <c r="T470" s="48" t="s">
        <v>1436</v>
      </c>
      <c r="U470" s="48" t="s">
        <v>38</v>
      </c>
      <c r="V470" s="48" t="s">
        <v>39</v>
      </c>
      <c r="W470" s="48" t="s">
        <v>40</v>
      </c>
      <c r="X470" s="48" t="s">
        <v>41</v>
      </c>
      <c r="Y470" s="48" t="s">
        <v>1436</v>
      </c>
      <c r="Z470" s="48" t="s">
        <v>1436</v>
      </c>
      <c r="AA470" s="48" t="s">
        <v>1436</v>
      </c>
      <c r="AB470" s="49" t="s">
        <v>193</v>
      </c>
      <c r="AC470" s="48" t="s">
        <v>1194</v>
      </c>
      <c r="AD470" s="48" t="s">
        <v>1244</v>
      </c>
      <c r="AE470" s="48" t="s">
        <v>36</v>
      </c>
    </row>
    <row r="471" spans="1:31" x14ac:dyDescent="0.3">
      <c r="A471" s="48" t="s">
        <v>1320</v>
      </c>
      <c r="B471" s="48" t="s">
        <v>6</v>
      </c>
      <c r="C471" s="48" t="s">
        <v>1322</v>
      </c>
      <c r="D471" s="48" t="s">
        <v>1408</v>
      </c>
      <c r="E471" s="50">
        <v>45930</v>
      </c>
      <c r="F471" s="49" t="s">
        <v>1321</v>
      </c>
      <c r="G471" s="48" t="s">
        <v>36</v>
      </c>
      <c r="H471" s="48" t="s">
        <v>54</v>
      </c>
      <c r="I471" s="51">
        <v>-567860.36</v>
      </c>
      <c r="J471" s="51"/>
      <c r="K471" s="51"/>
      <c r="L471" s="48" t="s">
        <v>40</v>
      </c>
      <c r="M471" s="48" t="s">
        <v>1433</v>
      </c>
      <c r="N471" s="48" t="s">
        <v>1447</v>
      </c>
      <c r="O471" s="49" t="s">
        <v>1450</v>
      </c>
      <c r="P471" s="48" t="s">
        <v>38</v>
      </c>
      <c r="Q471" s="48" t="s">
        <v>37</v>
      </c>
      <c r="R471" s="48" t="s">
        <v>1436</v>
      </c>
      <c r="S471" s="48" t="s">
        <v>1436</v>
      </c>
      <c r="T471" s="48" t="s">
        <v>1436</v>
      </c>
      <c r="U471" s="48" t="s">
        <v>38</v>
      </c>
      <c r="V471" s="48" t="s">
        <v>39</v>
      </c>
      <c r="W471" s="48" t="s">
        <v>40</v>
      </c>
      <c r="X471" s="48" t="s">
        <v>41</v>
      </c>
      <c r="Y471" s="48" t="s">
        <v>1436</v>
      </c>
      <c r="Z471" s="48" t="s">
        <v>1436</v>
      </c>
      <c r="AA471" s="48" t="s">
        <v>1436</v>
      </c>
      <c r="AB471" s="49" t="s">
        <v>193</v>
      </c>
      <c r="AC471" s="48" t="s">
        <v>1194</v>
      </c>
      <c r="AD471" s="48" t="s">
        <v>1244</v>
      </c>
      <c r="AE471" s="48" t="s">
        <v>36</v>
      </c>
    </row>
    <row r="472" spans="1:31" x14ac:dyDescent="0.3">
      <c r="A472" s="48" t="s">
        <v>1320</v>
      </c>
      <c r="B472" s="48" t="s">
        <v>6</v>
      </c>
      <c r="C472" s="48" t="s">
        <v>1322</v>
      </c>
      <c r="D472" s="48" t="s">
        <v>1407</v>
      </c>
      <c r="E472" s="50">
        <v>45930</v>
      </c>
      <c r="F472" s="49" t="s">
        <v>1321</v>
      </c>
      <c r="G472" s="48" t="s">
        <v>36</v>
      </c>
      <c r="H472" s="48" t="s">
        <v>47</v>
      </c>
      <c r="I472" s="51">
        <v>47035.275100999999</v>
      </c>
      <c r="J472" s="51"/>
      <c r="K472" s="51"/>
      <c r="L472" s="48" t="s">
        <v>40</v>
      </c>
      <c r="M472" s="48" t="s">
        <v>1438</v>
      </c>
      <c r="N472" s="48" t="s">
        <v>1444</v>
      </c>
      <c r="O472" s="49" t="s">
        <v>1446</v>
      </c>
      <c r="P472" s="48" t="s">
        <v>38</v>
      </c>
      <c r="Q472" s="48" t="s">
        <v>37</v>
      </c>
      <c r="R472" s="48" t="s">
        <v>1436</v>
      </c>
      <c r="S472" s="48" t="s">
        <v>1436</v>
      </c>
      <c r="T472" s="48" t="s">
        <v>1436</v>
      </c>
      <c r="U472" s="48" t="s">
        <v>38</v>
      </c>
      <c r="V472" s="48" t="s">
        <v>39</v>
      </c>
      <c r="W472" s="48" t="s">
        <v>40</v>
      </c>
      <c r="X472" s="48" t="s">
        <v>41</v>
      </c>
      <c r="Y472" s="48" t="s">
        <v>1436</v>
      </c>
      <c r="Z472" s="48" t="s">
        <v>1436</v>
      </c>
      <c r="AA472" s="48" t="s">
        <v>1436</v>
      </c>
      <c r="AB472" s="49" t="s">
        <v>193</v>
      </c>
      <c r="AC472" s="48" t="s">
        <v>1194</v>
      </c>
      <c r="AD472" s="48" t="s">
        <v>1244</v>
      </c>
      <c r="AE472" s="48" t="s">
        <v>36</v>
      </c>
    </row>
    <row r="473" spans="1:31" x14ac:dyDescent="0.3">
      <c r="A473" s="48" t="s">
        <v>1320</v>
      </c>
      <c r="B473" s="48" t="s">
        <v>6</v>
      </c>
      <c r="C473" s="48" t="s">
        <v>1322</v>
      </c>
      <c r="D473" s="48" t="s">
        <v>1406</v>
      </c>
      <c r="E473" s="50">
        <v>45930</v>
      </c>
      <c r="F473" s="49" t="s">
        <v>1321</v>
      </c>
      <c r="G473" s="48" t="s">
        <v>36</v>
      </c>
      <c r="H473" s="48" t="s">
        <v>1441</v>
      </c>
      <c r="I473" s="51">
        <v>0</v>
      </c>
      <c r="J473" s="51"/>
      <c r="K473" s="51"/>
      <c r="L473" s="48" t="s">
        <v>1194</v>
      </c>
      <c r="M473" s="48" t="s">
        <v>1438</v>
      </c>
      <c r="N473" s="48" t="s">
        <v>1439</v>
      </c>
      <c r="O473" s="49" t="s">
        <v>1440</v>
      </c>
      <c r="P473" s="48" t="s">
        <v>38</v>
      </c>
      <c r="Q473" s="48" t="s">
        <v>37</v>
      </c>
      <c r="R473" s="48" t="s">
        <v>1436</v>
      </c>
      <c r="S473" s="48" t="s">
        <v>1436</v>
      </c>
      <c r="T473" s="48" t="s">
        <v>1436</v>
      </c>
      <c r="U473" s="48" t="s">
        <v>38</v>
      </c>
      <c r="V473" s="48" t="s">
        <v>39</v>
      </c>
      <c r="W473" s="48" t="s">
        <v>1194</v>
      </c>
      <c r="X473" s="48" t="s">
        <v>41</v>
      </c>
      <c r="Y473" s="48" t="s">
        <v>1436</v>
      </c>
      <c r="Z473" s="48" t="s">
        <v>1436</v>
      </c>
      <c r="AA473" s="48" t="s">
        <v>1436</v>
      </c>
      <c r="AB473" s="49" t="s">
        <v>193</v>
      </c>
      <c r="AC473" s="48" t="s">
        <v>1194</v>
      </c>
      <c r="AD473" s="48" t="s">
        <v>1244</v>
      </c>
      <c r="AE473" s="48" t="s">
        <v>36</v>
      </c>
    </row>
    <row r="474" spans="1:31" x14ac:dyDescent="0.3">
      <c r="A474" s="48" t="s">
        <v>1320</v>
      </c>
      <c r="B474" s="48" t="s">
        <v>6</v>
      </c>
      <c r="C474" s="48" t="s">
        <v>1322</v>
      </c>
      <c r="D474" s="48" t="s">
        <v>1405</v>
      </c>
      <c r="E474" s="50">
        <v>45930</v>
      </c>
      <c r="F474" s="49" t="s">
        <v>1321</v>
      </c>
      <c r="G474" s="48" t="s">
        <v>36</v>
      </c>
      <c r="H474" s="48" t="s">
        <v>1443</v>
      </c>
      <c r="I474" s="51">
        <v>0</v>
      </c>
      <c r="J474" s="51"/>
      <c r="K474" s="51"/>
      <c r="L474" s="48" t="s">
        <v>1194</v>
      </c>
      <c r="M474" s="48" t="s">
        <v>1438</v>
      </c>
      <c r="N474" s="48" t="s">
        <v>1439</v>
      </c>
      <c r="O474" s="49" t="s">
        <v>1442</v>
      </c>
      <c r="P474" s="48" t="s">
        <v>38</v>
      </c>
      <c r="Q474" s="48" t="s">
        <v>37</v>
      </c>
      <c r="R474" s="48" t="s">
        <v>1436</v>
      </c>
      <c r="S474" s="48" t="s">
        <v>1436</v>
      </c>
      <c r="T474" s="48" t="s">
        <v>1436</v>
      </c>
      <c r="U474" s="48" t="s">
        <v>38</v>
      </c>
      <c r="V474" s="48" t="s">
        <v>39</v>
      </c>
      <c r="W474" s="48" t="s">
        <v>1194</v>
      </c>
      <c r="X474" s="48" t="s">
        <v>41</v>
      </c>
      <c r="Y474" s="48" t="s">
        <v>1436</v>
      </c>
      <c r="Z474" s="48" t="s">
        <v>1436</v>
      </c>
      <c r="AA474" s="48" t="s">
        <v>1436</v>
      </c>
      <c r="AB474" s="49" t="s">
        <v>193</v>
      </c>
      <c r="AC474" s="48" t="s">
        <v>1194</v>
      </c>
      <c r="AD474" s="48" t="s">
        <v>1244</v>
      </c>
      <c r="AE474" s="48" t="s">
        <v>36</v>
      </c>
    </row>
    <row r="475" spans="1:31" x14ac:dyDescent="0.3">
      <c r="A475" s="48" t="s">
        <v>1320</v>
      </c>
      <c r="B475" s="48" t="s">
        <v>6</v>
      </c>
      <c r="C475" s="48" t="s">
        <v>1322</v>
      </c>
      <c r="D475" s="48" t="s">
        <v>1404</v>
      </c>
      <c r="E475" s="50">
        <v>45930</v>
      </c>
      <c r="F475" s="49" t="s">
        <v>1321</v>
      </c>
      <c r="G475" s="48" t="s">
        <v>36</v>
      </c>
      <c r="H475" s="48" t="s">
        <v>49</v>
      </c>
      <c r="I475" s="51">
        <v>-4177.4088709999996</v>
      </c>
      <c r="J475" s="51"/>
      <c r="K475" s="51"/>
      <c r="L475" s="48" t="s">
        <v>38</v>
      </c>
      <c r="M475" s="48" t="s">
        <v>1433</v>
      </c>
      <c r="N475" s="48" t="s">
        <v>1447</v>
      </c>
      <c r="O475" s="49" t="s">
        <v>1451</v>
      </c>
      <c r="P475" s="48" t="s">
        <v>38</v>
      </c>
      <c r="Q475" s="48" t="s">
        <v>37</v>
      </c>
      <c r="R475" s="48" t="s">
        <v>1436</v>
      </c>
      <c r="S475" s="48" t="s">
        <v>1436</v>
      </c>
      <c r="T475" s="48" t="s">
        <v>1436</v>
      </c>
      <c r="U475" s="48" t="s">
        <v>38</v>
      </c>
      <c r="V475" s="48" t="s">
        <v>39</v>
      </c>
      <c r="W475" s="48" t="s">
        <v>38</v>
      </c>
      <c r="X475" s="48" t="s">
        <v>41</v>
      </c>
      <c r="Y475" s="48" t="s">
        <v>1436</v>
      </c>
      <c r="Z475" s="48" t="s">
        <v>1436</v>
      </c>
      <c r="AA475" s="48" t="s">
        <v>1436</v>
      </c>
      <c r="AB475" s="49" t="s">
        <v>193</v>
      </c>
      <c r="AC475" s="48" t="s">
        <v>1194</v>
      </c>
      <c r="AD475" s="48" t="s">
        <v>1244</v>
      </c>
      <c r="AE475" s="48" t="s">
        <v>36</v>
      </c>
    </row>
    <row r="476" spans="1:31" x14ac:dyDescent="0.3">
      <c r="A476" s="48" t="s">
        <v>1320</v>
      </c>
      <c r="B476" s="48" t="s">
        <v>6</v>
      </c>
      <c r="C476" s="48" t="s">
        <v>1322</v>
      </c>
      <c r="D476" s="48" t="s">
        <v>1413</v>
      </c>
      <c r="E476" s="50">
        <v>45961</v>
      </c>
      <c r="F476" s="49" t="s">
        <v>1321</v>
      </c>
      <c r="G476" s="48" t="s">
        <v>36</v>
      </c>
      <c r="H476" s="48" t="s">
        <v>58</v>
      </c>
      <c r="I476" s="51">
        <v>-2300000</v>
      </c>
      <c r="J476" s="51"/>
      <c r="K476" s="51"/>
      <c r="L476" s="48" t="s">
        <v>40</v>
      </c>
      <c r="M476" s="48" t="s">
        <v>1433</v>
      </c>
      <c r="N476" s="48" t="s">
        <v>1447</v>
      </c>
      <c r="O476" s="49" t="s">
        <v>1448</v>
      </c>
      <c r="P476" s="48" t="s">
        <v>38</v>
      </c>
      <c r="Q476" s="48" t="s">
        <v>37</v>
      </c>
      <c r="R476" s="48" t="s">
        <v>1436</v>
      </c>
      <c r="S476" s="48" t="s">
        <v>1436</v>
      </c>
      <c r="T476" s="48" t="s">
        <v>1436</v>
      </c>
      <c r="U476" s="48" t="s">
        <v>38</v>
      </c>
      <c r="V476" s="48" t="s">
        <v>39</v>
      </c>
      <c r="W476" s="48" t="s">
        <v>40</v>
      </c>
      <c r="X476" s="48" t="s">
        <v>41</v>
      </c>
      <c r="Y476" s="48" t="s">
        <v>1436</v>
      </c>
      <c r="Z476" s="48" t="s">
        <v>1436</v>
      </c>
      <c r="AA476" s="48" t="s">
        <v>1436</v>
      </c>
      <c r="AB476" s="49" t="s">
        <v>193</v>
      </c>
      <c r="AC476" s="48" t="s">
        <v>1194</v>
      </c>
      <c r="AD476" s="48" t="s">
        <v>1244</v>
      </c>
      <c r="AE476" s="48" t="s">
        <v>36</v>
      </c>
    </row>
    <row r="477" spans="1:31" x14ac:dyDescent="0.3">
      <c r="A477" s="48" t="s">
        <v>1320</v>
      </c>
      <c r="B477" s="48" t="s">
        <v>6</v>
      </c>
      <c r="C477" s="48" t="s">
        <v>1322</v>
      </c>
      <c r="D477" s="48" t="s">
        <v>1412</v>
      </c>
      <c r="E477" s="50">
        <v>45961</v>
      </c>
      <c r="F477" s="49" t="s">
        <v>1321</v>
      </c>
      <c r="G477" s="48" t="s">
        <v>36</v>
      </c>
      <c r="H477" s="48" t="s">
        <v>52</v>
      </c>
      <c r="I477" s="51">
        <v>-1947202.5600000001</v>
      </c>
      <c r="J477" s="51"/>
      <c r="K477" s="51"/>
      <c r="L477" s="48" t="s">
        <v>40</v>
      </c>
      <c r="M477" s="48" t="s">
        <v>1433</v>
      </c>
      <c r="N477" s="48" t="s">
        <v>1434</v>
      </c>
      <c r="O477" s="49" t="s">
        <v>1435</v>
      </c>
      <c r="P477" s="48" t="s">
        <v>38</v>
      </c>
      <c r="Q477" s="48" t="s">
        <v>37</v>
      </c>
      <c r="R477" s="48" t="s">
        <v>1436</v>
      </c>
      <c r="S477" s="48" t="s">
        <v>1436</v>
      </c>
      <c r="T477" s="48" t="s">
        <v>1436</v>
      </c>
      <c r="U477" s="48" t="s">
        <v>38</v>
      </c>
      <c r="V477" s="48" t="s">
        <v>39</v>
      </c>
      <c r="W477" s="48" t="s">
        <v>40</v>
      </c>
      <c r="X477" s="48" t="s">
        <v>41</v>
      </c>
      <c r="Y477" s="48" t="s">
        <v>1436</v>
      </c>
      <c r="Z477" s="48" t="s">
        <v>1436</v>
      </c>
      <c r="AA477" s="48" t="s">
        <v>1436</v>
      </c>
      <c r="AB477" s="49" t="s">
        <v>193</v>
      </c>
      <c r="AC477" s="48" t="s">
        <v>1194</v>
      </c>
      <c r="AD477" s="48" t="s">
        <v>1244</v>
      </c>
      <c r="AE477" s="48" t="s">
        <v>36</v>
      </c>
    </row>
    <row r="478" spans="1:31" x14ac:dyDescent="0.3">
      <c r="A478" s="48" t="s">
        <v>1320</v>
      </c>
      <c r="B478" s="48" t="s">
        <v>6</v>
      </c>
      <c r="C478" s="48" t="s">
        <v>1322</v>
      </c>
      <c r="D478" s="48" t="s">
        <v>1411</v>
      </c>
      <c r="E478" s="50">
        <v>45961</v>
      </c>
      <c r="F478" s="49" t="s">
        <v>1321</v>
      </c>
      <c r="G478" s="48" t="s">
        <v>36</v>
      </c>
      <c r="H478" s="48" t="s">
        <v>50</v>
      </c>
      <c r="I478" s="51">
        <v>423304.91</v>
      </c>
      <c r="J478" s="51"/>
      <c r="K478" s="51"/>
      <c r="L478" s="48" t="s">
        <v>40</v>
      </c>
      <c r="M478" s="48" t="s">
        <v>1438</v>
      </c>
      <c r="N478" s="48" t="s">
        <v>1444</v>
      </c>
      <c r="O478" s="49" t="s">
        <v>1445</v>
      </c>
      <c r="P478" s="48" t="s">
        <v>38</v>
      </c>
      <c r="Q478" s="48" t="s">
        <v>37</v>
      </c>
      <c r="R478" s="48" t="s">
        <v>1436</v>
      </c>
      <c r="S478" s="48" t="s">
        <v>1436</v>
      </c>
      <c r="T478" s="48" t="s">
        <v>1436</v>
      </c>
      <c r="U478" s="48" t="s">
        <v>38</v>
      </c>
      <c r="V478" s="48" t="s">
        <v>39</v>
      </c>
      <c r="W478" s="48" t="s">
        <v>40</v>
      </c>
      <c r="X478" s="48" t="s">
        <v>41</v>
      </c>
      <c r="Y478" s="48" t="s">
        <v>1436</v>
      </c>
      <c r="Z478" s="48" t="s">
        <v>1436</v>
      </c>
      <c r="AA478" s="48" t="s">
        <v>1436</v>
      </c>
      <c r="AB478" s="49" t="s">
        <v>193</v>
      </c>
      <c r="AC478" s="48" t="s">
        <v>1194</v>
      </c>
      <c r="AD478" s="48" t="s">
        <v>1244</v>
      </c>
      <c r="AE478" s="48" t="s">
        <v>36</v>
      </c>
    </row>
    <row r="479" spans="1:31" x14ac:dyDescent="0.3">
      <c r="A479" s="48" t="s">
        <v>1320</v>
      </c>
      <c r="B479" s="48" t="s">
        <v>6</v>
      </c>
      <c r="C479" s="48" t="s">
        <v>1322</v>
      </c>
      <c r="D479" s="48" t="s">
        <v>1410</v>
      </c>
      <c r="E479" s="50">
        <v>45961</v>
      </c>
      <c r="F479" s="49" t="s">
        <v>1321</v>
      </c>
      <c r="G479" s="48" t="s">
        <v>36</v>
      </c>
      <c r="H479" s="48" t="s">
        <v>42</v>
      </c>
      <c r="I479" s="51">
        <v>2539829.423163</v>
      </c>
      <c r="J479" s="51"/>
      <c r="K479" s="51"/>
      <c r="L479" s="48" t="s">
        <v>40</v>
      </c>
      <c r="M479" s="48" t="s">
        <v>1433</v>
      </c>
      <c r="N479" s="48" t="s">
        <v>1434</v>
      </c>
      <c r="O479" s="49" t="s">
        <v>1437</v>
      </c>
      <c r="P479" s="48" t="s">
        <v>38</v>
      </c>
      <c r="Q479" s="48" t="s">
        <v>37</v>
      </c>
      <c r="R479" s="48" t="s">
        <v>1436</v>
      </c>
      <c r="S479" s="48" t="s">
        <v>1436</v>
      </c>
      <c r="T479" s="48" t="s">
        <v>1436</v>
      </c>
      <c r="U479" s="48" t="s">
        <v>38</v>
      </c>
      <c r="V479" s="48" t="s">
        <v>39</v>
      </c>
      <c r="W479" s="48" t="s">
        <v>40</v>
      </c>
      <c r="X479" s="48" t="s">
        <v>41</v>
      </c>
      <c r="Y479" s="48" t="s">
        <v>1436</v>
      </c>
      <c r="Z479" s="48" t="s">
        <v>1436</v>
      </c>
      <c r="AA479" s="48" t="s">
        <v>1436</v>
      </c>
      <c r="AB479" s="49" t="s">
        <v>193</v>
      </c>
      <c r="AC479" s="48" t="s">
        <v>1194</v>
      </c>
      <c r="AD479" s="48" t="s">
        <v>1244</v>
      </c>
      <c r="AE479" s="48" t="s">
        <v>36</v>
      </c>
    </row>
    <row r="480" spans="1:31" x14ac:dyDescent="0.3">
      <c r="A480" s="48" t="s">
        <v>1320</v>
      </c>
      <c r="B480" s="48" t="s">
        <v>6</v>
      </c>
      <c r="C480" s="48" t="s">
        <v>1322</v>
      </c>
      <c r="D480" s="48" t="s">
        <v>1409</v>
      </c>
      <c r="E480" s="50">
        <v>45961</v>
      </c>
      <c r="F480" s="49" t="s">
        <v>1321</v>
      </c>
      <c r="G480" s="48" t="s">
        <v>36</v>
      </c>
      <c r="H480" s="48" t="s">
        <v>45</v>
      </c>
      <c r="I480" s="51">
        <v>-99131.753853999995</v>
      </c>
      <c r="J480" s="51"/>
      <c r="K480" s="51"/>
      <c r="L480" s="48" t="s">
        <v>40</v>
      </c>
      <c r="M480" s="48" t="s">
        <v>1433</v>
      </c>
      <c r="N480" s="48" t="s">
        <v>1447</v>
      </c>
      <c r="O480" s="49" t="s">
        <v>1449</v>
      </c>
      <c r="P480" s="48" t="s">
        <v>38</v>
      </c>
      <c r="Q480" s="48" t="s">
        <v>37</v>
      </c>
      <c r="R480" s="48" t="s">
        <v>1436</v>
      </c>
      <c r="S480" s="48" t="s">
        <v>1436</v>
      </c>
      <c r="T480" s="48" t="s">
        <v>1436</v>
      </c>
      <c r="U480" s="48" t="s">
        <v>38</v>
      </c>
      <c r="V480" s="48" t="s">
        <v>39</v>
      </c>
      <c r="W480" s="48" t="s">
        <v>40</v>
      </c>
      <c r="X480" s="48" t="s">
        <v>41</v>
      </c>
      <c r="Y480" s="48" t="s">
        <v>1436</v>
      </c>
      <c r="Z480" s="48" t="s">
        <v>1436</v>
      </c>
      <c r="AA480" s="48" t="s">
        <v>1436</v>
      </c>
      <c r="AB480" s="49" t="s">
        <v>193</v>
      </c>
      <c r="AC480" s="48" t="s">
        <v>1194</v>
      </c>
      <c r="AD480" s="48" t="s">
        <v>1244</v>
      </c>
      <c r="AE480" s="48" t="s">
        <v>36</v>
      </c>
    </row>
    <row r="481" spans="1:31" x14ac:dyDescent="0.3">
      <c r="A481" s="48" t="s">
        <v>1320</v>
      </c>
      <c r="B481" s="48" t="s">
        <v>6</v>
      </c>
      <c r="C481" s="48" t="s">
        <v>1322</v>
      </c>
      <c r="D481" s="48" t="s">
        <v>1408</v>
      </c>
      <c r="E481" s="50">
        <v>45961</v>
      </c>
      <c r="F481" s="49" t="s">
        <v>1321</v>
      </c>
      <c r="G481" s="48" t="s">
        <v>36</v>
      </c>
      <c r="H481" s="48" t="s">
        <v>54</v>
      </c>
      <c r="I481" s="51">
        <v>-571172.89</v>
      </c>
      <c r="J481" s="51"/>
      <c r="K481" s="51"/>
      <c r="L481" s="48" t="s">
        <v>40</v>
      </c>
      <c r="M481" s="48" t="s">
        <v>1433</v>
      </c>
      <c r="N481" s="48" t="s">
        <v>1447</v>
      </c>
      <c r="O481" s="49" t="s">
        <v>1450</v>
      </c>
      <c r="P481" s="48" t="s">
        <v>38</v>
      </c>
      <c r="Q481" s="48" t="s">
        <v>37</v>
      </c>
      <c r="R481" s="48" t="s">
        <v>1436</v>
      </c>
      <c r="S481" s="48" t="s">
        <v>1436</v>
      </c>
      <c r="T481" s="48" t="s">
        <v>1436</v>
      </c>
      <c r="U481" s="48" t="s">
        <v>38</v>
      </c>
      <c r="V481" s="48" t="s">
        <v>39</v>
      </c>
      <c r="W481" s="48" t="s">
        <v>40</v>
      </c>
      <c r="X481" s="48" t="s">
        <v>41</v>
      </c>
      <c r="Y481" s="48" t="s">
        <v>1436</v>
      </c>
      <c r="Z481" s="48" t="s">
        <v>1436</v>
      </c>
      <c r="AA481" s="48" t="s">
        <v>1436</v>
      </c>
      <c r="AB481" s="49" t="s">
        <v>193</v>
      </c>
      <c r="AC481" s="48" t="s">
        <v>1194</v>
      </c>
      <c r="AD481" s="48" t="s">
        <v>1244</v>
      </c>
      <c r="AE481" s="48" t="s">
        <v>36</v>
      </c>
    </row>
    <row r="482" spans="1:31" x14ac:dyDescent="0.3">
      <c r="A482" s="48" t="s">
        <v>1320</v>
      </c>
      <c r="B482" s="48" t="s">
        <v>6</v>
      </c>
      <c r="C482" s="48" t="s">
        <v>1322</v>
      </c>
      <c r="D482" s="48" t="s">
        <v>1407</v>
      </c>
      <c r="E482" s="50">
        <v>45961</v>
      </c>
      <c r="F482" s="49" t="s">
        <v>1321</v>
      </c>
      <c r="G482" s="48" t="s">
        <v>36</v>
      </c>
      <c r="H482" s="48" t="s">
        <v>47</v>
      </c>
      <c r="I482" s="51">
        <v>50945.385522999997</v>
      </c>
      <c r="J482" s="51"/>
      <c r="K482" s="51"/>
      <c r="L482" s="48" t="s">
        <v>40</v>
      </c>
      <c r="M482" s="48" t="s">
        <v>1438</v>
      </c>
      <c r="N482" s="48" t="s">
        <v>1444</v>
      </c>
      <c r="O482" s="49" t="s">
        <v>1446</v>
      </c>
      <c r="P482" s="48" t="s">
        <v>38</v>
      </c>
      <c r="Q482" s="48" t="s">
        <v>37</v>
      </c>
      <c r="R482" s="48" t="s">
        <v>1436</v>
      </c>
      <c r="S482" s="48" t="s">
        <v>1436</v>
      </c>
      <c r="T482" s="48" t="s">
        <v>1436</v>
      </c>
      <c r="U482" s="48" t="s">
        <v>38</v>
      </c>
      <c r="V482" s="48" t="s">
        <v>39</v>
      </c>
      <c r="W482" s="48" t="s">
        <v>40</v>
      </c>
      <c r="X482" s="48" t="s">
        <v>41</v>
      </c>
      <c r="Y482" s="48" t="s">
        <v>1436</v>
      </c>
      <c r="Z482" s="48" t="s">
        <v>1436</v>
      </c>
      <c r="AA482" s="48" t="s">
        <v>1436</v>
      </c>
      <c r="AB482" s="49" t="s">
        <v>193</v>
      </c>
      <c r="AC482" s="48" t="s">
        <v>1194</v>
      </c>
      <c r="AD482" s="48" t="s">
        <v>1244</v>
      </c>
      <c r="AE482" s="48" t="s">
        <v>36</v>
      </c>
    </row>
    <row r="483" spans="1:31" x14ac:dyDescent="0.3">
      <c r="A483" s="48" t="s">
        <v>1320</v>
      </c>
      <c r="B483" s="48" t="s">
        <v>6</v>
      </c>
      <c r="C483" s="48" t="s">
        <v>1322</v>
      </c>
      <c r="D483" s="48" t="s">
        <v>1406</v>
      </c>
      <c r="E483" s="50">
        <v>45961</v>
      </c>
      <c r="F483" s="49" t="s">
        <v>1321</v>
      </c>
      <c r="G483" s="48" t="s">
        <v>36</v>
      </c>
      <c r="H483" s="48" t="s">
        <v>1441</v>
      </c>
      <c r="I483" s="51">
        <v>0</v>
      </c>
      <c r="J483" s="51"/>
      <c r="K483" s="51"/>
      <c r="L483" s="48" t="s">
        <v>1194</v>
      </c>
      <c r="M483" s="48" t="s">
        <v>1438</v>
      </c>
      <c r="N483" s="48" t="s">
        <v>1439</v>
      </c>
      <c r="O483" s="49" t="s">
        <v>1440</v>
      </c>
      <c r="P483" s="48" t="s">
        <v>38</v>
      </c>
      <c r="Q483" s="48" t="s">
        <v>37</v>
      </c>
      <c r="R483" s="48" t="s">
        <v>1436</v>
      </c>
      <c r="S483" s="48" t="s">
        <v>1436</v>
      </c>
      <c r="T483" s="48" t="s">
        <v>1436</v>
      </c>
      <c r="U483" s="48" t="s">
        <v>38</v>
      </c>
      <c r="V483" s="48" t="s">
        <v>39</v>
      </c>
      <c r="W483" s="48" t="s">
        <v>1194</v>
      </c>
      <c r="X483" s="48" t="s">
        <v>41</v>
      </c>
      <c r="Y483" s="48" t="s">
        <v>1436</v>
      </c>
      <c r="Z483" s="48" t="s">
        <v>1436</v>
      </c>
      <c r="AA483" s="48" t="s">
        <v>1436</v>
      </c>
      <c r="AB483" s="49" t="s">
        <v>193</v>
      </c>
      <c r="AC483" s="48" t="s">
        <v>1194</v>
      </c>
      <c r="AD483" s="48" t="s">
        <v>1244</v>
      </c>
      <c r="AE483" s="48" t="s">
        <v>36</v>
      </c>
    </row>
    <row r="484" spans="1:31" x14ac:dyDescent="0.3">
      <c r="A484" s="48" t="s">
        <v>1320</v>
      </c>
      <c r="B484" s="48" t="s">
        <v>6</v>
      </c>
      <c r="C484" s="48" t="s">
        <v>1322</v>
      </c>
      <c r="D484" s="48" t="s">
        <v>1405</v>
      </c>
      <c r="E484" s="50">
        <v>45961</v>
      </c>
      <c r="F484" s="49" t="s">
        <v>1321</v>
      </c>
      <c r="G484" s="48" t="s">
        <v>36</v>
      </c>
      <c r="H484" s="48" t="s">
        <v>1443</v>
      </c>
      <c r="I484" s="51">
        <v>0</v>
      </c>
      <c r="J484" s="51"/>
      <c r="K484" s="51"/>
      <c r="L484" s="48" t="s">
        <v>1194</v>
      </c>
      <c r="M484" s="48" t="s">
        <v>1438</v>
      </c>
      <c r="N484" s="48" t="s">
        <v>1439</v>
      </c>
      <c r="O484" s="49" t="s">
        <v>1442</v>
      </c>
      <c r="P484" s="48" t="s">
        <v>38</v>
      </c>
      <c r="Q484" s="48" t="s">
        <v>37</v>
      </c>
      <c r="R484" s="48" t="s">
        <v>1436</v>
      </c>
      <c r="S484" s="48" t="s">
        <v>1436</v>
      </c>
      <c r="T484" s="48" t="s">
        <v>1436</v>
      </c>
      <c r="U484" s="48" t="s">
        <v>38</v>
      </c>
      <c r="V484" s="48" t="s">
        <v>39</v>
      </c>
      <c r="W484" s="48" t="s">
        <v>1194</v>
      </c>
      <c r="X484" s="48" t="s">
        <v>41</v>
      </c>
      <c r="Y484" s="48" t="s">
        <v>1436</v>
      </c>
      <c r="Z484" s="48" t="s">
        <v>1436</v>
      </c>
      <c r="AA484" s="48" t="s">
        <v>1436</v>
      </c>
      <c r="AB484" s="49" t="s">
        <v>193</v>
      </c>
      <c r="AC484" s="48" t="s">
        <v>1194</v>
      </c>
      <c r="AD484" s="48" t="s">
        <v>1244</v>
      </c>
      <c r="AE484" s="48" t="s">
        <v>36</v>
      </c>
    </row>
    <row r="485" spans="1:31" x14ac:dyDescent="0.3">
      <c r="A485" s="48" t="s">
        <v>1320</v>
      </c>
      <c r="B485" s="48" t="s">
        <v>6</v>
      </c>
      <c r="C485" s="48" t="s">
        <v>1322</v>
      </c>
      <c r="D485" s="48" t="s">
        <v>1404</v>
      </c>
      <c r="E485" s="50">
        <v>45961</v>
      </c>
      <c r="F485" s="49" t="s">
        <v>1321</v>
      </c>
      <c r="G485" s="48" t="s">
        <v>36</v>
      </c>
      <c r="H485" s="48" t="s">
        <v>49</v>
      </c>
      <c r="I485" s="51">
        <v>-3910.1104220000002</v>
      </c>
      <c r="J485" s="51"/>
      <c r="K485" s="51"/>
      <c r="L485" s="48" t="s">
        <v>38</v>
      </c>
      <c r="M485" s="48" t="s">
        <v>1433</v>
      </c>
      <c r="N485" s="48" t="s">
        <v>1447</v>
      </c>
      <c r="O485" s="49" t="s">
        <v>1451</v>
      </c>
      <c r="P485" s="48" t="s">
        <v>38</v>
      </c>
      <c r="Q485" s="48" t="s">
        <v>37</v>
      </c>
      <c r="R485" s="48" t="s">
        <v>1436</v>
      </c>
      <c r="S485" s="48" t="s">
        <v>1436</v>
      </c>
      <c r="T485" s="48" t="s">
        <v>1436</v>
      </c>
      <c r="U485" s="48" t="s">
        <v>38</v>
      </c>
      <c r="V485" s="48" t="s">
        <v>39</v>
      </c>
      <c r="W485" s="48" t="s">
        <v>38</v>
      </c>
      <c r="X485" s="48" t="s">
        <v>41</v>
      </c>
      <c r="Y485" s="48" t="s">
        <v>1436</v>
      </c>
      <c r="Z485" s="48" t="s">
        <v>1436</v>
      </c>
      <c r="AA485" s="48" t="s">
        <v>1436</v>
      </c>
      <c r="AB485" s="49" t="s">
        <v>193</v>
      </c>
      <c r="AC485" s="48" t="s">
        <v>1194</v>
      </c>
      <c r="AD485" s="48" t="s">
        <v>1244</v>
      </c>
      <c r="AE485" s="48" t="s">
        <v>36</v>
      </c>
    </row>
    <row r="486" spans="1:31" x14ac:dyDescent="0.3">
      <c r="A486" s="48" t="s">
        <v>1320</v>
      </c>
      <c r="B486" s="48" t="s">
        <v>6</v>
      </c>
      <c r="C486" s="48" t="s">
        <v>1322</v>
      </c>
      <c r="D486" s="48" t="s">
        <v>1413</v>
      </c>
      <c r="E486" s="50">
        <v>45991</v>
      </c>
      <c r="F486" s="49" t="s">
        <v>1321</v>
      </c>
      <c r="G486" s="48" t="s">
        <v>36</v>
      </c>
      <c r="H486" s="48" t="s">
        <v>58</v>
      </c>
      <c r="I486" s="51">
        <v>-2350000</v>
      </c>
      <c r="J486" s="51"/>
      <c r="K486" s="51"/>
      <c r="L486" s="48" t="s">
        <v>40</v>
      </c>
      <c r="M486" s="48" t="s">
        <v>1433</v>
      </c>
      <c r="N486" s="48" t="s">
        <v>1447</v>
      </c>
      <c r="O486" s="49" t="s">
        <v>1448</v>
      </c>
      <c r="P486" s="48" t="s">
        <v>38</v>
      </c>
      <c r="Q486" s="48" t="s">
        <v>37</v>
      </c>
      <c r="R486" s="48" t="s">
        <v>1436</v>
      </c>
      <c r="S486" s="48" t="s">
        <v>1436</v>
      </c>
      <c r="T486" s="48" t="s">
        <v>1436</v>
      </c>
      <c r="U486" s="48" t="s">
        <v>38</v>
      </c>
      <c r="V486" s="48" t="s">
        <v>39</v>
      </c>
      <c r="W486" s="48" t="s">
        <v>40</v>
      </c>
      <c r="X486" s="48" t="s">
        <v>41</v>
      </c>
      <c r="Y486" s="48" t="s">
        <v>1436</v>
      </c>
      <c r="Z486" s="48" t="s">
        <v>1436</v>
      </c>
      <c r="AA486" s="48" t="s">
        <v>1436</v>
      </c>
      <c r="AB486" s="49" t="s">
        <v>193</v>
      </c>
      <c r="AC486" s="48" t="s">
        <v>1194</v>
      </c>
      <c r="AD486" s="48" t="s">
        <v>1244</v>
      </c>
      <c r="AE486" s="48" t="s">
        <v>36</v>
      </c>
    </row>
    <row r="487" spans="1:31" x14ac:dyDescent="0.3">
      <c r="A487" s="48" t="s">
        <v>1320</v>
      </c>
      <c r="B487" s="48" t="s">
        <v>6</v>
      </c>
      <c r="C487" s="48" t="s">
        <v>1322</v>
      </c>
      <c r="D487" s="48" t="s">
        <v>1412</v>
      </c>
      <c r="E487" s="50">
        <v>45991</v>
      </c>
      <c r="F487" s="49" t="s">
        <v>1321</v>
      </c>
      <c r="G487" s="48" t="s">
        <v>36</v>
      </c>
      <c r="H487" s="48" t="s">
        <v>52</v>
      </c>
      <c r="I487" s="51">
        <v>-1989533.05</v>
      </c>
      <c r="J487" s="51"/>
      <c r="K487" s="51"/>
      <c r="L487" s="48" t="s">
        <v>40</v>
      </c>
      <c r="M487" s="48" t="s">
        <v>1433</v>
      </c>
      <c r="N487" s="48" t="s">
        <v>1434</v>
      </c>
      <c r="O487" s="49" t="s">
        <v>1435</v>
      </c>
      <c r="P487" s="48" t="s">
        <v>38</v>
      </c>
      <c r="Q487" s="48" t="s">
        <v>37</v>
      </c>
      <c r="R487" s="48" t="s">
        <v>1436</v>
      </c>
      <c r="S487" s="48" t="s">
        <v>1436</v>
      </c>
      <c r="T487" s="48" t="s">
        <v>1436</v>
      </c>
      <c r="U487" s="48" t="s">
        <v>38</v>
      </c>
      <c r="V487" s="48" t="s">
        <v>39</v>
      </c>
      <c r="W487" s="48" t="s">
        <v>40</v>
      </c>
      <c r="X487" s="48" t="s">
        <v>41</v>
      </c>
      <c r="Y487" s="48" t="s">
        <v>1436</v>
      </c>
      <c r="Z487" s="48" t="s">
        <v>1436</v>
      </c>
      <c r="AA487" s="48" t="s">
        <v>1436</v>
      </c>
      <c r="AB487" s="49" t="s">
        <v>193</v>
      </c>
      <c r="AC487" s="48" t="s">
        <v>1194</v>
      </c>
      <c r="AD487" s="48" t="s">
        <v>1244</v>
      </c>
      <c r="AE487" s="48" t="s">
        <v>36</v>
      </c>
    </row>
    <row r="488" spans="1:31" x14ac:dyDescent="0.3">
      <c r="A488" s="48" t="s">
        <v>1320</v>
      </c>
      <c r="B488" s="48" t="s">
        <v>6</v>
      </c>
      <c r="C488" s="48" t="s">
        <v>1322</v>
      </c>
      <c r="D488" s="48" t="s">
        <v>1411</v>
      </c>
      <c r="E488" s="50">
        <v>45991</v>
      </c>
      <c r="F488" s="49" t="s">
        <v>1321</v>
      </c>
      <c r="G488" s="48" t="s">
        <v>36</v>
      </c>
      <c r="H488" s="48" t="s">
        <v>50</v>
      </c>
      <c r="I488" s="51">
        <v>465635.4</v>
      </c>
      <c r="J488" s="51"/>
      <c r="K488" s="51"/>
      <c r="L488" s="48" t="s">
        <v>40</v>
      </c>
      <c r="M488" s="48" t="s">
        <v>1438</v>
      </c>
      <c r="N488" s="48" t="s">
        <v>1444</v>
      </c>
      <c r="O488" s="49" t="s">
        <v>1445</v>
      </c>
      <c r="P488" s="48" t="s">
        <v>38</v>
      </c>
      <c r="Q488" s="48" t="s">
        <v>37</v>
      </c>
      <c r="R488" s="48" t="s">
        <v>1436</v>
      </c>
      <c r="S488" s="48" t="s">
        <v>1436</v>
      </c>
      <c r="T488" s="48" t="s">
        <v>1436</v>
      </c>
      <c r="U488" s="48" t="s">
        <v>38</v>
      </c>
      <c r="V488" s="48" t="s">
        <v>39</v>
      </c>
      <c r="W488" s="48" t="s">
        <v>40</v>
      </c>
      <c r="X488" s="48" t="s">
        <v>41</v>
      </c>
      <c r="Y488" s="48" t="s">
        <v>1436</v>
      </c>
      <c r="Z488" s="48" t="s">
        <v>1436</v>
      </c>
      <c r="AA488" s="48" t="s">
        <v>1436</v>
      </c>
      <c r="AB488" s="49" t="s">
        <v>193</v>
      </c>
      <c r="AC488" s="48" t="s">
        <v>1194</v>
      </c>
      <c r="AD488" s="48" t="s">
        <v>1244</v>
      </c>
      <c r="AE488" s="48" t="s">
        <v>36</v>
      </c>
    </row>
    <row r="489" spans="1:31" x14ac:dyDescent="0.3">
      <c r="A489" s="48" t="s">
        <v>1320</v>
      </c>
      <c r="B489" s="48" t="s">
        <v>6</v>
      </c>
      <c r="C489" s="48" t="s">
        <v>1322</v>
      </c>
      <c r="D489" s="48" t="s">
        <v>1410</v>
      </c>
      <c r="E489" s="50">
        <v>45991</v>
      </c>
      <c r="F489" s="49" t="s">
        <v>1321</v>
      </c>
      <c r="G489" s="48" t="s">
        <v>36</v>
      </c>
      <c r="H489" s="48" t="s">
        <v>42</v>
      </c>
      <c r="I489" s="51">
        <v>2539829.423163</v>
      </c>
      <c r="J489" s="51"/>
      <c r="K489" s="51"/>
      <c r="L489" s="48" t="s">
        <v>40</v>
      </c>
      <c r="M489" s="48" t="s">
        <v>1433</v>
      </c>
      <c r="N489" s="48" t="s">
        <v>1434</v>
      </c>
      <c r="O489" s="49" t="s">
        <v>1437</v>
      </c>
      <c r="P489" s="48" t="s">
        <v>38</v>
      </c>
      <c r="Q489" s="48" t="s">
        <v>37</v>
      </c>
      <c r="R489" s="48" t="s">
        <v>1436</v>
      </c>
      <c r="S489" s="48" t="s">
        <v>1436</v>
      </c>
      <c r="T489" s="48" t="s">
        <v>1436</v>
      </c>
      <c r="U489" s="48" t="s">
        <v>38</v>
      </c>
      <c r="V489" s="48" t="s">
        <v>39</v>
      </c>
      <c r="W489" s="48" t="s">
        <v>40</v>
      </c>
      <c r="X489" s="48" t="s">
        <v>41</v>
      </c>
      <c r="Y489" s="48" t="s">
        <v>1436</v>
      </c>
      <c r="Z489" s="48" t="s">
        <v>1436</v>
      </c>
      <c r="AA489" s="48" t="s">
        <v>1436</v>
      </c>
      <c r="AB489" s="49" t="s">
        <v>193</v>
      </c>
      <c r="AC489" s="48" t="s">
        <v>1194</v>
      </c>
      <c r="AD489" s="48" t="s">
        <v>1244</v>
      </c>
      <c r="AE489" s="48" t="s">
        <v>36</v>
      </c>
    </row>
    <row r="490" spans="1:31" x14ac:dyDescent="0.3">
      <c r="A490" s="48" t="s">
        <v>1320</v>
      </c>
      <c r="B490" s="48" t="s">
        <v>6</v>
      </c>
      <c r="C490" s="48" t="s">
        <v>1322</v>
      </c>
      <c r="D490" s="48" t="s">
        <v>1409</v>
      </c>
      <c r="E490" s="50">
        <v>45991</v>
      </c>
      <c r="F490" s="49" t="s">
        <v>1321</v>
      </c>
      <c r="G490" s="48" t="s">
        <v>36</v>
      </c>
      <c r="H490" s="48" t="s">
        <v>45</v>
      </c>
      <c r="I490" s="51">
        <v>-49710.024275999996</v>
      </c>
      <c r="J490" s="51"/>
      <c r="K490" s="51"/>
      <c r="L490" s="48" t="s">
        <v>40</v>
      </c>
      <c r="M490" s="48" t="s">
        <v>1433</v>
      </c>
      <c r="N490" s="48" t="s">
        <v>1447</v>
      </c>
      <c r="O490" s="49" t="s">
        <v>1449</v>
      </c>
      <c r="P490" s="48" t="s">
        <v>38</v>
      </c>
      <c r="Q490" s="48" t="s">
        <v>37</v>
      </c>
      <c r="R490" s="48" t="s">
        <v>1436</v>
      </c>
      <c r="S490" s="48" t="s">
        <v>1436</v>
      </c>
      <c r="T490" s="48" t="s">
        <v>1436</v>
      </c>
      <c r="U490" s="48" t="s">
        <v>38</v>
      </c>
      <c r="V490" s="48" t="s">
        <v>39</v>
      </c>
      <c r="W490" s="48" t="s">
        <v>40</v>
      </c>
      <c r="X490" s="48" t="s">
        <v>41</v>
      </c>
      <c r="Y490" s="48" t="s">
        <v>1436</v>
      </c>
      <c r="Z490" s="48" t="s">
        <v>1436</v>
      </c>
      <c r="AA490" s="48" t="s">
        <v>1436</v>
      </c>
      <c r="AB490" s="49" t="s">
        <v>193</v>
      </c>
      <c r="AC490" s="48" t="s">
        <v>1194</v>
      </c>
      <c r="AD490" s="48" t="s">
        <v>1244</v>
      </c>
      <c r="AE490" s="48" t="s">
        <v>36</v>
      </c>
    </row>
    <row r="491" spans="1:31" x14ac:dyDescent="0.3">
      <c r="A491" s="48" t="s">
        <v>1320</v>
      </c>
      <c r="B491" s="48" t="s">
        <v>6</v>
      </c>
      <c r="C491" s="48" t="s">
        <v>1322</v>
      </c>
      <c r="D491" s="48" t="s">
        <v>1408</v>
      </c>
      <c r="E491" s="50">
        <v>45991</v>
      </c>
      <c r="F491" s="49" t="s">
        <v>1321</v>
      </c>
      <c r="G491" s="48" t="s">
        <v>36</v>
      </c>
      <c r="H491" s="48" t="s">
        <v>54</v>
      </c>
      <c r="I491" s="51">
        <v>-574504.73</v>
      </c>
      <c r="J491" s="51"/>
      <c r="K491" s="51"/>
      <c r="L491" s="48" t="s">
        <v>40</v>
      </c>
      <c r="M491" s="48" t="s">
        <v>1433</v>
      </c>
      <c r="N491" s="48" t="s">
        <v>1447</v>
      </c>
      <c r="O491" s="49" t="s">
        <v>1450</v>
      </c>
      <c r="P491" s="48" t="s">
        <v>38</v>
      </c>
      <c r="Q491" s="48" t="s">
        <v>37</v>
      </c>
      <c r="R491" s="48" t="s">
        <v>1436</v>
      </c>
      <c r="S491" s="48" t="s">
        <v>1436</v>
      </c>
      <c r="T491" s="48" t="s">
        <v>1436</v>
      </c>
      <c r="U491" s="48" t="s">
        <v>38</v>
      </c>
      <c r="V491" s="48" t="s">
        <v>39</v>
      </c>
      <c r="W491" s="48" t="s">
        <v>40</v>
      </c>
      <c r="X491" s="48" t="s">
        <v>41</v>
      </c>
      <c r="Y491" s="48" t="s">
        <v>1436</v>
      </c>
      <c r="Z491" s="48" t="s">
        <v>1436</v>
      </c>
      <c r="AA491" s="48" t="s">
        <v>1436</v>
      </c>
      <c r="AB491" s="49" t="s">
        <v>193</v>
      </c>
      <c r="AC491" s="48" t="s">
        <v>1194</v>
      </c>
      <c r="AD491" s="48" t="s">
        <v>1244</v>
      </c>
      <c r="AE491" s="48" t="s">
        <v>36</v>
      </c>
    </row>
    <row r="492" spans="1:31" x14ac:dyDescent="0.3">
      <c r="A492" s="48" t="s">
        <v>1320</v>
      </c>
      <c r="B492" s="48" t="s">
        <v>6</v>
      </c>
      <c r="C492" s="48" t="s">
        <v>1322</v>
      </c>
      <c r="D492" s="48" t="s">
        <v>1407</v>
      </c>
      <c r="E492" s="50">
        <v>45991</v>
      </c>
      <c r="F492" s="49" t="s">
        <v>1321</v>
      </c>
      <c r="G492" s="48" t="s">
        <v>36</v>
      </c>
      <c r="H492" s="48" t="s">
        <v>47</v>
      </c>
      <c r="I492" s="51">
        <v>54586.638255999998</v>
      </c>
      <c r="J492" s="51"/>
      <c r="K492" s="51"/>
      <c r="L492" s="48" t="s">
        <v>40</v>
      </c>
      <c r="M492" s="48" t="s">
        <v>1438</v>
      </c>
      <c r="N492" s="48" t="s">
        <v>1444</v>
      </c>
      <c r="O492" s="49" t="s">
        <v>1446</v>
      </c>
      <c r="P492" s="48" t="s">
        <v>38</v>
      </c>
      <c r="Q492" s="48" t="s">
        <v>37</v>
      </c>
      <c r="R492" s="48" t="s">
        <v>1436</v>
      </c>
      <c r="S492" s="48" t="s">
        <v>1436</v>
      </c>
      <c r="T492" s="48" t="s">
        <v>1436</v>
      </c>
      <c r="U492" s="48" t="s">
        <v>38</v>
      </c>
      <c r="V492" s="48" t="s">
        <v>39</v>
      </c>
      <c r="W492" s="48" t="s">
        <v>40</v>
      </c>
      <c r="X492" s="48" t="s">
        <v>41</v>
      </c>
      <c r="Y492" s="48" t="s">
        <v>1436</v>
      </c>
      <c r="Z492" s="48" t="s">
        <v>1436</v>
      </c>
      <c r="AA492" s="48" t="s">
        <v>1436</v>
      </c>
      <c r="AB492" s="49" t="s">
        <v>193</v>
      </c>
      <c r="AC492" s="48" t="s">
        <v>1194</v>
      </c>
      <c r="AD492" s="48" t="s">
        <v>1244</v>
      </c>
      <c r="AE492" s="48" t="s">
        <v>36</v>
      </c>
    </row>
    <row r="493" spans="1:31" x14ac:dyDescent="0.3">
      <c r="A493" s="48" t="s">
        <v>1320</v>
      </c>
      <c r="B493" s="48" t="s">
        <v>6</v>
      </c>
      <c r="C493" s="48" t="s">
        <v>1322</v>
      </c>
      <c r="D493" s="48" t="s">
        <v>1406</v>
      </c>
      <c r="E493" s="50">
        <v>45991</v>
      </c>
      <c r="F493" s="49" t="s">
        <v>1321</v>
      </c>
      <c r="G493" s="48" t="s">
        <v>36</v>
      </c>
      <c r="H493" s="48" t="s">
        <v>1441</v>
      </c>
      <c r="I493" s="51">
        <v>0</v>
      </c>
      <c r="J493" s="51"/>
      <c r="K493" s="51"/>
      <c r="L493" s="48" t="s">
        <v>1194</v>
      </c>
      <c r="M493" s="48" t="s">
        <v>1438</v>
      </c>
      <c r="N493" s="48" t="s">
        <v>1439</v>
      </c>
      <c r="O493" s="49" t="s">
        <v>1440</v>
      </c>
      <c r="P493" s="48" t="s">
        <v>38</v>
      </c>
      <c r="Q493" s="48" t="s">
        <v>37</v>
      </c>
      <c r="R493" s="48" t="s">
        <v>1436</v>
      </c>
      <c r="S493" s="48" t="s">
        <v>1436</v>
      </c>
      <c r="T493" s="48" t="s">
        <v>1436</v>
      </c>
      <c r="U493" s="48" t="s">
        <v>38</v>
      </c>
      <c r="V493" s="48" t="s">
        <v>39</v>
      </c>
      <c r="W493" s="48" t="s">
        <v>1194</v>
      </c>
      <c r="X493" s="48" t="s">
        <v>41</v>
      </c>
      <c r="Y493" s="48" t="s">
        <v>1436</v>
      </c>
      <c r="Z493" s="48" t="s">
        <v>1436</v>
      </c>
      <c r="AA493" s="48" t="s">
        <v>1436</v>
      </c>
      <c r="AB493" s="49" t="s">
        <v>193</v>
      </c>
      <c r="AC493" s="48" t="s">
        <v>1194</v>
      </c>
      <c r="AD493" s="48" t="s">
        <v>1244</v>
      </c>
      <c r="AE493" s="48" t="s">
        <v>36</v>
      </c>
    </row>
    <row r="494" spans="1:31" x14ac:dyDescent="0.3">
      <c r="A494" s="48" t="s">
        <v>1320</v>
      </c>
      <c r="B494" s="48" t="s">
        <v>6</v>
      </c>
      <c r="C494" s="48" t="s">
        <v>1322</v>
      </c>
      <c r="D494" s="48" t="s">
        <v>1405</v>
      </c>
      <c r="E494" s="50">
        <v>45991</v>
      </c>
      <c r="F494" s="49" t="s">
        <v>1321</v>
      </c>
      <c r="G494" s="48" t="s">
        <v>36</v>
      </c>
      <c r="H494" s="48" t="s">
        <v>1443</v>
      </c>
      <c r="I494" s="51">
        <v>0</v>
      </c>
      <c r="J494" s="51"/>
      <c r="K494" s="51"/>
      <c r="L494" s="48" t="s">
        <v>1194</v>
      </c>
      <c r="M494" s="48" t="s">
        <v>1438</v>
      </c>
      <c r="N494" s="48" t="s">
        <v>1439</v>
      </c>
      <c r="O494" s="49" t="s">
        <v>1442</v>
      </c>
      <c r="P494" s="48" t="s">
        <v>38</v>
      </c>
      <c r="Q494" s="48" t="s">
        <v>37</v>
      </c>
      <c r="R494" s="48" t="s">
        <v>1436</v>
      </c>
      <c r="S494" s="48" t="s">
        <v>1436</v>
      </c>
      <c r="T494" s="48" t="s">
        <v>1436</v>
      </c>
      <c r="U494" s="48" t="s">
        <v>38</v>
      </c>
      <c r="V494" s="48" t="s">
        <v>39</v>
      </c>
      <c r="W494" s="48" t="s">
        <v>1194</v>
      </c>
      <c r="X494" s="48" t="s">
        <v>41</v>
      </c>
      <c r="Y494" s="48" t="s">
        <v>1436</v>
      </c>
      <c r="Z494" s="48" t="s">
        <v>1436</v>
      </c>
      <c r="AA494" s="48" t="s">
        <v>1436</v>
      </c>
      <c r="AB494" s="49" t="s">
        <v>193</v>
      </c>
      <c r="AC494" s="48" t="s">
        <v>1194</v>
      </c>
      <c r="AD494" s="48" t="s">
        <v>1244</v>
      </c>
      <c r="AE494" s="48" t="s">
        <v>36</v>
      </c>
    </row>
    <row r="495" spans="1:31" x14ac:dyDescent="0.3">
      <c r="A495" s="48" t="s">
        <v>1320</v>
      </c>
      <c r="B495" s="48" t="s">
        <v>6</v>
      </c>
      <c r="C495" s="48" t="s">
        <v>1322</v>
      </c>
      <c r="D495" s="48" t="s">
        <v>1404</v>
      </c>
      <c r="E495" s="50">
        <v>45991</v>
      </c>
      <c r="F495" s="49" t="s">
        <v>1321</v>
      </c>
      <c r="G495" s="48" t="s">
        <v>36</v>
      </c>
      <c r="H495" s="48" t="s">
        <v>49</v>
      </c>
      <c r="I495" s="51">
        <v>-3641.2527329999998</v>
      </c>
      <c r="J495" s="51"/>
      <c r="K495" s="51"/>
      <c r="L495" s="48" t="s">
        <v>38</v>
      </c>
      <c r="M495" s="48" t="s">
        <v>1433</v>
      </c>
      <c r="N495" s="48" t="s">
        <v>1447</v>
      </c>
      <c r="O495" s="49" t="s">
        <v>1451</v>
      </c>
      <c r="P495" s="48" t="s">
        <v>38</v>
      </c>
      <c r="Q495" s="48" t="s">
        <v>37</v>
      </c>
      <c r="R495" s="48" t="s">
        <v>1436</v>
      </c>
      <c r="S495" s="48" t="s">
        <v>1436</v>
      </c>
      <c r="T495" s="48" t="s">
        <v>1436</v>
      </c>
      <c r="U495" s="48" t="s">
        <v>38</v>
      </c>
      <c r="V495" s="48" t="s">
        <v>39</v>
      </c>
      <c r="W495" s="48" t="s">
        <v>38</v>
      </c>
      <c r="X495" s="48" t="s">
        <v>41</v>
      </c>
      <c r="Y495" s="48" t="s">
        <v>1436</v>
      </c>
      <c r="Z495" s="48" t="s">
        <v>1436</v>
      </c>
      <c r="AA495" s="48" t="s">
        <v>1436</v>
      </c>
      <c r="AB495" s="49" t="s">
        <v>193</v>
      </c>
      <c r="AC495" s="48" t="s">
        <v>1194</v>
      </c>
      <c r="AD495" s="48" t="s">
        <v>1244</v>
      </c>
      <c r="AE495" s="48" t="s">
        <v>36</v>
      </c>
    </row>
    <row r="496" spans="1:31" x14ac:dyDescent="0.3">
      <c r="A496" s="48" t="s">
        <v>1320</v>
      </c>
      <c r="B496" s="48" t="s">
        <v>6</v>
      </c>
      <c r="C496" s="48" t="s">
        <v>1322</v>
      </c>
      <c r="D496" s="48" t="s">
        <v>1413</v>
      </c>
      <c r="E496" s="50">
        <v>46022</v>
      </c>
      <c r="F496" s="49" t="s">
        <v>1321</v>
      </c>
      <c r="G496" s="48" t="s">
        <v>36</v>
      </c>
      <c r="H496" s="48" t="s">
        <v>58</v>
      </c>
      <c r="I496" s="51">
        <v>-2400000</v>
      </c>
      <c r="J496" s="51"/>
      <c r="K496" s="51"/>
      <c r="L496" s="48" t="s">
        <v>40</v>
      </c>
      <c r="M496" s="48" t="s">
        <v>1433</v>
      </c>
      <c r="N496" s="48" t="s">
        <v>1447</v>
      </c>
      <c r="O496" s="49" t="s">
        <v>1448</v>
      </c>
      <c r="P496" s="48" t="s">
        <v>38</v>
      </c>
      <c r="Q496" s="48" t="s">
        <v>37</v>
      </c>
      <c r="R496" s="48" t="s">
        <v>1436</v>
      </c>
      <c r="S496" s="48" t="s">
        <v>1436</v>
      </c>
      <c r="T496" s="48" t="s">
        <v>1436</v>
      </c>
      <c r="U496" s="48" t="s">
        <v>38</v>
      </c>
      <c r="V496" s="48" t="s">
        <v>39</v>
      </c>
      <c r="W496" s="48" t="s">
        <v>40</v>
      </c>
      <c r="X496" s="48" t="s">
        <v>41</v>
      </c>
      <c r="Y496" s="48" t="s">
        <v>1436</v>
      </c>
      <c r="Z496" s="48" t="s">
        <v>1436</v>
      </c>
      <c r="AA496" s="48" t="s">
        <v>1436</v>
      </c>
      <c r="AB496" s="49" t="s">
        <v>193</v>
      </c>
      <c r="AC496" s="48" t="s">
        <v>1194</v>
      </c>
      <c r="AD496" s="48" t="s">
        <v>1244</v>
      </c>
      <c r="AE496" s="48" t="s">
        <v>36</v>
      </c>
    </row>
    <row r="497" spans="1:31" x14ac:dyDescent="0.3">
      <c r="A497" s="48" t="s">
        <v>1320</v>
      </c>
      <c r="B497" s="48" t="s">
        <v>6</v>
      </c>
      <c r="C497" s="48" t="s">
        <v>1322</v>
      </c>
      <c r="D497" s="48" t="s">
        <v>1412</v>
      </c>
      <c r="E497" s="50">
        <v>46022</v>
      </c>
      <c r="F497" s="49" t="s">
        <v>1321</v>
      </c>
      <c r="G497" s="48" t="s">
        <v>36</v>
      </c>
      <c r="H497" s="48" t="s">
        <v>52</v>
      </c>
      <c r="I497" s="51">
        <v>-2031863.54</v>
      </c>
      <c r="J497" s="51"/>
      <c r="K497" s="51"/>
      <c r="L497" s="48" t="s">
        <v>40</v>
      </c>
      <c r="M497" s="48" t="s">
        <v>1433</v>
      </c>
      <c r="N497" s="48" t="s">
        <v>1434</v>
      </c>
      <c r="O497" s="49" t="s">
        <v>1435</v>
      </c>
      <c r="P497" s="48" t="s">
        <v>38</v>
      </c>
      <c r="Q497" s="48" t="s">
        <v>37</v>
      </c>
      <c r="R497" s="48" t="s">
        <v>1436</v>
      </c>
      <c r="S497" s="48" t="s">
        <v>1436</v>
      </c>
      <c r="T497" s="48" t="s">
        <v>1436</v>
      </c>
      <c r="U497" s="48" t="s">
        <v>38</v>
      </c>
      <c r="V497" s="48" t="s">
        <v>39</v>
      </c>
      <c r="W497" s="48" t="s">
        <v>40</v>
      </c>
      <c r="X497" s="48" t="s">
        <v>41</v>
      </c>
      <c r="Y497" s="48" t="s">
        <v>1436</v>
      </c>
      <c r="Z497" s="48" t="s">
        <v>1436</v>
      </c>
      <c r="AA497" s="48" t="s">
        <v>1436</v>
      </c>
      <c r="AB497" s="49" t="s">
        <v>193</v>
      </c>
      <c r="AC497" s="48" t="s">
        <v>1194</v>
      </c>
      <c r="AD497" s="48" t="s">
        <v>1244</v>
      </c>
      <c r="AE497" s="48" t="s">
        <v>36</v>
      </c>
    </row>
    <row r="498" spans="1:31" x14ac:dyDescent="0.3">
      <c r="A498" s="48" t="s">
        <v>1320</v>
      </c>
      <c r="B498" s="48" t="s">
        <v>6</v>
      </c>
      <c r="C498" s="48" t="s">
        <v>1322</v>
      </c>
      <c r="D498" s="48" t="s">
        <v>1411</v>
      </c>
      <c r="E498" s="50">
        <v>46022</v>
      </c>
      <c r="F498" s="49" t="s">
        <v>1321</v>
      </c>
      <c r="G498" s="48" t="s">
        <v>36</v>
      </c>
      <c r="H498" s="48" t="s">
        <v>50</v>
      </c>
      <c r="I498" s="51">
        <v>507965.89</v>
      </c>
      <c r="J498" s="51"/>
      <c r="K498" s="51"/>
      <c r="L498" s="48" t="s">
        <v>40</v>
      </c>
      <c r="M498" s="48" t="s">
        <v>1438</v>
      </c>
      <c r="N498" s="48" t="s">
        <v>1444</v>
      </c>
      <c r="O498" s="49" t="s">
        <v>1445</v>
      </c>
      <c r="P498" s="48" t="s">
        <v>38</v>
      </c>
      <c r="Q498" s="48" t="s">
        <v>37</v>
      </c>
      <c r="R498" s="48" t="s">
        <v>1436</v>
      </c>
      <c r="S498" s="48" t="s">
        <v>1436</v>
      </c>
      <c r="T498" s="48" t="s">
        <v>1436</v>
      </c>
      <c r="U498" s="48" t="s">
        <v>38</v>
      </c>
      <c r="V498" s="48" t="s">
        <v>39</v>
      </c>
      <c r="W498" s="48" t="s">
        <v>40</v>
      </c>
      <c r="X498" s="48" t="s">
        <v>41</v>
      </c>
      <c r="Y498" s="48" t="s">
        <v>1436</v>
      </c>
      <c r="Z498" s="48" t="s">
        <v>1436</v>
      </c>
      <c r="AA498" s="48" t="s">
        <v>1436</v>
      </c>
      <c r="AB498" s="49" t="s">
        <v>193</v>
      </c>
      <c r="AC498" s="48" t="s">
        <v>1194</v>
      </c>
      <c r="AD498" s="48" t="s">
        <v>1244</v>
      </c>
      <c r="AE498" s="48" t="s">
        <v>36</v>
      </c>
    </row>
    <row r="499" spans="1:31" x14ac:dyDescent="0.3">
      <c r="A499" s="48" t="s">
        <v>1320</v>
      </c>
      <c r="B499" s="48" t="s">
        <v>6</v>
      </c>
      <c r="C499" s="48" t="s">
        <v>1322</v>
      </c>
      <c r="D499" s="48" t="s">
        <v>1410</v>
      </c>
      <c r="E499" s="50">
        <v>46022</v>
      </c>
      <c r="F499" s="49" t="s">
        <v>1321</v>
      </c>
      <c r="G499" s="48" t="s">
        <v>36</v>
      </c>
      <c r="H499" s="48" t="s">
        <v>42</v>
      </c>
      <c r="I499" s="51">
        <v>2539829.423163</v>
      </c>
      <c r="J499" s="51"/>
      <c r="K499" s="51"/>
      <c r="L499" s="48" t="s">
        <v>40</v>
      </c>
      <c r="M499" s="48" t="s">
        <v>1433</v>
      </c>
      <c r="N499" s="48" t="s">
        <v>1434</v>
      </c>
      <c r="O499" s="49" t="s">
        <v>1437</v>
      </c>
      <c r="P499" s="48" t="s">
        <v>38</v>
      </c>
      <c r="Q499" s="48" t="s">
        <v>37</v>
      </c>
      <c r="R499" s="48" t="s">
        <v>1436</v>
      </c>
      <c r="S499" s="48" t="s">
        <v>1436</v>
      </c>
      <c r="T499" s="48" t="s">
        <v>1436</v>
      </c>
      <c r="U499" s="48" t="s">
        <v>38</v>
      </c>
      <c r="V499" s="48" t="s">
        <v>39</v>
      </c>
      <c r="W499" s="48" t="s">
        <v>40</v>
      </c>
      <c r="X499" s="48" t="s">
        <v>41</v>
      </c>
      <c r="Y499" s="48" t="s">
        <v>1436</v>
      </c>
      <c r="Z499" s="48" t="s">
        <v>1436</v>
      </c>
      <c r="AA499" s="48" t="s">
        <v>1436</v>
      </c>
      <c r="AB499" s="49" t="s">
        <v>193</v>
      </c>
      <c r="AC499" s="48" t="s">
        <v>1194</v>
      </c>
      <c r="AD499" s="48" t="s">
        <v>1244</v>
      </c>
      <c r="AE499" s="48" t="s">
        <v>36</v>
      </c>
    </row>
    <row r="500" spans="1:31" x14ac:dyDescent="0.3">
      <c r="A500" s="48" t="s">
        <v>1320</v>
      </c>
      <c r="B500" s="48" t="s">
        <v>6</v>
      </c>
      <c r="C500" s="48" t="s">
        <v>1322</v>
      </c>
      <c r="D500" s="48" t="s">
        <v>1409</v>
      </c>
      <c r="E500" s="50">
        <v>46022</v>
      </c>
      <c r="F500" s="49" t="s">
        <v>1321</v>
      </c>
      <c r="G500" s="48" t="s">
        <v>36</v>
      </c>
      <c r="H500" s="48" t="s">
        <v>45</v>
      </c>
      <c r="I500" s="51">
        <v>2.9910000000000002E-3</v>
      </c>
      <c r="J500" s="51"/>
      <c r="K500" s="51"/>
      <c r="L500" s="48" t="s">
        <v>40</v>
      </c>
      <c r="M500" s="48" t="s">
        <v>1433</v>
      </c>
      <c r="N500" s="48" t="s">
        <v>1447</v>
      </c>
      <c r="O500" s="49" t="s">
        <v>1449</v>
      </c>
      <c r="P500" s="48" t="s">
        <v>38</v>
      </c>
      <c r="Q500" s="48" t="s">
        <v>37</v>
      </c>
      <c r="R500" s="48" t="s">
        <v>1436</v>
      </c>
      <c r="S500" s="48" t="s">
        <v>1436</v>
      </c>
      <c r="T500" s="48" t="s">
        <v>1436</v>
      </c>
      <c r="U500" s="48" t="s">
        <v>38</v>
      </c>
      <c r="V500" s="48" t="s">
        <v>39</v>
      </c>
      <c r="W500" s="48" t="s">
        <v>40</v>
      </c>
      <c r="X500" s="48" t="s">
        <v>41</v>
      </c>
      <c r="Y500" s="48" t="s">
        <v>1436</v>
      </c>
      <c r="Z500" s="48" t="s">
        <v>1436</v>
      </c>
      <c r="AA500" s="48" t="s">
        <v>1436</v>
      </c>
      <c r="AB500" s="49" t="s">
        <v>193</v>
      </c>
      <c r="AC500" s="48" t="s">
        <v>1194</v>
      </c>
      <c r="AD500" s="48" t="s">
        <v>1244</v>
      </c>
      <c r="AE500" s="48" t="s">
        <v>36</v>
      </c>
    </row>
    <row r="501" spans="1:31" x14ac:dyDescent="0.3">
      <c r="A501" s="48" t="s">
        <v>1320</v>
      </c>
      <c r="B501" s="48" t="s">
        <v>6</v>
      </c>
      <c r="C501" s="48" t="s">
        <v>1322</v>
      </c>
      <c r="D501" s="48" t="s">
        <v>1408</v>
      </c>
      <c r="E501" s="50">
        <v>46022</v>
      </c>
      <c r="F501" s="49" t="s">
        <v>1321</v>
      </c>
      <c r="G501" s="48" t="s">
        <v>36</v>
      </c>
      <c r="H501" s="48" t="s">
        <v>54</v>
      </c>
      <c r="I501" s="51">
        <v>-577856.01</v>
      </c>
      <c r="J501" s="51"/>
      <c r="K501" s="51"/>
      <c r="L501" s="48" t="s">
        <v>40</v>
      </c>
      <c r="M501" s="48" t="s">
        <v>1433</v>
      </c>
      <c r="N501" s="48" t="s">
        <v>1447</v>
      </c>
      <c r="O501" s="49" t="s">
        <v>1450</v>
      </c>
      <c r="P501" s="48" t="s">
        <v>38</v>
      </c>
      <c r="Q501" s="48" t="s">
        <v>37</v>
      </c>
      <c r="R501" s="48" t="s">
        <v>1436</v>
      </c>
      <c r="S501" s="48" t="s">
        <v>1436</v>
      </c>
      <c r="T501" s="48" t="s">
        <v>1436</v>
      </c>
      <c r="U501" s="48" t="s">
        <v>38</v>
      </c>
      <c r="V501" s="48" t="s">
        <v>39</v>
      </c>
      <c r="W501" s="48" t="s">
        <v>40</v>
      </c>
      <c r="X501" s="48" t="s">
        <v>41</v>
      </c>
      <c r="Y501" s="48" t="s">
        <v>1436</v>
      </c>
      <c r="Z501" s="48" t="s">
        <v>1436</v>
      </c>
      <c r="AA501" s="48" t="s">
        <v>1436</v>
      </c>
      <c r="AB501" s="49" t="s">
        <v>193</v>
      </c>
      <c r="AC501" s="48" t="s">
        <v>1194</v>
      </c>
      <c r="AD501" s="48" t="s">
        <v>1244</v>
      </c>
      <c r="AE501" s="48" t="s">
        <v>36</v>
      </c>
    </row>
    <row r="502" spans="1:31" x14ac:dyDescent="0.3">
      <c r="A502" s="48" t="s">
        <v>1320</v>
      </c>
      <c r="B502" s="48" t="s">
        <v>6</v>
      </c>
      <c r="C502" s="48" t="s">
        <v>1322</v>
      </c>
      <c r="D502" s="48" t="s">
        <v>1407</v>
      </c>
      <c r="E502" s="50">
        <v>46022</v>
      </c>
      <c r="F502" s="49" t="s">
        <v>1321</v>
      </c>
      <c r="G502" s="48" t="s">
        <v>36</v>
      </c>
      <c r="H502" s="48" t="s">
        <v>47</v>
      </c>
      <c r="I502" s="51">
        <v>57957.464963999999</v>
      </c>
      <c r="J502" s="51"/>
      <c r="K502" s="51"/>
      <c r="L502" s="48" t="s">
        <v>40</v>
      </c>
      <c r="M502" s="48" t="s">
        <v>1438</v>
      </c>
      <c r="N502" s="48" t="s">
        <v>1444</v>
      </c>
      <c r="O502" s="49" t="s">
        <v>1446</v>
      </c>
      <c r="P502" s="48" t="s">
        <v>38</v>
      </c>
      <c r="Q502" s="48" t="s">
        <v>37</v>
      </c>
      <c r="R502" s="48" t="s">
        <v>1436</v>
      </c>
      <c r="S502" s="48" t="s">
        <v>1436</v>
      </c>
      <c r="T502" s="48" t="s">
        <v>1436</v>
      </c>
      <c r="U502" s="48" t="s">
        <v>38</v>
      </c>
      <c r="V502" s="48" t="s">
        <v>39</v>
      </c>
      <c r="W502" s="48" t="s">
        <v>40</v>
      </c>
      <c r="X502" s="48" t="s">
        <v>41</v>
      </c>
      <c r="Y502" s="48" t="s">
        <v>1436</v>
      </c>
      <c r="Z502" s="48" t="s">
        <v>1436</v>
      </c>
      <c r="AA502" s="48" t="s">
        <v>1436</v>
      </c>
      <c r="AB502" s="49" t="s">
        <v>193</v>
      </c>
      <c r="AC502" s="48" t="s">
        <v>1194</v>
      </c>
      <c r="AD502" s="48" t="s">
        <v>1244</v>
      </c>
      <c r="AE502" s="48" t="s">
        <v>36</v>
      </c>
    </row>
    <row r="503" spans="1:31" x14ac:dyDescent="0.3">
      <c r="A503" s="48" t="s">
        <v>1320</v>
      </c>
      <c r="B503" s="48" t="s">
        <v>6</v>
      </c>
      <c r="C503" s="48" t="s">
        <v>1322</v>
      </c>
      <c r="D503" s="48" t="s">
        <v>1406</v>
      </c>
      <c r="E503" s="50">
        <v>46022</v>
      </c>
      <c r="F503" s="49" t="s">
        <v>1321</v>
      </c>
      <c r="G503" s="48" t="s">
        <v>36</v>
      </c>
      <c r="H503" s="48" t="s">
        <v>1441</v>
      </c>
      <c r="I503" s="51">
        <v>0</v>
      </c>
      <c r="J503" s="51"/>
      <c r="K503" s="51"/>
      <c r="L503" s="48" t="s">
        <v>1194</v>
      </c>
      <c r="M503" s="48" t="s">
        <v>1438</v>
      </c>
      <c r="N503" s="48" t="s">
        <v>1439</v>
      </c>
      <c r="O503" s="49" t="s">
        <v>1440</v>
      </c>
      <c r="P503" s="48" t="s">
        <v>38</v>
      </c>
      <c r="Q503" s="48" t="s">
        <v>37</v>
      </c>
      <c r="R503" s="48" t="s">
        <v>1436</v>
      </c>
      <c r="S503" s="48" t="s">
        <v>1436</v>
      </c>
      <c r="T503" s="48" t="s">
        <v>1436</v>
      </c>
      <c r="U503" s="48" t="s">
        <v>38</v>
      </c>
      <c r="V503" s="48" t="s">
        <v>39</v>
      </c>
      <c r="W503" s="48" t="s">
        <v>1194</v>
      </c>
      <c r="X503" s="48" t="s">
        <v>41</v>
      </c>
      <c r="Y503" s="48" t="s">
        <v>1436</v>
      </c>
      <c r="Z503" s="48" t="s">
        <v>1436</v>
      </c>
      <c r="AA503" s="48" t="s">
        <v>1436</v>
      </c>
      <c r="AB503" s="49" t="s">
        <v>193</v>
      </c>
      <c r="AC503" s="48" t="s">
        <v>1194</v>
      </c>
      <c r="AD503" s="48" t="s">
        <v>1244</v>
      </c>
      <c r="AE503" s="48" t="s">
        <v>36</v>
      </c>
    </row>
    <row r="504" spans="1:31" x14ac:dyDescent="0.3">
      <c r="A504" s="48" t="s">
        <v>1320</v>
      </c>
      <c r="B504" s="48" t="s">
        <v>6</v>
      </c>
      <c r="C504" s="48" t="s">
        <v>1322</v>
      </c>
      <c r="D504" s="48" t="s">
        <v>1405</v>
      </c>
      <c r="E504" s="50">
        <v>46022</v>
      </c>
      <c r="F504" s="49" t="s">
        <v>1321</v>
      </c>
      <c r="G504" s="48" t="s">
        <v>36</v>
      </c>
      <c r="H504" s="48" t="s">
        <v>1443</v>
      </c>
      <c r="I504" s="51">
        <v>0</v>
      </c>
      <c r="J504" s="51"/>
      <c r="K504" s="51"/>
      <c r="L504" s="48" t="s">
        <v>1194</v>
      </c>
      <c r="M504" s="48" t="s">
        <v>1438</v>
      </c>
      <c r="N504" s="48" t="s">
        <v>1439</v>
      </c>
      <c r="O504" s="49" t="s">
        <v>1442</v>
      </c>
      <c r="P504" s="48" t="s">
        <v>38</v>
      </c>
      <c r="Q504" s="48" t="s">
        <v>37</v>
      </c>
      <c r="R504" s="48" t="s">
        <v>1436</v>
      </c>
      <c r="S504" s="48" t="s">
        <v>1436</v>
      </c>
      <c r="T504" s="48" t="s">
        <v>1436</v>
      </c>
      <c r="U504" s="48" t="s">
        <v>38</v>
      </c>
      <c r="V504" s="48" t="s">
        <v>39</v>
      </c>
      <c r="W504" s="48" t="s">
        <v>1194</v>
      </c>
      <c r="X504" s="48" t="s">
        <v>41</v>
      </c>
      <c r="Y504" s="48" t="s">
        <v>1436</v>
      </c>
      <c r="Z504" s="48" t="s">
        <v>1436</v>
      </c>
      <c r="AA504" s="48" t="s">
        <v>1436</v>
      </c>
      <c r="AB504" s="49" t="s">
        <v>193</v>
      </c>
      <c r="AC504" s="48" t="s">
        <v>1194</v>
      </c>
      <c r="AD504" s="48" t="s">
        <v>1244</v>
      </c>
      <c r="AE504" s="48" t="s">
        <v>36</v>
      </c>
    </row>
    <row r="505" spans="1:31" x14ac:dyDescent="0.3">
      <c r="A505" s="48" t="s">
        <v>1320</v>
      </c>
      <c r="B505" s="48" t="s">
        <v>6</v>
      </c>
      <c r="C505" s="48" t="s">
        <v>1322</v>
      </c>
      <c r="D505" s="48" t="s">
        <v>1404</v>
      </c>
      <c r="E505" s="50">
        <v>46022</v>
      </c>
      <c r="F505" s="49" t="s">
        <v>1321</v>
      </c>
      <c r="G505" s="48" t="s">
        <v>36</v>
      </c>
      <c r="H505" s="48" t="s">
        <v>49</v>
      </c>
      <c r="I505" s="51">
        <v>-3370.8267080000001</v>
      </c>
      <c r="J505" s="51"/>
      <c r="K505" s="51"/>
      <c r="L505" s="48" t="s">
        <v>38</v>
      </c>
      <c r="M505" s="48" t="s">
        <v>1433</v>
      </c>
      <c r="N505" s="48" t="s">
        <v>1447</v>
      </c>
      <c r="O505" s="49" t="s">
        <v>1451</v>
      </c>
      <c r="P505" s="48" t="s">
        <v>38</v>
      </c>
      <c r="Q505" s="48" t="s">
        <v>37</v>
      </c>
      <c r="R505" s="48" t="s">
        <v>1436</v>
      </c>
      <c r="S505" s="48" t="s">
        <v>1436</v>
      </c>
      <c r="T505" s="48" t="s">
        <v>1436</v>
      </c>
      <c r="U505" s="48" t="s">
        <v>38</v>
      </c>
      <c r="V505" s="48" t="s">
        <v>39</v>
      </c>
      <c r="W505" s="48" t="s">
        <v>38</v>
      </c>
      <c r="X505" s="48" t="s">
        <v>41</v>
      </c>
      <c r="Y505" s="48" t="s">
        <v>1436</v>
      </c>
      <c r="Z505" s="48" t="s">
        <v>1436</v>
      </c>
      <c r="AA505" s="48" t="s">
        <v>1436</v>
      </c>
      <c r="AB505" s="49" t="s">
        <v>193</v>
      </c>
      <c r="AC505" s="48" t="s">
        <v>1194</v>
      </c>
      <c r="AD505" s="48" t="s">
        <v>1244</v>
      </c>
      <c r="AE505" s="48" t="s">
        <v>36</v>
      </c>
    </row>
    <row r="506" spans="1:31" x14ac:dyDescent="0.3">
      <c r="A506" s="48" t="s">
        <v>1320</v>
      </c>
      <c r="B506" s="48" t="s">
        <v>6</v>
      </c>
      <c r="C506" s="48" t="s">
        <v>1322</v>
      </c>
      <c r="D506" s="48" t="s">
        <v>1413</v>
      </c>
      <c r="E506" s="50">
        <v>46053</v>
      </c>
      <c r="F506" s="49" t="s">
        <v>1321</v>
      </c>
      <c r="G506" s="48" t="s">
        <v>36</v>
      </c>
      <c r="H506" s="48" t="s">
        <v>58</v>
      </c>
      <c r="I506" s="51">
        <v>-2450000</v>
      </c>
      <c r="J506" s="51"/>
      <c r="K506" s="51"/>
      <c r="L506" s="48" t="s">
        <v>40</v>
      </c>
      <c r="M506" s="48" t="s">
        <v>1433</v>
      </c>
      <c r="N506" s="48" t="s">
        <v>1447</v>
      </c>
      <c r="O506" s="49" t="s">
        <v>1448</v>
      </c>
      <c r="P506" s="48" t="s">
        <v>38</v>
      </c>
      <c r="Q506" s="48" t="s">
        <v>37</v>
      </c>
      <c r="R506" s="48" t="s">
        <v>1436</v>
      </c>
      <c r="S506" s="48" t="s">
        <v>1436</v>
      </c>
      <c r="T506" s="48" t="s">
        <v>1436</v>
      </c>
      <c r="U506" s="48" t="s">
        <v>38</v>
      </c>
      <c r="V506" s="48" t="s">
        <v>39</v>
      </c>
      <c r="W506" s="48" t="s">
        <v>40</v>
      </c>
      <c r="X506" s="48" t="s">
        <v>41</v>
      </c>
      <c r="Y506" s="48" t="s">
        <v>1436</v>
      </c>
      <c r="Z506" s="48" t="s">
        <v>1436</v>
      </c>
      <c r="AA506" s="48" t="s">
        <v>1436</v>
      </c>
      <c r="AB506" s="49" t="s">
        <v>193</v>
      </c>
      <c r="AC506" s="48" t="s">
        <v>1194</v>
      </c>
      <c r="AD506" s="48" t="s">
        <v>1244</v>
      </c>
      <c r="AE506" s="48" t="s">
        <v>36</v>
      </c>
    </row>
    <row r="507" spans="1:31" x14ac:dyDescent="0.3">
      <c r="A507" s="48" t="s">
        <v>1320</v>
      </c>
      <c r="B507" s="48" t="s">
        <v>6</v>
      </c>
      <c r="C507" s="48" t="s">
        <v>1322</v>
      </c>
      <c r="D507" s="48" t="s">
        <v>1412</v>
      </c>
      <c r="E507" s="50">
        <v>46053</v>
      </c>
      <c r="F507" s="49" t="s">
        <v>1321</v>
      </c>
      <c r="G507" s="48" t="s">
        <v>36</v>
      </c>
      <c r="H507" s="48" t="s">
        <v>52</v>
      </c>
      <c r="I507" s="51">
        <v>-2074194.03</v>
      </c>
      <c r="J507" s="51"/>
      <c r="K507" s="51"/>
      <c r="L507" s="48" t="s">
        <v>40</v>
      </c>
      <c r="M507" s="48" t="s">
        <v>1433</v>
      </c>
      <c r="N507" s="48" t="s">
        <v>1434</v>
      </c>
      <c r="O507" s="49" t="s">
        <v>1435</v>
      </c>
      <c r="P507" s="48" t="s">
        <v>38</v>
      </c>
      <c r="Q507" s="48" t="s">
        <v>37</v>
      </c>
      <c r="R507" s="48" t="s">
        <v>1436</v>
      </c>
      <c r="S507" s="48" t="s">
        <v>1436</v>
      </c>
      <c r="T507" s="48" t="s">
        <v>1436</v>
      </c>
      <c r="U507" s="48" t="s">
        <v>38</v>
      </c>
      <c r="V507" s="48" t="s">
        <v>39</v>
      </c>
      <c r="W507" s="48" t="s">
        <v>40</v>
      </c>
      <c r="X507" s="48" t="s">
        <v>41</v>
      </c>
      <c r="Y507" s="48" t="s">
        <v>1436</v>
      </c>
      <c r="Z507" s="48" t="s">
        <v>1436</v>
      </c>
      <c r="AA507" s="48" t="s">
        <v>1436</v>
      </c>
      <c r="AB507" s="49" t="s">
        <v>193</v>
      </c>
      <c r="AC507" s="48" t="s">
        <v>1194</v>
      </c>
      <c r="AD507" s="48" t="s">
        <v>1244</v>
      </c>
      <c r="AE507" s="48" t="s">
        <v>36</v>
      </c>
    </row>
    <row r="508" spans="1:31" x14ac:dyDescent="0.3">
      <c r="A508" s="48" t="s">
        <v>1320</v>
      </c>
      <c r="B508" s="48" t="s">
        <v>6</v>
      </c>
      <c r="C508" s="48" t="s">
        <v>1322</v>
      </c>
      <c r="D508" s="48" t="s">
        <v>1411</v>
      </c>
      <c r="E508" s="50">
        <v>46053</v>
      </c>
      <c r="F508" s="49" t="s">
        <v>1321</v>
      </c>
      <c r="G508" s="48" t="s">
        <v>36</v>
      </c>
      <c r="H508" s="48" t="s">
        <v>50</v>
      </c>
      <c r="I508" s="51">
        <v>42330.49</v>
      </c>
      <c r="J508" s="51"/>
      <c r="K508" s="51"/>
      <c r="L508" s="48" t="s">
        <v>40</v>
      </c>
      <c r="M508" s="48" t="s">
        <v>1438</v>
      </c>
      <c r="N508" s="48" t="s">
        <v>1444</v>
      </c>
      <c r="O508" s="49" t="s">
        <v>1445</v>
      </c>
      <c r="P508" s="48" t="s">
        <v>38</v>
      </c>
      <c r="Q508" s="48" t="s">
        <v>37</v>
      </c>
      <c r="R508" s="48" t="s">
        <v>1436</v>
      </c>
      <c r="S508" s="48" t="s">
        <v>1436</v>
      </c>
      <c r="T508" s="48" t="s">
        <v>1436</v>
      </c>
      <c r="U508" s="48" t="s">
        <v>38</v>
      </c>
      <c r="V508" s="48" t="s">
        <v>39</v>
      </c>
      <c r="W508" s="48" t="s">
        <v>40</v>
      </c>
      <c r="X508" s="48" t="s">
        <v>41</v>
      </c>
      <c r="Y508" s="48" t="s">
        <v>1436</v>
      </c>
      <c r="Z508" s="48" t="s">
        <v>1436</v>
      </c>
      <c r="AA508" s="48" t="s">
        <v>1436</v>
      </c>
      <c r="AB508" s="49" t="s">
        <v>193</v>
      </c>
      <c r="AC508" s="48" t="s">
        <v>1194</v>
      </c>
      <c r="AD508" s="48" t="s">
        <v>1244</v>
      </c>
      <c r="AE508" s="48" t="s">
        <v>36</v>
      </c>
    </row>
    <row r="509" spans="1:31" x14ac:dyDescent="0.3">
      <c r="A509" s="48" t="s">
        <v>1320</v>
      </c>
      <c r="B509" s="48" t="s">
        <v>6</v>
      </c>
      <c r="C509" s="48" t="s">
        <v>1322</v>
      </c>
      <c r="D509" s="48" t="s">
        <v>1410</v>
      </c>
      <c r="E509" s="50">
        <v>46053</v>
      </c>
      <c r="F509" s="49" t="s">
        <v>1321</v>
      </c>
      <c r="G509" s="48" t="s">
        <v>36</v>
      </c>
      <c r="H509" s="48" t="s">
        <v>42</v>
      </c>
      <c r="I509" s="51">
        <v>2539829.423163</v>
      </c>
      <c r="J509" s="51"/>
      <c r="K509" s="51"/>
      <c r="L509" s="48" t="s">
        <v>40</v>
      </c>
      <c r="M509" s="48" t="s">
        <v>1433</v>
      </c>
      <c r="N509" s="48" t="s">
        <v>1434</v>
      </c>
      <c r="O509" s="49" t="s">
        <v>1437</v>
      </c>
      <c r="P509" s="48" t="s">
        <v>38</v>
      </c>
      <c r="Q509" s="48" t="s">
        <v>37</v>
      </c>
      <c r="R509" s="48" t="s">
        <v>1436</v>
      </c>
      <c r="S509" s="48" t="s">
        <v>1436</v>
      </c>
      <c r="T509" s="48" t="s">
        <v>1436</v>
      </c>
      <c r="U509" s="48" t="s">
        <v>38</v>
      </c>
      <c r="V509" s="48" t="s">
        <v>39</v>
      </c>
      <c r="W509" s="48" t="s">
        <v>40</v>
      </c>
      <c r="X509" s="48" t="s">
        <v>41</v>
      </c>
      <c r="Y509" s="48" t="s">
        <v>1436</v>
      </c>
      <c r="Z509" s="48" t="s">
        <v>1436</v>
      </c>
      <c r="AA509" s="48" t="s">
        <v>1436</v>
      </c>
      <c r="AB509" s="49" t="s">
        <v>193</v>
      </c>
      <c r="AC509" s="48" t="s">
        <v>1194</v>
      </c>
      <c r="AD509" s="48" t="s">
        <v>1244</v>
      </c>
      <c r="AE509" s="48" t="s">
        <v>36</v>
      </c>
    </row>
    <row r="510" spans="1:31" x14ac:dyDescent="0.3">
      <c r="A510" s="48" t="s">
        <v>1320</v>
      </c>
      <c r="B510" s="48" t="s">
        <v>6</v>
      </c>
      <c r="C510" s="48" t="s">
        <v>1322</v>
      </c>
      <c r="D510" s="48" t="s">
        <v>1409</v>
      </c>
      <c r="E510" s="50">
        <v>46053</v>
      </c>
      <c r="F510" s="49" t="s">
        <v>1321</v>
      </c>
      <c r="G510" s="48" t="s">
        <v>36</v>
      </c>
      <c r="H510" s="48" t="s">
        <v>45</v>
      </c>
      <c r="I510" s="51">
        <v>1.9999999999999999E-6</v>
      </c>
      <c r="J510" s="51"/>
      <c r="K510" s="51"/>
      <c r="L510" s="48" t="s">
        <v>40</v>
      </c>
      <c r="M510" s="48" t="s">
        <v>1433</v>
      </c>
      <c r="N510" s="48" t="s">
        <v>1447</v>
      </c>
      <c r="O510" s="49" t="s">
        <v>1449</v>
      </c>
      <c r="P510" s="48" t="s">
        <v>38</v>
      </c>
      <c r="Q510" s="48" t="s">
        <v>37</v>
      </c>
      <c r="R510" s="48" t="s">
        <v>1436</v>
      </c>
      <c r="S510" s="48" t="s">
        <v>1436</v>
      </c>
      <c r="T510" s="48" t="s">
        <v>1436</v>
      </c>
      <c r="U510" s="48" t="s">
        <v>38</v>
      </c>
      <c r="V510" s="48" t="s">
        <v>39</v>
      </c>
      <c r="W510" s="48" t="s">
        <v>40</v>
      </c>
      <c r="X510" s="48" t="s">
        <v>41</v>
      </c>
      <c r="Y510" s="48" t="s">
        <v>1436</v>
      </c>
      <c r="Z510" s="48" t="s">
        <v>1436</v>
      </c>
      <c r="AA510" s="48" t="s">
        <v>1436</v>
      </c>
      <c r="AB510" s="49" t="s">
        <v>193</v>
      </c>
      <c r="AC510" s="48" t="s">
        <v>1194</v>
      </c>
      <c r="AD510" s="48" t="s">
        <v>1244</v>
      </c>
      <c r="AE510" s="48" t="s">
        <v>36</v>
      </c>
    </row>
    <row r="511" spans="1:31" x14ac:dyDescent="0.3">
      <c r="A511" s="48" t="s">
        <v>1320</v>
      </c>
      <c r="B511" s="48" t="s">
        <v>6</v>
      </c>
      <c r="C511" s="48" t="s">
        <v>1322</v>
      </c>
      <c r="D511" s="48" t="s">
        <v>1408</v>
      </c>
      <c r="E511" s="50">
        <v>46053</v>
      </c>
      <c r="F511" s="49" t="s">
        <v>1321</v>
      </c>
      <c r="G511" s="48" t="s">
        <v>36</v>
      </c>
      <c r="H511" s="48" t="s">
        <v>54</v>
      </c>
      <c r="I511" s="51">
        <v>-531226.83371899999</v>
      </c>
      <c r="J511" s="51"/>
      <c r="K511" s="51"/>
      <c r="L511" s="48" t="s">
        <v>40</v>
      </c>
      <c r="M511" s="48" t="s">
        <v>1433</v>
      </c>
      <c r="N511" s="48" t="s">
        <v>1447</v>
      </c>
      <c r="O511" s="49" t="s">
        <v>1450</v>
      </c>
      <c r="P511" s="48" t="s">
        <v>38</v>
      </c>
      <c r="Q511" s="48" t="s">
        <v>37</v>
      </c>
      <c r="R511" s="48" t="s">
        <v>1436</v>
      </c>
      <c r="S511" s="48" t="s">
        <v>1436</v>
      </c>
      <c r="T511" s="48" t="s">
        <v>1436</v>
      </c>
      <c r="U511" s="48" t="s">
        <v>38</v>
      </c>
      <c r="V511" s="48" t="s">
        <v>39</v>
      </c>
      <c r="W511" s="48" t="s">
        <v>40</v>
      </c>
      <c r="X511" s="48" t="s">
        <v>41</v>
      </c>
      <c r="Y511" s="48" t="s">
        <v>1436</v>
      </c>
      <c r="Z511" s="48" t="s">
        <v>1436</v>
      </c>
      <c r="AA511" s="48" t="s">
        <v>1436</v>
      </c>
      <c r="AB511" s="49" t="s">
        <v>193</v>
      </c>
      <c r="AC511" s="48" t="s">
        <v>1194</v>
      </c>
      <c r="AD511" s="48" t="s">
        <v>1244</v>
      </c>
      <c r="AE511" s="48" t="s">
        <v>36</v>
      </c>
    </row>
    <row r="512" spans="1:31" x14ac:dyDescent="0.3">
      <c r="A512" s="48" t="s">
        <v>1320</v>
      </c>
      <c r="B512" s="48" t="s">
        <v>6</v>
      </c>
      <c r="C512" s="48" t="s">
        <v>1322</v>
      </c>
      <c r="D512" s="48" t="s">
        <v>1407</v>
      </c>
      <c r="E512" s="50">
        <v>46053</v>
      </c>
      <c r="F512" s="49" t="s">
        <v>1321</v>
      </c>
      <c r="G512" s="48" t="s">
        <v>36</v>
      </c>
      <c r="H512" s="48" t="s">
        <v>47</v>
      </c>
      <c r="I512" s="51">
        <v>3098.8231970000002</v>
      </c>
      <c r="J512" s="51"/>
      <c r="K512" s="51"/>
      <c r="L512" s="48" t="s">
        <v>40</v>
      </c>
      <c r="M512" s="48" t="s">
        <v>1438</v>
      </c>
      <c r="N512" s="48" t="s">
        <v>1444</v>
      </c>
      <c r="O512" s="49" t="s">
        <v>1446</v>
      </c>
      <c r="P512" s="48" t="s">
        <v>38</v>
      </c>
      <c r="Q512" s="48" t="s">
        <v>37</v>
      </c>
      <c r="R512" s="48" t="s">
        <v>1436</v>
      </c>
      <c r="S512" s="48" t="s">
        <v>1436</v>
      </c>
      <c r="T512" s="48" t="s">
        <v>1436</v>
      </c>
      <c r="U512" s="48" t="s">
        <v>38</v>
      </c>
      <c r="V512" s="48" t="s">
        <v>39</v>
      </c>
      <c r="W512" s="48" t="s">
        <v>40</v>
      </c>
      <c r="X512" s="48" t="s">
        <v>41</v>
      </c>
      <c r="Y512" s="48" t="s">
        <v>1436</v>
      </c>
      <c r="Z512" s="48" t="s">
        <v>1436</v>
      </c>
      <c r="AA512" s="48" t="s">
        <v>1436</v>
      </c>
      <c r="AB512" s="49" t="s">
        <v>193</v>
      </c>
      <c r="AC512" s="48" t="s">
        <v>1194</v>
      </c>
      <c r="AD512" s="48" t="s">
        <v>1244</v>
      </c>
      <c r="AE512" s="48" t="s">
        <v>36</v>
      </c>
    </row>
    <row r="513" spans="1:31" x14ac:dyDescent="0.3">
      <c r="A513" s="48" t="s">
        <v>1320</v>
      </c>
      <c r="B513" s="48" t="s">
        <v>6</v>
      </c>
      <c r="C513" s="48" t="s">
        <v>1322</v>
      </c>
      <c r="D513" s="48" t="s">
        <v>1406</v>
      </c>
      <c r="E513" s="50">
        <v>46053</v>
      </c>
      <c r="F513" s="49" t="s">
        <v>1321</v>
      </c>
      <c r="G513" s="48" t="s">
        <v>36</v>
      </c>
      <c r="H513" s="48" t="s">
        <v>1441</v>
      </c>
      <c r="I513" s="51">
        <v>0</v>
      </c>
      <c r="J513" s="51"/>
      <c r="K513" s="51"/>
      <c r="L513" s="48" t="s">
        <v>1194</v>
      </c>
      <c r="M513" s="48" t="s">
        <v>1438</v>
      </c>
      <c r="N513" s="48" t="s">
        <v>1439</v>
      </c>
      <c r="O513" s="49" t="s">
        <v>1440</v>
      </c>
      <c r="P513" s="48" t="s">
        <v>38</v>
      </c>
      <c r="Q513" s="48" t="s">
        <v>37</v>
      </c>
      <c r="R513" s="48" t="s">
        <v>1436</v>
      </c>
      <c r="S513" s="48" t="s">
        <v>1436</v>
      </c>
      <c r="T513" s="48" t="s">
        <v>1436</v>
      </c>
      <c r="U513" s="48" t="s">
        <v>38</v>
      </c>
      <c r="V513" s="48" t="s">
        <v>39</v>
      </c>
      <c r="W513" s="48" t="s">
        <v>1194</v>
      </c>
      <c r="X513" s="48" t="s">
        <v>41</v>
      </c>
      <c r="Y513" s="48" t="s">
        <v>1436</v>
      </c>
      <c r="Z513" s="48" t="s">
        <v>1436</v>
      </c>
      <c r="AA513" s="48" t="s">
        <v>1436</v>
      </c>
      <c r="AB513" s="49" t="s">
        <v>193</v>
      </c>
      <c r="AC513" s="48" t="s">
        <v>1194</v>
      </c>
      <c r="AD513" s="48" t="s">
        <v>1244</v>
      </c>
      <c r="AE513" s="48" t="s">
        <v>36</v>
      </c>
    </row>
    <row r="514" spans="1:31" x14ac:dyDescent="0.3">
      <c r="A514" s="48" t="s">
        <v>1320</v>
      </c>
      <c r="B514" s="48" t="s">
        <v>6</v>
      </c>
      <c r="C514" s="48" t="s">
        <v>1322</v>
      </c>
      <c r="D514" s="48" t="s">
        <v>1405</v>
      </c>
      <c r="E514" s="50">
        <v>46053</v>
      </c>
      <c r="F514" s="49" t="s">
        <v>1321</v>
      </c>
      <c r="G514" s="48" t="s">
        <v>36</v>
      </c>
      <c r="H514" s="48" t="s">
        <v>1443</v>
      </c>
      <c r="I514" s="51">
        <v>0</v>
      </c>
      <c r="J514" s="51"/>
      <c r="K514" s="51"/>
      <c r="L514" s="48" t="s">
        <v>1194</v>
      </c>
      <c r="M514" s="48" t="s">
        <v>1438</v>
      </c>
      <c r="N514" s="48" t="s">
        <v>1439</v>
      </c>
      <c r="O514" s="49" t="s">
        <v>1442</v>
      </c>
      <c r="P514" s="48" t="s">
        <v>38</v>
      </c>
      <c r="Q514" s="48" t="s">
        <v>37</v>
      </c>
      <c r="R514" s="48" t="s">
        <v>1436</v>
      </c>
      <c r="S514" s="48" t="s">
        <v>1436</v>
      </c>
      <c r="T514" s="48" t="s">
        <v>1436</v>
      </c>
      <c r="U514" s="48" t="s">
        <v>38</v>
      </c>
      <c r="V514" s="48" t="s">
        <v>39</v>
      </c>
      <c r="W514" s="48" t="s">
        <v>1194</v>
      </c>
      <c r="X514" s="48" t="s">
        <v>41</v>
      </c>
      <c r="Y514" s="48" t="s">
        <v>1436</v>
      </c>
      <c r="Z514" s="48" t="s">
        <v>1436</v>
      </c>
      <c r="AA514" s="48" t="s">
        <v>1436</v>
      </c>
      <c r="AB514" s="49" t="s">
        <v>193</v>
      </c>
      <c r="AC514" s="48" t="s">
        <v>1194</v>
      </c>
      <c r="AD514" s="48" t="s">
        <v>1244</v>
      </c>
      <c r="AE514" s="48" t="s">
        <v>36</v>
      </c>
    </row>
    <row r="515" spans="1:31" x14ac:dyDescent="0.3">
      <c r="A515" s="48" t="s">
        <v>1320</v>
      </c>
      <c r="B515" s="48" t="s">
        <v>6</v>
      </c>
      <c r="C515" s="48" t="s">
        <v>1322</v>
      </c>
      <c r="D515" s="48" t="s">
        <v>1404</v>
      </c>
      <c r="E515" s="50">
        <v>46053</v>
      </c>
      <c r="F515" s="49" t="s">
        <v>1321</v>
      </c>
      <c r="G515" s="48" t="s">
        <v>36</v>
      </c>
      <c r="H515" s="48" t="s">
        <v>49</v>
      </c>
      <c r="I515" s="51">
        <v>-3098.8231970000002</v>
      </c>
      <c r="J515" s="51"/>
      <c r="K515" s="51"/>
      <c r="L515" s="48" t="s">
        <v>38</v>
      </c>
      <c r="M515" s="48" t="s">
        <v>1433</v>
      </c>
      <c r="N515" s="48" t="s">
        <v>1447</v>
      </c>
      <c r="O515" s="49" t="s">
        <v>1451</v>
      </c>
      <c r="P515" s="48" t="s">
        <v>38</v>
      </c>
      <c r="Q515" s="48" t="s">
        <v>37</v>
      </c>
      <c r="R515" s="48" t="s">
        <v>1436</v>
      </c>
      <c r="S515" s="48" t="s">
        <v>1436</v>
      </c>
      <c r="T515" s="48" t="s">
        <v>1436</v>
      </c>
      <c r="U515" s="48" t="s">
        <v>38</v>
      </c>
      <c r="V515" s="48" t="s">
        <v>39</v>
      </c>
      <c r="W515" s="48" t="s">
        <v>38</v>
      </c>
      <c r="X515" s="48" t="s">
        <v>41</v>
      </c>
      <c r="Y515" s="48" t="s">
        <v>1436</v>
      </c>
      <c r="Z515" s="48" t="s">
        <v>1436</v>
      </c>
      <c r="AA515" s="48" t="s">
        <v>1436</v>
      </c>
      <c r="AB515" s="49" t="s">
        <v>193</v>
      </c>
      <c r="AC515" s="48" t="s">
        <v>1194</v>
      </c>
      <c r="AD515" s="48" t="s">
        <v>1244</v>
      </c>
      <c r="AE515" s="48" t="s">
        <v>36</v>
      </c>
    </row>
    <row r="516" spans="1:31" x14ac:dyDescent="0.3">
      <c r="A516" s="48" t="s">
        <v>1320</v>
      </c>
      <c r="B516" s="48" t="s">
        <v>6</v>
      </c>
      <c r="C516" s="48" t="s">
        <v>1322</v>
      </c>
      <c r="D516" s="48" t="s">
        <v>1413</v>
      </c>
      <c r="E516" s="50">
        <v>46081</v>
      </c>
      <c r="F516" s="49" t="s">
        <v>1321</v>
      </c>
      <c r="G516" s="48" t="s">
        <v>36</v>
      </c>
      <c r="H516" s="48" t="s">
        <v>58</v>
      </c>
      <c r="I516" s="51">
        <v>-2500000</v>
      </c>
      <c r="J516" s="51"/>
      <c r="K516" s="51"/>
      <c r="L516" s="48" t="s">
        <v>40</v>
      </c>
      <c r="M516" s="48" t="s">
        <v>1433</v>
      </c>
      <c r="N516" s="48" t="s">
        <v>1447</v>
      </c>
      <c r="O516" s="49" t="s">
        <v>1448</v>
      </c>
      <c r="P516" s="48" t="s">
        <v>38</v>
      </c>
      <c r="Q516" s="48" t="s">
        <v>37</v>
      </c>
      <c r="R516" s="48" t="s">
        <v>1436</v>
      </c>
      <c r="S516" s="48" t="s">
        <v>1436</v>
      </c>
      <c r="T516" s="48" t="s">
        <v>1436</v>
      </c>
      <c r="U516" s="48" t="s">
        <v>38</v>
      </c>
      <c r="V516" s="48" t="s">
        <v>39</v>
      </c>
      <c r="W516" s="48" t="s">
        <v>40</v>
      </c>
      <c r="X516" s="48" t="s">
        <v>41</v>
      </c>
      <c r="Y516" s="48" t="s">
        <v>1436</v>
      </c>
      <c r="Z516" s="48" t="s">
        <v>1436</v>
      </c>
      <c r="AA516" s="48" t="s">
        <v>1436</v>
      </c>
      <c r="AB516" s="49" t="s">
        <v>193</v>
      </c>
      <c r="AC516" s="48" t="s">
        <v>1194</v>
      </c>
      <c r="AD516" s="48" t="s">
        <v>1244</v>
      </c>
      <c r="AE516" s="48" t="s">
        <v>36</v>
      </c>
    </row>
    <row r="517" spans="1:31" x14ac:dyDescent="0.3">
      <c r="A517" s="48" t="s">
        <v>1320</v>
      </c>
      <c r="B517" s="48" t="s">
        <v>6</v>
      </c>
      <c r="C517" s="48" t="s">
        <v>1322</v>
      </c>
      <c r="D517" s="48" t="s">
        <v>1412</v>
      </c>
      <c r="E517" s="50">
        <v>46081</v>
      </c>
      <c r="F517" s="49" t="s">
        <v>1321</v>
      </c>
      <c r="G517" s="48" t="s">
        <v>36</v>
      </c>
      <c r="H517" s="48" t="s">
        <v>52</v>
      </c>
      <c r="I517" s="51">
        <v>-2116524.52</v>
      </c>
      <c r="J517" s="51"/>
      <c r="K517" s="51"/>
      <c r="L517" s="48" t="s">
        <v>40</v>
      </c>
      <c r="M517" s="48" t="s">
        <v>1433</v>
      </c>
      <c r="N517" s="48" t="s">
        <v>1434</v>
      </c>
      <c r="O517" s="49" t="s">
        <v>1435</v>
      </c>
      <c r="P517" s="48" t="s">
        <v>38</v>
      </c>
      <c r="Q517" s="48" t="s">
        <v>37</v>
      </c>
      <c r="R517" s="48" t="s">
        <v>1436</v>
      </c>
      <c r="S517" s="48" t="s">
        <v>1436</v>
      </c>
      <c r="T517" s="48" t="s">
        <v>1436</v>
      </c>
      <c r="U517" s="48" t="s">
        <v>38</v>
      </c>
      <c r="V517" s="48" t="s">
        <v>39</v>
      </c>
      <c r="W517" s="48" t="s">
        <v>40</v>
      </c>
      <c r="X517" s="48" t="s">
        <v>41</v>
      </c>
      <c r="Y517" s="48" t="s">
        <v>1436</v>
      </c>
      <c r="Z517" s="48" t="s">
        <v>1436</v>
      </c>
      <c r="AA517" s="48" t="s">
        <v>1436</v>
      </c>
      <c r="AB517" s="49" t="s">
        <v>193</v>
      </c>
      <c r="AC517" s="48" t="s">
        <v>1194</v>
      </c>
      <c r="AD517" s="48" t="s">
        <v>1244</v>
      </c>
      <c r="AE517" s="48" t="s">
        <v>36</v>
      </c>
    </row>
    <row r="518" spans="1:31" x14ac:dyDescent="0.3">
      <c r="A518" s="48" t="s">
        <v>1320</v>
      </c>
      <c r="B518" s="48" t="s">
        <v>6</v>
      </c>
      <c r="C518" s="48" t="s">
        <v>1322</v>
      </c>
      <c r="D518" s="48" t="s">
        <v>1411</v>
      </c>
      <c r="E518" s="50">
        <v>46081</v>
      </c>
      <c r="F518" s="49" t="s">
        <v>1321</v>
      </c>
      <c r="G518" s="48" t="s">
        <v>36</v>
      </c>
      <c r="H518" s="48" t="s">
        <v>50</v>
      </c>
      <c r="I518" s="51">
        <v>84660.98</v>
      </c>
      <c r="J518" s="51"/>
      <c r="K518" s="51"/>
      <c r="L518" s="48" t="s">
        <v>40</v>
      </c>
      <c r="M518" s="48" t="s">
        <v>1438</v>
      </c>
      <c r="N518" s="48" t="s">
        <v>1444</v>
      </c>
      <c r="O518" s="49" t="s">
        <v>1445</v>
      </c>
      <c r="P518" s="48" t="s">
        <v>38</v>
      </c>
      <c r="Q518" s="48" t="s">
        <v>37</v>
      </c>
      <c r="R518" s="48" t="s">
        <v>1436</v>
      </c>
      <c r="S518" s="48" t="s">
        <v>1436</v>
      </c>
      <c r="T518" s="48" t="s">
        <v>1436</v>
      </c>
      <c r="U518" s="48" t="s">
        <v>38</v>
      </c>
      <c r="V518" s="48" t="s">
        <v>39</v>
      </c>
      <c r="W518" s="48" t="s">
        <v>40</v>
      </c>
      <c r="X518" s="48" t="s">
        <v>41</v>
      </c>
      <c r="Y518" s="48" t="s">
        <v>1436</v>
      </c>
      <c r="Z518" s="48" t="s">
        <v>1436</v>
      </c>
      <c r="AA518" s="48" t="s">
        <v>1436</v>
      </c>
      <c r="AB518" s="49" t="s">
        <v>193</v>
      </c>
      <c r="AC518" s="48" t="s">
        <v>1194</v>
      </c>
      <c r="AD518" s="48" t="s">
        <v>1244</v>
      </c>
      <c r="AE518" s="48" t="s">
        <v>36</v>
      </c>
    </row>
    <row r="519" spans="1:31" x14ac:dyDescent="0.3">
      <c r="A519" s="48" t="s">
        <v>1320</v>
      </c>
      <c r="B519" s="48" t="s">
        <v>6</v>
      </c>
      <c r="C519" s="48" t="s">
        <v>1322</v>
      </c>
      <c r="D519" s="48" t="s">
        <v>1410</v>
      </c>
      <c r="E519" s="50">
        <v>46081</v>
      </c>
      <c r="F519" s="49" t="s">
        <v>1321</v>
      </c>
      <c r="G519" s="48" t="s">
        <v>36</v>
      </c>
      <c r="H519" s="48" t="s">
        <v>42</v>
      </c>
      <c r="I519" s="51">
        <v>2539829.423163</v>
      </c>
      <c r="J519" s="51"/>
      <c r="K519" s="51"/>
      <c r="L519" s="48" t="s">
        <v>40</v>
      </c>
      <c r="M519" s="48" t="s">
        <v>1433</v>
      </c>
      <c r="N519" s="48" t="s">
        <v>1434</v>
      </c>
      <c r="O519" s="49" t="s">
        <v>1437</v>
      </c>
      <c r="P519" s="48" t="s">
        <v>38</v>
      </c>
      <c r="Q519" s="48" t="s">
        <v>37</v>
      </c>
      <c r="R519" s="48" t="s">
        <v>1436</v>
      </c>
      <c r="S519" s="48" t="s">
        <v>1436</v>
      </c>
      <c r="T519" s="48" t="s">
        <v>1436</v>
      </c>
      <c r="U519" s="48" t="s">
        <v>38</v>
      </c>
      <c r="V519" s="48" t="s">
        <v>39</v>
      </c>
      <c r="W519" s="48" t="s">
        <v>40</v>
      </c>
      <c r="X519" s="48" t="s">
        <v>41</v>
      </c>
      <c r="Y519" s="48" t="s">
        <v>1436</v>
      </c>
      <c r="Z519" s="48" t="s">
        <v>1436</v>
      </c>
      <c r="AA519" s="48" t="s">
        <v>1436</v>
      </c>
      <c r="AB519" s="49" t="s">
        <v>193</v>
      </c>
      <c r="AC519" s="48" t="s">
        <v>1194</v>
      </c>
      <c r="AD519" s="48" t="s">
        <v>1244</v>
      </c>
      <c r="AE519" s="48" t="s">
        <v>36</v>
      </c>
    </row>
    <row r="520" spans="1:31" x14ac:dyDescent="0.3">
      <c r="A520" s="48" t="s">
        <v>1320</v>
      </c>
      <c r="B520" s="48" t="s">
        <v>6</v>
      </c>
      <c r="C520" s="48" t="s">
        <v>1322</v>
      </c>
      <c r="D520" s="48" t="s">
        <v>1409</v>
      </c>
      <c r="E520" s="50">
        <v>46081</v>
      </c>
      <c r="F520" s="49" t="s">
        <v>1321</v>
      </c>
      <c r="G520" s="48" t="s">
        <v>36</v>
      </c>
      <c r="H520" s="48" t="s">
        <v>45</v>
      </c>
      <c r="I520" s="51">
        <v>1.9999999999999999E-6</v>
      </c>
      <c r="J520" s="51"/>
      <c r="K520" s="51"/>
      <c r="L520" s="48" t="s">
        <v>40</v>
      </c>
      <c r="M520" s="48" t="s">
        <v>1433</v>
      </c>
      <c r="N520" s="48" t="s">
        <v>1447</v>
      </c>
      <c r="O520" s="49" t="s">
        <v>1449</v>
      </c>
      <c r="P520" s="48" t="s">
        <v>38</v>
      </c>
      <c r="Q520" s="48" t="s">
        <v>37</v>
      </c>
      <c r="R520" s="48" t="s">
        <v>1436</v>
      </c>
      <c r="S520" s="48" t="s">
        <v>1436</v>
      </c>
      <c r="T520" s="48" t="s">
        <v>1436</v>
      </c>
      <c r="U520" s="48" t="s">
        <v>38</v>
      </c>
      <c r="V520" s="48" t="s">
        <v>39</v>
      </c>
      <c r="W520" s="48" t="s">
        <v>40</v>
      </c>
      <c r="X520" s="48" t="s">
        <v>41</v>
      </c>
      <c r="Y520" s="48" t="s">
        <v>1436</v>
      </c>
      <c r="Z520" s="48" t="s">
        <v>1436</v>
      </c>
      <c r="AA520" s="48" t="s">
        <v>1436</v>
      </c>
      <c r="AB520" s="49" t="s">
        <v>193</v>
      </c>
      <c r="AC520" s="48" t="s">
        <v>1194</v>
      </c>
      <c r="AD520" s="48" t="s">
        <v>1244</v>
      </c>
      <c r="AE520" s="48" t="s">
        <v>36</v>
      </c>
    </row>
    <row r="521" spans="1:31" x14ac:dyDescent="0.3">
      <c r="A521" s="48" t="s">
        <v>1320</v>
      </c>
      <c r="B521" s="48" t="s">
        <v>6</v>
      </c>
      <c r="C521" s="48" t="s">
        <v>1322</v>
      </c>
      <c r="D521" s="48" t="s">
        <v>1408</v>
      </c>
      <c r="E521" s="50">
        <v>46081</v>
      </c>
      <c r="F521" s="49" t="s">
        <v>1321</v>
      </c>
      <c r="G521" s="48" t="s">
        <v>36</v>
      </c>
      <c r="H521" s="48" t="s">
        <v>54</v>
      </c>
      <c r="I521" s="51">
        <v>-484325.65691600001</v>
      </c>
      <c r="J521" s="51"/>
      <c r="K521" s="51"/>
      <c r="L521" s="48" t="s">
        <v>40</v>
      </c>
      <c r="M521" s="48" t="s">
        <v>1433</v>
      </c>
      <c r="N521" s="48" t="s">
        <v>1447</v>
      </c>
      <c r="O521" s="49" t="s">
        <v>1450</v>
      </c>
      <c r="P521" s="48" t="s">
        <v>38</v>
      </c>
      <c r="Q521" s="48" t="s">
        <v>37</v>
      </c>
      <c r="R521" s="48" t="s">
        <v>1436</v>
      </c>
      <c r="S521" s="48" t="s">
        <v>1436</v>
      </c>
      <c r="T521" s="48" t="s">
        <v>1436</v>
      </c>
      <c r="U521" s="48" t="s">
        <v>38</v>
      </c>
      <c r="V521" s="48" t="s">
        <v>39</v>
      </c>
      <c r="W521" s="48" t="s">
        <v>40</v>
      </c>
      <c r="X521" s="48" t="s">
        <v>41</v>
      </c>
      <c r="Y521" s="48" t="s">
        <v>1436</v>
      </c>
      <c r="Z521" s="48" t="s">
        <v>1436</v>
      </c>
      <c r="AA521" s="48" t="s">
        <v>1436</v>
      </c>
      <c r="AB521" s="49" t="s">
        <v>193</v>
      </c>
      <c r="AC521" s="48" t="s">
        <v>1194</v>
      </c>
      <c r="AD521" s="48" t="s">
        <v>1244</v>
      </c>
      <c r="AE521" s="48" t="s">
        <v>36</v>
      </c>
    </row>
    <row r="522" spans="1:31" x14ac:dyDescent="0.3">
      <c r="A522" s="48" t="s">
        <v>1320</v>
      </c>
      <c r="B522" s="48" t="s">
        <v>6</v>
      </c>
      <c r="C522" s="48" t="s">
        <v>1322</v>
      </c>
      <c r="D522" s="48" t="s">
        <v>1407</v>
      </c>
      <c r="E522" s="50">
        <v>46081</v>
      </c>
      <c r="F522" s="49" t="s">
        <v>1321</v>
      </c>
      <c r="G522" s="48" t="s">
        <v>36</v>
      </c>
      <c r="H522" s="48" t="s">
        <v>47</v>
      </c>
      <c r="I522" s="51">
        <v>5924.0561960000005</v>
      </c>
      <c r="J522" s="51"/>
      <c r="K522" s="51"/>
      <c r="L522" s="48" t="s">
        <v>40</v>
      </c>
      <c r="M522" s="48" t="s">
        <v>1438</v>
      </c>
      <c r="N522" s="48" t="s">
        <v>1444</v>
      </c>
      <c r="O522" s="49" t="s">
        <v>1446</v>
      </c>
      <c r="P522" s="48" t="s">
        <v>38</v>
      </c>
      <c r="Q522" s="48" t="s">
        <v>37</v>
      </c>
      <c r="R522" s="48" t="s">
        <v>1436</v>
      </c>
      <c r="S522" s="48" t="s">
        <v>1436</v>
      </c>
      <c r="T522" s="48" t="s">
        <v>1436</v>
      </c>
      <c r="U522" s="48" t="s">
        <v>38</v>
      </c>
      <c r="V522" s="48" t="s">
        <v>39</v>
      </c>
      <c r="W522" s="48" t="s">
        <v>40</v>
      </c>
      <c r="X522" s="48" t="s">
        <v>41</v>
      </c>
      <c r="Y522" s="48" t="s">
        <v>1436</v>
      </c>
      <c r="Z522" s="48" t="s">
        <v>1436</v>
      </c>
      <c r="AA522" s="48" t="s">
        <v>1436</v>
      </c>
      <c r="AB522" s="49" t="s">
        <v>193</v>
      </c>
      <c r="AC522" s="48" t="s">
        <v>1194</v>
      </c>
      <c r="AD522" s="48" t="s">
        <v>1244</v>
      </c>
      <c r="AE522" s="48" t="s">
        <v>36</v>
      </c>
    </row>
    <row r="523" spans="1:31" x14ac:dyDescent="0.3">
      <c r="A523" s="48" t="s">
        <v>1320</v>
      </c>
      <c r="B523" s="48" t="s">
        <v>6</v>
      </c>
      <c r="C523" s="48" t="s">
        <v>1322</v>
      </c>
      <c r="D523" s="48" t="s">
        <v>1406</v>
      </c>
      <c r="E523" s="50">
        <v>46081</v>
      </c>
      <c r="F523" s="49" t="s">
        <v>1321</v>
      </c>
      <c r="G523" s="48" t="s">
        <v>36</v>
      </c>
      <c r="H523" s="48" t="s">
        <v>1441</v>
      </c>
      <c r="I523" s="51">
        <v>0</v>
      </c>
      <c r="J523" s="51"/>
      <c r="K523" s="51"/>
      <c r="L523" s="48" t="s">
        <v>1194</v>
      </c>
      <c r="M523" s="48" t="s">
        <v>1438</v>
      </c>
      <c r="N523" s="48" t="s">
        <v>1439</v>
      </c>
      <c r="O523" s="49" t="s">
        <v>1440</v>
      </c>
      <c r="P523" s="48" t="s">
        <v>38</v>
      </c>
      <c r="Q523" s="48" t="s">
        <v>37</v>
      </c>
      <c r="R523" s="48" t="s">
        <v>1436</v>
      </c>
      <c r="S523" s="48" t="s">
        <v>1436</v>
      </c>
      <c r="T523" s="48" t="s">
        <v>1436</v>
      </c>
      <c r="U523" s="48" t="s">
        <v>38</v>
      </c>
      <c r="V523" s="48" t="s">
        <v>39</v>
      </c>
      <c r="W523" s="48" t="s">
        <v>1194</v>
      </c>
      <c r="X523" s="48" t="s">
        <v>41</v>
      </c>
      <c r="Y523" s="48" t="s">
        <v>1436</v>
      </c>
      <c r="Z523" s="48" t="s">
        <v>1436</v>
      </c>
      <c r="AA523" s="48" t="s">
        <v>1436</v>
      </c>
      <c r="AB523" s="49" t="s">
        <v>193</v>
      </c>
      <c r="AC523" s="48" t="s">
        <v>1194</v>
      </c>
      <c r="AD523" s="48" t="s">
        <v>1244</v>
      </c>
      <c r="AE523" s="48" t="s">
        <v>36</v>
      </c>
    </row>
    <row r="524" spans="1:31" x14ac:dyDescent="0.3">
      <c r="A524" s="48" t="s">
        <v>1320</v>
      </c>
      <c r="B524" s="48" t="s">
        <v>6</v>
      </c>
      <c r="C524" s="48" t="s">
        <v>1322</v>
      </c>
      <c r="D524" s="48" t="s">
        <v>1405</v>
      </c>
      <c r="E524" s="50">
        <v>46081</v>
      </c>
      <c r="F524" s="49" t="s">
        <v>1321</v>
      </c>
      <c r="G524" s="48" t="s">
        <v>36</v>
      </c>
      <c r="H524" s="48" t="s">
        <v>1443</v>
      </c>
      <c r="I524" s="51">
        <v>0</v>
      </c>
      <c r="J524" s="51"/>
      <c r="K524" s="51"/>
      <c r="L524" s="48" t="s">
        <v>1194</v>
      </c>
      <c r="M524" s="48" t="s">
        <v>1438</v>
      </c>
      <c r="N524" s="48" t="s">
        <v>1439</v>
      </c>
      <c r="O524" s="49" t="s">
        <v>1442</v>
      </c>
      <c r="P524" s="48" t="s">
        <v>38</v>
      </c>
      <c r="Q524" s="48" t="s">
        <v>37</v>
      </c>
      <c r="R524" s="48" t="s">
        <v>1436</v>
      </c>
      <c r="S524" s="48" t="s">
        <v>1436</v>
      </c>
      <c r="T524" s="48" t="s">
        <v>1436</v>
      </c>
      <c r="U524" s="48" t="s">
        <v>38</v>
      </c>
      <c r="V524" s="48" t="s">
        <v>39</v>
      </c>
      <c r="W524" s="48" t="s">
        <v>1194</v>
      </c>
      <c r="X524" s="48" t="s">
        <v>41</v>
      </c>
      <c r="Y524" s="48" t="s">
        <v>1436</v>
      </c>
      <c r="Z524" s="48" t="s">
        <v>1436</v>
      </c>
      <c r="AA524" s="48" t="s">
        <v>1436</v>
      </c>
      <c r="AB524" s="49" t="s">
        <v>193</v>
      </c>
      <c r="AC524" s="48" t="s">
        <v>1194</v>
      </c>
      <c r="AD524" s="48" t="s">
        <v>1244</v>
      </c>
      <c r="AE524" s="48" t="s">
        <v>36</v>
      </c>
    </row>
    <row r="525" spans="1:31" x14ac:dyDescent="0.3">
      <c r="A525" s="48" t="s">
        <v>1320</v>
      </c>
      <c r="B525" s="48" t="s">
        <v>6</v>
      </c>
      <c r="C525" s="48" t="s">
        <v>1322</v>
      </c>
      <c r="D525" s="48" t="s">
        <v>1404</v>
      </c>
      <c r="E525" s="50">
        <v>46081</v>
      </c>
      <c r="F525" s="49" t="s">
        <v>1321</v>
      </c>
      <c r="G525" s="48" t="s">
        <v>36</v>
      </c>
      <c r="H525" s="48" t="s">
        <v>49</v>
      </c>
      <c r="I525" s="51">
        <v>-2825.2329989999998</v>
      </c>
      <c r="J525" s="51"/>
      <c r="K525" s="51"/>
      <c r="L525" s="48" t="s">
        <v>38</v>
      </c>
      <c r="M525" s="48" t="s">
        <v>1433</v>
      </c>
      <c r="N525" s="48" t="s">
        <v>1447</v>
      </c>
      <c r="O525" s="49" t="s">
        <v>1451</v>
      </c>
      <c r="P525" s="48" t="s">
        <v>38</v>
      </c>
      <c r="Q525" s="48" t="s">
        <v>37</v>
      </c>
      <c r="R525" s="48" t="s">
        <v>1436</v>
      </c>
      <c r="S525" s="48" t="s">
        <v>1436</v>
      </c>
      <c r="T525" s="48" t="s">
        <v>1436</v>
      </c>
      <c r="U525" s="48" t="s">
        <v>38</v>
      </c>
      <c r="V525" s="48" t="s">
        <v>39</v>
      </c>
      <c r="W525" s="48" t="s">
        <v>38</v>
      </c>
      <c r="X525" s="48" t="s">
        <v>41</v>
      </c>
      <c r="Y525" s="48" t="s">
        <v>1436</v>
      </c>
      <c r="Z525" s="48" t="s">
        <v>1436</v>
      </c>
      <c r="AA525" s="48" t="s">
        <v>1436</v>
      </c>
      <c r="AB525" s="49" t="s">
        <v>193</v>
      </c>
      <c r="AC525" s="48" t="s">
        <v>1194</v>
      </c>
      <c r="AD525" s="48" t="s">
        <v>1244</v>
      </c>
      <c r="AE525" s="48" t="s">
        <v>36</v>
      </c>
    </row>
    <row r="526" spans="1:31" x14ac:dyDescent="0.3">
      <c r="A526" s="48" t="s">
        <v>1320</v>
      </c>
      <c r="B526" s="48" t="s">
        <v>6</v>
      </c>
      <c r="C526" s="48" t="s">
        <v>1322</v>
      </c>
      <c r="D526" s="48" t="s">
        <v>1413</v>
      </c>
      <c r="E526" s="50">
        <v>46112</v>
      </c>
      <c r="F526" s="49" t="s">
        <v>1321</v>
      </c>
      <c r="G526" s="48" t="s">
        <v>36</v>
      </c>
      <c r="H526" s="48" t="s">
        <v>58</v>
      </c>
      <c r="I526" s="51">
        <v>-2550000</v>
      </c>
      <c r="J526" s="51"/>
      <c r="K526" s="51"/>
      <c r="L526" s="48" t="s">
        <v>40</v>
      </c>
      <c r="M526" s="48" t="s">
        <v>1433</v>
      </c>
      <c r="N526" s="48" t="s">
        <v>1447</v>
      </c>
      <c r="O526" s="49" t="s">
        <v>1448</v>
      </c>
      <c r="P526" s="48" t="s">
        <v>38</v>
      </c>
      <c r="Q526" s="48" t="s">
        <v>37</v>
      </c>
      <c r="R526" s="48" t="s">
        <v>1436</v>
      </c>
      <c r="S526" s="48" t="s">
        <v>1436</v>
      </c>
      <c r="T526" s="48" t="s">
        <v>1436</v>
      </c>
      <c r="U526" s="48" t="s">
        <v>38</v>
      </c>
      <c r="V526" s="48" t="s">
        <v>39</v>
      </c>
      <c r="W526" s="48" t="s">
        <v>40</v>
      </c>
      <c r="X526" s="48" t="s">
        <v>41</v>
      </c>
      <c r="Y526" s="48" t="s">
        <v>1436</v>
      </c>
      <c r="Z526" s="48" t="s">
        <v>1436</v>
      </c>
      <c r="AA526" s="48" t="s">
        <v>1436</v>
      </c>
      <c r="AB526" s="49" t="s">
        <v>193</v>
      </c>
      <c r="AC526" s="48" t="s">
        <v>1194</v>
      </c>
      <c r="AD526" s="48" t="s">
        <v>1244</v>
      </c>
      <c r="AE526" s="48" t="s">
        <v>36</v>
      </c>
    </row>
    <row r="527" spans="1:31" x14ac:dyDescent="0.3">
      <c r="A527" s="48" t="s">
        <v>1320</v>
      </c>
      <c r="B527" s="48" t="s">
        <v>6</v>
      </c>
      <c r="C527" s="48" t="s">
        <v>1322</v>
      </c>
      <c r="D527" s="48" t="s">
        <v>1412</v>
      </c>
      <c r="E527" s="50">
        <v>46112</v>
      </c>
      <c r="F527" s="49" t="s">
        <v>1321</v>
      </c>
      <c r="G527" s="48" t="s">
        <v>36</v>
      </c>
      <c r="H527" s="48" t="s">
        <v>52</v>
      </c>
      <c r="I527" s="51">
        <v>-2158855.0099999998</v>
      </c>
      <c r="J527" s="51"/>
      <c r="K527" s="51"/>
      <c r="L527" s="48" t="s">
        <v>40</v>
      </c>
      <c r="M527" s="48" t="s">
        <v>1433</v>
      </c>
      <c r="N527" s="48" t="s">
        <v>1434</v>
      </c>
      <c r="O527" s="49" t="s">
        <v>1435</v>
      </c>
      <c r="P527" s="48" t="s">
        <v>38</v>
      </c>
      <c r="Q527" s="48" t="s">
        <v>37</v>
      </c>
      <c r="R527" s="48" t="s">
        <v>1436</v>
      </c>
      <c r="S527" s="48" t="s">
        <v>1436</v>
      </c>
      <c r="T527" s="48" t="s">
        <v>1436</v>
      </c>
      <c r="U527" s="48" t="s">
        <v>38</v>
      </c>
      <c r="V527" s="48" t="s">
        <v>39</v>
      </c>
      <c r="W527" s="48" t="s">
        <v>40</v>
      </c>
      <c r="X527" s="48" t="s">
        <v>41</v>
      </c>
      <c r="Y527" s="48" t="s">
        <v>1436</v>
      </c>
      <c r="Z527" s="48" t="s">
        <v>1436</v>
      </c>
      <c r="AA527" s="48" t="s">
        <v>1436</v>
      </c>
      <c r="AB527" s="49" t="s">
        <v>193</v>
      </c>
      <c r="AC527" s="48" t="s">
        <v>1194</v>
      </c>
      <c r="AD527" s="48" t="s">
        <v>1244</v>
      </c>
      <c r="AE527" s="48" t="s">
        <v>36</v>
      </c>
    </row>
    <row r="528" spans="1:31" x14ac:dyDescent="0.3">
      <c r="A528" s="48" t="s">
        <v>1320</v>
      </c>
      <c r="B528" s="48" t="s">
        <v>6</v>
      </c>
      <c r="C528" s="48" t="s">
        <v>1322</v>
      </c>
      <c r="D528" s="48" t="s">
        <v>1411</v>
      </c>
      <c r="E528" s="50">
        <v>46112</v>
      </c>
      <c r="F528" s="49" t="s">
        <v>1321</v>
      </c>
      <c r="G528" s="48" t="s">
        <v>36</v>
      </c>
      <c r="H528" s="48" t="s">
        <v>50</v>
      </c>
      <c r="I528" s="51">
        <v>126991.47</v>
      </c>
      <c r="J528" s="51"/>
      <c r="K528" s="51"/>
      <c r="L528" s="48" t="s">
        <v>40</v>
      </c>
      <c r="M528" s="48" t="s">
        <v>1438</v>
      </c>
      <c r="N528" s="48" t="s">
        <v>1444</v>
      </c>
      <c r="O528" s="49" t="s">
        <v>1445</v>
      </c>
      <c r="P528" s="48" t="s">
        <v>38</v>
      </c>
      <c r="Q528" s="48" t="s">
        <v>37</v>
      </c>
      <c r="R528" s="48" t="s">
        <v>1436</v>
      </c>
      <c r="S528" s="48" t="s">
        <v>1436</v>
      </c>
      <c r="T528" s="48" t="s">
        <v>1436</v>
      </c>
      <c r="U528" s="48" t="s">
        <v>38</v>
      </c>
      <c r="V528" s="48" t="s">
        <v>39</v>
      </c>
      <c r="W528" s="48" t="s">
        <v>40</v>
      </c>
      <c r="X528" s="48" t="s">
        <v>41</v>
      </c>
      <c r="Y528" s="48" t="s">
        <v>1436</v>
      </c>
      <c r="Z528" s="48" t="s">
        <v>1436</v>
      </c>
      <c r="AA528" s="48" t="s">
        <v>1436</v>
      </c>
      <c r="AB528" s="49" t="s">
        <v>193</v>
      </c>
      <c r="AC528" s="48" t="s">
        <v>1194</v>
      </c>
      <c r="AD528" s="48" t="s">
        <v>1244</v>
      </c>
      <c r="AE528" s="48" t="s">
        <v>36</v>
      </c>
    </row>
    <row r="529" spans="1:31" x14ac:dyDescent="0.3">
      <c r="A529" s="48" t="s">
        <v>1320</v>
      </c>
      <c r="B529" s="48" t="s">
        <v>6</v>
      </c>
      <c r="C529" s="48" t="s">
        <v>1322</v>
      </c>
      <c r="D529" s="48" t="s">
        <v>1410</v>
      </c>
      <c r="E529" s="50">
        <v>46112</v>
      </c>
      <c r="F529" s="49" t="s">
        <v>1321</v>
      </c>
      <c r="G529" s="48" t="s">
        <v>36</v>
      </c>
      <c r="H529" s="48" t="s">
        <v>42</v>
      </c>
      <c r="I529" s="51">
        <v>2539829.423163</v>
      </c>
      <c r="J529" s="51"/>
      <c r="K529" s="51"/>
      <c r="L529" s="48" t="s">
        <v>40</v>
      </c>
      <c r="M529" s="48" t="s">
        <v>1433</v>
      </c>
      <c r="N529" s="48" t="s">
        <v>1434</v>
      </c>
      <c r="O529" s="49" t="s">
        <v>1437</v>
      </c>
      <c r="P529" s="48" t="s">
        <v>38</v>
      </c>
      <c r="Q529" s="48" t="s">
        <v>37</v>
      </c>
      <c r="R529" s="48" t="s">
        <v>1436</v>
      </c>
      <c r="S529" s="48" t="s">
        <v>1436</v>
      </c>
      <c r="T529" s="48" t="s">
        <v>1436</v>
      </c>
      <c r="U529" s="48" t="s">
        <v>38</v>
      </c>
      <c r="V529" s="48" t="s">
        <v>39</v>
      </c>
      <c r="W529" s="48" t="s">
        <v>40</v>
      </c>
      <c r="X529" s="48" t="s">
        <v>41</v>
      </c>
      <c r="Y529" s="48" t="s">
        <v>1436</v>
      </c>
      <c r="Z529" s="48" t="s">
        <v>1436</v>
      </c>
      <c r="AA529" s="48" t="s">
        <v>1436</v>
      </c>
      <c r="AB529" s="49" t="s">
        <v>193</v>
      </c>
      <c r="AC529" s="48" t="s">
        <v>1194</v>
      </c>
      <c r="AD529" s="48" t="s">
        <v>1244</v>
      </c>
      <c r="AE529" s="48" t="s">
        <v>36</v>
      </c>
    </row>
    <row r="530" spans="1:31" x14ac:dyDescent="0.3">
      <c r="A530" s="48" t="s">
        <v>1320</v>
      </c>
      <c r="B530" s="48" t="s">
        <v>6</v>
      </c>
      <c r="C530" s="48" t="s">
        <v>1322</v>
      </c>
      <c r="D530" s="48" t="s">
        <v>1409</v>
      </c>
      <c r="E530" s="50">
        <v>46112</v>
      </c>
      <c r="F530" s="49" t="s">
        <v>1321</v>
      </c>
      <c r="G530" s="48" t="s">
        <v>36</v>
      </c>
      <c r="H530" s="48" t="s">
        <v>45</v>
      </c>
      <c r="I530" s="51">
        <v>1.9999999999999999E-6</v>
      </c>
      <c r="J530" s="51"/>
      <c r="K530" s="51"/>
      <c r="L530" s="48" t="s">
        <v>40</v>
      </c>
      <c r="M530" s="48" t="s">
        <v>1433</v>
      </c>
      <c r="N530" s="48" t="s">
        <v>1447</v>
      </c>
      <c r="O530" s="49" t="s">
        <v>1449</v>
      </c>
      <c r="P530" s="48" t="s">
        <v>38</v>
      </c>
      <c r="Q530" s="48" t="s">
        <v>37</v>
      </c>
      <c r="R530" s="48" t="s">
        <v>1436</v>
      </c>
      <c r="S530" s="48" t="s">
        <v>1436</v>
      </c>
      <c r="T530" s="48" t="s">
        <v>1436</v>
      </c>
      <c r="U530" s="48" t="s">
        <v>38</v>
      </c>
      <c r="V530" s="48" t="s">
        <v>39</v>
      </c>
      <c r="W530" s="48" t="s">
        <v>40</v>
      </c>
      <c r="X530" s="48" t="s">
        <v>41</v>
      </c>
      <c r="Y530" s="48" t="s">
        <v>1436</v>
      </c>
      <c r="Z530" s="48" t="s">
        <v>1436</v>
      </c>
      <c r="AA530" s="48" t="s">
        <v>1436</v>
      </c>
      <c r="AB530" s="49" t="s">
        <v>193</v>
      </c>
      <c r="AC530" s="48" t="s">
        <v>1194</v>
      </c>
      <c r="AD530" s="48" t="s">
        <v>1244</v>
      </c>
      <c r="AE530" s="48" t="s">
        <v>36</v>
      </c>
    </row>
    <row r="531" spans="1:31" x14ac:dyDescent="0.3">
      <c r="A531" s="48" t="s">
        <v>1320</v>
      </c>
      <c r="B531" s="48" t="s">
        <v>6</v>
      </c>
      <c r="C531" s="48" t="s">
        <v>1322</v>
      </c>
      <c r="D531" s="48" t="s">
        <v>1408</v>
      </c>
      <c r="E531" s="50">
        <v>46112</v>
      </c>
      <c r="F531" s="49" t="s">
        <v>1321</v>
      </c>
      <c r="G531" s="48" t="s">
        <v>36</v>
      </c>
      <c r="H531" s="48" t="s">
        <v>54</v>
      </c>
      <c r="I531" s="51">
        <v>-437150.88991500001</v>
      </c>
      <c r="J531" s="51"/>
      <c r="K531" s="51"/>
      <c r="L531" s="48" t="s">
        <v>40</v>
      </c>
      <c r="M531" s="48" t="s">
        <v>1433</v>
      </c>
      <c r="N531" s="48" t="s">
        <v>1447</v>
      </c>
      <c r="O531" s="49" t="s">
        <v>1450</v>
      </c>
      <c r="P531" s="48" t="s">
        <v>38</v>
      </c>
      <c r="Q531" s="48" t="s">
        <v>37</v>
      </c>
      <c r="R531" s="48" t="s">
        <v>1436</v>
      </c>
      <c r="S531" s="48" t="s">
        <v>1436</v>
      </c>
      <c r="T531" s="48" t="s">
        <v>1436</v>
      </c>
      <c r="U531" s="48" t="s">
        <v>38</v>
      </c>
      <c r="V531" s="48" t="s">
        <v>39</v>
      </c>
      <c r="W531" s="48" t="s">
        <v>40</v>
      </c>
      <c r="X531" s="48" t="s">
        <v>41</v>
      </c>
      <c r="Y531" s="48" t="s">
        <v>1436</v>
      </c>
      <c r="Z531" s="48" t="s">
        <v>1436</v>
      </c>
      <c r="AA531" s="48" t="s">
        <v>1436</v>
      </c>
      <c r="AB531" s="49" t="s">
        <v>193</v>
      </c>
      <c r="AC531" s="48" t="s">
        <v>1194</v>
      </c>
      <c r="AD531" s="48" t="s">
        <v>1244</v>
      </c>
      <c r="AE531" s="48" t="s">
        <v>36</v>
      </c>
    </row>
    <row r="532" spans="1:31" x14ac:dyDescent="0.3">
      <c r="A532" s="48" t="s">
        <v>1320</v>
      </c>
      <c r="B532" s="48" t="s">
        <v>6</v>
      </c>
      <c r="C532" s="48" t="s">
        <v>1322</v>
      </c>
      <c r="D532" s="48" t="s">
        <v>1407</v>
      </c>
      <c r="E532" s="50">
        <v>46112</v>
      </c>
      <c r="F532" s="49" t="s">
        <v>1321</v>
      </c>
      <c r="G532" s="48" t="s">
        <v>36</v>
      </c>
      <c r="H532" s="48" t="s">
        <v>47</v>
      </c>
      <c r="I532" s="51">
        <v>8474.1030539999992</v>
      </c>
      <c r="J532" s="51"/>
      <c r="K532" s="51"/>
      <c r="L532" s="48" t="s">
        <v>40</v>
      </c>
      <c r="M532" s="48" t="s">
        <v>1438</v>
      </c>
      <c r="N532" s="48" t="s">
        <v>1444</v>
      </c>
      <c r="O532" s="49" t="s">
        <v>1446</v>
      </c>
      <c r="P532" s="48" t="s">
        <v>38</v>
      </c>
      <c r="Q532" s="48" t="s">
        <v>37</v>
      </c>
      <c r="R532" s="48" t="s">
        <v>1436</v>
      </c>
      <c r="S532" s="48" t="s">
        <v>1436</v>
      </c>
      <c r="T532" s="48" t="s">
        <v>1436</v>
      </c>
      <c r="U532" s="48" t="s">
        <v>38</v>
      </c>
      <c r="V532" s="48" t="s">
        <v>39</v>
      </c>
      <c r="W532" s="48" t="s">
        <v>40</v>
      </c>
      <c r="X532" s="48" t="s">
        <v>41</v>
      </c>
      <c r="Y532" s="48" t="s">
        <v>1436</v>
      </c>
      <c r="Z532" s="48" t="s">
        <v>1436</v>
      </c>
      <c r="AA532" s="48" t="s">
        <v>1436</v>
      </c>
      <c r="AB532" s="49" t="s">
        <v>193</v>
      </c>
      <c r="AC532" s="48" t="s">
        <v>1194</v>
      </c>
      <c r="AD532" s="48" t="s">
        <v>1244</v>
      </c>
      <c r="AE532" s="48" t="s">
        <v>36</v>
      </c>
    </row>
    <row r="533" spans="1:31" x14ac:dyDescent="0.3">
      <c r="A533" s="48" t="s">
        <v>1320</v>
      </c>
      <c r="B533" s="48" t="s">
        <v>6</v>
      </c>
      <c r="C533" s="48" t="s">
        <v>1322</v>
      </c>
      <c r="D533" s="48" t="s">
        <v>1406</v>
      </c>
      <c r="E533" s="50">
        <v>46112</v>
      </c>
      <c r="F533" s="49" t="s">
        <v>1321</v>
      </c>
      <c r="G533" s="48" t="s">
        <v>36</v>
      </c>
      <c r="H533" s="48" t="s">
        <v>1441</v>
      </c>
      <c r="I533" s="51">
        <v>0</v>
      </c>
      <c r="J533" s="51"/>
      <c r="K533" s="51"/>
      <c r="L533" s="48" t="s">
        <v>1194</v>
      </c>
      <c r="M533" s="48" t="s">
        <v>1438</v>
      </c>
      <c r="N533" s="48" t="s">
        <v>1439</v>
      </c>
      <c r="O533" s="49" t="s">
        <v>1440</v>
      </c>
      <c r="P533" s="48" t="s">
        <v>38</v>
      </c>
      <c r="Q533" s="48" t="s">
        <v>37</v>
      </c>
      <c r="R533" s="48" t="s">
        <v>1436</v>
      </c>
      <c r="S533" s="48" t="s">
        <v>1436</v>
      </c>
      <c r="T533" s="48" t="s">
        <v>1436</v>
      </c>
      <c r="U533" s="48" t="s">
        <v>38</v>
      </c>
      <c r="V533" s="48" t="s">
        <v>39</v>
      </c>
      <c r="W533" s="48" t="s">
        <v>1194</v>
      </c>
      <c r="X533" s="48" t="s">
        <v>41</v>
      </c>
      <c r="Y533" s="48" t="s">
        <v>1436</v>
      </c>
      <c r="Z533" s="48" t="s">
        <v>1436</v>
      </c>
      <c r="AA533" s="48" t="s">
        <v>1436</v>
      </c>
      <c r="AB533" s="49" t="s">
        <v>193</v>
      </c>
      <c r="AC533" s="48" t="s">
        <v>1194</v>
      </c>
      <c r="AD533" s="48" t="s">
        <v>1244</v>
      </c>
      <c r="AE533" s="48" t="s">
        <v>36</v>
      </c>
    </row>
    <row r="534" spans="1:31" x14ac:dyDescent="0.3">
      <c r="A534" s="48" t="s">
        <v>1320</v>
      </c>
      <c r="B534" s="48" t="s">
        <v>6</v>
      </c>
      <c r="C534" s="48" t="s">
        <v>1322</v>
      </c>
      <c r="D534" s="48" t="s">
        <v>1405</v>
      </c>
      <c r="E534" s="50">
        <v>46112</v>
      </c>
      <c r="F534" s="49" t="s">
        <v>1321</v>
      </c>
      <c r="G534" s="48" t="s">
        <v>36</v>
      </c>
      <c r="H534" s="48" t="s">
        <v>1443</v>
      </c>
      <c r="I534" s="51">
        <v>0</v>
      </c>
      <c r="J534" s="51"/>
      <c r="K534" s="51"/>
      <c r="L534" s="48" t="s">
        <v>1194</v>
      </c>
      <c r="M534" s="48" t="s">
        <v>1438</v>
      </c>
      <c r="N534" s="48" t="s">
        <v>1439</v>
      </c>
      <c r="O534" s="49" t="s">
        <v>1442</v>
      </c>
      <c r="P534" s="48" t="s">
        <v>38</v>
      </c>
      <c r="Q534" s="48" t="s">
        <v>37</v>
      </c>
      <c r="R534" s="48" t="s">
        <v>1436</v>
      </c>
      <c r="S534" s="48" t="s">
        <v>1436</v>
      </c>
      <c r="T534" s="48" t="s">
        <v>1436</v>
      </c>
      <c r="U534" s="48" t="s">
        <v>38</v>
      </c>
      <c r="V534" s="48" t="s">
        <v>39</v>
      </c>
      <c r="W534" s="48" t="s">
        <v>1194</v>
      </c>
      <c r="X534" s="48" t="s">
        <v>41</v>
      </c>
      <c r="Y534" s="48" t="s">
        <v>1436</v>
      </c>
      <c r="Z534" s="48" t="s">
        <v>1436</v>
      </c>
      <c r="AA534" s="48" t="s">
        <v>1436</v>
      </c>
      <c r="AB534" s="49" t="s">
        <v>193</v>
      </c>
      <c r="AC534" s="48" t="s">
        <v>1194</v>
      </c>
      <c r="AD534" s="48" t="s">
        <v>1244</v>
      </c>
      <c r="AE534" s="48" t="s">
        <v>36</v>
      </c>
    </row>
    <row r="535" spans="1:31" x14ac:dyDescent="0.3">
      <c r="A535" s="48" t="s">
        <v>1320</v>
      </c>
      <c r="B535" s="48" t="s">
        <v>6</v>
      </c>
      <c r="C535" s="48" t="s">
        <v>1322</v>
      </c>
      <c r="D535" s="48" t="s">
        <v>1404</v>
      </c>
      <c r="E535" s="50">
        <v>46112</v>
      </c>
      <c r="F535" s="49" t="s">
        <v>1321</v>
      </c>
      <c r="G535" s="48" t="s">
        <v>36</v>
      </c>
      <c r="H535" s="48" t="s">
        <v>49</v>
      </c>
      <c r="I535" s="51">
        <v>-2550.0468580000002</v>
      </c>
      <c r="J535" s="51"/>
      <c r="K535" s="51"/>
      <c r="L535" s="48" t="s">
        <v>38</v>
      </c>
      <c r="M535" s="48" t="s">
        <v>1433</v>
      </c>
      <c r="N535" s="48" t="s">
        <v>1447</v>
      </c>
      <c r="O535" s="49" t="s">
        <v>1451</v>
      </c>
      <c r="P535" s="48" t="s">
        <v>38</v>
      </c>
      <c r="Q535" s="48" t="s">
        <v>37</v>
      </c>
      <c r="R535" s="48" t="s">
        <v>1436</v>
      </c>
      <c r="S535" s="48" t="s">
        <v>1436</v>
      </c>
      <c r="T535" s="48" t="s">
        <v>1436</v>
      </c>
      <c r="U535" s="48" t="s">
        <v>38</v>
      </c>
      <c r="V535" s="48" t="s">
        <v>39</v>
      </c>
      <c r="W535" s="48" t="s">
        <v>38</v>
      </c>
      <c r="X535" s="48" t="s">
        <v>41</v>
      </c>
      <c r="Y535" s="48" t="s">
        <v>1436</v>
      </c>
      <c r="Z535" s="48" t="s">
        <v>1436</v>
      </c>
      <c r="AA535" s="48" t="s">
        <v>1436</v>
      </c>
      <c r="AB535" s="49" t="s">
        <v>193</v>
      </c>
      <c r="AC535" s="48" t="s">
        <v>1194</v>
      </c>
      <c r="AD535" s="48" t="s">
        <v>1244</v>
      </c>
      <c r="AE535" s="48" t="s">
        <v>36</v>
      </c>
    </row>
    <row r="536" spans="1:31" x14ac:dyDescent="0.3">
      <c r="A536" s="48" t="s">
        <v>1320</v>
      </c>
      <c r="B536" s="48" t="s">
        <v>6</v>
      </c>
      <c r="C536" s="48" t="s">
        <v>1322</v>
      </c>
      <c r="D536" s="48" t="s">
        <v>1413</v>
      </c>
      <c r="E536" s="50">
        <v>46142</v>
      </c>
      <c r="F536" s="49" t="s">
        <v>1321</v>
      </c>
      <c r="G536" s="48" t="s">
        <v>36</v>
      </c>
      <c r="H536" s="48" t="s">
        <v>58</v>
      </c>
      <c r="I536" s="51">
        <v>-2600000</v>
      </c>
      <c r="J536" s="51"/>
      <c r="K536" s="51"/>
      <c r="L536" s="48" t="s">
        <v>40</v>
      </c>
      <c r="M536" s="48" t="s">
        <v>1433</v>
      </c>
      <c r="N536" s="48" t="s">
        <v>1447</v>
      </c>
      <c r="O536" s="49" t="s">
        <v>1448</v>
      </c>
      <c r="P536" s="48" t="s">
        <v>38</v>
      </c>
      <c r="Q536" s="48" t="s">
        <v>37</v>
      </c>
      <c r="R536" s="48" t="s">
        <v>1436</v>
      </c>
      <c r="S536" s="48" t="s">
        <v>1436</v>
      </c>
      <c r="T536" s="48" t="s">
        <v>1436</v>
      </c>
      <c r="U536" s="48" t="s">
        <v>38</v>
      </c>
      <c r="V536" s="48" t="s">
        <v>39</v>
      </c>
      <c r="W536" s="48" t="s">
        <v>40</v>
      </c>
      <c r="X536" s="48" t="s">
        <v>41</v>
      </c>
      <c r="Y536" s="48" t="s">
        <v>1436</v>
      </c>
      <c r="Z536" s="48" t="s">
        <v>1436</v>
      </c>
      <c r="AA536" s="48" t="s">
        <v>1436</v>
      </c>
      <c r="AB536" s="49" t="s">
        <v>193</v>
      </c>
      <c r="AC536" s="48" t="s">
        <v>1194</v>
      </c>
      <c r="AD536" s="48" t="s">
        <v>1244</v>
      </c>
      <c r="AE536" s="48" t="s">
        <v>36</v>
      </c>
    </row>
    <row r="537" spans="1:31" x14ac:dyDescent="0.3">
      <c r="A537" s="48" t="s">
        <v>1320</v>
      </c>
      <c r="B537" s="48" t="s">
        <v>6</v>
      </c>
      <c r="C537" s="48" t="s">
        <v>1322</v>
      </c>
      <c r="D537" s="48" t="s">
        <v>1412</v>
      </c>
      <c r="E537" s="50">
        <v>46142</v>
      </c>
      <c r="F537" s="49" t="s">
        <v>1321</v>
      </c>
      <c r="G537" s="48" t="s">
        <v>36</v>
      </c>
      <c r="H537" s="48" t="s">
        <v>52</v>
      </c>
      <c r="I537" s="51">
        <v>-2201185.5</v>
      </c>
      <c r="J537" s="51"/>
      <c r="K537" s="51"/>
      <c r="L537" s="48" t="s">
        <v>40</v>
      </c>
      <c r="M537" s="48" t="s">
        <v>1433</v>
      </c>
      <c r="N537" s="48" t="s">
        <v>1434</v>
      </c>
      <c r="O537" s="49" t="s">
        <v>1435</v>
      </c>
      <c r="P537" s="48" t="s">
        <v>38</v>
      </c>
      <c r="Q537" s="48" t="s">
        <v>37</v>
      </c>
      <c r="R537" s="48" t="s">
        <v>1436</v>
      </c>
      <c r="S537" s="48" t="s">
        <v>1436</v>
      </c>
      <c r="T537" s="48" t="s">
        <v>1436</v>
      </c>
      <c r="U537" s="48" t="s">
        <v>38</v>
      </c>
      <c r="V537" s="48" t="s">
        <v>39</v>
      </c>
      <c r="W537" s="48" t="s">
        <v>40</v>
      </c>
      <c r="X537" s="48" t="s">
        <v>41</v>
      </c>
      <c r="Y537" s="48" t="s">
        <v>1436</v>
      </c>
      <c r="Z537" s="48" t="s">
        <v>1436</v>
      </c>
      <c r="AA537" s="48" t="s">
        <v>1436</v>
      </c>
      <c r="AB537" s="49" t="s">
        <v>193</v>
      </c>
      <c r="AC537" s="48" t="s">
        <v>1194</v>
      </c>
      <c r="AD537" s="48" t="s">
        <v>1244</v>
      </c>
      <c r="AE537" s="48" t="s">
        <v>36</v>
      </c>
    </row>
    <row r="538" spans="1:31" x14ac:dyDescent="0.3">
      <c r="A538" s="48" t="s">
        <v>1320</v>
      </c>
      <c r="B538" s="48" t="s">
        <v>6</v>
      </c>
      <c r="C538" s="48" t="s">
        <v>1322</v>
      </c>
      <c r="D538" s="48" t="s">
        <v>1411</v>
      </c>
      <c r="E538" s="50">
        <v>46142</v>
      </c>
      <c r="F538" s="49" t="s">
        <v>1321</v>
      </c>
      <c r="G538" s="48" t="s">
        <v>36</v>
      </c>
      <c r="H538" s="48" t="s">
        <v>50</v>
      </c>
      <c r="I538" s="51">
        <v>169321.96</v>
      </c>
      <c r="J538" s="51"/>
      <c r="K538" s="51"/>
      <c r="L538" s="48" t="s">
        <v>40</v>
      </c>
      <c r="M538" s="48" t="s">
        <v>1438</v>
      </c>
      <c r="N538" s="48" t="s">
        <v>1444</v>
      </c>
      <c r="O538" s="49" t="s">
        <v>1445</v>
      </c>
      <c r="P538" s="48" t="s">
        <v>38</v>
      </c>
      <c r="Q538" s="48" t="s">
        <v>37</v>
      </c>
      <c r="R538" s="48" t="s">
        <v>1436</v>
      </c>
      <c r="S538" s="48" t="s">
        <v>1436</v>
      </c>
      <c r="T538" s="48" t="s">
        <v>1436</v>
      </c>
      <c r="U538" s="48" t="s">
        <v>38</v>
      </c>
      <c r="V538" s="48" t="s">
        <v>39</v>
      </c>
      <c r="W538" s="48" t="s">
        <v>40</v>
      </c>
      <c r="X538" s="48" t="s">
        <v>41</v>
      </c>
      <c r="Y538" s="48" t="s">
        <v>1436</v>
      </c>
      <c r="Z538" s="48" t="s">
        <v>1436</v>
      </c>
      <c r="AA538" s="48" t="s">
        <v>1436</v>
      </c>
      <c r="AB538" s="49" t="s">
        <v>193</v>
      </c>
      <c r="AC538" s="48" t="s">
        <v>1194</v>
      </c>
      <c r="AD538" s="48" t="s">
        <v>1244</v>
      </c>
      <c r="AE538" s="48" t="s">
        <v>36</v>
      </c>
    </row>
    <row r="539" spans="1:31" x14ac:dyDescent="0.3">
      <c r="A539" s="48" t="s">
        <v>1320</v>
      </c>
      <c r="B539" s="48" t="s">
        <v>6</v>
      </c>
      <c r="C539" s="48" t="s">
        <v>1322</v>
      </c>
      <c r="D539" s="48" t="s">
        <v>1410</v>
      </c>
      <c r="E539" s="50">
        <v>46142</v>
      </c>
      <c r="F539" s="49" t="s">
        <v>1321</v>
      </c>
      <c r="G539" s="48" t="s">
        <v>36</v>
      </c>
      <c r="H539" s="48" t="s">
        <v>42</v>
      </c>
      <c r="I539" s="51">
        <v>2539829.423163</v>
      </c>
      <c r="J539" s="51"/>
      <c r="K539" s="51"/>
      <c r="L539" s="48" t="s">
        <v>40</v>
      </c>
      <c r="M539" s="48" t="s">
        <v>1433</v>
      </c>
      <c r="N539" s="48" t="s">
        <v>1434</v>
      </c>
      <c r="O539" s="49" t="s">
        <v>1437</v>
      </c>
      <c r="P539" s="48" t="s">
        <v>38</v>
      </c>
      <c r="Q539" s="48" t="s">
        <v>37</v>
      </c>
      <c r="R539" s="48" t="s">
        <v>1436</v>
      </c>
      <c r="S539" s="48" t="s">
        <v>1436</v>
      </c>
      <c r="T539" s="48" t="s">
        <v>1436</v>
      </c>
      <c r="U539" s="48" t="s">
        <v>38</v>
      </c>
      <c r="V539" s="48" t="s">
        <v>39</v>
      </c>
      <c r="W539" s="48" t="s">
        <v>40</v>
      </c>
      <c r="X539" s="48" t="s">
        <v>41</v>
      </c>
      <c r="Y539" s="48" t="s">
        <v>1436</v>
      </c>
      <c r="Z539" s="48" t="s">
        <v>1436</v>
      </c>
      <c r="AA539" s="48" t="s">
        <v>1436</v>
      </c>
      <c r="AB539" s="49" t="s">
        <v>193</v>
      </c>
      <c r="AC539" s="48" t="s">
        <v>1194</v>
      </c>
      <c r="AD539" s="48" t="s">
        <v>1244</v>
      </c>
      <c r="AE539" s="48" t="s">
        <v>36</v>
      </c>
    </row>
    <row r="540" spans="1:31" x14ac:dyDescent="0.3">
      <c r="A540" s="48" t="s">
        <v>1320</v>
      </c>
      <c r="B540" s="48" t="s">
        <v>6</v>
      </c>
      <c r="C540" s="48" t="s">
        <v>1322</v>
      </c>
      <c r="D540" s="48" t="s">
        <v>1409</v>
      </c>
      <c r="E540" s="50">
        <v>46142</v>
      </c>
      <c r="F540" s="49" t="s">
        <v>1321</v>
      </c>
      <c r="G540" s="48" t="s">
        <v>36</v>
      </c>
      <c r="H540" s="48" t="s">
        <v>45</v>
      </c>
      <c r="I540" s="51">
        <v>1.9999999999999999E-6</v>
      </c>
      <c r="J540" s="51"/>
      <c r="K540" s="51"/>
      <c r="L540" s="48" t="s">
        <v>40</v>
      </c>
      <c r="M540" s="48" t="s">
        <v>1433</v>
      </c>
      <c r="N540" s="48" t="s">
        <v>1447</v>
      </c>
      <c r="O540" s="49" t="s">
        <v>1449</v>
      </c>
      <c r="P540" s="48" t="s">
        <v>38</v>
      </c>
      <c r="Q540" s="48" t="s">
        <v>37</v>
      </c>
      <c r="R540" s="48" t="s">
        <v>1436</v>
      </c>
      <c r="S540" s="48" t="s">
        <v>1436</v>
      </c>
      <c r="T540" s="48" t="s">
        <v>1436</v>
      </c>
      <c r="U540" s="48" t="s">
        <v>38</v>
      </c>
      <c r="V540" s="48" t="s">
        <v>39</v>
      </c>
      <c r="W540" s="48" t="s">
        <v>40</v>
      </c>
      <c r="X540" s="48" t="s">
        <v>41</v>
      </c>
      <c r="Y540" s="48" t="s">
        <v>1436</v>
      </c>
      <c r="Z540" s="48" t="s">
        <v>1436</v>
      </c>
      <c r="AA540" s="48" t="s">
        <v>1436</v>
      </c>
      <c r="AB540" s="49" t="s">
        <v>193</v>
      </c>
      <c r="AC540" s="48" t="s">
        <v>1194</v>
      </c>
      <c r="AD540" s="48" t="s">
        <v>1244</v>
      </c>
      <c r="AE540" s="48" t="s">
        <v>36</v>
      </c>
    </row>
    <row r="541" spans="1:31" x14ac:dyDescent="0.3">
      <c r="A541" s="48" t="s">
        <v>1320</v>
      </c>
      <c r="B541" s="48" t="s">
        <v>6</v>
      </c>
      <c r="C541" s="48" t="s">
        <v>1322</v>
      </c>
      <c r="D541" s="48" t="s">
        <v>1408</v>
      </c>
      <c r="E541" s="50">
        <v>46142</v>
      </c>
      <c r="F541" s="49" t="s">
        <v>1321</v>
      </c>
      <c r="G541" s="48" t="s">
        <v>36</v>
      </c>
      <c r="H541" s="48" t="s">
        <v>54</v>
      </c>
      <c r="I541" s="51">
        <v>-389700.93677299999</v>
      </c>
      <c r="J541" s="51"/>
      <c r="K541" s="51"/>
      <c r="L541" s="48" t="s">
        <v>40</v>
      </c>
      <c r="M541" s="48" t="s">
        <v>1433</v>
      </c>
      <c r="N541" s="48" t="s">
        <v>1447</v>
      </c>
      <c r="O541" s="49" t="s">
        <v>1450</v>
      </c>
      <c r="P541" s="48" t="s">
        <v>38</v>
      </c>
      <c r="Q541" s="48" t="s">
        <v>37</v>
      </c>
      <c r="R541" s="48" t="s">
        <v>1436</v>
      </c>
      <c r="S541" s="48" t="s">
        <v>1436</v>
      </c>
      <c r="T541" s="48" t="s">
        <v>1436</v>
      </c>
      <c r="U541" s="48" t="s">
        <v>38</v>
      </c>
      <c r="V541" s="48" t="s">
        <v>39</v>
      </c>
      <c r="W541" s="48" t="s">
        <v>40</v>
      </c>
      <c r="X541" s="48" t="s">
        <v>41</v>
      </c>
      <c r="Y541" s="48" t="s">
        <v>1436</v>
      </c>
      <c r="Z541" s="48" t="s">
        <v>1436</v>
      </c>
      <c r="AA541" s="48" t="s">
        <v>1436</v>
      </c>
      <c r="AB541" s="49" t="s">
        <v>193</v>
      </c>
      <c r="AC541" s="48" t="s">
        <v>1194</v>
      </c>
      <c r="AD541" s="48" t="s">
        <v>1244</v>
      </c>
      <c r="AE541" s="48" t="s">
        <v>36</v>
      </c>
    </row>
    <row r="542" spans="1:31" x14ac:dyDescent="0.3">
      <c r="A542" s="48" t="s">
        <v>1320</v>
      </c>
      <c r="B542" s="48" t="s">
        <v>6</v>
      </c>
      <c r="C542" s="48" t="s">
        <v>1322</v>
      </c>
      <c r="D542" s="48" t="s">
        <v>1407</v>
      </c>
      <c r="E542" s="50">
        <v>46142</v>
      </c>
      <c r="F542" s="49" t="s">
        <v>1321</v>
      </c>
      <c r="G542" s="48" t="s">
        <v>36</v>
      </c>
      <c r="H542" s="48" t="s">
        <v>47</v>
      </c>
      <c r="I542" s="51">
        <v>10747.358517999999</v>
      </c>
      <c r="J542" s="51"/>
      <c r="K542" s="51"/>
      <c r="L542" s="48" t="s">
        <v>40</v>
      </c>
      <c r="M542" s="48" t="s">
        <v>1438</v>
      </c>
      <c r="N542" s="48" t="s">
        <v>1444</v>
      </c>
      <c r="O542" s="49" t="s">
        <v>1446</v>
      </c>
      <c r="P542" s="48" t="s">
        <v>38</v>
      </c>
      <c r="Q542" s="48" t="s">
        <v>37</v>
      </c>
      <c r="R542" s="48" t="s">
        <v>1436</v>
      </c>
      <c r="S542" s="48" t="s">
        <v>1436</v>
      </c>
      <c r="T542" s="48" t="s">
        <v>1436</v>
      </c>
      <c r="U542" s="48" t="s">
        <v>38</v>
      </c>
      <c r="V542" s="48" t="s">
        <v>39</v>
      </c>
      <c r="W542" s="48" t="s">
        <v>40</v>
      </c>
      <c r="X542" s="48" t="s">
        <v>41</v>
      </c>
      <c r="Y542" s="48" t="s">
        <v>1436</v>
      </c>
      <c r="Z542" s="48" t="s">
        <v>1436</v>
      </c>
      <c r="AA542" s="48" t="s">
        <v>1436</v>
      </c>
      <c r="AB542" s="49" t="s">
        <v>193</v>
      </c>
      <c r="AC542" s="48" t="s">
        <v>1194</v>
      </c>
      <c r="AD542" s="48" t="s">
        <v>1244</v>
      </c>
      <c r="AE542" s="48" t="s">
        <v>36</v>
      </c>
    </row>
    <row r="543" spans="1:31" x14ac:dyDescent="0.3">
      <c r="A543" s="48" t="s">
        <v>1320</v>
      </c>
      <c r="B543" s="48" t="s">
        <v>6</v>
      </c>
      <c r="C543" s="48" t="s">
        <v>1322</v>
      </c>
      <c r="D543" s="48" t="s">
        <v>1406</v>
      </c>
      <c r="E543" s="50">
        <v>46142</v>
      </c>
      <c r="F543" s="49" t="s">
        <v>1321</v>
      </c>
      <c r="G543" s="48" t="s">
        <v>36</v>
      </c>
      <c r="H543" s="48" t="s">
        <v>1441</v>
      </c>
      <c r="I543" s="51">
        <v>0</v>
      </c>
      <c r="J543" s="51"/>
      <c r="K543" s="51"/>
      <c r="L543" s="48" t="s">
        <v>1194</v>
      </c>
      <c r="M543" s="48" t="s">
        <v>1438</v>
      </c>
      <c r="N543" s="48" t="s">
        <v>1439</v>
      </c>
      <c r="O543" s="49" t="s">
        <v>1440</v>
      </c>
      <c r="P543" s="48" t="s">
        <v>38</v>
      </c>
      <c r="Q543" s="48" t="s">
        <v>37</v>
      </c>
      <c r="R543" s="48" t="s">
        <v>1436</v>
      </c>
      <c r="S543" s="48" t="s">
        <v>1436</v>
      </c>
      <c r="T543" s="48" t="s">
        <v>1436</v>
      </c>
      <c r="U543" s="48" t="s">
        <v>38</v>
      </c>
      <c r="V543" s="48" t="s">
        <v>39</v>
      </c>
      <c r="W543" s="48" t="s">
        <v>1194</v>
      </c>
      <c r="X543" s="48" t="s">
        <v>41</v>
      </c>
      <c r="Y543" s="48" t="s">
        <v>1436</v>
      </c>
      <c r="Z543" s="48" t="s">
        <v>1436</v>
      </c>
      <c r="AA543" s="48" t="s">
        <v>1436</v>
      </c>
      <c r="AB543" s="49" t="s">
        <v>193</v>
      </c>
      <c r="AC543" s="48" t="s">
        <v>1194</v>
      </c>
      <c r="AD543" s="48" t="s">
        <v>1244</v>
      </c>
      <c r="AE543" s="48" t="s">
        <v>36</v>
      </c>
    </row>
    <row r="544" spans="1:31" x14ac:dyDescent="0.3">
      <c r="A544" s="48" t="s">
        <v>1320</v>
      </c>
      <c r="B544" s="48" t="s">
        <v>6</v>
      </c>
      <c r="C544" s="48" t="s">
        <v>1322</v>
      </c>
      <c r="D544" s="48" t="s">
        <v>1405</v>
      </c>
      <c r="E544" s="50">
        <v>46142</v>
      </c>
      <c r="F544" s="49" t="s">
        <v>1321</v>
      </c>
      <c r="G544" s="48" t="s">
        <v>36</v>
      </c>
      <c r="H544" s="48" t="s">
        <v>1443</v>
      </c>
      <c r="I544" s="51">
        <v>0</v>
      </c>
      <c r="J544" s="51"/>
      <c r="K544" s="51"/>
      <c r="L544" s="48" t="s">
        <v>1194</v>
      </c>
      <c r="M544" s="48" t="s">
        <v>1438</v>
      </c>
      <c r="N544" s="48" t="s">
        <v>1439</v>
      </c>
      <c r="O544" s="49" t="s">
        <v>1442</v>
      </c>
      <c r="P544" s="48" t="s">
        <v>38</v>
      </c>
      <c r="Q544" s="48" t="s">
        <v>37</v>
      </c>
      <c r="R544" s="48" t="s">
        <v>1436</v>
      </c>
      <c r="S544" s="48" t="s">
        <v>1436</v>
      </c>
      <c r="T544" s="48" t="s">
        <v>1436</v>
      </c>
      <c r="U544" s="48" t="s">
        <v>38</v>
      </c>
      <c r="V544" s="48" t="s">
        <v>39</v>
      </c>
      <c r="W544" s="48" t="s">
        <v>1194</v>
      </c>
      <c r="X544" s="48" t="s">
        <v>41</v>
      </c>
      <c r="Y544" s="48" t="s">
        <v>1436</v>
      </c>
      <c r="Z544" s="48" t="s">
        <v>1436</v>
      </c>
      <c r="AA544" s="48" t="s">
        <v>1436</v>
      </c>
      <c r="AB544" s="49" t="s">
        <v>193</v>
      </c>
      <c r="AC544" s="48" t="s">
        <v>1194</v>
      </c>
      <c r="AD544" s="48" t="s">
        <v>1244</v>
      </c>
      <c r="AE544" s="48" t="s">
        <v>36</v>
      </c>
    </row>
    <row r="545" spans="1:31" x14ac:dyDescent="0.3">
      <c r="A545" s="48" t="s">
        <v>1320</v>
      </c>
      <c r="B545" s="48" t="s">
        <v>6</v>
      </c>
      <c r="C545" s="48" t="s">
        <v>1322</v>
      </c>
      <c r="D545" s="48" t="s">
        <v>1404</v>
      </c>
      <c r="E545" s="50">
        <v>46142</v>
      </c>
      <c r="F545" s="49" t="s">
        <v>1321</v>
      </c>
      <c r="G545" s="48" t="s">
        <v>36</v>
      </c>
      <c r="H545" s="48" t="s">
        <v>49</v>
      </c>
      <c r="I545" s="51">
        <v>-2273.2554639999998</v>
      </c>
      <c r="J545" s="51"/>
      <c r="K545" s="51"/>
      <c r="L545" s="48" t="s">
        <v>38</v>
      </c>
      <c r="M545" s="48" t="s">
        <v>1433</v>
      </c>
      <c r="N545" s="48" t="s">
        <v>1447</v>
      </c>
      <c r="O545" s="49" t="s">
        <v>1451</v>
      </c>
      <c r="P545" s="48" t="s">
        <v>38</v>
      </c>
      <c r="Q545" s="48" t="s">
        <v>37</v>
      </c>
      <c r="R545" s="48" t="s">
        <v>1436</v>
      </c>
      <c r="S545" s="48" t="s">
        <v>1436</v>
      </c>
      <c r="T545" s="48" t="s">
        <v>1436</v>
      </c>
      <c r="U545" s="48" t="s">
        <v>38</v>
      </c>
      <c r="V545" s="48" t="s">
        <v>39</v>
      </c>
      <c r="W545" s="48" t="s">
        <v>38</v>
      </c>
      <c r="X545" s="48" t="s">
        <v>41</v>
      </c>
      <c r="Y545" s="48" t="s">
        <v>1436</v>
      </c>
      <c r="Z545" s="48" t="s">
        <v>1436</v>
      </c>
      <c r="AA545" s="48" t="s">
        <v>1436</v>
      </c>
      <c r="AB545" s="49" t="s">
        <v>193</v>
      </c>
      <c r="AC545" s="48" t="s">
        <v>1194</v>
      </c>
      <c r="AD545" s="48" t="s">
        <v>1244</v>
      </c>
      <c r="AE545" s="48" t="s">
        <v>36</v>
      </c>
    </row>
    <row r="546" spans="1:31" x14ac:dyDescent="0.3">
      <c r="A546" s="48" t="s">
        <v>1320</v>
      </c>
      <c r="B546" s="48" t="s">
        <v>6</v>
      </c>
      <c r="C546" s="48" t="s">
        <v>1322</v>
      </c>
      <c r="D546" s="48" t="s">
        <v>1413</v>
      </c>
      <c r="E546" s="50">
        <v>46173</v>
      </c>
      <c r="F546" s="49" t="s">
        <v>1321</v>
      </c>
      <c r="G546" s="48" t="s">
        <v>36</v>
      </c>
      <c r="H546" s="48" t="s">
        <v>58</v>
      </c>
      <c r="I546" s="51">
        <v>-2650000</v>
      </c>
      <c r="J546" s="51"/>
      <c r="K546" s="51"/>
      <c r="L546" s="48" t="s">
        <v>40</v>
      </c>
      <c r="M546" s="48" t="s">
        <v>1433</v>
      </c>
      <c r="N546" s="48" t="s">
        <v>1447</v>
      </c>
      <c r="O546" s="49" t="s">
        <v>1448</v>
      </c>
      <c r="P546" s="48" t="s">
        <v>38</v>
      </c>
      <c r="Q546" s="48" t="s">
        <v>37</v>
      </c>
      <c r="R546" s="48" t="s">
        <v>1436</v>
      </c>
      <c r="S546" s="48" t="s">
        <v>1436</v>
      </c>
      <c r="T546" s="48" t="s">
        <v>1436</v>
      </c>
      <c r="U546" s="48" t="s">
        <v>38</v>
      </c>
      <c r="V546" s="48" t="s">
        <v>39</v>
      </c>
      <c r="W546" s="48" t="s">
        <v>40</v>
      </c>
      <c r="X546" s="48" t="s">
        <v>41</v>
      </c>
      <c r="Y546" s="48" t="s">
        <v>1436</v>
      </c>
      <c r="Z546" s="48" t="s">
        <v>1436</v>
      </c>
      <c r="AA546" s="48" t="s">
        <v>1436</v>
      </c>
      <c r="AB546" s="49" t="s">
        <v>193</v>
      </c>
      <c r="AC546" s="48" t="s">
        <v>1194</v>
      </c>
      <c r="AD546" s="48" t="s">
        <v>1244</v>
      </c>
      <c r="AE546" s="48" t="s">
        <v>36</v>
      </c>
    </row>
    <row r="547" spans="1:31" x14ac:dyDescent="0.3">
      <c r="A547" s="48" t="s">
        <v>1320</v>
      </c>
      <c r="B547" s="48" t="s">
        <v>6</v>
      </c>
      <c r="C547" s="48" t="s">
        <v>1322</v>
      </c>
      <c r="D547" s="48" t="s">
        <v>1412</v>
      </c>
      <c r="E547" s="50">
        <v>46173</v>
      </c>
      <c r="F547" s="49" t="s">
        <v>1321</v>
      </c>
      <c r="G547" s="48" t="s">
        <v>36</v>
      </c>
      <c r="H547" s="48" t="s">
        <v>52</v>
      </c>
      <c r="I547" s="51">
        <v>-2243515.9900000002</v>
      </c>
      <c r="J547" s="51"/>
      <c r="K547" s="51"/>
      <c r="L547" s="48" t="s">
        <v>40</v>
      </c>
      <c r="M547" s="48" t="s">
        <v>1433</v>
      </c>
      <c r="N547" s="48" t="s">
        <v>1434</v>
      </c>
      <c r="O547" s="49" t="s">
        <v>1435</v>
      </c>
      <c r="P547" s="48" t="s">
        <v>38</v>
      </c>
      <c r="Q547" s="48" t="s">
        <v>37</v>
      </c>
      <c r="R547" s="48" t="s">
        <v>1436</v>
      </c>
      <c r="S547" s="48" t="s">
        <v>1436</v>
      </c>
      <c r="T547" s="48" t="s">
        <v>1436</v>
      </c>
      <c r="U547" s="48" t="s">
        <v>38</v>
      </c>
      <c r="V547" s="48" t="s">
        <v>39</v>
      </c>
      <c r="W547" s="48" t="s">
        <v>40</v>
      </c>
      <c r="X547" s="48" t="s">
        <v>41</v>
      </c>
      <c r="Y547" s="48" t="s">
        <v>1436</v>
      </c>
      <c r="Z547" s="48" t="s">
        <v>1436</v>
      </c>
      <c r="AA547" s="48" t="s">
        <v>1436</v>
      </c>
      <c r="AB547" s="49" t="s">
        <v>193</v>
      </c>
      <c r="AC547" s="48" t="s">
        <v>1194</v>
      </c>
      <c r="AD547" s="48" t="s">
        <v>1244</v>
      </c>
      <c r="AE547" s="48" t="s">
        <v>36</v>
      </c>
    </row>
    <row r="548" spans="1:31" x14ac:dyDescent="0.3">
      <c r="A548" s="48" t="s">
        <v>1320</v>
      </c>
      <c r="B548" s="48" t="s">
        <v>6</v>
      </c>
      <c r="C548" s="48" t="s">
        <v>1322</v>
      </c>
      <c r="D548" s="48" t="s">
        <v>1411</v>
      </c>
      <c r="E548" s="50">
        <v>46173</v>
      </c>
      <c r="F548" s="49" t="s">
        <v>1321</v>
      </c>
      <c r="G548" s="48" t="s">
        <v>36</v>
      </c>
      <c r="H548" s="48" t="s">
        <v>50</v>
      </c>
      <c r="I548" s="51">
        <v>211652.45</v>
      </c>
      <c r="J548" s="51"/>
      <c r="K548" s="51"/>
      <c r="L548" s="48" t="s">
        <v>40</v>
      </c>
      <c r="M548" s="48" t="s">
        <v>1438</v>
      </c>
      <c r="N548" s="48" t="s">
        <v>1444</v>
      </c>
      <c r="O548" s="49" t="s">
        <v>1445</v>
      </c>
      <c r="P548" s="48" t="s">
        <v>38</v>
      </c>
      <c r="Q548" s="48" t="s">
        <v>37</v>
      </c>
      <c r="R548" s="48" t="s">
        <v>1436</v>
      </c>
      <c r="S548" s="48" t="s">
        <v>1436</v>
      </c>
      <c r="T548" s="48" t="s">
        <v>1436</v>
      </c>
      <c r="U548" s="48" t="s">
        <v>38</v>
      </c>
      <c r="V548" s="48" t="s">
        <v>39</v>
      </c>
      <c r="W548" s="48" t="s">
        <v>40</v>
      </c>
      <c r="X548" s="48" t="s">
        <v>41</v>
      </c>
      <c r="Y548" s="48" t="s">
        <v>1436</v>
      </c>
      <c r="Z548" s="48" t="s">
        <v>1436</v>
      </c>
      <c r="AA548" s="48" t="s">
        <v>1436</v>
      </c>
      <c r="AB548" s="49" t="s">
        <v>193</v>
      </c>
      <c r="AC548" s="48" t="s">
        <v>1194</v>
      </c>
      <c r="AD548" s="48" t="s">
        <v>1244</v>
      </c>
      <c r="AE548" s="48" t="s">
        <v>36</v>
      </c>
    </row>
    <row r="549" spans="1:31" x14ac:dyDescent="0.3">
      <c r="A549" s="48" t="s">
        <v>1320</v>
      </c>
      <c r="B549" s="48" t="s">
        <v>6</v>
      </c>
      <c r="C549" s="48" t="s">
        <v>1322</v>
      </c>
      <c r="D549" s="48" t="s">
        <v>1410</v>
      </c>
      <c r="E549" s="50">
        <v>46173</v>
      </c>
      <c r="F549" s="49" t="s">
        <v>1321</v>
      </c>
      <c r="G549" s="48" t="s">
        <v>36</v>
      </c>
      <c r="H549" s="48" t="s">
        <v>42</v>
      </c>
      <c r="I549" s="51">
        <v>2539829.423163</v>
      </c>
      <c r="J549" s="51"/>
      <c r="K549" s="51"/>
      <c r="L549" s="48" t="s">
        <v>40</v>
      </c>
      <c r="M549" s="48" t="s">
        <v>1433</v>
      </c>
      <c r="N549" s="48" t="s">
        <v>1434</v>
      </c>
      <c r="O549" s="49" t="s">
        <v>1437</v>
      </c>
      <c r="P549" s="48" t="s">
        <v>38</v>
      </c>
      <c r="Q549" s="48" t="s">
        <v>37</v>
      </c>
      <c r="R549" s="48" t="s">
        <v>1436</v>
      </c>
      <c r="S549" s="48" t="s">
        <v>1436</v>
      </c>
      <c r="T549" s="48" t="s">
        <v>1436</v>
      </c>
      <c r="U549" s="48" t="s">
        <v>38</v>
      </c>
      <c r="V549" s="48" t="s">
        <v>39</v>
      </c>
      <c r="W549" s="48" t="s">
        <v>40</v>
      </c>
      <c r="X549" s="48" t="s">
        <v>41</v>
      </c>
      <c r="Y549" s="48" t="s">
        <v>1436</v>
      </c>
      <c r="Z549" s="48" t="s">
        <v>1436</v>
      </c>
      <c r="AA549" s="48" t="s">
        <v>1436</v>
      </c>
      <c r="AB549" s="49" t="s">
        <v>193</v>
      </c>
      <c r="AC549" s="48" t="s">
        <v>1194</v>
      </c>
      <c r="AD549" s="48" t="s">
        <v>1244</v>
      </c>
      <c r="AE549" s="48" t="s">
        <v>36</v>
      </c>
    </row>
    <row r="550" spans="1:31" x14ac:dyDescent="0.3">
      <c r="A550" s="48" t="s">
        <v>1320</v>
      </c>
      <c r="B550" s="48" t="s">
        <v>6</v>
      </c>
      <c r="C550" s="48" t="s">
        <v>1322</v>
      </c>
      <c r="D550" s="48" t="s">
        <v>1409</v>
      </c>
      <c r="E550" s="50">
        <v>46173</v>
      </c>
      <c r="F550" s="49" t="s">
        <v>1321</v>
      </c>
      <c r="G550" s="48" t="s">
        <v>36</v>
      </c>
      <c r="H550" s="48" t="s">
        <v>45</v>
      </c>
      <c r="I550" s="51">
        <v>1.9999999999999999E-6</v>
      </c>
      <c r="J550" s="51"/>
      <c r="K550" s="51"/>
      <c r="L550" s="48" t="s">
        <v>40</v>
      </c>
      <c r="M550" s="48" t="s">
        <v>1433</v>
      </c>
      <c r="N550" s="48" t="s">
        <v>1447</v>
      </c>
      <c r="O550" s="49" t="s">
        <v>1449</v>
      </c>
      <c r="P550" s="48" t="s">
        <v>38</v>
      </c>
      <c r="Q550" s="48" t="s">
        <v>37</v>
      </c>
      <c r="R550" s="48" t="s">
        <v>1436</v>
      </c>
      <c r="S550" s="48" t="s">
        <v>1436</v>
      </c>
      <c r="T550" s="48" t="s">
        <v>1436</v>
      </c>
      <c r="U550" s="48" t="s">
        <v>38</v>
      </c>
      <c r="V550" s="48" t="s">
        <v>39</v>
      </c>
      <c r="W550" s="48" t="s">
        <v>40</v>
      </c>
      <c r="X550" s="48" t="s">
        <v>41</v>
      </c>
      <c r="Y550" s="48" t="s">
        <v>1436</v>
      </c>
      <c r="Z550" s="48" t="s">
        <v>1436</v>
      </c>
      <c r="AA550" s="48" t="s">
        <v>1436</v>
      </c>
      <c r="AB550" s="49" t="s">
        <v>193</v>
      </c>
      <c r="AC550" s="48" t="s">
        <v>1194</v>
      </c>
      <c r="AD550" s="48" t="s">
        <v>1244</v>
      </c>
      <c r="AE550" s="48" t="s">
        <v>36</v>
      </c>
    </row>
    <row r="551" spans="1:31" x14ac:dyDescent="0.3">
      <c r="A551" s="48" t="s">
        <v>1320</v>
      </c>
      <c r="B551" s="48" t="s">
        <v>6</v>
      </c>
      <c r="C551" s="48" t="s">
        <v>1322</v>
      </c>
      <c r="D551" s="48" t="s">
        <v>1408</v>
      </c>
      <c r="E551" s="50">
        <v>46173</v>
      </c>
      <c r="F551" s="49" t="s">
        <v>1321</v>
      </c>
      <c r="G551" s="48" t="s">
        <v>36</v>
      </c>
      <c r="H551" s="48" t="s">
        <v>54</v>
      </c>
      <c r="I551" s="51">
        <v>-341974.19223699998</v>
      </c>
      <c r="J551" s="51"/>
      <c r="K551" s="51"/>
      <c r="L551" s="48" t="s">
        <v>40</v>
      </c>
      <c r="M551" s="48" t="s">
        <v>1433</v>
      </c>
      <c r="N551" s="48" t="s">
        <v>1447</v>
      </c>
      <c r="O551" s="49" t="s">
        <v>1450</v>
      </c>
      <c r="P551" s="48" t="s">
        <v>38</v>
      </c>
      <c r="Q551" s="48" t="s">
        <v>37</v>
      </c>
      <c r="R551" s="48" t="s">
        <v>1436</v>
      </c>
      <c r="S551" s="48" t="s">
        <v>1436</v>
      </c>
      <c r="T551" s="48" t="s">
        <v>1436</v>
      </c>
      <c r="U551" s="48" t="s">
        <v>38</v>
      </c>
      <c r="V551" s="48" t="s">
        <v>39</v>
      </c>
      <c r="W551" s="48" t="s">
        <v>40</v>
      </c>
      <c r="X551" s="48" t="s">
        <v>41</v>
      </c>
      <c r="Y551" s="48" t="s">
        <v>1436</v>
      </c>
      <c r="Z551" s="48" t="s">
        <v>1436</v>
      </c>
      <c r="AA551" s="48" t="s">
        <v>1436</v>
      </c>
      <c r="AB551" s="49" t="s">
        <v>193</v>
      </c>
      <c r="AC551" s="48" t="s">
        <v>1194</v>
      </c>
      <c r="AD551" s="48" t="s">
        <v>1244</v>
      </c>
      <c r="AE551" s="48" t="s">
        <v>36</v>
      </c>
    </row>
    <row r="552" spans="1:31" x14ac:dyDescent="0.3">
      <c r="A552" s="48" t="s">
        <v>1320</v>
      </c>
      <c r="B552" s="48" t="s">
        <v>6</v>
      </c>
      <c r="C552" s="48" t="s">
        <v>1322</v>
      </c>
      <c r="D552" s="48" t="s">
        <v>1407</v>
      </c>
      <c r="E552" s="50">
        <v>46173</v>
      </c>
      <c r="F552" s="49" t="s">
        <v>1321</v>
      </c>
      <c r="G552" s="48" t="s">
        <v>36</v>
      </c>
      <c r="H552" s="48" t="s">
        <v>47</v>
      </c>
      <c r="I552" s="51">
        <v>12742.207973</v>
      </c>
      <c r="J552" s="51"/>
      <c r="K552" s="51"/>
      <c r="L552" s="48" t="s">
        <v>40</v>
      </c>
      <c r="M552" s="48" t="s">
        <v>1438</v>
      </c>
      <c r="N552" s="48" t="s">
        <v>1444</v>
      </c>
      <c r="O552" s="49" t="s">
        <v>1446</v>
      </c>
      <c r="P552" s="48" t="s">
        <v>38</v>
      </c>
      <c r="Q552" s="48" t="s">
        <v>37</v>
      </c>
      <c r="R552" s="48" t="s">
        <v>1436</v>
      </c>
      <c r="S552" s="48" t="s">
        <v>1436</v>
      </c>
      <c r="T552" s="48" t="s">
        <v>1436</v>
      </c>
      <c r="U552" s="48" t="s">
        <v>38</v>
      </c>
      <c r="V552" s="48" t="s">
        <v>39</v>
      </c>
      <c r="W552" s="48" t="s">
        <v>40</v>
      </c>
      <c r="X552" s="48" t="s">
        <v>41</v>
      </c>
      <c r="Y552" s="48" t="s">
        <v>1436</v>
      </c>
      <c r="Z552" s="48" t="s">
        <v>1436</v>
      </c>
      <c r="AA552" s="48" t="s">
        <v>1436</v>
      </c>
      <c r="AB552" s="49" t="s">
        <v>193</v>
      </c>
      <c r="AC552" s="48" t="s">
        <v>1194</v>
      </c>
      <c r="AD552" s="48" t="s">
        <v>1244</v>
      </c>
      <c r="AE552" s="48" t="s">
        <v>36</v>
      </c>
    </row>
    <row r="553" spans="1:31" x14ac:dyDescent="0.3">
      <c r="A553" s="48" t="s">
        <v>1320</v>
      </c>
      <c r="B553" s="48" t="s">
        <v>6</v>
      </c>
      <c r="C553" s="48" t="s">
        <v>1322</v>
      </c>
      <c r="D553" s="48" t="s">
        <v>1406</v>
      </c>
      <c r="E553" s="50">
        <v>46173</v>
      </c>
      <c r="F553" s="49" t="s">
        <v>1321</v>
      </c>
      <c r="G553" s="48" t="s">
        <v>36</v>
      </c>
      <c r="H553" s="48" t="s">
        <v>1441</v>
      </c>
      <c r="I553" s="51">
        <v>0</v>
      </c>
      <c r="J553" s="51"/>
      <c r="K553" s="51"/>
      <c r="L553" s="48" t="s">
        <v>1194</v>
      </c>
      <c r="M553" s="48" t="s">
        <v>1438</v>
      </c>
      <c r="N553" s="48" t="s">
        <v>1439</v>
      </c>
      <c r="O553" s="49" t="s">
        <v>1440</v>
      </c>
      <c r="P553" s="48" t="s">
        <v>38</v>
      </c>
      <c r="Q553" s="48" t="s">
        <v>37</v>
      </c>
      <c r="R553" s="48" t="s">
        <v>1436</v>
      </c>
      <c r="S553" s="48" t="s">
        <v>1436</v>
      </c>
      <c r="T553" s="48" t="s">
        <v>1436</v>
      </c>
      <c r="U553" s="48" t="s">
        <v>38</v>
      </c>
      <c r="V553" s="48" t="s">
        <v>39</v>
      </c>
      <c r="W553" s="48" t="s">
        <v>1194</v>
      </c>
      <c r="X553" s="48" t="s">
        <v>41</v>
      </c>
      <c r="Y553" s="48" t="s">
        <v>1436</v>
      </c>
      <c r="Z553" s="48" t="s">
        <v>1436</v>
      </c>
      <c r="AA553" s="48" t="s">
        <v>1436</v>
      </c>
      <c r="AB553" s="49" t="s">
        <v>193</v>
      </c>
      <c r="AC553" s="48" t="s">
        <v>1194</v>
      </c>
      <c r="AD553" s="48" t="s">
        <v>1244</v>
      </c>
      <c r="AE553" s="48" t="s">
        <v>36</v>
      </c>
    </row>
    <row r="554" spans="1:31" x14ac:dyDescent="0.3">
      <c r="A554" s="48" t="s">
        <v>1320</v>
      </c>
      <c r="B554" s="48" t="s">
        <v>6</v>
      </c>
      <c r="C554" s="48" t="s">
        <v>1322</v>
      </c>
      <c r="D554" s="48" t="s">
        <v>1405</v>
      </c>
      <c r="E554" s="50">
        <v>46173</v>
      </c>
      <c r="F554" s="49" t="s">
        <v>1321</v>
      </c>
      <c r="G554" s="48" t="s">
        <v>36</v>
      </c>
      <c r="H554" s="48" t="s">
        <v>1443</v>
      </c>
      <c r="I554" s="51">
        <v>0</v>
      </c>
      <c r="J554" s="51"/>
      <c r="K554" s="51"/>
      <c r="L554" s="48" t="s">
        <v>1194</v>
      </c>
      <c r="M554" s="48" t="s">
        <v>1438</v>
      </c>
      <c r="N554" s="48" t="s">
        <v>1439</v>
      </c>
      <c r="O554" s="49" t="s">
        <v>1442</v>
      </c>
      <c r="P554" s="48" t="s">
        <v>38</v>
      </c>
      <c r="Q554" s="48" t="s">
        <v>37</v>
      </c>
      <c r="R554" s="48" t="s">
        <v>1436</v>
      </c>
      <c r="S554" s="48" t="s">
        <v>1436</v>
      </c>
      <c r="T554" s="48" t="s">
        <v>1436</v>
      </c>
      <c r="U554" s="48" t="s">
        <v>38</v>
      </c>
      <c r="V554" s="48" t="s">
        <v>39</v>
      </c>
      <c r="W554" s="48" t="s">
        <v>1194</v>
      </c>
      <c r="X554" s="48" t="s">
        <v>41</v>
      </c>
      <c r="Y554" s="48" t="s">
        <v>1436</v>
      </c>
      <c r="Z554" s="48" t="s">
        <v>1436</v>
      </c>
      <c r="AA554" s="48" t="s">
        <v>1436</v>
      </c>
      <c r="AB554" s="49" t="s">
        <v>193</v>
      </c>
      <c r="AC554" s="48" t="s">
        <v>1194</v>
      </c>
      <c r="AD554" s="48" t="s">
        <v>1244</v>
      </c>
      <c r="AE554" s="48" t="s">
        <v>36</v>
      </c>
    </row>
    <row r="555" spans="1:31" x14ac:dyDescent="0.3">
      <c r="A555" s="48" t="s">
        <v>1320</v>
      </c>
      <c r="B555" s="48" t="s">
        <v>6</v>
      </c>
      <c r="C555" s="48" t="s">
        <v>1322</v>
      </c>
      <c r="D555" s="48" t="s">
        <v>1404</v>
      </c>
      <c r="E555" s="50">
        <v>46173</v>
      </c>
      <c r="F555" s="49" t="s">
        <v>1321</v>
      </c>
      <c r="G555" s="48" t="s">
        <v>36</v>
      </c>
      <c r="H555" s="48" t="s">
        <v>49</v>
      </c>
      <c r="I555" s="51">
        <v>-1994.849455</v>
      </c>
      <c r="J555" s="51"/>
      <c r="K555" s="51"/>
      <c r="L555" s="48" t="s">
        <v>38</v>
      </c>
      <c r="M555" s="48" t="s">
        <v>1433</v>
      </c>
      <c r="N555" s="48" t="s">
        <v>1447</v>
      </c>
      <c r="O555" s="49" t="s">
        <v>1451</v>
      </c>
      <c r="P555" s="48" t="s">
        <v>38</v>
      </c>
      <c r="Q555" s="48" t="s">
        <v>37</v>
      </c>
      <c r="R555" s="48" t="s">
        <v>1436</v>
      </c>
      <c r="S555" s="48" t="s">
        <v>1436</v>
      </c>
      <c r="T555" s="48" t="s">
        <v>1436</v>
      </c>
      <c r="U555" s="48" t="s">
        <v>38</v>
      </c>
      <c r="V555" s="48" t="s">
        <v>39</v>
      </c>
      <c r="W555" s="48" t="s">
        <v>38</v>
      </c>
      <c r="X555" s="48" t="s">
        <v>41</v>
      </c>
      <c r="Y555" s="48" t="s">
        <v>1436</v>
      </c>
      <c r="Z555" s="48" t="s">
        <v>1436</v>
      </c>
      <c r="AA555" s="48" t="s">
        <v>1436</v>
      </c>
      <c r="AB555" s="49" t="s">
        <v>193</v>
      </c>
      <c r="AC555" s="48" t="s">
        <v>1194</v>
      </c>
      <c r="AD555" s="48" t="s">
        <v>1244</v>
      </c>
      <c r="AE555" s="48" t="s">
        <v>36</v>
      </c>
    </row>
    <row r="556" spans="1:31" x14ac:dyDescent="0.3">
      <c r="A556" s="48" t="s">
        <v>1320</v>
      </c>
      <c r="B556" s="48" t="s">
        <v>6</v>
      </c>
      <c r="C556" s="48" t="s">
        <v>1322</v>
      </c>
      <c r="D556" s="48" t="s">
        <v>1413</v>
      </c>
      <c r="E556" s="50">
        <v>46203</v>
      </c>
      <c r="F556" s="49" t="s">
        <v>1321</v>
      </c>
      <c r="G556" s="48" t="s">
        <v>36</v>
      </c>
      <c r="H556" s="48" t="s">
        <v>58</v>
      </c>
      <c r="I556" s="51">
        <v>-2700000</v>
      </c>
      <c r="J556" s="51"/>
      <c r="K556" s="51"/>
      <c r="L556" s="48" t="s">
        <v>40</v>
      </c>
      <c r="M556" s="48" t="s">
        <v>1433</v>
      </c>
      <c r="N556" s="48" t="s">
        <v>1447</v>
      </c>
      <c r="O556" s="49" t="s">
        <v>1448</v>
      </c>
      <c r="P556" s="48" t="s">
        <v>38</v>
      </c>
      <c r="Q556" s="48" t="s">
        <v>37</v>
      </c>
      <c r="R556" s="48" t="s">
        <v>1436</v>
      </c>
      <c r="S556" s="48" t="s">
        <v>1436</v>
      </c>
      <c r="T556" s="48" t="s">
        <v>1436</v>
      </c>
      <c r="U556" s="48" t="s">
        <v>38</v>
      </c>
      <c r="V556" s="48" t="s">
        <v>39</v>
      </c>
      <c r="W556" s="48" t="s">
        <v>40</v>
      </c>
      <c r="X556" s="48" t="s">
        <v>41</v>
      </c>
      <c r="Y556" s="48" t="s">
        <v>1436</v>
      </c>
      <c r="Z556" s="48" t="s">
        <v>1436</v>
      </c>
      <c r="AA556" s="48" t="s">
        <v>1436</v>
      </c>
      <c r="AB556" s="49" t="s">
        <v>193</v>
      </c>
      <c r="AC556" s="48" t="s">
        <v>1194</v>
      </c>
      <c r="AD556" s="48" t="s">
        <v>1244</v>
      </c>
      <c r="AE556" s="48" t="s">
        <v>36</v>
      </c>
    </row>
    <row r="557" spans="1:31" x14ac:dyDescent="0.3">
      <c r="A557" s="48" t="s">
        <v>1320</v>
      </c>
      <c r="B557" s="48" t="s">
        <v>6</v>
      </c>
      <c r="C557" s="48" t="s">
        <v>1322</v>
      </c>
      <c r="D557" s="48" t="s">
        <v>1412</v>
      </c>
      <c r="E557" s="50">
        <v>46203</v>
      </c>
      <c r="F557" s="49" t="s">
        <v>1321</v>
      </c>
      <c r="G557" s="48" t="s">
        <v>36</v>
      </c>
      <c r="H557" s="48" t="s">
        <v>52</v>
      </c>
      <c r="I557" s="51">
        <v>-2285846.48</v>
      </c>
      <c r="J557" s="51"/>
      <c r="K557" s="51"/>
      <c r="L557" s="48" t="s">
        <v>40</v>
      </c>
      <c r="M557" s="48" t="s">
        <v>1433</v>
      </c>
      <c r="N557" s="48" t="s">
        <v>1434</v>
      </c>
      <c r="O557" s="49" t="s">
        <v>1435</v>
      </c>
      <c r="P557" s="48" t="s">
        <v>38</v>
      </c>
      <c r="Q557" s="48" t="s">
        <v>37</v>
      </c>
      <c r="R557" s="48" t="s">
        <v>1436</v>
      </c>
      <c r="S557" s="48" t="s">
        <v>1436</v>
      </c>
      <c r="T557" s="48" t="s">
        <v>1436</v>
      </c>
      <c r="U557" s="48" t="s">
        <v>38</v>
      </c>
      <c r="V557" s="48" t="s">
        <v>39</v>
      </c>
      <c r="W557" s="48" t="s">
        <v>40</v>
      </c>
      <c r="X557" s="48" t="s">
        <v>41</v>
      </c>
      <c r="Y557" s="48" t="s">
        <v>1436</v>
      </c>
      <c r="Z557" s="48" t="s">
        <v>1436</v>
      </c>
      <c r="AA557" s="48" t="s">
        <v>1436</v>
      </c>
      <c r="AB557" s="49" t="s">
        <v>193</v>
      </c>
      <c r="AC557" s="48" t="s">
        <v>1194</v>
      </c>
      <c r="AD557" s="48" t="s">
        <v>1244</v>
      </c>
      <c r="AE557" s="48" t="s">
        <v>36</v>
      </c>
    </row>
    <row r="558" spans="1:31" x14ac:dyDescent="0.3">
      <c r="A558" s="48" t="s">
        <v>1320</v>
      </c>
      <c r="B558" s="48" t="s">
        <v>6</v>
      </c>
      <c r="C558" s="48" t="s">
        <v>1322</v>
      </c>
      <c r="D558" s="48" t="s">
        <v>1411</v>
      </c>
      <c r="E558" s="50">
        <v>46203</v>
      </c>
      <c r="F558" s="49" t="s">
        <v>1321</v>
      </c>
      <c r="G558" s="48" t="s">
        <v>36</v>
      </c>
      <c r="H558" s="48" t="s">
        <v>50</v>
      </c>
      <c r="I558" s="51">
        <v>253982.94</v>
      </c>
      <c r="J558" s="51"/>
      <c r="K558" s="51"/>
      <c r="L558" s="48" t="s">
        <v>40</v>
      </c>
      <c r="M558" s="48" t="s">
        <v>1438</v>
      </c>
      <c r="N558" s="48" t="s">
        <v>1444</v>
      </c>
      <c r="O558" s="49" t="s">
        <v>1445</v>
      </c>
      <c r="P558" s="48" t="s">
        <v>38</v>
      </c>
      <c r="Q558" s="48" t="s">
        <v>37</v>
      </c>
      <c r="R558" s="48" t="s">
        <v>1436</v>
      </c>
      <c r="S558" s="48" t="s">
        <v>1436</v>
      </c>
      <c r="T558" s="48" t="s">
        <v>1436</v>
      </c>
      <c r="U558" s="48" t="s">
        <v>38</v>
      </c>
      <c r="V558" s="48" t="s">
        <v>39</v>
      </c>
      <c r="W558" s="48" t="s">
        <v>40</v>
      </c>
      <c r="X558" s="48" t="s">
        <v>41</v>
      </c>
      <c r="Y558" s="48" t="s">
        <v>1436</v>
      </c>
      <c r="Z558" s="48" t="s">
        <v>1436</v>
      </c>
      <c r="AA558" s="48" t="s">
        <v>1436</v>
      </c>
      <c r="AB558" s="49" t="s">
        <v>193</v>
      </c>
      <c r="AC558" s="48" t="s">
        <v>1194</v>
      </c>
      <c r="AD558" s="48" t="s">
        <v>1244</v>
      </c>
      <c r="AE558" s="48" t="s">
        <v>36</v>
      </c>
    </row>
    <row r="559" spans="1:31" x14ac:dyDescent="0.3">
      <c r="A559" s="48" t="s">
        <v>1320</v>
      </c>
      <c r="B559" s="48" t="s">
        <v>6</v>
      </c>
      <c r="C559" s="48" t="s">
        <v>1322</v>
      </c>
      <c r="D559" s="48" t="s">
        <v>1410</v>
      </c>
      <c r="E559" s="50">
        <v>46203</v>
      </c>
      <c r="F559" s="49" t="s">
        <v>1321</v>
      </c>
      <c r="G559" s="48" t="s">
        <v>36</v>
      </c>
      <c r="H559" s="48" t="s">
        <v>42</v>
      </c>
      <c r="I559" s="51">
        <v>2539829.423163</v>
      </c>
      <c r="J559" s="51"/>
      <c r="K559" s="51"/>
      <c r="L559" s="48" t="s">
        <v>40</v>
      </c>
      <c r="M559" s="48" t="s">
        <v>1433</v>
      </c>
      <c r="N559" s="48" t="s">
        <v>1434</v>
      </c>
      <c r="O559" s="49" t="s">
        <v>1437</v>
      </c>
      <c r="P559" s="48" t="s">
        <v>38</v>
      </c>
      <c r="Q559" s="48" t="s">
        <v>37</v>
      </c>
      <c r="R559" s="48" t="s">
        <v>1436</v>
      </c>
      <c r="S559" s="48" t="s">
        <v>1436</v>
      </c>
      <c r="T559" s="48" t="s">
        <v>1436</v>
      </c>
      <c r="U559" s="48" t="s">
        <v>38</v>
      </c>
      <c r="V559" s="48" t="s">
        <v>39</v>
      </c>
      <c r="W559" s="48" t="s">
        <v>40</v>
      </c>
      <c r="X559" s="48" t="s">
        <v>41</v>
      </c>
      <c r="Y559" s="48" t="s">
        <v>1436</v>
      </c>
      <c r="Z559" s="48" t="s">
        <v>1436</v>
      </c>
      <c r="AA559" s="48" t="s">
        <v>1436</v>
      </c>
      <c r="AB559" s="49" t="s">
        <v>193</v>
      </c>
      <c r="AC559" s="48" t="s">
        <v>1194</v>
      </c>
      <c r="AD559" s="48" t="s">
        <v>1244</v>
      </c>
      <c r="AE559" s="48" t="s">
        <v>36</v>
      </c>
    </row>
    <row r="560" spans="1:31" x14ac:dyDescent="0.3">
      <c r="A560" s="48" t="s">
        <v>1320</v>
      </c>
      <c r="B560" s="48" t="s">
        <v>6</v>
      </c>
      <c r="C560" s="48" t="s">
        <v>1322</v>
      </c>
      <c r="D560" s="48" t="s">
        <v>1409</v>
      </c>
      <c r="E560" s="50">
        <v>46203</v>
      </c>
      <c r="F560" s="49" t="s">
        <v>1321</v>
      </c>
      <c r="G560" s="48" t="s">
        <v>36</v>
      </c>
      <c r="H560" s="48" t="s">
        <v>45</v>
      </c>
      <c r="I560" s="51">
        <v>1.9999999999999999E-6</v>
      </c>
      <c r="J560" s="51"/>
      <c r="K560" s="51"/>
      <c r="L560" s="48" t="s">
        <v>40</v>
      </c>
      <c r="M560" s="48" t="s">
        <v>1433</v>
      </c>
      <c r="N560" s="48" t="s">
        <v>1447</v>
      </c>
      <c r="O560" s="49" t="s">
        <v>1449</v>
      </c>
      <c r="P560" s="48" t="s">
        <v>38</v>
      </c>
      <c r="Q560" s="48" t="s">
        <v>37</v>
      </c>
      <c r="R560" s="48" t="s">
        <v>1436</v>
      </c>
      <c r="S560" s="48" t="s">
        <v>1436</v>
      </c>
      <c r="T560" s="48" t="s">
        <v>1436</v>
      </c>
      <c r="U560" s="48" t="s">
        <v>38</v>
      </c>
      <c r="V560" s="48" t="s">
        <v>39</v>
      </c>
      <c r="W560" s="48" t="s">
        <v>40</v>
      </c>
      <c r="X560" s="48" t="s">
        <v>41</v>
      </c>
      <c r="Y560" s="48" t="s">
        <v>1436</v>
      </c>
      <c r="Z560" s="48" t="s">
        <v>1436</v>
      </c>
      <c r="AA560" s="48" t="s">
        <v>1436</v>
      </c>
      <c r="AB560" s="49" t="s">
        <v>193</v>
      </c>
      <c r="AC560" s="48" t="s">
        <v>1194</v>
      </c>
      <c r="AD560" s="48" t="s">
        <v>1244</v>
      </c>
      <c r="AE560" s="48" t="s">
        <v>36</v>
      </c>
    </row>
    <row r="561" spans="1:31" x14ac:dyDescent="0.3">
      <c r="A561" s="48" t="s">
        <v>1320</v>
      </c>
      <c r="B561" s="48" t="s">
        <v>6</v>
      </c>
      <c r="C561" s="48" t="s">
        <v>1322</v>
      </c>
      <c r="D561" s="48" t="s">
        <v>1408</v>
      </c>
      <c r="E561" s="50">
        <v>46203</v>
      </c>
      <c r="F561" s="49" t="s">
        <v>1321</v>
      </c>
      <c r="G561" s="48" t="s">
        <v>36</v>
      </c>
      <c r="H561" s="48" t="s">
        <v>54</v>
      </c>
      <c r="I561" s="51">
        <v>-293969.041692</v>
      </c>
      <c r="J561" s="51"/>
      <c r="K561" s="51"/>
      <c r="L561" s="48" t="s">
        <v>40</v>
      </c>
      <c r="M561" s="48" t="s">
        <v>1433</v>
      </c>
      <c r="N561" s="48" t="s">
        <v>1447</v>
      </c>
      <c r="O561" s="49" t="s">
        <v>1450</v>
      </c>
      <c r="P561" s="48" t="s">
        <v>38</v>
      </c>
      <c r="Q561" s="48" t="s">
        <v>37</v>
      </c>
      <c r="R561" s="48" t="s">
        <v>1436</v>
      </c>
      <c r="S561" s="48" t="s">
        <v>1436</v>
      </c>
      <c r="T561" s="48" t="s">
        <v>1436</v>
      </c>
      <c r="U561" s="48" t="s">
        <v>38</v>
      </c>
      <c r="V561" s="48" t="s">
        <v>39</v>
      </c>
      <c r="W561" s="48" t="s">
        <v>40</v>
      </c>
      <c r="X561" s="48" t="s">
        <v>41</v>
      </c>
      <c r="Y561" s="48" t="s">
        <v>1436</v>
      </c>
      <c r="Z561" s="48" t="s">
        <v>1436</v>
      </c>
      <c r="AA561" s="48" t="s">
        <v>1436</v>
      </c>
      <c r="AB561" s="49" t="s">
        <v>193</v>
      </c>
      <c r="AC561" s="48" t="s">
        <v>1194</v>
      </c>
      <c r="AD561" s="48" t="s">
        <v>1244</v>
      </c>
      <c r="AE561" s="48" t="s">
        <v>36</v>
      </c>
    </row>
    <row r="562" spans="1:31" x14ac:dyDescent="0.3">
      <c r="A562" s="48" t="s">
        <v>1320</v>
      </c>
      <c r="B562" s="48" t="s">
        <v>6</v>
      </c>
      <c r="C562" s="48" t="s">
        <v>1322</v>
      </c>
      <c r="D562" s="48" t="s">
        <v>1407</v>
      </c>
      <c r="E562" s="50">
        <v>46203</v>
      </c>
      <c r="F562" s="49" t="s">
        <v>1321</v>
      </c>
      <c r="G562" s="48" t="s">
        <v>36</v>
      </c>
      <c r="H562" s="48" t="s">
        <v>47</v>
      </c>
      <c r="I562" s="51">
        <v>14457.027383000001</v>
      </c>
      <c r="J562" s="51"/>
      <c r="K562" s="51"/>
      <c r="L562" s="48" t="s">
        <v>40</v>
      </c>
      <c r="M562" s="48" t="s">
        <v>1438</v>
      </c>
      <c r="N562" s="48" t="s">
        <v>1444</v>
      </c>
      <c r="O562" s="49" t="s">
        <v>1446</v>
      </c>
      <c r="P562" s="48" t="s">
        <v>38</v>
      </c>
      <c r="Q562" s="48" t="s">
        <v>37</v>
      </c>
      <c r="R562" s="48" t="s">
        <v>1436</v>
      </c>
      <c r="S562" s="48" t="s">
        <v>1436</v>
      </c>
      <c r="T562" s="48" t="s">
        <v>1436</v>
      </c>
      <c r="U562" s="48" t="s">
        <v>38</v>
      </c>
      <c r="V562" s="48" t="s">
        <v>39</v>
      </c>
      <c r="W562" s="48" t="s">
        <v>40</v>
      </c>
      <c r="X562" s="48" t="s">
        <v>41</v>
      </c>
      <c r="Y562" s="48" t="s">
        <v>1436</v>
      </c>
      <c r="Z562" s="48" t="s">
        <v>1436</v>
      </c>
      <c r="AA562" s="48" t="s">
        <v>1436</v>
      </c>
      <c r="AB562" s="49" t="s">
        <v>193</v>
      </c>
      <c r="AC562" s="48" t="s">
        <v>1194</v>
      </c>
      <c r="AD562" s="48" t="s">
        <v>1244</v>
      </c>
      <c r="AE562" s="48" t="s">
        <v>36</v>
      </c>
    </row>
    <row r="563" spans="1:31" x14ac:dyDescent="0.3">
      <c r="A563" s="48" t="s">
        <v>1320</v>
      </c>
      <c r="B563" s="48" t="s">
        <v>6</v>
      </c>
      <c r="C563" s="48" t="s">
        <v>1322</v>
      </c>
      <c r="D563" s="48" t="s">
        <v>1406</v>
      </c>
      <c r="E563" s="50">
        <v>46203</v>
      </c>
      <c r="F563" s="49" t="s">
        <v>1321</v>
      </c>
      <c r="G563" s="48" t="s">
        <v>36</v>
      </c>
      <c r="H563" s="48" t="s">
        <v>1441</v>
      </c>
      <c r="I563" s="51">
        <v>0</v>
      </c>
      <c r="J563" s="51"/>
      <c r="K563" s="51"/>
      <c r="L563" s="48" t="s">
        <v>1194</v>
      </c>
      <c r="M563" s="48" t="s">
        <v>1438</v>
      </c>
      <c r="N563" s="48" t="s">
        <v>1439</v>
      </c>
      <c r="O563" s="49" t="s">
        <v>1440</v>
      </c>
      <c r="P563" s="48" t="s">
        <v>38</v>
      </c>
      <c r="Q563" s="48" t="s">
        <v>37</v>
      </c>
      <c r="R563" s="48" t="s">
        <v>1436</v>
      </c>
      <c r="S563" s="48" t="s">
        <v>1436</v>
      </c>
      <c r="T563" s="48" t="s">
        <v>1436</v>
      </c>
      <c r="U563" s="48" t="s">
        <v>38</v>
      </c>
      <c r="V563" s="48" t="s">
        <v>39</v>
      </c>
      <c r="W563" s="48" t="s">
        <v>1194</v>
      </c>
      <c r="X563" s="48" t="s">
        <v>41</v>
      </c>
      <c r="Y563" s="48" t="s">
        <v>1436</v>
      </c>
      <c r="Z563" s="48" t="s">
        <v>1436</v>
      </c>
      <c r="AA563" s="48" t="s">
        <v>1436</v>
      </c>
      <c r="AB563" s="49" t="s">
        <v>193</v>
      </c>
      <c r="AC563" s="48" t="s">
        <v>1194</v>
      </c>
      <c r="AD563" s="48" t="s">
        <v>1244</v>
      </c>
      <c r="AE563" s="48" t="s">
        <v>36</v>
      </c>
    </row>
    <row r="564" spans="1:31" x14ac:dyDescent="0.3">
      <c r="A564" s="48" t="s">
        <v>1320</v>
      </c>
      <c r="B564" s="48" t="s">
        <v>6</v>
      </c>
      <c r="C564" s="48" t="s">
        <v>1322</v>
      </c>
      <c r="D564" s="48" t="s">
        <v>1405</v>
      </c>
      <c r="E564" s="50">
        <v>46203</v>
      </c>
      <c r="F564" s="49" t="s">
        <v>1321</v>
      </c>
      <c r="G564" s="48" t="s">
        <v>36</v>
      </c>
      <c r="H564" s="48" t="s">
        <v>1443</v>
      </c>
      <c r="I564" s="51">
        <v>0</v>
      </c>
      <c r="J564" s="51"/>
      <c r="K564" s="51"/>
      <c r="L564" s="48" t="s">
        <v>1194</v>
      </c>
      <c r="M564" s="48" t="s">
        <v>1438</v>
      </c>
      <c r="N564" s="48" t="s">
        <v>1439</v>
      </c>
      <c r="O564" s="49" t="s">
        <v>1442</v>
      </c>
      <c r="P564" s="48" t="s">
        <v>38</v>
      </c>
      <c r="Q564" s="48" t="s">
        <v>37</v>
      </c>
      <c r="R564" s="48" t="s">
        <v>1436</v>
      </c>
      <c r="S564" s="48" t="s">
        <v>1436</v>
      </c>
      <c r="T564" s="48" t="s">
        <v>1436</v>
      </c>
      <c r="U564" s="48" t="s">
        <v>38</v>
      </c>
      <c r="V564" s="48" t="s">
        <v>39</v>
      </c>
      <c r="W564" s="48" t="s">
        <v>1194</v>
      </c>
      <c r="X564" s="48" t="s">
        <v>41</v>
      </c>
      <c r="Y564" s="48" t="s">
        <v>1436</v>
      </c>
      <c r="Z564" s="48" t="s">
        <v>1436</v>
      </c>
      <c r="AA564" s="48" t="s">
        <v>1436</v>
      </c>
      <c r="AB564" s="49" t="s">
        <v>193</v>
      </c>
      <c r="AC564" s="48" t="s">
        <v>1194</v>
      </c>
      <c r="AD564" s="48" t="s">
        <v>1244</v>
      </c>
      <c r="AE564" s="48" t="s">
        <v>36</v>
      </c>
    </row>
    <row r="565" spans="1:31" x14ac:dyDescent="0.3">
      <c r="A565" s="48" t="s">
        <v>1320</v>
      </c>
      <c r="B565" s="48" t="s">
        <v>6</v>
      </c>
      <c r="C565" s="48" t="s">
        <v>1322</v>
      </c>
      <c r="D565" s="48" t="s">
        <v>1404</v>
      </c>
      <c r="E565" s="50">
        <v>46203</v>
      </c>
      <c r="F565" s="49" t="s">
        <v>1321</v>
      </c>
      <c r="G565" s="48" t="s">
        <v>36</v>
      </c>
      <c r="H565" s="48" t="s">
        <v>49</v>
      </c>
      <c r="I565" s="51">
        <v>-1714.8194100000001</v>
      </c>
      <c r="J565" s="51"/>
      <c r="K565" s="51"/>
      <c r="L565" s="48" t="s">
        <v>38</v>
      </c>
      <c r="M565" s="48" t="s">
        <v>1433</v>
      </c>
      <c r="N565" s="48" t="s">
        <v>1447</v>
      </c>
      <c r="O565" s="49" t="s">
        <v>1451</v>
      </c>
      <c r="P565" s="48" t="s">
        <v>38</v>
      </c>
      <c r="Q565" s="48" t="s">
        <v>37</v>
      </c>
      <c r="R565" s="48" t="s">
        <v>1436</v>
      </c>
      <c r="S565" s="48" t="s">
        <v>1436</v>
      </c>
      <c r="T565" s="48" t="s">
        <v>1436</v>
      </c>
      <c r="U565" s="48" t="s">
        <v>38</v>
      </c>
      <c r="V565" s="48" t="s">
        <v>39</v>
      </c>
      <c r="W565" s="48" t="s">
        <v>38</v>
      </c>
      <c r="X565" s="48" t="s">
        <v>41</v>
      </c>
      <c r="Y565" s="48" t="s">
        <v>1436</v>
      </c>
      <c r="Z565" s="48" t="s">
        <v>1436</v>
      </c>
      <c r="AA565" s="48" t="s">
        <v>1436</v>
      </c>
      <c r="AB565" s="49" t="s">
        <v>193</v>
      </c>
      <c r="AC565" s="48" t="s">
        <v>1194</v>
      </c>
      <c r="AD565" s="48" t="s">
        <v>1244</v>
      </c>
      <c r="AE565" s="48" t="s">
        <v>36</v>
      </c>
    </row>
    <row r="566" spans="1:31" x14ac:dyDescent="0.3">
      <c r="A566" s="48" t="s">
        <v>1320</v>
      </c>
      <c r="B566" s="48" t="s">
        <v>6</v>
      </c>
      <c r="C566" s="48" t="s">
        <v>1322</v>
      </c>
      <c r="D566" s="48" t="s">
        <v>1413</v>
      </c>
      <c r="E566" s="50">
        <v>46234</v>
      </c>
      <c r="F566" s="49" t="s">
        <v>1321</v>
      </c>
      <c r="G566" s="48" t="s">
        <v>36</v>
      </c>
      <c r="H566" s="48" t="s">
        <v>58</v>
      </c>
      <c r="I566" s="51">
        <v>-2750000</v>
      </c>
      <c r="J566" s="51"/>
      <c r="K566" s="51"/>
      <c r="L566" s="48" t="s">
        <v>40</v>
      </c>
      <c r="M566" s="48" t="s">
        <v>1433</v>
      </c>
      <c r="N566" s="48" t="s">
        <v>1447</v>
      </c>
      <c r="O566" s="49" t="s">
        <v>1448</v>
      </c>
      <c r="P566" s="48" t="s">
        <v>38</v>
      </c>
      <c r="Q566" s="48" t="s">
        <v>37</v>
      </c>
      <c r="R566" s="48" t="s">
        <v>1436</v>
      </c>
      <c r="S566" s="48" t="s">
        <v>1436</v>
      </c>
      <c r="T566" s="48" t="s">
        <v>1436</v>
      </c>
      <c r="U566" s="48" t="s">
        <v>38</v>
      </c>
      <c r="V566" s="48" t="s">
        <v>39</v>
      </c>
      <c r="W566" s="48" t="s">
        <v>40</v>
      </c>
      <c r="X566" s="48" t="s">
        <v>41</v>
      </c>
      <c r="Y566" s="48" t="s">
        <v>1436</v>
      </c>
      <c r="Z566" s="48" t="s">
        <v>1436</v>
      </c>
      <c r="AA566" s="48" t="s">
        <v>1436</v>
      </c>
      <c r="AB566" s="49" t="s">
        <v>193</v>
      </c>
      <c r="AC566" s="48" t="s">
        <v>1194</v>
      </c>
      <c r="AD566" s="48" t="s">
        <v>1244</v>
      </c>
      <c r="AE566" s="48" t="s">
        <v>36</v>
      </c>
    </row>
    <row r="567" spans="1:31" x14ac:dyDescent="0.3">
      <c r="A567" s="48" t="s">
        <v>1320</v>
      </c>
      <c r="B567" s="48" t="s">
        <v>6</v>
      </c>
      <c r="C567" s="48" t="s">
        <v>1322</v>
      </c>
      <c r="D567" s="48" t="s">
        <v>1412</v>
      </c>
      <c r="E567" s="50">
        <v>46234</v>
      </c>
      <c r="F567" s="49" t="s">
        <v>1321</v>
      </c>
      <c r="G567" s="48" t="s">
        <v>36</v>
      </c>
      <c r="H567" s="48" t="s">
        <v>52</v>
      </c>
      <c r="I567" s="51">
        <v>-2328176.9700000002</v>
      </c>
      <c r="J567" s="51"/>
      <c r="K567" s="51"/>
      <c r="L567" s="48" t="s">
        <v>40</v>
      </c>
      <c r="M567" s="48" t="s">
        <v>1433</v>
      </c>
      <c r="N567" s="48" t="s">
        <v>1434</v>
      </c>
      <c r="O567" s="49" t="s">
        <v>1435</v>
      </c>
      <c r="P567" s="48" t="s">
        <v>38</v>
      </c>
      <c r="Q567" s="48" t="s">
        <v>37</v>
      </c>
      <c r="R567" s="48" t="s">
        <v>1436</v>
      </c>
      <c r="S567" s="48" t="s">
        <v>1436</v>
      </c>
      <c r="T567" s="48" t="s">
        <v>1436</v>
      </c>
      <c r="U567" s="48" t="s">
        <v>38</v>
      </c>
      <c r="V567" s="48" t="s">
        <v>39</v>
      </c>
      <c r="W567" s="48" t="s">
        <v>40</v>
      </c>
      <c r="X567" s="48" t="s">
        <v>41</v>
      </c>
      <c r="Y567" s="48" t="s">
        <v>1436</v>
      </c>
      <c r="Z567" s="48" t="s">
        <v>1436</v>
      </c>
      <c r="AA567" s="48" t="s">
        <v>1436</v>
      </c>
      <c r="AB567" s="49" t="s">
        <v>193</v>
      </c>
      <c r="AC567" s="48" t="s">
        <v>1194</v>
      </c>
      <c r="AD567" s="48" t="s">
        <v>1244</v>
      </c>
      <c r="AE567" s="48" t="s">
        <v>36</v>
      </c>
    </row>
    <row r="568" spans="1:31" x14ac:dyDescent="0.3">
      <c r="A568" s="48" t="s">
        <v>1320</v>
      </c>
      <c r="B568" s="48" t="s">
        <v>6</v>
      </c>
      <c r="C568" s="48" t="s">
        <v>1322</v>
      </c>
      <c r="D568" s="48" t="s">
        <v>1411</v>
      </c>
      <c r="E568" s="50">
        <v>46234</v>
      </c>
      <c r="F568" s="49" t="s">
        <v>1321</v>
      </c>
      <c r="G568" s="48" t="s">
        <v>36</v>
      </c>
      <c r="H568" s="48" t="s">
        <v>50</v>
      </c>
      <c r="I568" s="51">
        <v>296313.43</v>
      </c>
      <c r="J568" s="51"/>
      <c r="K568" s="51"/>
      <c r="L568" s="48" t="s">
        <v>40</v>
      </c>
      <c r="M568" s="48" t="s">
        <v>1438</v>
      </c>
      <c r="N568" s="48" t="s">
        <v>1444</v>
      </c>
      <c r="O568" s="49" t="s">
        <v>1445</v>
      </c>
      <c r="P568" s="48" t="s">
        <v>38</v>
      </c>
      <c r="Q568" s="48" t="s">
        <v>37</v>
      </c>
      <c r="R568" s="48" t="s">
        <v>1436</v>
      </c>
      <c r="S568" s="48" t="s">
        <v>1436</v>
      </c>
      <c r="T568" s="48" t="s">
        <v>1436</v>
      </c>
      <c r="U568" s="48" t="s">
        <v>38</v>
      </c>
      <c r="V568" s="48" t="s">
        <v>39</v>
      </c>
      <c r="W568" s="48" t="s">
        <v>40</v>
      </c>
      <c r="X568" s="48" t="s">
        <v>41</v>
      </c>
      <c r="Y568" s="48" t="s">
        <v>1436</v>
      </c>
      <c r="Z568" s="48" t="s">
        <v>1436</v>
      </c>
      <c r="AA568" s="48" t="s">
        <v>1436</v>
      </c>
      <c r="AB568" s="49" t="s">
        <v>193</v>
      </c>
      <c r="AC568" s="48" t="s">
        <v>1194</v>
      </c>
      <c r="AD568" s="48" t="s">
        <v>1244</v>
      </c>
      <c r="AE568" s="48" t="s">
        <v>36</v>
      </c>
    </row>
    <row r="569" spans="1:31" x14ac:dyDescent="0.3">
      <c r="A569" s="48" t="s">
        <v>1320</v>
      </c>
      <c r="B569" s="48" t="s">
        <v>6</v>
      </c>
      <c r="C569" s="48" t="s">
        <v>1322</v>
      </c>
      <c r="D569" s="48" t="s">
        <v>1410</v>
      </c>
      <c r="E569" s="50">
        <v>46234</v>
      </c>
      <c r="F569" s="49" t="s">
        <v>1321</v>
      </c>
      <c r="G569" s="48" t="s">
        <v>36</v>
      </c>
      <c r="H569" s="48" t="s">
        <v>42</v>
      </c>
      <c r="I569" s="51">
        <v>2539829.423163</v>
      </c>
      <c r="J569" s="51"/>
      <c r="K569" s="51"/>
      <c r="L569" s="48" t="s">
        <v>40</v>
      </c>
      <c r="M569" s="48" t="s">
        <v>1433</v>
      </c>
      <c r="N569" s="48" t="s">
        <v>1434</v>
      </c>
      <c r="O569" s="49" t="s">
        <v>1437</v>
      </c>
      <c r="P569" s="48" t="s">
        <v>38</v>
      </c>
      <c r="Q569" s="48" t="s">
        <v>37</v>
      </c>
      <c r="R569" s="48" t="s">
        <v>1436</v>
      </c>
      <c r="S569" s="48" t="s">
        <v>1436</v>
      </c>
      <c r="T569" s="48" t="s">
        <v>1436</v>
      </c>
      <c r="U569" s="48" t="s">
        <v>38</v>
      </c>
      <c r="V569" s="48" t="s">
        <v>39</v>
      </c>
      <c r="W569" s="48" t="s">
        <v>40</v>
      </c>
      <c r="X569" s="48" t="s">
        <v>41</v>
      </c>
      <c r="Y569" s="48" t="s">
        <v>1436</v>
      </c>
      <c r="Z569" s="48" t="s">
        <v>1436</v>
      </c>
      <c r="AA569" s="48" t="s">
        <v>1436</v>
      </c>
      <c r="AB569" s="49" t="s">
        <v>193</v>
      </c>
      <c r="AC569" s="48" t="s">
        <v>1194</v>
      </c>
      <c r="AD569" s="48" t="s">
        <v>1244</v>
      </c>
      <c r="AE569" s="48" t="s">
        <v>36</v>
      </c>
    </row>
    <row r="570" spans="1:31" x14ac:dyDescent="0.3">
      <c r="A570" s="48" t="s">
        <v>1320</v>
      </c>
      <c r="B570" s="48" t="s">
        <v>6</v>
      </c>
      <c r="C570" s="48" t="s">
        <v>1322</v>
      </c>
      <c r="D570" s="48" t="s">
        <v>1409</v>
      </c>
      <c r="E570" s="50">
        <v>46234</v>
      </c>
      <c r="F570" s="49" t="s">
        <v>1321</v>
      </c>
      <c r="G570" s="48" t="s">
        <v>36</v>
      </c>
      <c r="H570" s="48" t="s">
        <v>45</v>
      </c>
      <c r="I570" s="51">
        <v>1.9999999999999999E-6</v>
      </c>
      <c r="J570" s="51"/>
      <c r="K570" s="51"/>
      <c r="L570" s="48" t="s">
        <v>40</v>
      </c>
      <c r="M570" s="48" t="s">
        <v>1433</v>
      </c>
      <c r="N570" s="48" t="s">
        <v>1447</v>
      </c>
      <c r="O570" s="49" t="s">
        <v>1449</v>
      </c>
      <c r="P570" s="48" t="s">
        <v>38</v>
      </c>
      <c r="Q570" s="48" t="s">
        <v>37</v>
      </c>
      <c r="R570" s="48" t="s">
        <v>1436</v>
      </c>
      <c r="S570" s="48" t="s">
        <v>1436</v>
      </c>
      <c r="T570" s="48" t="s">
        <v>1436</v>
      </c>
      <c r="U570" s="48" t="s">
        <v>38</v>
      </c>
      <c r="V570" s="48" t="s">
        <v>39</v>
      </c>
      <c r="W570" s="48" t="s">
        <v>40</v>
      </c>
      <c r="X570" s="48" t="s">
        <v>41</v>
      </c>
      <c r="Y570" s="48" t="s">
        <v>1436</v>
      </c>
      <c r="Z570" s="48" t="s">
        <v>1436</v>
      </c>
      <c r="AA570" s="48" t="s">
        <v>1436</v>
      </c>
      <c r="AB570" s="49" t="s">
        <v>193</v>
      </c>
      <c r="AC570" s="48" t="s">
        <v>1194</v>
      </c>
      <c r="AD570" s="48" t="s">
        <v>1244</v>
      </c>
      <c r="AE570" s="48" t="s">
        <v>36</v>
      </c>
    </row>
    <row r="571" spans="1:31" x14ac:dyDescent="0.3">
      <c r="A571" s="48" t="s">
        <v>1320</v>
      </c>
      <c r="B571" s="48" t="s">
        <v>6</v>
      </c>
      <c r="C571" s="48" t="s">
        <v>1322</v>
      </c>
      <c r="D571" s="48" t="s">
        <v>1408</v>
      </c>
      <c r="E571" s="50">
        <v>46234</v>
      </c>
      <c r="F571" s="49" t="s">
        <v>1321</v>
      </c>
      <c r="G571" s="48" t="s">
        <v>36</v>
      </c>
      <c r="H571" s="48" t="s">
        <v>54</v>
      </c>
      <c r="I571" s="51">
        <v>-245683.861102</v>
      </c>
      <c r="J571" s="51"/>
      <c r="K571" s="51"/>
      <c r="L571" s="48" t="s">
        <v>40</v>
      </c>
      <c r="M571" s="48" t="s">
        <v>1433</v>
      </c>
      <c r="N571" s="48" t="s">
        <v>1447</v>
      </c>
      <c r="O571" s="49" t="s">
        <v>1450</v>
      </c>
      <c r="P571" s="48" t="s">
        <v>38</v>
      </c>
      <c r="Q571" s="48" t="s">
        <v>37</v>
      </c>
      <c r="R571" s="48" t="s">
        <v>1436</v>
      </c>
      <c r="S571" s="48" t="s">
        <v>1436</v>
      </c>
      <c r="T571" s="48" t="s">
        <v>1436</v>
      </c>
      <c r="U571" s="48" t="s">
        <v>38</v>
      </c>
      <c r="V571" s="48" t="s">
        <v>39</v>
      </c>
      <c r="W571" s="48" t="s">
        <v>40</v>
      </c>
      <c r="X571" s="48" t="s">
        <v>41</v>
      </c>
      <c r="Y571" s="48" t="s">
        <v>1436</v>
      </c>
      <c r="Z571" s="48" t="s">
        <v>1436</v>
      </c>
      <c r="AA571" s="48" t="s">
        <v>1436</v>
      </c>
      <c r="AB571" s="49" t="s">
        <v>193</v>
      </c>
      <c r="AC571" s="48" t="s">
        <v>1194</v>
      </c>
      <c r="AD571" s="48" t="s">
        <v>1244</v>
      </c>
      <c r="AE571" s="48" t="s">
        <v>36</v>
      </c>
    </row>
    <row r="572" spans="1:31" x14ac:dyDescent="0.3">
      <c r="A572" s="48" t="s">
        <v>1320</v>
      </c>
      <c r="B572" s="48" t="s">
        <v>6</v>
      </c>
      <c r="C572" s="48" t="s">
        <v>1322</v>
      </c>
      <c r="D572" s="48" t="s">
        <v>1407</v>
      </c>
      <c r="E572" s="50">
        <v>46234</v>
      </c>
      <c r="F572" s="49" t="s">
        <v>1321</v>
      </c>
      <c r="G572" s="48" t="s">
        <v>36</v>
      </c>
      <c r="H572" s="48" t="s">
        <v>47</v>
      </c>
      <c r="I572" s="51">
        <v>15890.183239</v>
      </c>
      <c r="J572" s="51"/>
      <c r="K572" s="51"/>
      <c r="L572" s="48" t="s">
        <v>40</v>
      </c>
      <c r="M572" s="48" t="s">
        <v>1438</v>
      </c>
      <c r="N572" s="48" t="s">
        <v>1444</v>
      </c>
      <c r="O572" s="49" t="s">
        <v>1446</v>
      </c>
      <c r="P572" s="48" t="s">
        <v>38</v>
      </c>
      <c r="Q572" s="48" t="s">
        <v>37</v>
      </c>
      <c r="R572" s="48" t="s">
        <v>1436</v>
      </c>
      <c r="S572" s="48" t="s">
        <v>1436</v>
      </c>
      <c r="T572" s="48" t="s">
        <v>1436</v>
      </c>
      <c r="U572" s="48" t="s">
        <v>38</v>
      </c>
      <c r="V572" s="48" t="s">
        <v>39</v>
      </c>
      <c r="W572" s="48" t="s">
        <v>40</v>
      </c>
      <c r="X572" s="48" t="s">
        <v>41</v>
      </c>
      <c r="Y572" s="48" t="s">
        <v>1436</v>
      </c>
      <c r="Z572" s="48" t="s">
        <v>1436</v>
      </c>
      <c r="AA572" s="48" t="s">
        <v>1436</v>
      </c>
      <c r="AB572" s="49" t="s">
        <v>193</v>
      </c>
      <c r="AC572" s="48" t="s">
        <v>1194</v>
      </c>
      <c r="AD572" s="48" t="s">
        <v>1244</v>
      </c>
      <c r="AE572" s="48" t="s">
        <v>36</v>
      </c>
    </row>
    <row r="573" spans="1:31" x14ac:dyDescent="0.3">
      <c r="A573" s="48" t="s">
        <v>1320</v>
      </c>
      <c r="B573" s="48" t="s">
        <v>6</v>
      </c>
      <c r="C573" s="48" t="s">
        <v>1322</v>
      </c>
      <c r="D573" s="48" t="s">
        <v>1406</v>
      </c>
      <c r="E573" s="50">
        <v>46234</v>
      </c>
      <c r="F573" s="49" t="s">
        <v>1321</v>
      </c>
      <c r="G573" s="48" t="s">
        <v>36</v>
      </c>
      <c r="H573" s="48" t="s">
        <v>1441</v>
      </c>
      <c r="I573" s="51">
        <v>0</v>
      </c>
      <c r="J573" s="51"/>
      <c r="K573" s="51"/>
      <c r="L573" s="48" t="s">
        <v>1194</v>
      </c>
      <c r="M573" s="48" t="s">
        <v>1438</v>
      </c>
      <c r="N573" s="48" t="s">
        <v>1439</v>
      </c>
      <c r="O573" s="49" t="s">
        <v>1440</v>
      </c>
      <c r="P573" s="48" t="s">
        <v>38</v>
      </c>
      <c r="Q573" s="48" t="s">
        <v>37</v>
      </c>
      <c r="R573" s="48" t="s">
        <v>1436</v>
      </c>
      <c r="S573" s="48" t="s">
        <v>1436</v>
      </c>
      <c r="T573" s="48" t="s">
        <v>1436</v>
      </c>
      <c r="U573" s="48" t="s">
        <v>38</v>
      </c>
      <c r="V573" s="48" t="s">
        <v>39</v>
      </c>
      <c r="W573" s="48" t="s">
        <v>1194</v>
      </c>
      <c r="X573" s="48" t="s">
        <v>41</v>
      </c>
      <c r="Y573" s="48" t="s">
        <v>1436</v>
      </c>
      <c r="Z573" s="48" t="s">
        <v>1436</v>
      </c>
      <c r="AA573" s="48" t="s">
        <v>1436</v>
      </c>
      <c r="AB573" s="49" t="s">
        <v>193</v>
      </c>
      <c r="AC573" s="48" t="s">
        <v>1194</v>
      </c>
      <c r="AD573" s="48" t="s">
        <v>1244</v>
      </c>
      <c r="AE573" s="48" t="s">
        <v>36</v>
      </c>
    </row>
    <row r="574" spans="1:31" x14ac:dyDescent="0.3">
      <c r="A574" s="48" t="s">
        <v>1320</v>
      </c>
      <c r="B574" s="48" t="s">
        <v>6</v>
      </c>
      <c r="C574" s="48" t="s">
        <v>1322</v>
      </c>
      <c r="D574" s="48" t="s">
        <v>1405</v>
      </c>
      <c r="E574" s="50">
        <v>46234</v>
      </c>
      <c r="F574" s="49" t="s">
        <v>1321</v>
      </c>
      <c r="G574" s="48" t="s">
        <v>36</v>
      </c>
      <c r="H574" s="48" t="s">
        <v>1443</v>
      </c>
      <c r="I574" s="51">
        <v>0</v>
      </c>
      <c r="J574" s="51"/>
      <c r="K574" s="51"/>
      <c r="L574" s="48" t="s">
        <v>1194</v>
      </c>
      <c r="M574" s="48" t="s">
        <v>1438</v>
      </c>
      <c r="N574" s="48" t="s">
        <v>1439</v>
      </c>
      <c r="O574" s="49" t="s">
        <v>1442</v>
      </c>
      <c r="P574" s="48" t="s">
        <v>38</v>
      </c>
      <c r="Q574" s="48" t="s">
        <v>37</v>
      </c>
      <c r="R574" s="48" t="s">
        <v>1436</v>
      </c>
      <c r="S574" s="48" t="s">
        <v>1436</v>
      </c>
      <c r="T574" s="48" t="s">
        <v>1436</v>
      </c>
      <c r="U574" s="48" t="s">
        <v>38</v>
      </c>
      <c r="V574" s="48" t="s">
        <v>39</v>
      </c>
      <c r="W574" s="48" t="s">
        <v>1194</v>
      </c>
      <c r="X574" s="48" t="s">
        <v>41</v>
      </c>
      <c r="Y574" s="48" t="s">
        <v>1436</v>
      </c>
      <c r="Z574" s="48" t="s">
        <v>1436</v>
      </c>
      <c r="AA574" s="48" t="s">
        <v>1436</v>
      </c>
      <c r="AB574" s="49" t="s">
        <v>193</v>
      </c>
      <c r="AC574" s="48" t="s">
        <v>1194</v>
      </c>
      <c r="AD574" s="48" t="s">
        <v>1244</v>
      </c>
      <c r="AE574" s="48" t="s">
        <v>36</v>
      </c>
    </row>
    <row r="575" spans="1:31" x14ac:dyDescent="0.3">
      <c r="A575" s="48" t="s">
        <v>1320</v>
      </c>
      <c r="B575" s="48" t="s">
        <v>6</v>
      </c>
      <c r="C575" s="48" t="s">
        <v>1322</v>
      </c>
      <c r="D575" s="48" t="s">
        <v>1404</v>
      </c>
      <c r="E575" s="50">
        <v>46234</v>
      </c>
      <c r="F575" s="49" t="s">
        <v>1321</v>
      </c>
      <c r="G575" s="48" t="s">
        <v>36</v>
      </c>
      <c r="H575" s="48" t="s">
        <v>49</v>
      </c>
      <c r="I575" s="51">
        <v>-1433.1558560000001</v>
      </c>
      <c r="J575" s="51"/>
      <c r="K575" s="51"/>
      <c r="L575" s="48" t="s">
        <v>38</v>
      </c>
      <c r="M575" s="48" t="s">
        <v>1433</v>
      </c>
      <c r="N575" s="48" t="s">
        <v>1447</v>
      </c>
      <c r="O575" s="49" t="s">
        <v>1451</v>
      </c>
      <c r="P575" s="48" t="s">
        <v>38</v>
      </c>
      <c r="Q575" s="48" t="s">
        <v>37</v>
      </c>
      <c r="R575" s="48" t="s">
        <v>1436</v>
      </c>
      <c r="S575" s="48" t="s">
        <v>1436</v>
      </c>
      <c r="T575" s="48" t="s">
        <v>1436</v>
      </c>
      <c r="U575" s="48" t="s">
        <v>38</v>
      </c>
      <c r="V575" s="48" t="s">
        <v>39</v>
      </c>
      <c r="W575" s="48" t="s">
        <v>38</v>
      </c>
      <c r="X575" s="48" t="s">
        <v>41</v>
      </c>
      <c r="Y575" s="48" t="s">
        <v>1436</v>
      </c>
      <c r="Z575" s="48" t="s">
        <v>1436</v>
      </c>
      <c r="AA575" s="48" t="s">
        <v>1436</v>
      </c>
      <c r="AB575" s="49" t="s">
        <v>193</v>
      </c>
      <c r="AC575" s="48" t="s">
        <v>1194</v>
      </c>
      <c r="AD575" s="48" t="s">
        <v>1244</v>
      </c>
      <c r="AE575" s="48" t="s">
        <v>36</v>
      </c>
    </row>
    <row r="576" spans="1:31" x14ac:dyDescent="0.3">
      <c r="A576" s="48" t="s">
        <v>1320</v>
      </c>
      <c r="B576" s="48" t="s">
        <v>6</v>
      </c>
      <c r="C576" s="48" t="s">
        <v>1322</v>
      </c>
      <c r="D576" s="48" t="s">
        <v>1413</v>
      </c>
      <c r="E576" s="50">
        <v>46265</v>
      </c>
      <c r="F576" s="49" t="s">
        <v>1321</v>
      </c>
      <c r="G576" s="48" t="s">
        <v>36</v>
      </c>
      <c r="H576" s="48" t="s">
        <v>58</v>
      </c>
      <c r="I576" s="51">
        <v>-2800000</v>
      </c>
      <c r="J576" s="51"/>
      <c r="K576" s="51"/>
      <c r="L576" s="48" t="s">
        <v>40</v>
      </c>
      <c r="M576" s="48" t="s">
        <v>1433</v>
      </c>
      <c r="N576" s="48" t="s">
        <v>1447</v>
      </c>
      <c r="O576" s="49" t="s">
        <v>1448</v>
      </c>
      <c r="P576" s="48" t="s">
        <v>38</v>
      </c>
      <c r="Q576" s="48" t="s">
        <v>37</v>
      </c>
      <c r="R576" s="48" t="s">
        <v>1436</v>
      </c>
      <c r="S576" s="48" t="s">
        <v>1436</v>
      </c>
      <c r="T576" s="48" t="s">
        <v>1436</v>
      </c>
      <c r="U576" s="48" t="s">
        <v>38</v>
      </c>
      <c r="V576" s="48" t="s">
        <v>39</v>
      </c>
      <c r="W576" s="48" t="s">
        <v>40</v>
      </c>
      <c r="X576" s="48" t="s">
        <v>41</v>
      </c>
      <c r="Y576" s="48" t="s">
        <v>1436</v>
      </c>
      <c r="Z576" s="48" t="s">
        <v>1436</v>
      </c>
      <c r="AA576" s="48" t="s">
        <v>1436</v>
      </c>
      <c r="AB576" s="49" t="s">
        <v>193</v>
      </c>
      <c r="AC576" s="48" t="s">
        <v>1194</v>
      </c>
      <c r="AD576" s="48" t="s">
        <v>1244</v>
      </c>
      <c r="AE576" s="48" t="s">
        <v>36</v>
      </c>
    </row>
    <row r="577" spans="1:31" x14ac:dyDescent="0.3">
      <c r="A577" s="48" t="s">
        <v>1320</v>
      </c>
      <c r="B577" s="48" t="s">
        <v>6</v>
      </c>
      <c r="C577" s="48" t="s">
        <v>1322</v>
      </c>
      <c r="D577" s="48" t="s">
        <v>1412</v>
      </c>
      <c r="E577" s="50">
        <v>46265</v>
      </c>
      <c r="F577" s="49" t="s">
        <v>1321</v>
      </c>
      <c r="G577" s="48" t="s">
        <v>36</v>
      </c>
      <c r="H577" s="48" t="s">
        <v>52</v>
      </c>
      <c r="I577" s="51">
        <v>-2370507.46</v>
      </c>
      <c r="J577" s="51"/>
      <c r="K577" s="51"/>
      <c r="L577" s="48" t="s">
        <v>40</v>
      </c>
      <c r="M577" s="48" t="s">
        <v>1433</v>
      </c>
      <c r="N577" s="48" t="s">
        <v>1434</v>
      </c>
      <c r="O577" s="49" t="s">
        <v>1435</v>
      </c>
      <c r="P577" s="48" t="s">
        <v>38</v>
      </c>
      <c r="Q577" s="48" t="s">
        <v>37</v>
      </c>
      <c r="R577" s="48" t="s">
        <v>1436</v>
      </c>
      <c r="S577" s="48" t="s">
        <v>1436</v>
      </c>
      <c r="T577" s="48" t="s">
        <v>1436</v>
      </c>
      <c r="U577" s="48" t="s">
        <v>38</v>
      </c>
      <c r="V577" s="48" t="s">
        <v>39</v>
      </c>
      <c r="W577" s="48" t="s">
        <v>40</v>
      </c>
      <c r="X577" s="48" t="s">
        <v>41</v>
      </c>
      <c r="Y577" s="48" t="s">
        <v>1436</v>
      </c>
      <c r="Z577" s="48" t="s">
        <v>1436</v>
      </c>
      <c r="AA577" s="48" t="s">
        <v>1436</v>
      </c>
      <c r="AB577" s="49" t="s">
        <v>193</v>
      </c>
      <c r="AC577" s="48" t="s">
        <v>1194</v>
      </c>
      <c r="AD577" s="48" t="s">
        <v>1244</v>
      </c>
      <c r="AE577" s="48" t="s">
        <v>36</v>
      </c>
    </row>
    <row r="578" spans="1:31" x14ac:dyDescent="0.3">
      <c r="A578" s="48" t="s">
        <v>1320</v>
      </c>
      <c r="B578" s="48" t="s">
        <v>6</v>
      </c>
      <c r="C578" s="48" t="s">
        <v>1322</v>
      </c>
      <c r="D578" s="48" t="s">
        <v>1411</v>
      </c>
      <c r="E578" s="50">
        <v>46265</v>
      </c>
      <c r="F578" s="49" t="s">
        <v>1321</v>
      </c>
      <c r="G578" s="48" t="s">
        <v>36</v>
      </c>
      <c r="H578" s="48" t="s">
        <v>50</v>
      </c>
      <c r="I578" s="51">
        <v>338643.92</v>
      </c>
      <c r="J578" s="51"/>
      <c r="K578" s="51"/>
      <c r="L578" s="48" t="s">
        <v>40</v>
      </c>
      <c r="M578" s="48" t="s">
        <v>1438</v>
      </c>
      <c r="N578" s="48" t="s">
        <v>1444</v>
      </c>
      <c r="O578" s="49" t="s">
        <v>1445</v>
      </c>
      <c r="P578" s="48" t="s">
        <v>38</v>
      </c>
      <c r="Q578" s="48" t="s">
        <v>37</v>
      </c>
      <c r="R578" s="48" t="s">
        <v>1436</v>
      </c>
      <c r="S578" s="48" t="s">
        <v>1436</v>
      </c>
      <c r="T578" s="48" t="s">
        <v>1436</v>
      </c>
      <c r="U578" s="48" t="s">
        <v>38</v>
      </c>
      <c r="V578" s="48" t="s">
        <v>39</v>
      </c>
      <c r="W578" s="48" t="s">
        <v>40</v>
      </c>
      <c r="X578" s="48" t="s">
        <v>41</v>
      </c>
      <c r="Y578" s="48" t="s">
        <v>1436</v>
      </c>
      <c r="Z578" s="48" t="s">
        <v>1436</v>
      </c>
      <c r="AA578" s="48" t="s">
        <v>1436</v>
      </c>
      <c r="AB578" s="49" t="s">
        <v>193</v>
      </c>
      <c r="AC578" s="48" t="s">
        <v>1194</v>
      </c>
      <c r="AD578" s="48" t="s">
        <v>1244</v>
      </c>
      <c r="AE578" s="48" t="s">
        <v>36</v>
      </c>
    </row>
    <row r="579" spans="1:31" x14ac:dyDescent="0.3">
      <c r="A579" s="48" t="s">
        <v>1320</v>
      </c>
      <c r="B579" s="48" t="s">
        <v>6</v>
      </c>
      <c r="C579" s="48" t="s">
        <v>1322</v>
      </c>
      <c r="D579" s="48" t="s">
        <v>1410</v>
      </c>
      <c r="E579" s="50">
        <v>46265</v>
      </c>
      <c r="F579" s="49" t="s">
        <v>1321</v>
      </c>
      <c r="G579" s="48" t="s">
        <v>36</v>
      </c>
      <c r="H579" s="48" t="s">
        <v>42</v>
      </c>
      <c r="I579" s="51">
        <v>2539829.423163</v>
      </c>
      <c r="J579" s="51"/>
      <c r="K579" s="51"/>
      <c r="L579" s="48" t="s">
        <v>40</v>
      </c>
      <c r="M579" s="48" t="s">
        <v>1433</v>
      </c>
      <c r="N579" s="48" t="s">
        <v>1434</v>
      </c>
      <c r="O579" s="49" t="s">
        <v>1437</v>
      </c>
      <c r="P579" s="48" t="s">
        <v>38</v>
      </c>
      <c r="Q579" s="48" t="s">
        <v>37</v>
      </c>
      <c r="R579" s="48" t="s">
        <v>1436</v>
      </c>
      <c r="S579" s="48" t="s">
        <v>1436</v>
      </c>
      <c r="T579" s="48" t="s">
        <v>1436</v>
      </c>
      <c r="U579" s="48" t="s">
        <v>38</v>
      </c>
      <c r="V579" s="48" t="s">
        <v>39</v>
      </c>
      <c r="W579" s="48" t="s">
        <v>40</v>
      </c>
      <c r="X579" s="48" t="s">
        <v>41</v>
      </c>
      <c r="Y579" s="48" t="s">
        <v>1436</v>
      </c>
      <c r="Z579" s="48" t="s">
        <v>1436</v>
      </c>
      <c r="AA579" s="48" t="s">
        <v>1436</v>
      </c>
      <c r="AB579" s="49" t="s">
        <v>193</v>
      </c>
      <c r="AC579" s="48" t="s">
        <v>1194</v>
      </c>
      <c r="AD579" s="48" t="s">
        <v>1244</v>
      </c>
      <c r="AE579" s="48" t="s">
        <v>36</v>
      </c>
    </row>
    <row r="580" spans="1:31" x14ac:dyDescent="0.3">
      <c r="A580" s="48" t="s">
        <v>1320</v>
      </c>
      <c r="B580" s="48" t="s">
        <v>6</v>
      </c>
      <c r="C580" s="48" t="s">
        <v>1322</v>
      </c>
      <c r="D580" s="48" t="s">
        <v>1409</v>
      </c>
      <c r="E580" s="50">
        <v>46265</v>
      </c>
      <c r="F580" s="49" t="s">
        <v>1321</v>
      </c>
      <c r="G580" s="48" t="s">
        <v>36</v>
      </c>
      <c r="H580" s="48" t="s">
        <v>45</v>
      </c>
      <c r="I580" s="51">
        <v>1.9999999999999999E-6</v>
      </c>
      <c r="J580" s="51"/>
      <c r="K580" s="51"/>
      <c r="L580" s="48" t="s">
        <v>40</v>
      </c>
      <c r="M580" s="48" t="s">
        <v>1433</v>
      </c>
      <c r="N580" s="48" t="s">
        <v>1447</v>
      </c>
      <c r="O580" s="49" t="s">
        <v>1449</v>
      </c>
      <c r="P580" s="48" t="s">
        <v>38</v>
      </c>
      <c r="Q580" s="48" t="s">
        <v>37</v>
      </c>
      <c r="R580" s="48" t="s">
        <v>1436</v>
      </c>
      <c r="S580" s="48" t="s">
        <v>1436</v>
      </c>
      <c r="T580" s="48" t="s">
        <v>1436</v>
      </c>
      <c r="U580" s="48" t="s">
        <v>38</v>
      </c>
      <c r="V580" s="48" t="s">
        <v>39</v>
      </c>
      <c r="W580" s="48" t="s">
        <v>40</v>
      </c>
      <c r="X580" s="48" t="s">
        <v>41</v>
      </c>
      <c r="Y580" s="48" t="s">
        <v>1436</v>
      </c>
      <c r="Z580" s="48" t="s">
        <v>1436</v>
      </c>
      <c r="AA580" s="48" t="s">
        <v>1436</v>
      </c>
      <c r="AB580" s="49" t="s">
        <v>193</v>
      </c>
      <c r="AC580" s="48" t="s">
        <v>1194</v>
      </c>
      <c r="AD580" s="48" t="s">
        <v>1244</v>
      </c>
      <c r="AE580" s="48" t="s">
        <v>36</v>
      </c>
    </row>
    <row r="581" spans="1:31" x14ac:dyDescent="0.3">
      <c r="A581" s="48" t="s">
        <v>1320</v>
      </c>
      <c r="B581" s="48" t="s">
        <v>6</v>
      </c>
      <c r="C581" s="48" t="s">
        <v>1322</v>
      </c>
      <c r="D581" s="48" t="s">
        <v>1408</v>
      </c>
      <c r="E581" s="50">
        <v>46265</v>
      </c>
      <c r="F581" s="49" t="s">
        <v>1321</v>
      </c>
      <c r="G581" s="48" t="s">
        <v>36</v>
      </c>
      <c r="H581" s="48" t="s">
        <v>54</v>
      </c>
      <c r="I581" s="51">
        <v>-197117.01695799999</v>
      </c>
      <c r="J581" s="51"/>
      <c r="K581" s="51"/>
      <c r="L581" s="48" t="s">
        <v>40</v>
      </c>
      <c r="M581" s="48" t="s">
        <v>1433</v>
      </c>
      <c r="N581" s="48" t="s">
        <v>1447</v>
      </c>
      <c r="O581" s="49" t="s">
        <v>1450</v>
      </c>
      <c r="P581" s="48" t="s">
        <v>38</v>
      </c>
      <c r="Q581" s="48" t="s">
        <v>37</v>
      </c>
      <c r="R581" s="48" t="s">
        <v>1436</v>
      </c>
      <c r="S581" s="48" t="s">
        <v>1436</v>
      </c>
      <c r="T581" s="48" t="s">
        <v>1436</v>
      </c>
      <c r="U581" s="48" t="s">
        <v>38</v>
      </c>
      <c r="V581" s="48" t="s">
        <v>39</v>
      </c>
      <c r="W581" s="48" t="s">
        <v>40</v>
      </c>
      <c r="X581" s="48" t="s">
        <v>41</v>
      </c>
      <c r="Y581" s="48" t="s">
        <v>1436</v>
      </c>
      <c r="Z581" s="48" t="s">
        <v>1436</v>
      </c>
      <c r="AA581" s="48" t="s">
        <v>1436</v>
      </c>
      <c r="AB581" s="49" t="s">
        <v>193</v>
      </c>
      <c r="AC581" s="48" t="s">
        <v>1194</v>
      </c>
      <c r="AD581" s="48" t="s">
        <v>1244</v>
      </c>
      <c r="AE581" s="48" t="s">
        <v>36</v>
      </c>
    </row>
    <row r="582" spans="1:31" x14ac:dyDescent="0.3">
      <c r="A582" s="48" t="s">
        <v>1320</v>
      </c>
      <c r="B582" s="48" t="s">
        <v>6</v>
      </c>
      <c r="C582" s="48" t="s">
        <v>1322</v>
      </c>
      <c r="D582" s="48" t="s">
        <v>1407</v>
      </c>
      <c r="E582" s="50">
        <v>46265</v>
      </c>
      <c r="F582" s="49" t="s">
        <v>1321</v>
      </c>
      <c r="G582" s="48" t="s">
        <v>36</v>
      </c>
      <c r="H582" s="48" t="s">
        <v>47</v>
      </c>
      <c r="I582" s="51">
        <v>17040.032504999999</v>
      </c>
      <c r="J582" s="51"/>
      <c r="K582" s="51"/>
      <c r="L582" s="48" t="s">
        <v>40</v>
      </c>
      <c r="M582" s="48" t="s">
        <v>1438</v>
      </c>
      <c r="N582" s="48" t="s">
        <v>1444</v>
      </c>
      <c r="O582" s="49" t="s">
        <v>1446</v>
      </c>
      <c r="P582" s="48" t="s">
        <v>38</v>
      </c>
      <c r="Q582" s="48" t="s">
        <v>37</v>
      </c>
      <c r="R582" s="48" t="s">
        <v>1436</v>
      </c>
      <c r="S582" s="48" t="s">
        <v>1436</v>
      </c>
      <c r="T582" s="48" t="s">
        <v>1436</v>
      </c>
      <c r="U582" s="48" t="s">
        <v>38</v>
      </c>
      <c r="V582" s="48" t="s">
        <v>39</v>
      </c>
      <c r="W582" s="48" t="s">
        <v>40</v>
      </c>
      <c r="X582" s="48" t="s">
        <v>41</v>
      </c>
      <c r="Y582" s="48" t="s">
        <v>1436</v>
      </c>
      <c r="Z582" s="48" t="s">
        <v>1436</v>
      </c>
      <c r="AA582" s="48" t="s">
        <v>1436</v>
      </c>
      <c r="AB582" s="49" t="s">
        <v>193</v>
      </c>
      <c r="AC582" s="48" t="s">
        <v>1194</v>
      </c>
      <c r="AD582" s="48" t="s">
        <v>1244</v>
      </c>
      <c r="AE582" s="48" t="s">
        <v>36</v>
      </c>
    </row>
    <row r="583" spans="1:31" x14ac:dyDescent="0.3">
      <c r="A583" s="48" t="s">
        <v>1320</v>
      </c>
      <c r="B583" s="48" t="s">
        <v>6</v>
      </c>
      <c r="C583" s="48" t="s">
        <v>1322</v>
      </c>
      <c r="D583" s="48" t="s">
        <v>1406</v>
      </c>
      <c r="E583" s="50">
        <v>46265</v>
      </c>
      <c r="F583" s="49" t="s">
        <v>1321</v>
      </c>
      <c r="G583" s="48" t="s">
        <v>36</v>
      </c>
      <c r="H583" s="48" t="s">
        <v>1441</v>
      </c>
      <c r="I583" s="51">
        <v>0</v>
      </c>
      <c r="J583" s="51"/>
      <c r="K583" s="51"/>
      <c r="L583" s="48" t="s">
        <v>1194</v>
      </c>
      <c r="M583" s="48" t="s">
        <v>1438</v>
      </c>
      <c r="N583" s="48" t="s">
        <v>1439</v>
      </c>
      <c r="O583" s="49" t="s">
        <v>1440</v>
      </c>
      <c r="P583" s="48" t="s">
        <v>38</v>
      </c>
      <c r="Q583" s="48" t="s">
        <v>37</v>
      </c>
      <c r="R583" s="48" t="s">
        <v>1436</v>
      </c>
      <c r="S583" s="48" t="s">
        <v>1436</v>
      </c>
      <c r="T583" s="48" t="s">
        <v>1436</v>
      </c>
      <c r="U583" s="48" t="s">
        <v>38</v>
      </c>
      <c r="V583" s="48" t="s">
        <v>39</v>
      </c>
      <c r="W583" s="48" t="s">
        <v>1194</v>
      </c>
      <c r="X583" s="48" t="s">
        <v>41</v>
      </c>
      <c r="Y583" s="48" t="s">
        <v>1436</v>
      </c>
      <c r="Z583" s="48" t="s">
        <v>1436</v>
      </c>
      <c r="AA583" s="48" t="s">
        <v>1436</v>
      </c>
      <c r="AB583" s="49" t="s">
        <v>193</v>
      </c>
      <c r="AC583" s="48" t="s">
        <v>1194</v>
      </c>
      <c r="AD583" s="48" t="s">
        <v>1244</v>
      </c>
      <c r="AE583" s="48" t="s">
        <v>36</v>
      </c>
    </row>
    <row r="584" spans="1:31" x14ac:dyDescent="0.3">
      <c r="A584" s="48" t="s">
        <v>1320</v>
      </c>
      <c r="B584" s="48" t="s">
        <v>6</v>
      </c>
      <c r="C584" s="48" t="s">
        <v>1322</v>
      </c>
      <c r="D584" s="48" t="s">
        <v>1405</v>
      </c>
      <c r="E584" s="50">
        <v>46265</v>
      </c>
      <c r="F584" s="49" t="s">
        <v>1321</v>
      </c>
      <c r="G584" s="48" t="s">
        <v>36</v>
      </c>
      <c r="H584" s="48" t="s">
        <v>1443</v>
      </c>
      <c r="I584" s="51">
        <v>0</v>
      </c>
      <c r="J584" s="51"/>
      <c r="K584" s="51"/>
      <c r="L584" s="48" t="s">
        <v>1194</v>
      </c>
      <c r="M584" s="48" t="s">
        <v>1438</v>
      </c>
      <c r="N584" s="48" t="s">
        <v>1439</v>
      </c>
      <c r="O584" s="49" t="s">
        <v>1442</v>
      </c>
      <c r="P584" s="48" t="s">
        <v>38</v>
      </c>
      <c r="Q584" s="48" t="s">
        <v>37</v>
      </c>
      <c r="R584" s="48" t="s">
        <v>1436</v>
      </c>
      <c r="S584" s="48" t="s">
        <v>1436</v>
      </c>
      <c r="T584" s="48" t="s">
        <v>1436</v>
      </c>
      <c r="U584" s="48" t="s">
        <v>38</v>
      </c>
      <c r="V584" s="48" t="s">
        <v>39</v>
      </c>
      <c r="W584" s="48" t="s">
        <v>1194</v>
      </c>
      <c r="X584" s="48" t="s">
        <v>41</v>
      </c>
      <c r="Y584" s="48" t="s">
        <v>1436</v>
      </c>
      <c r="Z584" s="48" t="s">
        <v>1436</v>
      </c>
      <c r="AA584" s="48" t="s">
        <v>1436</v>
      </c>
      <c r="AB584" s="49" t="s">
        <v>193</v>
      </c>
      <c r="AC584" s="48" t="s">
        <v>1194</v>
      </c>
      <c r="AD584" s="48" t="s">
        <v>1244</v>
      </c>
      <c r="AE584" s="48" t="s">
        <v>36</v>
      </c>
    </row>
    <row r="585" spans="1:31" x14ac:dyDescent="0.3">
      <c r="A585" s="48" t="s">
        <v>1320</v>
      </c>
      <c r="B585" s="48" t="s">
        <v>6</v>
      </c>
      <c r="C585" s="48" t="s">
        <v>1322</v>
      </c>
      <c r="D585" s="48" t="s">
        <v>1404</v>
      </c>
      <c r="E585" s="50">
        <v>46265</v>
      </c>
      <c r="F585" s="49" t="s">
        <v>1321</v>
      </c>
      <c r="G585" s="48" t="s">
        <v>36</v>
      </c>
      <c r="H585" s="48" t="s">
        <v>49</v>
      </c>
      <c r="I585" s="51">
        <v>-1149.8492659999999</v>
      </c>
      <c r="J585" s="51"/>
      <c r="K585" s="51"/>
      <c r="L585" s="48" t="s">
        <v>38</v>
      </c>
      <c r="M585" s="48" t="s">
        <v>1433</v>
      </c>
      <c r="N585" s="48" t="s">
        <v>1447</v>
      </c>
      <c r="O585" s="49" t="s">
        <v>1451</v>
      </c>
      <c r="P585" s="48" t="s">
        <v>38</v>
      </c>
      <c r="Q585" s="48" t="s">
        <v>37</v>
      </c>
      <c r="R585" s="48" t="s">
        <v>1436</v>
      </c>
      <c r="S585" s="48" t="s">
        <v>1436</v>
      </c>
      <c r="T585" s="48" t="s">
        <v>1436</v>
      </c>
      <c r="U585" s="48" t="s">
        <v>38</v>
      </c>
      <c r="V585" s="48" t="s">
        <v>39</v>
      </c>
      <c r="W585" s="48" t="s">
        <v>38</v>
      </c>
      <c r="X585" s="48" t="s">
        <v>41</v>
      </c>
      <c r="Y585" s="48" t="s">
        <v>1436</v>
      </c>
      <c r="Z585" s="48" t="s">
        <v>1436</v>
      </c>
      <c r="AA585" s="48" t="s">
        <v>1436</v>
      </c>
      <c r="AB585" s="49" t="s">
        <v>193</v>
      </c>
      <c r="AC585" s="48" t="s">
        <v>1194</v>
      </c>
      <c r="AD585" s="48" t="s">
        <v>1244</v>
      </c>
      <c r="AE585" s="48" t="s">
        <v>36</v>
      </c>
    </row>
    <row r="586" spans="1:31" x14ac:dyDescent="0.3">
      <c r="A586" s="48" t="s">
        <v>1320</v>
      </c>
      <c r="B586" s="48" t="s">
        <v>6</v>
      </c>
      <c r="C586" s="48" t="s">
        <v>1322</v>
      </c>
      <c r="D586" s="48" t="s">
        <v>1413</v>
      </c>
      <c r="E586" s="50">
        <v>46295</v>
      </c>
      <c r="F586" s="49" t="s">
        <v>1321</v>
      </c>
      <c r="G586" s="48" t="s">
        <v>36</v>
      </c>
      <c r="H586" s="48" t="s">
        <v>58</v>
      </c>
      <c r="I586" s="51">
        <v>-2850000</v>
      </c>
      <c r="J586" s="51"/>
      <c r="K586" s="51"/>
      <c r="L586" s="48" t="s">
        <v>40</v>
      </c>
      <c r="M586" s="48" t="s">
        <v>1433</v>
      </c>
      <c r="N586" s="48" t="s">
        <v>1447</v>
      </c>
      <c r="O586" s="49" t="s">
        <v>1448</v>
      </c>
      <c r="P586" s="48" t="s">
        <v>38</v>
      </c>
      <c r="Q586" s="48" t="s">
        <v>37</v>
      </c>
      <c r="R586" s="48" t="s">
        <v>1436</v>
      </c>
      <c r="S586" s="48" t="s">
        <v>1436</v>
      </c>
      <c r="T586" s="48" t="s">
        <v>1436</v>
      </c>
      <c r="U586" s="48" t="s">
        <v>38</v>
      </c>
      <c r="V586" s="48" t="s">
        <v>39</v>
      </c>
      <c r="W586" s="48" t="s">
        <v>40</v>
      </c>
      <c r="X586" s="48" t="s">
        <v>41</v>
      </c>
      <c r="Y586" s="48" t="s">
        <v>1436</v>
      </c>
      <c r="Z586" s="48" t="s">
        <v>1436</v>
      </c>
      <c r="AA586" s="48" t="s">
        <v>1436</v>
      </c>
      <c r="AB586" s="49" t="s">
        <v>193</v>
      </c>
      <c r="AC586" s="48" t="s">
        <v>1194</v>
      </c>
      <c r="AD586" s="48" t="s">
        <v>1244</v>
      </c>
      <c r="AE586" s="48" t="s">
        <v>36</v>
      </c>
    </row>
    <row r="587" spans="1:31" x14ac:dyDescent="0.3">
      <c r="A587" s="48" t="s">
        <v>1320</v>
      </c>
      <c r="B587" s="48" t="s">
        <v>6</v>
      </c>
      <c r="C587" s="48" t="s">
        <v>1322</v>
      </c>
      <c r="D587" s="48" t="s">
        <v>1412</v>
      </c>
      <c r="E587" s="50">
        <v>46295</v>
      </c>
      <c r="F587" s="49" t="s">
        <v>1321</v>
      </c>
      <c r="G587" s="48" t="s">
        <v>36</v>
      </c>
      <c r="H587" s="48" t="s">
        <v>52</v>
      </c>
      <c r="I587" s="51">
        <v>-2412837.9500000002</v>
      </c>
      <c r="J587" s="51"/>
      <c r="K587" s="51"/>
      <c r="L587" s="48" t="s">
        <v>40</v>
      </c>
      <c r="M587" s="48" t="s">
        <v>1433</v>
      </c>
      <c r="N587" s="48" t="s">
        <v>1434</v>
      </c>
      <c r="O587" s="49" t="s">
        <v>1435</v>
      </c>
      <c r="P587" s="48" t="s">
        <v>38</v>
      </c>
      <c r="Q587" s="48" t="s">
        <v>37</v>
      </c>
      <c r="R587" s="48" t="s">
        <v>1436</v>
      </c>
      <c r="S587" s="48" t="s">
        <v>1436</v>
      </c>
      <c r="T587" s="48" t="s">
        <v>1436</v>
      </c>
      <c r="U587" s="48" t="s">
        <v>38</v>
      </c>
      <c r="V587" s="48" t="s">
        <v>39</v>
      </c>
      <c r="W587" s="48" t="s">
        <v>40</v>
      </c>
      <c r="X587" s="48" t="s">
        <v>41</v>
      </c>
      <c r="Y587" s="48" t="s">
        <v>1436</v>
      </c>
      <c r="Z587" s="48" t="s">
        <v>1436</v>
      </c>
      <c r="AA587" s="48" t="s">
        <v>1436</v>
      </c>
      <c r="AB587" s="49" t="s">
        <v>193</v>
      </c>
      <c r="AC587" s="48" t="s">
        <v>1194</v>
      </c>
      <c r="AD587" s="48" t="s">
        <v>1244</v>
      </c>
      <c r="AE587" s="48" t="s">
        <v>36</v>
      </c>
    </row>
    <row r="588" spans="1:31" x14ac:dyDescent="0.3">
      <c r="A588" s="48" t="s">
        <v>1320</v>
      </c>
      <c r="B588" s="48" t="s">
        <v>6</v>
      </c>
      <c r="C588" s="48" t="s">
        <v>1322</v>
      </c>
      <c r="D588" s="48" t="s">
        <v>1411</v>
      </c>
      <c r="E588" s="50">
        <v>46295</v>
      </c>
      <c r="F588" s="49" t="s">
        <v>1321</v>
      </c>
      <c r="G588" s="48" t="s">
        <v>36</v>
      </c>
      <c r="H588" s="48" t="s">
        <v>50</v>
      </c>
      <c r="I588" s="51">
        <v>380974.41</v>
      </c>
      <c r="J588" s="51"/>
      <c r="K588" s="51"/>
      <c r="L588" s="48" t="s">
        <v>40</v>
      </c>
      <c r="M588" s="48" t="s">
        <v>1438</v>
      </c>
      <c r="N588" s="48" t="s">
        <v>1444</v>
      </c>
      <c r="O588" s="49" t="s">
        <v>1445</v>
      </c>
      <c r="P588" s="48" t="s">
        <v>38</v>
      </c>
      <c r="Q588" s="48" t="s">
        <v>37</v>
      </c>
      <c r="R588" s="48" t="s">
        <v>1436</v>
      </c>
      <c r="S588" s="48" t="s">
        <v>1436</v>
      </c>
      <c r="T588" s="48" t="s">
        <v>1436</v>
      </c>
      <c r="U588" s="48" t="s">
        <v>38</v>
      </c>
      <c r="V588" s="48" t="s">
        <v>39</v>
      </c>
      <c r="W588" s="48" t="s">
        <v>40</v>
      </c>
      <c r="X588" s="48" t="s">
        <v>41</v>
      </c>
      <c r="Y588" s="48" t="s">
        <v>1436</v>
      </c>
      <c r="Z588" s="48" t="s">
        <v>1436</v>
      </c>
      <c r="AA588" s="48" t="s">
        <v>1436</v>
      </c>
      <c r="AB588" s="49" t="s">
        <v>193</v>
      </c>
      <c r="AC588" s="48" t="s">
        <v>1194</v>
      </c>
      <c r="AD588" s="48" t="s">
        <v>1244</v>
      </c>
      <c r="AE588" s="48" t="s">
        <v>36</v>
      </c>
    </row>
    <row r="589" spans="1:31" x14ac:dyDescent="0.3">
      <c r="A589" s="48" t="s">
        <v>1320</v>
      </c>
      <c r="B589" s="48" t="s">
        <v>6</v>
      </c>
      <c r="C589" s="48" t="s">
        <v>1322</v>
      </c>
      <c r="D589" s="48" t="s">
        <v>1410</v>
      </c>
      <c r="E589" s="50">
        <v>46295</v>
      </c>
      <c r="F589" s="49" t="s">
        <v>1321</v>
      </c>
      <c r="G589" s="48" t="s">
        <v>36</v>
      </c>
      <c r="H589" s="48" t="s">
        <v>42</v>
      </c>
      <c r="I589" s="51">
        <v>2539829.423163</v>
      </c>
      <c r="J589" s="51"/>
      <c r="K589" s="51"/>
      <c r="L589" s="48" t="s">
        <v>40</v>
      </c>
      <c r="M589" s="48" t="s">
        <v>1433</v>
      </c>
      <c r="N589" s="48" t="s">
        <v>1434</v>
      </c>
      <c r="O589" s="49" t="s">
        <v>1437</v>
      </c>
      <c r="P589" s="48" t="s">
        <v>38</v>
      </c>
      <c r="Q589" s="48" t="s">
        <v>37</v>
      </c>
      <c r="R589" s="48" t="s">
        <v>1436</v>
      </c>
      <c r="S589" s="48" t="s">
        <v>1436</v>
      </c>
      <c r="T589" s="48" t="s">
        <v>1436</v>
      </c>
      <c r="U589" s="48" t="s">
        <v>38</v>
      </c>
      <c r="V589" s="48" t="s">
        <v>39</v>
      </c>
      <c r="W589" s="48" t="s">
        <v>40</v>
      </c>
      <c r="X589" s="48" t="s">
        <v>41</v>
      </c>
      <c r="Y589" s="48" t="s">
        <v>1436</v>
      </c>
      <c r="Z589" s="48" t="s">
        <v>1436</v>
      </c>
      <c r="AA589" s="48" t="s">
        <v>1436</v>
      </c>
      <c r="AB589" s="49" t="s">
        <v>193</v>
      </c>
      <c r="AC589" s="48" t="s">
        <v>1194</v>
      </c>
      <c r="AD589" s="48" t="s">
        <v>1244</v>
      </c>
      <c r="AE589" s="48" t="s">
        <v>36</v>
      </c>
    </row>
    <row r="590" spans="1:31" x14ac:dyDescent="0.3">
      <c r="A590" s="48" t="s">
        <v>1320</v>
      </c>
      <c r="B590" s="48" t="s">
        <v>6</v>
      </c>
      <c r="C590" s="48" t="s">
        <v>1322</v>
      </c>
      <c r="D590" s="48" t="s">
        <v>1409</v>
      </c>
      <c r="E590" s="50">
        <v>46295</v>
      </c>
      <c r="F590" s="49" t="s">
        <v>1321</v>
      </c>
      <c r="G590" s="48" t="s">
        <v>36</v>
      </c>
      <c r="H590" s="48" t="s">
        <v>45</v>
      </c>
      <c r="I590" s="51">
        <v>1.9999999999999999E-6</v>
      </c>
      <c r="J590" s="51"/>
      <c r="K590" s="51"/>
      <c r="L590" s="48" t="s">
        <v>40</v>
      </c>
      <c r="M590" s="48" t="s">
        <v>1433</v>
      </c>
      <c r="N590" s="48" t="s">
        <v>1447</v>
      </c>
      <c r="O590" s="49" t="s">
        <v>1449</v>
      </c>
      <c r="P590" s="48" t="s">
        <v>38</v>
      </c>
      <c r="Q590" s="48" t="s">
        <v>37</v>
      </c>
      <c r="R590" s="48" t="s">
        <v>1436</v>
      </c>
      <c r="S590" s="48" t="s">
        <v>1436</v>
      </c>
      <c r="T590" s="48" t="s">
        <v>1436</v>
      </c>
      <c r="U590" s="48" t="s">
        <v>38</v>
      </c>
      <c r="V590" s="48" t="s">
        <v>39</v>
      </c>
      <c r="W590" s="48" t="s">
        <v>40</v>
      </c>
      <c r="X590" s="48" t="s">
        <v>41</v>
      </c>
      <c r="Y590" s="48" t="s">
        <v>1436</v>
      </c>
      <c r="Z590" s="48" t="s">
        <v>1436</v>
      </c>
      <c r="AA590" s="48" t="s">
        <v>1436</v>
      </c>
      <c r="AB590" s="49" t="s">
        <v>193</v>
      </c>
      <c r="AC590" s="48" t="s">
        <v>1194</v>
      </c>
      <c r="AD590" s="48" t="s">
        <v>1244</v>
      </c>
      <c r="AE590" s="48" t="s">
        <v>36</v>
      </c>
    </row>
    <row r="591" spans="1:31" x14ac:dyDescent="0.3">
      <c r="A591" s="48" t="s">
        <v>1320</v>
      </c>
      <c r="B591" s="48" t="s">
        <v>6</v>
      </c>
      <c r="C591" s="48" t="s">
        <v>1322</v>
      </c>
      <c r="D591" s="48" t="s">
        <v>1408</v>
      </c>
      <c r="E591" s="50">
        <v>46295</v>
      </c>
      <c r="F591" s="49" t="s">
        <v>1321</v>
      </c>
      <c r="G591" s="48" t="s">
        <v>36</v>
      </c>
      <c r="H591" s="48" t="s">
        <v>54</v>
      </c>
      <c r="I591" s="51">
        <v>-148266.866224</v>
      </c>
      <c r="J591" s="51"/>
      <c r="K591" s="51"/>
      <c r="L591" s="48" t="s">
        <v>40</v>
      </c>
      <c r="M591" s="48" t="s">
        <v>1433</v>
      </c>
      <c r="N591" s="48" t="s">
        <v>1447</v>
      </c>
      <c r="O591" s="49" t="s">
        <v>1450</v>
      </c>
      <c r="P591" s="48" t="s">
        <v>38</v>
      </c>
      <c r="Q591" s="48" t="s">
        <v>37</v>
      </c>
      <c r="R591" s="48" t="s">
        <v>1436</v>
      </c>
      <c r="S591" s="48" t="s">
        <v>1436</v>
      </c>
      <c r="T591" s="48" t="s">
        <v>1436</v>
      </c>
      <c r="U591" s="48" t="s">
        <v>38</v>
      </c>
      <c r="V591" s="48" t="s">
        <v>39</v>
      </c>
      <c r="W591" s="48" t="s">
        <v>40</v>
      </c>
      <c r="X591" s="48" t="s">
        <v>41</v>
      </c>
      <c r="Y591" s="48" t="s">
        <v>1436</v>
      </c>
      <c r="Z591" s="48" t="s">
        <v>1436</v>
      </c>
      <c r="AA591" s="48" t="s">
        <v>1436</v>
      </c>
      <c r="AB591" s="49" t="s">
        <v>193</v>
      </c>
      <c r="AC591" s="48" t="s">
        <v>1194</v>
      </c>
      <c r="AD591" s="48" t="s">
        <v>1244</v>
      </c>
      <c r="AE591" s="48" t="s">
        <v>36</v>
      </c>
    </row>
    <row r="592" spans="1:31" x14ac:dyDescent="0.3">
      <c r="A592" s="48" t="s">
        <v>1320</v>
      </c>
      <c r="B592" s="48" t="s">
        <v>6</v>
      </c>
      <c r="C592" s="48" t="s">
        <v>1322</v>
      </c>
      <c r="D592" s="48" t="s">
        <v>1407</v>
      </c>
      <c r="E592" s="50">
        <v>46295</v>
      </c>
      <c r="F592" s="49" t="s">
        <v>1321</v>
      </c>
      <c r="G592" s="48" t="s">
        <v>36</v>
      </c>
      <c r="H592" s="48" t="s">
        <v>47</v>
      </c>
      <c r="I592" s="51">
        <v>17904.922557999998</v>
      </c>
      <c r="J592" s="51"/>
      <c r="K592" s="51"/>
      <c r="L592" s="48" t="s">
        <v>40</v>
      </c>
      <c r="M592" s="48" t="s">
        <v>1438</v>
      </c>
      <c r="N592" s="48" t="s">
        <v>1444</v>
      </c>
      <c r="O592" s="49" t="s">
        <v>1446</v>
      </c>
      <c r="P592" s="48" t="s">
        <v>38</v>
      </c>
      <c r="Q592" s="48" t="s">
        <v>37</v>
      </c>
      <c r="R592" s="48" t="s">
        <v>1436</v>
      </c>
      <c r="S592" s="48" t="s">
        <v>1436</v>
      </c>
      <c r="T592" s="48" t="s">
        <v>1436</v>
      </c>
      <c r="U592" s="48" t="s">
        <v>38</v>
      </c>
      <c r="V592" s="48" t="s">
        <v>39</v>
      </c>
      <c r="W592" s="48" t="s">
        <v>40</v>
      </c>
      <c r="X592" s="48" t="s">
        <v>41</v>
      </c>
      <c r="Y592" s="48" t="s">
        <v>1436</v>
      </c>
      <c r="Z592" s="48" t="s">
        <v>1436</v>
      </c>
      <c r="AA592" s="48" t="s">
        <v>1436</v>
      </c>
      <c r="AB592" s="49" t="s">
        <v>193</v>
      </c>
      <c r="AC592" s="48" t="s">
        <v>1194</v>
      </c>
      <c r="AD592" s="48" t="s">
        <v>1244</v>
      </c>
      <c r="AE592" s="48" t="s">
        <v>36</v>
      </c>
    </row>
    <row r="593" spans="1:31" x14ac:dyDescent="0.3">
      <c r="A593" s="48" t="s">
        <v>1320</v>
      </c>
      <c r="B593" s="48" t="s">
        <v>6</v>
      </c>
      <c r="C593" s="48" t="s">
        <v>1322</v>
      </c>
      <c r="D593" s="48" t="s">
        <v>1406</v>
      </c>
      <c r="E593" s="50">
        <v>46295</v>
      </c>
      <c r="F593" s="49" t="s">
        <v>1321</v>
      </c>
      <c r="G593" s="48" t="s">
        <v>36</v>
      </c>
      <c r="H593" s="48" t="s">
        <v>1441</v>
      </c>
      <c r="I593" s="51">
        <v>0</v>
      </c>
      <c r="J593" s="51"/>
      <c r="K593" s="51"/>
      <c r="L593" s="48" t="s">
        <v>1194</v>
      </c>
      <c r="M593" s="48" t="s">
        <v>1438</v>
      </c>
      <c r="N593" s="48" t="s">
        <v>1439</v>
      </c>
      <c r="O593" s="49" t="s">
        <v>1440</v>
      </c>
      <c r="P593" s="48" t="s">
        <v>38</v>
      </c>
      <c r="Q593" s="48" t="s">
        <v>37</v>
      </c>
      <c r="R593" s="48" t="s">
        <v>1436</v>
      </c>
      <c r="S593" s="48" t="s">
        <v>1436</v>
      </c>
      <c r="T593" s="48" t="s">
        <v>1436</v>
      </c>
      <c r="U593" s="48" t="s">
        <v>38</v>
      </c>
      <c r="V593" s="48" t="s">
        <v>39</v>
      </c>
      <c r="W593" s="48" t="s">
        <v>1194</v>
      </c>
      <c r="X593" s="48" t="s">
        <v>41</v>
      </c>
      <c r="Y593" s="48" t="s">
        <v>1436</v>
      </c>
      <c r="Z593" s="48" t="s">
        <v>1436</v>
      </c>
      <c r="AA593" s="48" t="s">
        <v>1436</v>
      </c>
      <c r="AB593" s="49" t="s">
        <v>193</v>
      </c>
      <c r="AC593" s="48" t="s">
        <v>1194</v>
      </c>
      <c r="AD593" s="48" t="s">
        <v>1244</v>
      </c>
      <c r="AE593" s="48" t="s">
        <v>36</v>
      </c>
    </row>
    <row r="594" spans="1:31" x14ac:dyDescent="0.3">
      <c r="A594" s="48" t="s">
        <v>1320</v>
      </c>
      <c r="B594" s="48" t="s">
        <v>6</v>
      </c>
      <c r="C594" s="48" t="s">
        <v>1322</v>
      </c>
      <c r="D594" s="48" t="s">
        <v>1405</v>
      </c>
      <c r="E594" s="50">
        <v>46295</v>
      </c>
      <c r="F594" s="49" t="s">
        <v>1321</v>
      </c>
      <c r="G594" s="48" t="s">
        <v>36</v>
      </c>
      <c r="H594" s="48" t="s">
        <v>1443</v>
      </c>
      <c r="I594" s="51">
        <v>0</v>
      </c>
      <c r="J594" s="51"/>
      <c r="K594" s="51"/>
      <c r="L594" s="48" t="s">
        <v>1194</v>
      </c>
      <c r="M594" s="48" t="s">
        <v>1438</v>
      </c>
      <c r="N594" s="48" t="s">
        <v>1439</v>
      </c>
      <c r="O594" s="49" t="s">
        <v>1442</v>
      </c>
      <c r="P594" s="48" t="s">
        <v>38</v>
      </c>
      <c r="Q594" s="48" t="s">
        <v>37</v>
      </c>
      <c r="R594" s="48" t="s">
        <v>1436</v>
      </c>
      <c r="S594" s="48" t="s">
        <v>1436</v>
      </c>
      <c r="T594" s="48" t="s">
        <v>1436</v>
      </c>
      <c r="U594" s="48" t="s">
        <v>38</v>
      </c>
      <c r="V594" s="48" t="s">
        <v>39</v>
      </c>
      <c r="W594" s="48" t="s">
        <v>1194</v>
      </c>
      <c r="X594" s="48" t="s">
        <v>41</v>
      </c>
      <c r="Y594" s="48" t="s">
        <v>1436</v>
      </c>
      <c r="Z594" s="48" t="s">
        <v>1436</v>
      </c>
      <c r="AA594" s="48" t="s">
        <v>1436</v>
      </c>
      <c r="AB594" s="49" t="s">
        <v>193</v>
      </c>
      <c r="AC594" s="48" t="s">
        <v>1194</v>
      </c>
      <c r="AD594" s="48" t="s">
        <v>1244</v>
      </c>
      <c r="AE594" s="48" t="s">
        <v>36</v>
      </c>
    </row>
    <row r="595" spans="1:31" x14ac:dyDescent="0.3">
      <c r="A595" s="48" t="s">
        <v>1320</v>
      </c>
      <c r="B595" s="48" t="s">
        <v>6</v>
      </c>
      <c r="C595" s="48" t="s">
        <v>1322</v>
      </c>
      <c r="D595" s="48" t="s">
        <v>1404</v>
      </c>
      <c r="E595" s="50">
        <v>46295</v>
      </c>
      <c r="F595" s="49" t="s">
        <v>1321</v>
      </c>
      <c r="G595" s="48" t="s">
        <v>36</v>
      </c>
      <c r="H595" s="48" t="s">
        <v>49</v>
      </c>
      <c r="I595" s="51">
        <v>-864.89005299999997</v>
      </c>
      <c r="J595" s="51"/>
      <c r="K595" s="51"/>
      <c r="L595" s="48" t="s">
        <v>38</v>
      </c>
      <c r="M595" s="48" t="s">
        <v>1433</v>
      </c>
      <c r="N595" s="48" t="s">
        <v>1447</v>
      </c>
      <c r="O595" s="49" t="s">
        <v>1451</v>
      </c>
      <c r="P595" s="48" t="s">
        <v>38</v>
      </c>
      <c r="Q595" s="48" t="s">
        <v>37</v>
      </c>
      <c r="R595" s="48" t="s">
        <v>1436</v>
      </c>
      <c r="S595" s="48" t="s">
        <v>1436</v>
      </c>
      <c r="T595" s="48" t="s">
        <v>1436</v>
      </c>
      <c r="U595" s="48" t="s">
        <v>38</v>
      </c>
      <c r="V595" s="48" t="s">
        <v>39</v>
      </c>
      <c r="W595" s="48" t="s">
        <v>38</v>
      </c>
      <c r="X595" s="48" t="s">
        <v>41</v>
      </c>
      <c r="Y595" s="48" t="s">
        <v>1436</v>
      </c>
      <c r="Z595" s="48" t="s">
        <v>1436</v>
      </c>
      <c r="AA595" s="48" t="s">
        <v>1436</v>
      </c>
      <c r="AB595" s="49" t="s">
        <v>193</v>
      </c>
      <c r="AC595" s="48" t="s">
        <v>1194</v>
      </c>
      <c r="AD595" s="48" t="s">
        <v>1244</v>
      </c>
      <c r="AE595" s="48" t="s">
        <v>36</v>
      </c>
    </row>
    <row r="596" spans="1:31" x14ac:dyDescent="0.3">
      <c r="A596" s="48" t="s">
        <v>1320</v>
      </c>
      <c r="B596" s="48" t="s">
        <v>6</v>
      </c>
      <c r="C596" s="48" t="s">
        <v>1322</v>
      </c>
      <c r="D596" s="48" t="s">
        <v>1413</v>
      </c>
      <c r="E596" s="50">
        <v>46326</v>
      </c>
      <c r="F596" s="49" t="s">
        <v>1321</v>
      </c>
      <c r="G596" s="48" t="s">
        <v>36</v>
      </c>
      <c r="H596" s="48" t="s">
        <v>58</v>
      </c>
      <c r="I596" s="51">
        <v>-2900000</v>
      </c>
      <c r="J596" s="51"/>
      <c r="K596" s="51"/>
      <c r="L596" s="48" t="s">
        <v>40</v>
      </c>
      <c r="M596" s="48" t="s">
        <v>1433</v>
      </c>
      <c r="N596" s="48" t="s">
        <v>1447</v>
      </c>
      <c r="O596" s="49" t="s">
        <v>1448</v>
      </c>
      <c r="P596" s="48" t="s">
        <v>38</v>
      </c>
      <c r="Q596" s="48" t="s">
        <v>37</v>
      </c>
      <c r="R596" s="48" t="s">
        <v>1436</v>
      </c>
      <c r="S596" s="48" t="s">
        <v>1436</v>
      </c>
      <c r="T596" s="48" t="s">
        <v>1436</v>
      </c>
      <c r="U596" s="48" t="s">
        <v>38</v>
      </c>
      <c r="V596" s="48" t="s">
        <v>39</v>
      </c>
      <c r="W596" s="48" t="s">
        <v>40</v>
      </c>
      <c r="X596" s="48" t="s">
        <v>41</v>
      </c>
      <c r="Y596" s="48" t="s">
        <v>1436</v>
      </c>
      <c r="Z596" s="48" t="s">
        <v>1436</v>
      </c>
      <c r="AA596" s="48" t="s">
        <v>1436</v>
      </c>
      <c r="AB596" s="49" t="s">
        <v>193</v>
      </c>
      <c r="AC596" s="48" t="s">
        <v>1194</v>
      </c>
      <c r="AD596" s="48" t="s">
        <v>1244</v>
      </c>
      <c r="AE596" s="48" t="s">
        <v>36</v>
      </c>
    </row>
    <row r="597" spans="1:31" x14ac:dyDescent="0.3">
      <c r="A597" s="48" t="s">
        <v>1320</v>
      </c>
      <c r="B597" s="48" t="s">
        <v>6</v>
      </c>
      <c r="C597" s="48" t="s">
        <v>1322</v>
      </c>
      <c r="D597" s="48" t="s">
        <v>1412</v>
      </c>
      <c r="E597" s="50">
        <v>46326</v>
      </c>
      <c r="F597" s="49" t="s">
        <v>1321</v>
      </c>
      <c r="G597" s="48" t="s">
        <v>36</v>
      </c>
      <c r="H597" s="48" t="s">
        <v>52</v>
      </c>
      <c r="I597" s="51">
        <v>-2455168.44</v>
      </c>
      <c r="J597" s="51"/>
      <c r="K597" s="51"/>
      <c r="L597" s="48" t="s">
        <v>40</v>
      </c>
      <c r="M597" s="48" t="s">
        <v>1433</v>
      </c>
      <c r="N597" s="48" t="s">
        <v>1434</v>
      </c>
      <c r="O597" s="49" t="s">
        <v>1435</v>
      </c>
      <c r="P597" s="48" t="s">
        <v>38</v>
      </c>
      <c r="Q597" s="48" t="s">
        <v>37</v>
      </c>
      <c r="R597" s="48" t="s">
        <v>1436</v>
      </c>
      <c r="S597" s="48" t="s">
        <v>1436</v>
      </c>
      <c r="T597" s="48" t="s">
        <v>1436</v>
      </c>
      <c r="U597" s="48" t="s">
        <v>38</v>
      </c>
      <c r="V597" s="48" t="s">
        <v>39</v>
      </c>
      <c r="W597" s="48" t="s">
        <v>40</v>
      </c>
      <c r="X597" s="48" t="s">
        <v>41</v>
      </c>
      <c r="Y597" s="48" t="s">
        <v>1436</v>
      </c>
      <c r="Z597" s="48" t="s">
        <v>1436</v>
      </c>
      <c r="AA597" s="48" t="s">
        <v>1436</v>
      </c>
      <c r="AB597" s="49" t="s">
        <v>193</v>
      </c>
      <c r="AC597" s="48" t="s">
        <v>1194</v>
      </c>
      <c r="AD597" s="48" t="s">
        <v>1244</v>
      </c>
      <c r="AE597" s="48" t="s">
        <v>36</v>
      </c>
    </row>
    <row r="598" spans="1:31" x14ac:dyDescent="0.3">
      <c r="A598" s="48" t="s">
        <v>1320</v>
      </c>
      <c r="B598" s="48" t="s">
        <v>6</v>
      </c>
      <c r="C598" s="48" t="s">
        <v>1322</v>
      </c>
      <c r="D598" s="48" t="s">
        <v>1411</v>
      </c>
      <c r="E598" s="50">
        <v>46326</v>
      </c>
      <c r="F598" s="49" t="s">
        <v>1321</v>
      </c>
      <c r="G598" s="48" t="s">
        <v>36</v>
      </c>
      <c r="H598" s="48" t="s">
        <v>50</v>
      </c>
      <c r="I598" s="51">
        <v>423304.9</v>
      </c>
      <c r="J598" s="51"/>
      <c r="K598" s="51"/>
      <c r="L598" s="48" t="s">
        <v>40</v>
      </c>
      <c r="M598" s="48" t="s">
        <v>1438</v>
      </c>
      <c r="N598" s="48" t="s">
        <v>1444</v>
      </c>
      <c r="O598" s="49" t="s">
        <v>1445</v>
      </c>
      <c r="P598" s="48" t="s">
        <v>38</v>
      </c>
      <c r="Q598" s="48" t="s">
        <v>37</v>
      </c>
      <c r="R598" s="48" t="s">
        <v>1436</v>
      </c>
      <c r="S598" s="48" t="s">
        <v>1436</v>
      </c>
      <c r="T598" s="48" t="s">
        <v>1436</v>
      </c>
      <c r="U598" s="48" t="s">
        <v>38</v>
      </c>
      <c r="V598" s="48" t="s">
        <v>39</v>
      </c>
      <c r="W598" s="48" t="s">
        <v>40</v>
      </c>
      <c r="X598" s="48" t="s">
        <v>41</v>
      </c>
      <c r="Y598" s="48" t="s">
        <v>1436</v>
      </c>
      <c r="Z598" s="48" t="s">
        <v>1436</v>
      </c>
      <c r="AA598" s="48" t="s">
        <v>1436</v>
      </c>
      <c r="AB598" s="49" t="s">
        <v>193</v>
      </c>
      <c r="AC598" s="48" t="s">
        <v>1194</v>
      </c>
      <c r="AD598" s="48" t="s">
        <v>1244</v>
      </c>
      <c r="AE598" s="48" t="s">
        <v>36</v>
      </c>
    </row>
    <row r="599" spans="1:31" x14ac:dyDescent="0.3">
      <c r="A599" s="48" t="s">
        <v>1320</v>
      </c>
      <c r="B599" s="48" t="s">
        <v>6</v>
      </c>
      <c r="C599" s="48" t="s">
        <v>1322</v>
      </c>
      <c r="D599" s="48" t="s">
        <v>1410</v>
      </c>
      <c r="E599" s="50">
        <v>46326</v>
      </c>
      <c r="F599" s="49" t="s">
        <v>1321</v>
      </c>
      <c r="G599" s="48" t="s">
        <v>36</v>
      </c>
      <c r="H599" s="48" t="s">
        <v>42</v>
      </c>
      <c r="I599" s="51">
        <v>2539829.423163</v>
      </c>
      <c r="J599" s="51"/>
      <c r="K599" s="51"/>
      <c r="L599" s="48" t="s">
        <v>40</v>
      </c>
      <c r="M599" s="48" t="s">
        <v>1433</v>
      </c>
      <c r="N599" s="48" t="s">
        <v>1434</v>
      </c>
      <c r="O599" s="49" t="s">
        <v>1437</v>
      </c>
      <c r="P599" s="48" t="s">
        <v>38</v>
      </c>
      <c r="Q599" s="48" t="s">
        <v>37</v>
      </c>
      <c r="R599" s="48" t="s">
        <v>1436</v>
      </c>
      <c r="S599" s="48" t="s">
        <v>1436</v>
      </c>
      <c r="T599" s="48" t="s">
        <v>1436</v>
      </c>
      <c r="U599" s="48" t="s">
        <v>38</v>
      </c>
      <c r="V599" s="48" t="s">
        <v>39</v>
      </c>
      <c r="W599" s="48" t="s">
        <v>40</v>
      </c>
      <c r="X599" s="48" t="s">
        <v>41</v>
      </c>
      <c r="Y599" s="48" t="s">
        <v>1436</v>
      </c>
      <c r="Z599" s="48" t="s">
        <v>1436</v>
      </c>
      <c r="AA599" s="48" t="s">
        <v>1436</v>
      </c>
      <c r="AB599" s="49" t="s">
        <v>193</v>
      </c>
      <c r="AC599" s="48" t="s">
        <v>1194</v>
      </c>
      <c r="AD599" s="48" t="s">
        <v>1244</v>
      </c>
      <c r="AE599" s="48" t="s">
        <v>36</v>
      </c>
    </row>
    <row r="600" spans="1:31" x14ac:dyDescent="0.3">
      <c r="A600" s="48" t="s">
        <v>1320</v>
      </c>
      <c r="B600" s="48" t="s">
        <v>6</v>
      </c>
      <c r="C600" s="48" t="s">
        <v>1322</v>
      </c>
      <c r="D600" s="48" t="s">
        <v>1409</v>
      </c>
      <c r="E600" s="50">
        <v>46326</v>
      </c>
      <c r="F600" s="49" t="s">
        <v>1321</v>
      </c>
      <c r="G600" s="48" t="s">
        <v>36</v>
      </c>
      <c r="H600" s="48" t="s">
        <v>45</v>
      </c>
      <c r="I600" s="51">
        <v>1.9999999999999999E-6</v>
      </c>
      <c r="J600" s="51"/>
      <c r="K600" s="51"/>
      <c r="L600" s="48" t="s">
        <v>40</v>
      </c>
      <c r="M600" s="48" t="s">
        <v>1433</v>
      </c>
      <c r="N600" s="48" t="s">
        <v>1447</v>
      </c>
      <c r="O600" s="49" t="s">
        <v>1449</v>
      </c>
      <c r="P600" s="48" t="s">
        <v>38</v>
      </c>
      <c r="Q600" s="48" t="s">
        <v>37</v>
      </c>
      <c r="R600" s="48" t="s">
        <v>1436</v>
      </c>
      <c r="S600" s="48" t="s">
        <v>1436</v>
      </c>
      <c r="T600" s="48" t="s">
        <v>1436</v>
      </c>
      <c r="U600" s="48" t="s">
        <v>38</v>
      </c>
      <c r="V600" s="48" t="s">
        <v>39</v>
      </c>
      <c r="W600" s="48" t="s">
        <v>40</v>
      </c>
      <c r="X600" s="48" t="s">
        <v>41</v>
      </c>
      <c r="Y600" s="48" t="s">
        <v>1436</v>
      </c>
      <c r="Z600" s="48" t="s">
        <v>1436</v>
      </c>
      <c r="AA600" s="48" t="s">
        <v>1436</v>
      </c>
      <c r="AB600" s="49" t="s">
        <v>193</v>
      </c>
      <c r="AC600" s="48" t="s">
        <v>1194</v>
      </c>
      <c r="AD600" s="48" t="s">
        <v>1244</v>
      </c>
      <c r="AE600" s="48" t="s">
        <v>36</v>
      </c>
    </row>
    <row r="601" spans="1:31" x14ac:dyDescent="0.3">
      <c r="A601" s="48" t="s">
        <v>1320</v>
      </c>
      <c r="B601" s="48" t="s">
        <v>6</v>
      </c>
      <c r="C601" s="48" t="s">
        <v>1322</v>
      </c>
      <c r="D601" s="48" t="s">
        <v>1408</v>
      </c>
      <c r="E601" s="50">
        <v>46326</v>
      </c>
      <c r="F601" s="49" t="s">
        <v>1321</v>
      </c>
      <c r="G601" s="48" t="s">
        <v>36</v>
      </c>
      <c r="H601" s="48" t="s">
        <v>54</v>
      </c>
      <c r="I601" s="51">
        <v>-99131.756276999993</v>
      </c>
      <c r="J601" s="51"/>
      <c r="K601" s="51"/>
      <c r="L601" s="48" t="s">
        <v>40</v>
      </c>
      <c r="M601" s="48" t="s">
        <v>1433</v>
      </c>
      <c r="N601" s="48" t="s">
        <v>1447</v>
      </c>
      <c r="O601" s="49" t="s">
        <v>1450</v>
      </c>
      <c r="P601" s="48" t="s">
        <v>38</v>
      </c>
      <c r="Q601" s="48" t="s">
        <v>37</v>
      </c>
      <c r="R601" s="48" t="s">
        <v>1436</v>
      </c>
      <c r="S601" s="48" t="s">
        <v>1436</v>
      </c>
      <c r="T601" s="48" t="s">
        <v>1436</v>
      </c>
      <c r="U601" s="48" t="s">
        <v>38</v>
      </c>
      <c r="V601" s="48" t="s">
        <v>39</v>
      </c>
      <c r="W601" s="48" t="s">
        <v>40</v>
      </c>
      <c r="X601" s="48" t="s">
        <v>41</v>
      </c>
      <c r="Y601" s="48" t="s">
        <v>1436</v>
      </c>
      <c r="Z601" s="48" t="s">
        <v>1436</v>
      </c>
      <c r="AA601" s="48" t="s">
        <v>1436</v>
      </c>
      <c r="AB601" s="49" t="s">
        <v>193</v>
      </c>
      <c r="AC601" s="48" t="s">
        <v>1194</v>
      </c>
      <c r="AD601" s="48" t="s">
        <v>1244</v>
      </c>
      <c r="AE601" s="48" t="s">
        <v>36</v>
      </c>
    </row>
    <row r="602" spans="1:31" x14ac:dyDescent="0.3">
      <c r="A602" s="48" t="s">
        <v>1320</v>
      </c>
      <c r="B602" s="48" t="s">
        <v>6</v>
      </c>
      <c r="C602" s="48" t="s">
        <v>1322</v>
      </c>
      <c r="D602" s="48" t="s">
        <v>1407</v>
      </c>
      <c r="E602" s="50">
        <v>46326</v>
      </c>
      <c r="F602" s="49" t="s">
        <v>1321</v>
      </c>
      <c r="G602" s="48" t="s">
        <v>36</v>
      </c>
      <c r="H602" s="48" t="s">
        <v>47</v>
      </c>
      <c r="I602" s="51">
        <v>18483.191136000001</v>
      </c>
      <c r="J602" s="51"/>
      <c r="K602" s="51"/>
      <c r="L602" s="48" t="s">
        <v>40</v>
      </c>
      <c r="M602" s="48" t="s">
        <v>1438</v>
      </c>
      <c r="N602" s="48" t="s">
        <v>1444</v>
      </c>
      <c r="O602" s="49" t="s">
        <v>1446</v>
      </c>
      <c r="P602" s="48" t="s">
        <v>38</v>
      </c>
      <c r="Q602" s="48" t="s">
        <v>37</v>
      </c>
      <c r="R602" s="48" t="s">
        <v>1436</v>
      </c>
      <c r="S602" s="48" t="s">
        <v>1436</v>
      </c>
      <c r="T602" s="48" t="s">
        <v>1436</v>
      </c>
      <c r="U602" s="48" t="s">
        <v>38</v>
      </c>
      <c r="V602" s="48" t="s">
        <v>39</v>
      </c>
      <c r="W602" s="48" t="s">
        <v>40</v>
      </c>
      <c r="X602" s="48" t="s">
        <v>41</v>
      </c>
      <c r="Y602" s="48" t="s">
        <v>1436</v>
      </c>
      <c r="Z602" s="48" t="s">
        <v>1436</v>
      </c>
      <c r="AA602" s="48" t="s">
        <v>1436</v>
      </c>
      <c r="AB602" s="49" t="s">
        <v>193</v>
      </c>
      <c r="AC602" s="48" t="s">
        <v>1194</v>
      </c>
      <c r="AD602" s="48" t="s">
        <v>1244</v>
      </c>
      <c r="AE602" s="48" t="s">
        <v>36</v>
      </c>
    </row>
    <row r="603" spans="1:31" x14ac:dyDescent="0.3">
      <c r="A603" s="48" t="s">
        <v>1320</v>
      </c>
      <c r="B603" s="48" t="s">
        <v>6</v>
      </c>
      <c r="C603" s="48" t="s">
        <v>1322</v>
      </c>
      <c r="D603" s="48" t="s">
        <v>1406</v>
      </c>
      <c r="E603" s="50">
        <v>46326</v>
      </c>
      <c r="F603" s="49" t="s">
        <v>1321</v>
      </c>
      <c r="G603" s="48" t="s">
        <v>36</v>
      </c>
      <c r="H603" s="48" t="s">
        <v>1441</v>
      </c>
      <c r="I603" s="51">
        <v>0</v>
      </c>
      <c r="J603" s="51"/>
      <c r="K603" s="51"/>
      <c r="L603" s="48" t="s">
        <v>1194</v>
      </c>
      <c r="M603" s="48" t="s">
        <v>1438</v>
      </c>
      <c r="N603" s="48" t="s">
        <v>1439</v>
      </c>
      <c r="O603" s="49" t="s">
        <v>1440</v>
      </c>
      <c r="P603" s="48" t="s">
        <v>38</v>
      </c>
      <c r="Q603" s="48" t="s">
        <v>37</v>
      </c>
      <c r="R603" s="48" t="s">
        <v>1436</v>
      </c>
      <c r="S603" s="48" t="s">
        <v>1436</v>
      </c>
      <c r="T603" s="48" t="s">
        <v>1436</v>
      </c>
      <c r="U603" s="48" t="s">
        <v>38</v>
      </c>
      <c r="V603" s="48" t="s">
        <v>39</v>
      </c>
      <c r="W603" s="48" t="s">
        <v>1194</v>
      </c>
      <c r="X603" s="48" t="s">
        <v>41</v>
      </c>
      <c r="Y603" s="48" t="s">
        <v>1436</v>
      </c>
      <c r="Z603" s="48" t="s">
        <v>1436</v>
      </c>
      <c r="AA603" s="48" t="s">
        <v>1436</v>
      </c>
      <c r="AB603" s="49" t="s">
        <v>193</v>
      </c>
      <c r="AC603" s="48" t="s">
        <v>1194</v>
      </c>
      <c r="AD603" s="48" t="s">
        <v>1244</v>
      </c>
      <c r="AE603" s="48" t="s">
        <v>36</v>
      </c>
    </row>
    <row r="604" spans="1:31" x14ac:dyDescent="0.3">
      <c r="A604" s="48" t="s">
        <v>1320</v>
      </c>
      <c r="B604" s="48" t="s">
        <v>6</v>
      </c>
      <c r="C604" s="48" t="s">
        <v>1322</v>
      </c>
      <c r="D604" s="48" t="s">
        <v>1405</v>
      </c>
      <c r="E604" s="50">
        <v>46326</v>
      </c>
      <c r="F604" s="49" t="s">
        <v>1321</v>
      </c>
      <c r="G604" s="48" t="s">
        <v>36</v>
      </c>
      <c r="H604" s="48" t="s">
        <v>1443</v>
      </c>
      <c r="I604" s="51">
        <v>0</v>
      </c>
      <c r="J604" s="51"/>
      <c r="K604" s="51"/>
      <c r="L604" s="48" t="s">
        <v>1194</v>
      </c>
      <c r="M604" s="48" t="s">
        <v>1438</v>
      </c>
      <c r="N604" s="48" t="s">
        <v>1439</v>
      </c>
      <c r="O604" s="49" t="s">
        <v>1442</v>
      </c>
      <c r="P604" s="48" t="s">
        <v>38</v>
      </c>
      <c r="Q604" s="48" t="s">
        <v>37</v>
      </c>
      <c r="R604" s="48" t="s">
        <v>1436</v>
      </c>
      <c r="S604" s="48" t="s">
        <v>1436</v>
      </c>
      <c r="T604" s="48" t="s">
        <v>1436</v>
      </c>
      <c r="U604" s="48" t="s">
        <v>38</v>
      </c>
      <c r="V604" s="48" t="s">
        <v>39</v>
      </c>
      <c r="W604" s="48" t="s">
        <v>1194</v>
      </c>
      <c r="X604" s="48" t="s">
        <v>41</v>
      </c>
      <c r="Y604" s="48" t="s">
        <v>1436</v>
      </c>
      <c r="Z604" s="48" t="s">
        <v>1436</v>
      </c>
      <c r="AA604" s="48" t="s">
        <v>1436</v>
      </c>
      <c r="AB604" s="49" t="s">
        <v>193</v>
      </c>
      <c r="AC604" s="48" t="s">
        <v>1194</v>
      </c>
      <c r="AD604" s="48" t="s">
        <v>1244</v>
      </c>
      <c r="AE604" s="48" t="s">
        <v>36</v>
      </c>
    </row>
    <row r="605" spans="1:31" x14ac:dyDescent="0.3">
      <c r="A605" s="48" t="s">
        <v>1320</v>
      </c>
      <c r="B605" s="48" t="s">
        <v>6</v>
      </c>
      <c r="C605" s="48" t="s">
        <v>1322</v>
      </c>
      <c r="D605" s="48" t="s">
        <v>1404</v>
      </c>
      <c r="E605" s="50">
        <v>46326</v>
      </c>
      <c r="F605" s="49" t="s">
        <v>1321</v>
      </c>
      <c r="G605" s="48" t="s">
        <v>36</v>
      </c>
      <c r="H605" s="48" t="s">
        <v>49</v>
      </c>
      <c r="I605" s="51">
        <v>-578.26857800000005</v>
      </c>
      <c r="J605" s="51"/>
      <c r="K605" s="51"/>
      <c r="L605" s="48" t="s">
        <v>38</v>
      </c>
      <c r="M605" s="48" t="s">
        <v>1433</v>
      </c>
      <c r="N605" s="48" t="s">
        <v>1447</v>
      </c>
      <c r="O605" s="49" t="s">
        <v>1451</v>
      </c>
      <c r="P605" s="48" t="s">
        <v>38</v>
      </c>
      <c r="Q605" s="48" t="s">
        <v>37</v>
      </c>
      <c r="R605" s="48" t="s">
        <v>1436</v>
      </c>
      <c r="S605" s="48" t="s">
        <v>1436</v>
      </c>
      <c r="T605" s="48" t="s">
        <v>1436</v>
      </c>
      <c r="U605" s="48" t="s">
        <v>38</v>
      </c>
      <c r="V605" s="48" t="s">
        <v>39</v>
      </c>
      <c r="W605" s="48" t="s">
        <v>38</v>
      </c>
      <c r="X605" s="48" t="s">
        <v>41</v>
      </c>
      <c r="Y605" s="48" t="s">
        <v>1436</v>
      </c>
      <c r="Z605" s="48" t="s">
        <v>1436</v>
      </c>
      <c r="AA605" s="48" t="s">
        <v>1436</v>
      </c>
      <c r="AB605" s="49" t="s">
        <v>193</v>
      </c>
      <c r="AC605" s="48" t="s">
        <v>1194</v>
      </c>
      <c r="AD605" s="48" t="s">
        <v>1244</v>
      </c>
      <c r="AE605" s="48" t="s">
        <v>36</v>
      </c>
    </row>
    <row r="606" spans="1:31" x14ac:dyDescent="0.3">
      <c r="A606" s="48" t="s">
        <v>1320</v>
      </c>
      <c r="B606" s="48" t="s">
        <v>6</v>
      </c>
      <c r="C606" s="48" t="s">
        <v>1322</v>
      </c>
      <c r="D606" s="48" t="s">
        <v>1413</v>
      </c>
      <c r="E606" s="50">
        <v>46356</v>
      </c>
      <c r="F606" s="49" t="s">
        <v>1321</v>
      </c>
      <c r="G606" s="48" t="s">
        <v>36</v>
      </c>
      <c r="H606" s="48" t="s">
        <v>58</v>
      </c>
      <c r="I606" s="51">
        <v>-2950000</v>
      </c>
      <c r="J606" s="51"/>
      <c r="K606" s="51"/>
      <c r="L606" s="48" t="s">
        <v>40</v>
      </c>
      <c r="M606" s="48" t="s">
        <v>1433</v>
      </c>
      <c r="N606" s="48" t="s">
        <v>1447</v>
      </c>
      <c r="O606" s="49" t="s">
        <v>1448</v>
      </c>
      <c r="P606" s="48" t="s">
        <v>38</v>
      </c>
      <c r="Q606" s="48" t="s">
        <v>37</v>
      </c>
      <c r="R606" s="48" t="s">
        <v>1436</v>
      </c>
      <c r="S606" s="48" t="s">
        <v>1436</v>
      </c>
      <c r="T606" s="48" t="s">
        <v>1436</v>
      </c>
      <c r="U606" s="48" t="s">
        <v>38</v>
      </c>
      <c r="V606" s="48" t="s">
        <v>39</v>
      </c>
      <c r="W606" s="48" t="s">
        <v>40</v>
      </c>
      <c r="X606" s="48" t="s">
        <v>41</v>
      </c>
      <c r="Y606" s="48" t="s">
        <v>1436</v>
      </c>
      <c r="Z606" s="48" t="s">
        <v>1436</v>
      </c>
      <c r="AA606" s="48" t="s">
        <v>1436</v>
      </c>
      <c r="AB606" s="49" t="s">
        <v>193</v>
      </c>
      <c r="AC606" s="48" t="s">
        <v>1194</v>
      </c>
      <c r="AD606" s="48" t="s">
        <v>1244</v>
      </c>
      <c r="AE606" s="48" t="s">
        <v>36</v>
      </c>
    </row>
    <row r="607" spans="1:31" x14ac:dyDescent="0.3">
      <c r="A607" s="48" t="s">
        <v>1320</v>
      </c>
      <c r="B607" s="48" t="s">
        <v>6</v>
      </c>
      <c r="C607" s="48" t="s">
        <v>1322</v>
      </c>
      <c r="D607" s="48" t="s">
        <v>1412</v>
      </c>
      <c r="E607" s="50">
        <v>46356</v>
      </c>
      <c r="F607" s="49" t="s">
        <v>1321</v>
      </c>
      <c r="G607" s="48" t="s">
        <v>36</v>
      </c>
      <c r="H607" s="48" t="s">
        <v>52</v>
      </c>
      <c r="I607" s="51">
        <v>-2497498.9300000002</v>
      </c>
      <c r="J607" s="51"/>
      <c r="K607" s="51"/>
      <c r="L607" s="48" t="s">
        <v>40</v>
      </c>
      <c r="M607" s="48" t="s">
        <v>1433</v>
      </c>
      <c r="N607" s="48" t="s">
        <v>1434</v>
      </c>
      <c r="O607" s="49" t="s">
        <v>1435</v>
      </c>
      <c r="P607" s="48" t="s">
        <v>38</v>
      </c>
      <c r="Q607" s="48" t="s">
        <v>37</v>
      </c>
      <c r="R607" s="48" t="s">
        <v>1436</v>
      </c>
      <c r="S607" s="48" t="s">
        <v>1436</v>
      </c>
      <c r="T607" s="48" t="s">
        <v>1436</v>
      </c>
      <c r="U607" s="48" t="s">
        <v>38</v>
      </c>
      <c r="V607" s="48" t="s">
        <v>39</v>
      </c>
      <c r="W607" s="48" t="s">
        <v>40</v>
      </c>
      <c r="X607" s="48" t="s">
        <v>41</v>
      </c>
      <c r="Y607" s="48" t="s">
        <v>1436</v>
      </c>
      <c r="Z607" s="48" t="s">
        <v>1436</v>
      </c>
      <c r="AA607" s="48" t="s">
        <v>1436</v>
      </c>
      <c r="AB607" s="49" t="s">
        <v>193</v>
      </c>
      <c r="AC607" s="48" t="s">
        <v>1194</v>
      </c>
      <c r="AD607" s="48" t="s">
        <v>1244</v>
      </c>
      <c r="AE607" s="48" t="s">
        <v>36</v>
      </c>
    </row>
    <row r="608" spans="1:31" x14ac:dyDescent="0.3">
      <c r="A608" s="48" t="s">
        <v>1320</v>
      </c>
      <c r="B608" s="48" t="s">
        <v>6</v>
      </c>
      <c r="C608" s="48" t="s">
        <v>1322</v>
      </c>
      <c r="D608" s="48" t="s">
        <v>1411</v>
      </c>
      <c r="E608" s="50">
        <v>46356</v>
      </c>
      <c r="F608" s="49" t="s">
        <v>1321</v>
      </c>
      <c r="G608" s="48" t="s">
        <v>36</v>
      </c>
      <c r="H608" s="48" t="s">
        <v>50</v>
      </c>
      <c r="I608" s="51">
        <v>465635.39</v>
      </c>
      <c r="J608" s="51"/>
      <c r="K608" s="51"/>
      <c r="L608" s="48" t="s">
        <v>40</v>
      </c>
      <c r="M608" s="48" t="s">
        <v>1438</v>
      </c>
      <c r="N608" s="48" t="s">
        <v>1444</v>
      </c>
      <c r="O608" s="49" t="s">
        <v>1445</v>
      </c>
      <c r="P608" s="48" t="s">
        <v>38</v>
      </c>
      <c r="Q608" s="48" t="s">
        <v>37</v>
      </c>
      <c r="R608" s="48" t="s">
        <v>1436</v>
      </c>
      <c r="S608" s="48" t="s">
        <v>1436</v>
      </c>
      <c r="T608" s="48" t="s">
        <v>1436</v>
      </c>
      <c r="U608" s="48" t="s">
        <v>38</v>
      </c>
      <c r="V608" s="48" t="s">
        <v>39</v>
      </c>
      <c r="W608" s="48" t="s">
        <v>40</v>
      </c>
      <c r="X608" s="48" t="s">
        <v>41</v>
      </c>
      <c r="Y608" s="48" t="s">
        <v>1436</v>
      </c>
      <c r="Z608" s="48" t="s">
        <v>1436</v>
      </c>
      <c r="AA608" s="48" t="s">
        <v>1436</v>
      </c>
      <c r="AB608" s="49" t="s">
        <v>193</v>
      </c>
      <c r="AC608" s="48" t="s">
        <v>1194</v>
      </c>
      <c r="AD608" s="48" t="s">
        <v>1244</v>
      </c>
      <c r="AE608" s="48" t="s">
        <v>36</v>
      </c>
    </row>
    <row r="609" spans="1:31" x14ac:dyDescent="0.3">
      <c r="A609" s="48" t="s">
        <v>1320</v>
      </c>
      <c r="B609" s="48" t="s">
        <v>6</v>
      </c>
      <c r="C609" s="48" t="s">
        <v>1322</v>
      </c>
      <c r="D609" s="48" t="s">
        <v>1410</v>
      </c>
      <c r="E609" s="50">
        <v>46356</v>
      </c>
      <c r="F609" s="49" t="s">
        <v>1321</v>
      </c>
      <c r="G609" s="48" t="s">
        <v>36</v>
      </c>
      <c r="H609" s="48" t="s">
        <v>42</v>
      </c>
      <c r="I609" s="51">
        <v>2539829.423163</v>
      </c>
      <c r="J609" s="51"/>
      <c r="K609" s="51"/>
      <c r="L609" s="48" t="s">
        <v>40</v>
      </c>
      <c r="M609" s="48" t="s">
        <v>1433</v>
      </c>
      <c r="N609" s="48" t="s">
        <v>1434</v>
      </c>
      <c r="O609" s="49" t="s">
        <v>1437</v>
      </c>
      <c r="P609" s="48" t="s">
        <v>38</v>
      </c>
      <c r="Q609" s="48" t="s">
        <v>37</v>
      </c>
      <c r="R609" s="48" t="s">
        <v>1436</v>
      </c>
      <c r="S609" s="48" t="s">
        <v>1436</v>
      </c>
      <c r="T609" s="48" t="s">
        <v>1436</v>
      </c>
      <c r="U609" s="48" t="s">
        <v>38</v>
      </c>
      <c r="V609" s="48" t="s">
        <v>39</v>
      </c>
      <c r="W609" s="48" t="s">
        <v>40</v>
      </c>
      <c r="X609" s="48" t="s">
        <v>41</v>
      </c>
      <c r="Y609" s="48" t="s">
        <v>1436</v>
      </c>
      <c r="Z609" s="48" t="s">
        <v>1436</v>
      </c>
      <c r="AA609" s="48" t="s">
        <v>1436</v>
      </c>
      <c r="AB609" s="49" t="s">
        <v>193</v>
      </c>
      <c r="AC609" s="48" t="s">
        <v>1194</v>
      </c>
      <c r="AD609" s="48" t="s">
        <v>1244</v>
      </c>
      <c r="AE609" s="48" t="s">
        <v>36</v>
      </c>
    </row>
    <row r="610" spans="1:31" x14ac:dyDescent="0.3">
      <c r="A610" s="48" t="s">
        <v>1320</v>
      </c>
      <c r="B610" s="48" t="s">
        <v>6</v>
      </c>
      <c r="C610" s="48" t="s">
        <v>1322</v>
      </c>
      <c r="D610" s="48" t="s">
        <v>1409</v>
      </c>
      <c r="E610" s="50">
        <v>46356</v>
      </c>
      <c r="F610" s="49" t="s">
        <v>1321</v>
      </c>
      <c r="G610" s="48" t="s">
        <v>36</v>
      </c>
      <c r="H610" s="48" t="s">
        <v>45</v>
      </c>
      <c r="I610" s="51">
        <v>1.9999999999999999E-6</v>
      </c>
      <c r="J610" s="51"/>
      <c r="K610" s="51"/>
      <c r="L610" s="48" t="s">
        <v>40</v>
      </c>
      <c r="M610" s="48" t="s">
        <v>1433</v>
      </c>
      <c r="N610" s="48" t="s">
        <v>1447</v>
      </c>
      <c r="O610" s="49" t="s">
        <v>1449</v>
      </c>
      <c r="P610" s="48" t="s">
        <v>38</v>
      </c>
      <c r="Q610" s="48" t="s">
        <v>37</v>
      </c>
      <c r="R610" s="48" t="s">
        <v>1436</v>
      </c>
      <c r="S610" s="48" t="s">
        <v>1436</v>
      </c>
      <c r="T610" s="48" t="s">
        <v>1436</v>
      </c>
      <c r="U610" s="48" t="s">
        <v>38</v>
      </c>
      <c r="V610" s="48" t="s">
        <v>39</v>
      </c>
      <c r="W610" s="48" t="s">
        <v>40</v>
      </c>
      <c r="X610" s="48" t="s">
        <v>41</v>
      </c>
      <c r="Y610" s="48" t="s">
        <v>1436</v>
      </c>
      <c r="Z610" s="48" t="s">
        <v>1436</v>
      </c>
      <c r="AA610" s="48" t="s">
        <v>1436</v>
      </c>
      <c r="AB610" s="49" t="s">
        <v>193</v>
      </c>
      <c r="AC610" s="48" t="s">
        <v>1194</v>
      </c>
      <c r="AD610" s="48" t="s">
        <v>1244</v>
      </c>
      <c r="AE610" s="48" t="s">
        <v>36</v>
      </c>
    </row>
    <row r="611" spans="1:31" x14ac:dyDescent="0.3">
      <c r="A611" s="48" t="s">
        <v>1320</v>
      </c>
      <c r="B611" s="48" t="s">
        <v>6</v>
      </c>
      <c r="C611" s="48" t="s">
        <v>1322</v>
      </c>
      <c r="D611" s="48" t="s">
        <v>1408</v>
      </c>
      <c r="E611" s="50">
        <v>46356</v>
      </c>
      <c r="F611" s="49" t="s">
        <v>1321</v>
      </c>
      <c r="G611" s="48" t="s">
        <v>36</v>
      </c>
      <c r="H611" s="48" t="s">
        <v>54</v>
      </c>
      <c r="I611" s="51">
        <v>-49710.024855000003</v>
      </c>
      <c r="J611" s="51"/>
      <c r="K611" s="51"/>
      <c r="L611" s="48" t="s">
        <v>40</v>
      </c>
      <c r="M611" s="48" t="s">
        <v>1433</v>
      </c>
      <c r="N611" s="48" t="s">
        <v>1447</v>
      </c>
      <c r="O611" s="49" t="s">
        <v>1450</v>
      </c>
      <c r="P611" s="48" t="s">
        <v>38</v>
      </c>
      <c r="Q611" s="48" t="s">
        <v>37</v>
      </c>
      <c r="R611" s="48" t="s">
        <v>1436</v>
      </c>
      <c r="S611" s="48" t="s">
        <v>1436</v>
      </c>
      <c r="T611" s="48" t="s">
        <v>1436</v>
      </c>
      <c r="U611" s="48" t="s">
        <v>38</v>
      </c>
      <c r="V611" s="48" t="s">
        <v>39</v>
      </c>
      <c r="W611" s="48" t="s">
        <v>40</v>
      </c>
      <c r="X611" s="48" t="s">
        <v>41</v>
      </c>
      <c r="Y611" s="48" t="s">
        <v>1436</v>
      </c>
      <c r="Z611" s="48" t="s">
        <v>1436</v>
      </c>
      <c r="AA611" s="48" t="s">
        <v>1436</v>
      </c>
      <c r="AB611" s="49" t="s">
        <v>193</v>
      </c>
      <c r="AC611" s="48" t="s">
        <v>1194</v>
      </c>
      <c r="AD611" s="48" t="s">
        <v>1244</v>
      </c>
      <c r="AE611" s="48" t="s">
        <v>36</v>
      </c>
    </row>
    <row r="612" spans="1:31" x14ac:dyDescent="0.3">
      <c r="A612" s="48" t="s">
        <v>1320</v>
      </c>
      <c r="B612" s="48" t="s">
        <v>6</v>
      </c>
      <c r="C612" s="48" t="s">
        <v>1322</v>
      </c>
      <c r="D612" s="48" t="s">
        <v>1407</v>
      </c>
      <c r="E612" s="50">
        <v>46356</v>
      </c>
      <c r="F612" s="49" t="s">
        <v>1321</v>
      </c>
      <c r="G612" s="48" t="s">
        <v>36</v>
      </c>
      <c r="H612" s="48" t="s">
        <v>47</v>
      </c>
      <c r="I612" s="51">
        <v>18773.166281000002</v>
      </c>
      <c r="J612" s="51"/>
      <c r="K612" s="51"/>
      <c r="L612" s="48" t="s">
        <v>40</v>
      </c>
      <c r="M612" s="48" t="s">
        <v>1438</v>
      </c>
      <c r="N612" s="48" t="s">
        <v>1444</v>
      </c>
      <c r="O612" s="49" t="s">
        <v>1446</v>
      </c>
      <c r="P612" s="48" t="s">
        <v>38</v>
      </c>
      <c r="Q612" s="48" t="s">
        <v>37</v>
      </c>
      <c r="R612" s="48" t="s">
        <v>1436</v>
      </c>
      <c r="S612" s="48" t="s">
        <v>1436</v>
      </c>
      <c r="T612" s="48" t="s">
        <v>1436</v>
      </c>
      <c r="U612" s="48" t="s">
        <v>38</v>
      </c>
      <c r="V612" s="48" t="s">
        <v>39</v>
      </c>
      <c r="W612" s="48" t="s">
        <v>40</v>
      </c>
      <c r="X612" s="48" t="s">
        <v>41</v>
      </c>
      <c r="Y612" s="48" t="s">
        <v>1436</v>
      </c>
      <c r="Z612" s="48" t="s">
        <v>1436</v>
      </c>
      <c r="AA612" s="48" t="s">
        <v>1436</v>
      </c>
      <c r="AB612" s="49" t="s">
        <v>193</v>
      </c>
      <c r="AC612" s="48" t="s">
        <v>1194</v>
      </c>
      <c r="AD612" s="48" t="s">
        <v>1244</v>
      </c>
      <c r="AE612" s="48" t="s">
        <v>36</v>
      </c>
    </row>
    <row r="613" spans="1:31" x14ac:dyDescent="0.3">
      <c r="A613" s="48" t="s">
        <v>1320</v>
      </c>
      <c r="B613" s="48" t="s">
        <v>6</v>
      </c>
      <c r="C613" s="48" t="s">
        <v>1322</v>
      </c>
      <c r="D613" s="48" t="s">
        <v>1406</v>
      </c>
      <c r="E613" s="50">
        <v>46356</v>
      </c>
      <c r="F613" s="49" t="s">
        <v>1321</v>
      </c>
      <c r="G613" s="48" t="s">
        <v>36</v>
      </c>
      <c r="H613" s="48" t="s">
        <v>1441</v>
      </c>
      <c r="I613" s="51">
        <v>0</v>
      </c>
      <c r="J613" s="51"/>
      <c r="K613" s="51"/>
      <c r="L613" s="48" t="s">
        <v>1194</v>
      </c>
      <c r="M613" s="48" t="s">
        <v>1438</v>
      </c>
      <c r="N613" s="48" t="s">
        <v>1439</v>
      </c>
      <c r="O613" s="49" t="s">
        <v>1440</v>
      </c>
      <c r="P613" s="48" t="s">
        <v>38</v>
      </c>
      <c r="Q613" s="48" t="s">
        <v>37</v>
      </c>
      <c r="R613" s="48" t="s">
        <v>1436</v>
      </c>
      <c r="S613" s="48" t="s">
        <v>1436</v>
      </c>
      <c r="T613" s="48" t="s">
        <v>1436</v>
      </c>
      <c r="U613" s="48" t="s">
        <v>38</v>
      </c>
      <c r="V613" s="48" t="s">
        <v>39</v>
      </c>
      <c r="W613" s="48" t="s">
        <v>1194</v>
      </c>
      <c r="X613" s="48" t="s">
        <v>41</v>
      </c>
      <c r="Y613" s="48" t="s">
        <v>1436</v>
      </c>
      <c r="Z613" s="48" t="s">
        <v>1436</v>
      </c>
      <c r="AA613" s="48" t="s">
        <v>1436</v>
      </c>
      <c r="AB613" s="49" t="s">
        <v>193</v>
      </c>
      <c r="AC613" s="48" t="s">
        <v>1194</v>
      </c>
      <c r="AD613" s="48" t="s">
        <v>1244</v>
      </c>
      <c r="AE613" s="48" t="s">
        <v>36</v>
      </c>
    </row>
    <row r="614" spans="1:31" x14ac:dyDescent="0.3">
      <c r="A614" s="48" t="s">
        <v>1320</v>
      </c>
      <c r="B614" s="48" t="s">
        <v>6</v>
      </c>
      <c r="C614" s="48" t="s">
        <v>1322</v>
      </c>
      <c r="D614" s="48" t="s">
        <v>1405</v>
      </c>
      <c r="E614" s="50">
        <v>46356</v>
      </c>
      <c r="F614" s="49" t="s">
        <v>1321</v>
      </c>
      <c r="G614" s="48" t="s">
        <v>36</v>
      </c>
      <c r="H614" s="48" t="s">
        <v>1443</v>
      </c>
      <c r="I614" s="51">
        <v>0</v>
      </c>
      <c r="J614" s="51"/>
      <c r="K614" s="51"/>
      <c r="L614" s="48" t="s">
        <v>1194</v>
      </c>
      <c r="M614" s="48" t="s">
        <v>1438</v>
      </c>
      <c r="N614" s="48" t="s">
        <v>1439</v>
      </c>
      <c r="O614" s="49" t="s">
        <v>1442</v>
      </c>
      <c r="P614" s="48" t="s">
        <v>38</v>
      </c>
      <c r="Q614" s="48" t="s">
        <v>37</v>
      </c>
      <c r="R614" s="48" t="s">
        <v>1436</v>
      </c>
      <c r="S614" s="48" t="s">
        <v>1436</v>
      </c>
      <c r="T614" s="48" t="s">
        <v>1436</v>
      </c>
      <c r="U614" s="48" t="s">
        <v>38</v>
      </c>
      <c r="V614" s="48" t="s">
        <v>39</v>
      </c>
      <c r="W614" s="48" t="s">
        <v>1194</v>
      </c>
      <c r="X614" s="48" t="s">
        <v>41</v>
      </c>
      <c r="Y614" s="48" t="s">
        <v>1436</v>
      </c>
      <c r="Z614" s="48" t="s">
        <v>1436</v>
      </c>
      <c r="AA614" s="48" t="s">
        <v>1436</v>
      </c>
      <c r="AB614" s="49" t="s">
        <v>193</v>
      </c>
      <c r="AC614" s="48" t="s">
        <v>1194</v>
      </c>
      <c r="AD614" s="48" t="s">
        <v>1244</v>
      </c>
      <c r="AE614" s="48" t="s">
        <v>36</v>
      </c>
    </row>
    <row r="615" spans="1:31" x14ac:dyDescent="0.3">
      <c r="A615" s="48" t="s">
        <v>1320</v>
      </c>
      <c r="B615" s="48" t="s">
        <v>6</v>
      </c>
      <c r="C615" s="48" t="s">
        <v>1322</v>
      </c>
      <c r="D615" s="48" t="s">
        <v>1404</v>
      </c>
      <c r="E615" s="50">
        <v>46356</v>
      </c>
      <c r="F615" s="49" t="s">
        <v>1321</v>
      </c>
      <c r="G615" s="48" t="s">
        <v>36</v>
      </c>
      <c r="H615" s="48" t="s">
        <v>49</v>
      </c>
      <c r="I615" s="51">
        <v>-289.975145</v>
      </c>
      <c r="J615" s="51"/>
      <c r="K615" s="51"/>
      <c r="L615" s="48" t="s">
        <v>38</v>
      </c>
      <c r="M615" s="48" t="s">
        <v>1433</v>
      </c>
      <c r="N615" s="48" t="s">
        <v>1447</v>
      </c>
      <c r="O615" s="49" t="s">
        <v>1451</v>
      </c>
      <c r="P615" s="48" t="s">
        <v>38</v>
      </c>
      <c r="Q615" s="48" t="s">
        <v>37</v>
      </c>
      <c r="R615" s="48" t="s">
        <v>1436</v>
      </c>
      <c r="S615" s="48" t="s">
        <v>1436</v>
      </c>
      <c r="T615" s="48" t="s">
        <v>1436</v>
      </c>
      <c r="U615" s="48" t="s">
        <v>38</v>
      </c>
      <c r="V615" s="48" t="s">
        <v>39</v>
      </c>
      <c r="W615" s="48" t="s">
        <v>38</v>
      </c>
      <c r="X615" s="48" t="s">
        <v>41</v>
      </c>
      <c r="Y615" s="48" t="s">
        <v>1436</v>
      </c>
      <c r="Z615" s="48" t="s">
        <v>1436</v>
      </c>
      <c r="AA615" s="48" t="s">
        <v>1436</v>
      </c>
      <c r="AB615" s="49" t="s">
        <v>193</v>
      </c>
      <c r="AC615" s="48" t="s">
        <v>1194</v>
      </c>
      <c r="AD615" s="48" t="s">
        <v>1244</v>
      </c>
      <c r="AE615" s="48" t="s">
        <v>36</v>
      </c>
    </row>
    <row r="616" spans="1:31" x14ac:dyDescent="0.3">
      <c r="A616" s="48" t="s">
        <v>1320</v>
      </c>
      <c r="B616" s="48" t="s">
        <v>6</v>
      </c>
      <c r="C616" s="48" t="s">
        <v>1322</v>
      </c>
      <c r="D616" s="48" t="s">
        <v>1413</v>
      </c>
      <c r="E616" s="50">
        <v>46387</v>
      </c>
      <c r="F616" s="49" t="s">
        <v>1321</v>
      </c>
      <c r="G616" s="48" t="s">
        <v>36</v>
      </c>
      <c r="H616" s="48" t="s">
        <v>58</v>
      </c>
      <c r="I616" s="51">
        <v>-3000000</v>
      </c>
      <c r="J616" s="51"/>
      <c r="K616" s="51"/>
      <c r="L616" s="48" t="s">
        <v>40</v>
      </c>
      <c r="M616" s="48" t="s">
        <v>1433</v>
      </c>
      <c r="N616" s="48" t="s">
        <v>1447</v>
      </c>
      <c r="O616" s="49" t="s">
        <v>1448</v>
      </c>
      <c r="P616" s="48" t="s">
        <v>38</v>
      </c>
      <c r="Q616" s="48" t="s">
        <v>37</v>
      </c>
      <c r="R616" s="48" t="s">
        <v>1436</v>
      </c>
      <c r="S616" s="48" t="s">
        <v>1436</v>
      </c>
      <c r="T616" s="48" t="s">
        <v>1436</v>
      </c>
      <c r="U616" s="48" t="s">
        <v>38</v>
      </c>
      <c r="V616" s="48" t="s">
        <v>39</v>
      </c>
      <c r="W616" s="48" t="s">
        <v>40</v>
      </c>
      <c r="X616" s="48" t="s">
        <v>41</v>
      </c>
      <c r="Y616" s="48" t="s">
        <v>1436</v>
      </c>
      <c r="Z616" s="48" t="s">
        <v>1436</v>
      </c>
      <c r="AA616" s="48" t="s">
        <v>1436</v>
      </c>
      <c r="AB616" s="49" t="s">
        <v>193</v>
      </c>
      <c r="AC616" s="48" t="s">
        <v>1194</v>
      </c>
      <c r="AD616" s="48" t="s">
        <v>1244</v>
      </c>
      <c r="AE616" s="48" t="s">
        <v>36</v>
      </c>
    </row>
    <row r="617" spans="1:31" x14ac:dyDescent="0.3">
      <c r="A617" s="48" t="s">
        <v>1320</v>
      </c>
      <c r="B617" s="48" t="s">
        <v>6</v>
      </c>
      <c r="C617" s="48" t="s">
        <v>1322</v>
      </c>
      <c r="D617" s="48" t="s">
        <v>1412</v>
      </c>
      <c r="E617" s="50">
        <v>46387</v>
      </c>
      <c r="F617" s="49" t="s">
        <v>1321</v>
      </c>
      <c r="G617" s="48" t="s">
        <v>36</v>
      </c>
      <c r="H617" s="48" t="s">
        <v>52</v>
      </c>
      <c r="I617" s="51">
        <v>-2539829.42</v>
      </c>
      <c r="J617" s="51"/>
      <c r="K617" s="51"/>
      <c r="L617" s="48" t="s">
        <v>40</v>
      </c>
      <c r="M617" s="48" t="s">
        <v>1433</v>
      </c>
      <c r="N617" s="48" t="s">
        <v>1434</v>
      </c>
      <c r="O617" s="49" t="s">
        <v>1435</v>
      </c>
      <c r="P617" s="48" t="s">
        <v>38</v>
      </c>
      <c r="Q617" s="48" t="s">
        <v>37</v>
      </c>
      <c r="R617" s="48" t="s">
        <v>1436</v>
      </c>
      <c r="S617" s="48" t="s">
        <v>1436</v>
      </c>
      <c r="T617" s="48" t="s">
        <v>1436</v>
      </c>
      <c r="U617" s="48" t="s">
        <v>38</v>
      </c>
      <c r="V617" s="48" t="s">
        <v>39</v>
      </c>
      <c r="W617" s="48" t="s">
        <v>40</v>
      </c>
      <c r="X617" s="48" t="s">
        <v>41</v>
      </c>
      <c r="Y617" s="48" t="s">
        <v>1436</v>
      </c>
      <c r="Z617" s="48" t="s">
        <v>1436</v>
      </c>
      <c r="AA617" s="48" t="s">
        <v>1436</v>
      </c>
      <c r="AB617" s="49" t="s">
        <v>193</v>
      </c>
      <c r="AC617" s="48" t="s">
        <v>1194</v>
      </c>
      <c r="AD617" s="48" t="s">
        <v>1244</v>
      </c>
      <c r="AE617" s="48" t="s">
        <v>36</v>
      </c>
    </row>
    <row r="618" spans="1:31" x14ac:dyDescent="0.3">
      <c r="A618" s="48" t="s">
        <v>1320</v>
      </c>
      <c r="B618" s="48" t="s">
        <v>6</v>
      </c>
      <c r="C618" s="48" t="s">
        <v>1322</v>
      </c>
      <c r="D618" s="48" t="s">
        <v>1411</v>
      </c>
      <c r="E618" s="50">
        <v>46387</v>
      </c>
      <c r="F618" s="49" t="s">
        <v>1321</v>
      </c>
      <c r="G618" s="48" t="s">
        <v>36</v>
      </c>
      <c r="H618" s="48" t="s">
        <v>50</v>
      </c>
      <c r="I618" s="51">
        <v>507965.88</v>
      </c>
      <c r="J618" s="51"/>
      <c r="K618" s="51"/>
      <c r="L618" s="48" t="s">
        <v>40</v>
      </c>
      <c r="M618" s="48" t="s">
        <v>1438</v>
      </c>
      <c r="N618" s="48" t="s">
        <v>1444</v>
      </c>
      <c r="O618" s="49" t="s">
        <v>1445</v>
      </c>
      <c r="P618" s="48" t="s">
        <v>38</v>
      </c>
      <c r="Q618" s="48" t="s">
        <v>37</v>
      </c>
      <c r="R618" s="48" t="s">
        <v>1436</v>
      </c>
      <c r="S618" s="48" t="s">
        <v>1436</v>
      </c>
      <c r="T618" s="48" t="s">
        <v>1436</v>
      </c>
      <c r="U618" s="48" t="s">
        <v>38</v>
      </c>
      <c r="V618" s="48" t="s">
        <v>39</v>
      </c>
      <c r="W618" s="48" t="s">
        <v>40</v>
      </c>
      <c r="X618" s="48" t="s">
        <v>41</v>
      </c>
      <c r="Y618" s="48" t="s">
        <v>1436</v>
      </c>
      <c r="Z618" s="48" t="s">
        <v>1436</v>
      </c>
      <c r="AA618" s="48" t="s">
        <v>1436</v>
      </c>
      <c r="AB618" s="49" t="s">
        <v>193</v>
      </c>
      <c r="AC618" s="48" t="s">
        <v>1194</v>
      </c>
      <c r="AD618" s="48" t="s">
        <v>1244</v>
      </c>
      <c r="AE618" s="48" t="s">
        <v>36</v>
      </c>
    </row>
    <row r="619" spans="1:31" x14ac:dyDescent="0.3">
      <c r="A619" s="48" t="s">
        <v>1320</v>
      </c>
      <c r="B619" s="48" t="s">
        <v>6</v>
      </c>
      <c r="C619" s="48" t="s">
        <v>1322</v>
      </c>
      <c r="D619" s="48" t="s">
        <v>1410</v>
      </c>
      <c r="E619" s="50">
        <v>46387</v>
      </c>
      <c r="F619" s="49" t="s">
        <v>1321</v>
      </c>
      <c r="G619" s="48" t="s">
        <v>36</v>
      </c>
      <c r="H619" s="48" t="s">
        <v>42</v>
      </c>
      <c r="I619" s="51">
        <v>2539829.423163</v>
      </c>
      <c r="J619" s="51"/>
      <c r="K619" s="51"/>
      <c r="L619" s="48" t="s">
        <v>40</v>
      </c>
      <c r="M619" s="48" t="s">
        <v>1433</v>
      </c>
      <c r="N619" s="48" t="s">
        <v>1434</v>
      </c>
      <c r="O619" s="49" t="s">
        <v>1437</v>
      </c>
      <c r="P619" s="48" t="s">
        <v>38</v>
      </c>
      <c r="Q619" s="48" t="s">
        <v>37</v>
      </c>
      <c r="R619" s="48" t="s">
        <v>1436</v>
      </c>
      <c r="S619" s="48" t="s">
        <v>1436</v>
      </c>
      <c r="T619" s="48" t="s">
        <v>1436</v>
      </c>
      <c r="U619" s="48" t="s">
        <v>38</v>
      </c>
      <c r="V619" s="48" t="s">
        <v>39</v>
      </c>
      <c r="W619" s="48" t="s">
        <v>40</v>
      </c>
      <c r="X619" s="48" t="s">
        <v>41</v>
      </c>
      <c r="Y619" s="48" t="s">
        <v>1436</v>
      </c>
      <c r="Z619" s="48" t="s">
        <v>1436</v>
      </c>
      <c r="AA619" s="48" t="s">
        <v>1436</v>
      </c>
      <c r="AB619" s="49" t="s">
        <v>193</v>
      </c>
      <c r="AC619" s="48" t="s">
        <v>1194</v>
      </c>
      <c r="AD619" s="48" t="s">
        <v>1244</v>
      </c>
      <c r="AE619" s="48" t="s">
        <v>36</v>
      </c>
    </row>
    <row r="620" spans="1:31" x14ac:dyDescent="0.3">
      <c r="A620" s="48" t="s">
        <v>1320</v>
      </c>
      <c r="B620" s="48" t="s">
        <v>6</v>
      </c>
      <c r="C620" s="48" t="s">
        <v>1322</v>
      </c>
      <c r="D620" s="48" t="s">
        <v>1409</v>
      </c>
      <c r="E620" s="50">
        <v>46387</v>
      </c>
      <c r="F620" s="49" t="s">
        <v>1321</v>
      </c>
      <c r="G620" s="48" t="s">
        <v>36</v>
      </c>
      <c r="H620" s="48" t="s">
        <v>45</v>
      </c>
      <c r="I620" s="51">
        <v>1.9999999999999999E-6</v>
      </c>
      <c r="J620" s="51"/>
      <c r="K620" s="51"/>
      <c r="L620" s="48" t="s">
        <v>40</v>
      </c>
      <c r="M620" s="48" t="s">
        <v>1433</v>
      </c>
      <c r="N620" s="48" t="s">
        <v>1447</v>
      </c>
      <c r="O620" s="49" t="s">
        <v>1449</v>
      </c>
      <c r="P620" s="48" t="s">
        <v>38</v>
      </c>
      <c r="Q620" s="48" t="s">
        <v>37</v>
      </c>
      <c r="R620" s="48" t="s">
        <v>1436</v>
      </c>
      <c r="S620" s="48" t="s">
        <v>1436</v>
      </c>
      <c r="T620" s="48" t="s">
        <v>1436</v>
      </c>
      <c r="U620" s="48" t="s">
        <v>38</v>
      </c>
      <c r="V620" s="48" t="s">
        <v>39</v>
      </c>
      <c r="W620" s="48" t="s">
        <v>40</v>
      </c>
      <c r="X620" s="48" t="s">
        <v>41</v>
      </c>
      <c r="Y620" s="48" t="s">
        <v>1436</v>
      </c>
      <c r="Z620" s="48" t="s">
        <v>1436</v>
      </c>
      <c r="AA620" s="48" t="s">
        <v>1436</v>
      </c>
      <c r="AB620" s="49" t="s">
        <v>193</v>
      </c>
      <c r="AC620" s="48" t="s">
        <v>1194</v>
      </c>
      <c r="AD620" s="48" t="s">
        <v>1244</v>
      </c>
      <c r="AE620" s="48" t="s">
        <v>36</v>
      </c>
    </row>
    <row r="621" spans="1:31" x14ac:dyDescent="0.3">
      <c r="A621" s="48" t="s">
        <v>1320</v>
      </c>
      <c r="B621" s="48" t="s">
        <v>6</v>
      </c>
      <c r="C621" s="48" t="s">
        <v>1322</v>
      </c>
      <c r="D621" s="48" t="s">
        <v>1408</v>
      </c>
      <c r="E621" s="50">
        <v>46387</v>
      </c>
      <c r="F621" s="49" t="s">
        <v>1321</v>
      </c>
      <c r="G621" s="48" t="s">
        <v>36</v>
      </c>
      <c r="H621" s="48" t="s">
        <v>54</v>
      </c>
      <c r="I621" s="51">
        <v>0</v>
      </c>
      <c r="J621" s="51"/>
      <c r="K621" s="51"/>
      <c r="L621" s="48" t="s">
        <v>40</v>
      </c>
      <c r="M621" s="48" t="s">
        <v>1433</v>
      </c>
      <c r="N621" s="48" t="s">
        <v>1447</v>
      </c>
      <c r="O621" s="49" t="s">
        <v>1450</v>
      </c>
      <c r="P621" s="48" t="s">
        <v>38</v>
      </c>
      <c r="Q621" s="48" t="s">
        <v>37</v>
      </c>
      <c r="R621" s="48" t="s">
        <v>1436</v>
      </c>
      <c r="S621" s="48" t="s">
        <v>1436</v>
      </c>
      <c r="T621" s="48" t="s">
        <v>1436</v>
      </c>
      <c r="U621" s="48" t="s">
        <v>38</v>
      </c>
      <c r="V621" s="48" t="s">
        <v>39</v>
      </c>
      <c r="W621" s="48" t="s">
        <v>40</v>
      </c>
      <c r="X621" s="48" t="s">
        <v>41</v>
      </c>
      <c r="Y621" s="48" t="s">
        <v>1436</v>
      </c>
      <c r="Z621" s="48" t="s">
        <v>1436</v>
      </c>
      <c r="AA621" s="48" t="s">
        <v>1436</v>
      </c>
      <c r="AB621" s="49" t="s">
        <v>193</v>
      </c>
      <c r="AC621" s="48" t="s">
        <v>1194</v>
      </c>
      <c r="AD621" s="48" t="s">
        <v>1244</v>
      </c>
      <c r="AE621" s="48" t="s">
        <v>36</v>
      </c>
    </row>
    <row r="622" spans="1:31" x14ac:dyDescent="0.3">
      <c r="A622" s="48" t="s">
        <v>1320</v>
      </c>
      <c r="B622" s="48" t="s">
        <v>6</v>
      </c>
      <c r="C622" s="48" t="s">
        <v>1322</v>
      </c>
      <c r="D622" s="48" t="s">
        <v>1407</v>
      </c>
      <c r="E622" s="50">
        <v>46387</v>
      </c>
      <c r="F622" s="49" t="s">
        <v>1321</v>
      </c>
      <c r="G622" s="48" t="s">
        <v>36</v>
      </c>
      <c r="H622" s="48" t="s">
        <v>47</v>
      </c>
      <c r="I622" s="51">
        <v>18773.166281000002</v>
      </c>
      <c r="J622" s="51"/>
      <c r="K622" s="51"/>
      <c r="L622" s="48" t="s">
        <v>40</v>
      </c>
      <c r="M622" s="48" t="s">
        <v>1438</v>
      </c>
      <c r="N622" s="48" t="s">
        <v>1444</v>
      </c>
      <c r="O622" s="49" t="s">
        <v>1446</v>
      </c>
      <c r="P622" s="48" t="s">
        <v>38</v>
      </c>
      <c r="Q622" s="48" t="s">
        <v>37</v>
      </c>
      <c r="R622" s="48" t="s">
        <v>1436</v>
      </c>
      <c r="S622" s="48" t="s">
        <v>1436</v>
      </c>
      <c r="T622" s="48" t="s">
        <v>1436</v>
      </c>
      <c r="U622" s="48" t="s">
        <v>38</v>
      </c>
      <c r="V622" s="48" t="s">
        <v>39</v>
      </c>
      <c r="W622" s="48" t="s">
        <v>40</v>
      </c>
      <c r="X622" s="48" t="s">
        <v>41</v>
      </c>
      <c r="Y622" s="48" t="s">
        <v>1436</v>
      </c>
      <c r="Z622" s="48" t="s">
        <v>1436</v>
      </c>
      <c r="AA622" s="48" t="s">
        <v>1436</v>
      </c>
      <c r="AB622" s="49" t="s">
        <v>193</v>
      </c>
      <c r="AC622" s="48" t="s">
        <v>1194</v>
      </c>
      <c r="AD622" s="48" t="s">
        <v>1244</v>
      </c>
      <c r="AE622" s="48" t="s">
        <v>36</v>
      </c>
    </row>
    <row r="623" spans="1:31" x14ac:dyDescent="0.3">
      <c r="A623" s="48" t="s">
        <v>1320</v>
      </c>
      <c r="B623" s="48" t="s">
        <v>6</v>
      </c>
      <c r="C623" s="48" t="s">
        <v>1322</v>
      </c>
      <c r="D623" s="48" t="s">
        <v>1406</v>
      </c>
      <c r="E623" s="50">
        <v>46387</v>
      </c>
      <c r="F623" s="49" t="s">
        <v>1321</v>
      </c>
      <c r="G623" s="48" t="s">
        <v>36</v>
      </c>
      <c r="H623" s="48" t="s">
        <v>1441</v>
      </c>
      <c r="I623" s="51">
        <v>0</v>
      </c>
      <c r="J623" s="51"/>
      <c r="K623" s="51"/>
      <c r="L623" s="48" t="s">
        <v>1194</v>
      </c>
      <c r="M623" s="48" t="s">
        <v>1438</v>
      </c>
      <c r="N623" s="48" t="s">
        <v>1439</v>
      </c>
      <c r="O623" s="49" t="s">
        <v>1440</v>
      </c>
      <c r="P623" s="48" t="s">
        <v>38</v>
      </c>
      <c r="Q623" s="48" t="s">
        <v>37</v>
      </c>
      <c r="R623" s="48" t="s">
        <v>1436</v>
      </c>
      <c r="S623" s="48" t="s">
        <v>1436</v>
      </c>
      <c r="T623" s="48" t="s">
        <v>1436</v>
      </c>
      <c r="U623" s="48" t="s">
        <v>38</v>
      </c>
      <c r="V623" s="48" t="s">
        <v>39</v>
      </c>
      <c r="W623" s="48" t="s">
        <v>1194</v>
      </c>
      <c r="X623" s="48" t="s">
        <v>41</v>
      </c>
      <c r="Y623" s="48" t="s">
        <v>1436</v>
      </c>
      <c r="Z623" s="48" t="s">
        <v>1436</v>
      </c>
      <c r="AA623" s="48" t="s">
        <v>1436</v>
      </c>
      <c r="AB623" s="49" t="s">
        <v>193</v>
      </c>
      <c r="AC623" s="48" t="s">
        <v>1194</v>
      </c>
      <c r="AD623" s="48" t="s">
        <v>1244</v>
      </c>
      <c r="AE623" s="48" t="s">
        <v>36</v>
      </c>
    </row>
    <row r="624" spans="1:31" x14ac:dyDescent="0.3">
      <c r="A624" s="48" t="s">
        <v>1320</v>
      </c>
      <c r="B624" s="48" t="s">
        <v>6</v>
      </c>
      <c r="C624" s="48" t="s">
        <v>1322</v>
      </c>
      <c r="D624" s="48" t="s">
        <v>1405</v>
      </c>
      <c r="E624" s="50">
        <v>46387</v>
      </c>
      <c r="F624" s="49" t="s">
        <v>1321</v>
      </c>
      <c r="G624" s="48" t="s">
        <v>36</v>
      </c>
      <c r="H624" s="48" t="s">
        <v>1443</v>
      </c>
      <c r="I624" s="51">
        <v>0</v>
      </c>
      <c r="J624" s="51"/>
      <c r="K624" s="51"/>
      <c r="L624" s="48" t="s">
        <v>1194</v>
      </c>
      <c r="M624" s="48" t="s">
        <v>1438</v>
      </c>
      <c r="N624" s="48" t="s">
        <v>1439</v>
      </c>
      <c r="O624" s="49" t="s">
        <v>1442</v>
      </c>
      <c r="P624" s="48" t="s">
        <v>38</v>
      </c>
      <c r="Q624" s="48" t="s">
        <v>37</v>
      </c>
      <c r="R624" s="48" t="s">
        <v>1436</v>
      </c>
      <c r="S624" s="48" t="s">
        <v>1436</v>
      </c>
      <c r="T624" s="48" t="s">
        <v>1436</v>
      </c>
      <c r="U624" s="48" t="s">
        <v>38</v>
      </c>
      <c r="V624" s="48" t="s">
        <v>39</v>
      </c>
      <c r="W624" s="48" t="s">
        <v>1194</v>
      </c>
      <c r="X624" s="48" t="s">
        <v>41</v>
      </c>
      <c r="Y624" s="48" t="s">
        <v>1436</v>
      </c>
      <c r="Z624" s="48" t="s">
        <v>1436</v>
      </c>
      <c r="AA624" s="48" t="s">
        <v>1436</v>
      </c>
      <c r="AB624" s="49" t="s">
        <v>193</v>
      </c>
      <c r="AC624" s="48" t="s">
        <v>1194</v>
      </c>
      <c r="AD624" s="48" t="s">
        <v>1244</v>
      </c>
      <c r="AE624" s="48" t="s">
        <v>36</v>
      </c>
    </row>
    <row r="625" spans="1:31" x14ac:dyDescent="0.3">
      <c r="A625" s="48" t="s">
        <v>1320</v>
      </c>
      <c r="B625" s="48" t="s">
        <v>6</v>
      </c>
      <c r="C625" s="48" t="s">
        <v>1322</v>
      </c>
      <c r="D625" s="48" t="s">
        <v>1404</v>
      </c>
      <c r="E625" s="50">
        <v>46387</v>
      </c>
      <c r="F625" s="49" t="s">
        <v>1321</v>
      </c>
      <c r="G625" s="48" t="s">
        <v>36</v>
      </c>
      <c r="H625" s="48" t="s">
        <v>49</v>
      </c>
      <c r="I625" s="51">
        <v>0</v>
      </c>
      <c r="J625" s="51"/>
      <c r="K625" s="51"/>
      <c r="L625" s="48" t="s">
        <v>38</v>
      </c>
      <c r="M625" s="48" t="s">
        <v>1433</v>
      </c>
      <c r="N625" s="48" t="s">
        <v>1447</v>
      </c>
      <c r="O625" s="49" t="s">
        <v>1451</v>
      </c>
      <c r="P625" s="48" t="s">
        <v>38</v>
      </c>
      <c r="Q625" s="48" t="s">
        <v>37</v>
      </c>
      <c r="R625" s="48" t="s">
        <v>1436</v>
      </c>
      <c r="S625" s="48" t="s">
        <v>1436</v>
      </c>
      <c r="T625" s="48" t="s">
        <v>1436</v>
      </c>
      <c r="U625" s="48" t="s">
        <v>38</v>
      </c>
      <c r="V625" s="48" t="s">
        <v>39</v>
      </c>
      <c r="W625" s="48" t="s">
        <v>38</v>
      </c>
      <c r="X625" s="48" t="s">
        <v>41</v>
      </c>
      <c r="Y625" s="48" t="s">
        <v>1436</v>
      </c>
      <c r="Z625" s="48" t="s">
        <v>1436</v>
      </c>
      <c r="AA625" s="48" t="s">
        <v>1436</v>
      </c>
      <c r="AB625" s="49" t="s">
        <v>193</v>
      </c>
      <c r="AC625" s="48" t="s">
        <v>1194</v>
      </c>
      <c r="AD625" s="48" t="s">
        <v>1244</v>
      </c>
      <c r="AE625" s="48" t="s">
        <v>36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0440-5F46-4F11-B719-CE47D8B728D5}">
  <sheetPr>
    <tabColor rgb="FFFF66FF"/>
  </sheetPr>
  <dimension ref="A1:C27"/>
  <sheetViews>
    <sheetView workbookViewId="0">
      <selection activeCell="C15" sqref="C15"/>
    </sheetView>
  </sheetViews>
  <sheetFormatPr defaultColWidth="9.109375" defaultRowHeight="13.2" x14ac:dyDescent="0.25"/>
  <cols>
    <col min="1" max="1" width="23" style="39" bestFit="1" customWidth="1"/>
    <col min="2" max="2" width="23.109375" style="39" bestFit="1" customWidth="1"/>
    <col min="3" max="3" width="16.109375" style="39" bestFit="1" customWidth="1"/>
    <col min="4" max="16384" width="9.109375" style="39"/>
  </cols>
  <sheetData>
    <row r="1" spans="1:3" ht="14.4" x14ac:dyDescent="0.3">
      <c r="B1" s="45" t="s">
        <v>1330</v>
      </c>
      <c r="C1" s="179" t="s">
        <v>2781</v>
      </c>
    </row>
    <row r="2" spans="1:3" x14ac:dyDescent="0.25">
      <c r="A2" s="45" t="s">
        <v>1331</v>
      </c>
      <c r="B2" s="45" t="s">
        <v>63</v>
      </c>
    </row>
    <row r="3" spans="1:3" x14ac:dyDescent="0.25">
      <c r="A3" s="45" t="s">
        <v>1663</v>
      </c>
      <c r="B3" s="45" t="s">
        <v>228</v>
      </c>
    </row>
    <row r="4" spans="1:3" x14ac:dyDescent="0.25">
      <c r="A4" s="45" t="s">
        <v>1420</v>
      </c>
      <c r="B4" s="45" t="s">
        <v>159</v>
      </c>
    </row>
    <row r="5" spans="1:3" x14ac:dyDescent="0.25">
      <c r="A5" s="45" t="s">
        <v>1334</v>
      </c>
      <c r="B5" s="45" t="s">
        <v>1209</v>
      </c>
    </row>
    <row r="6" spans="1:3" x14ac:dyDescent="0.25">
      <c r="A6" s="45" t="s">
        <v>1335</v>
      </c>
      <c r="B6" s="45" t="s">
        <v>1336</v>
      </c>
    </row>
    <row r="7" spans="1:3" x14ac:dyDescent="0.25">
      <c r="A7" s="45" t="s">
        <v>1299</v>
      </c>
      <c r="B7" s="45" t="s">
        <v>36</v>
      </c>
    </row>
    <row r="8" spans="1:3" x14ac:dyDescent="0.25">
      <c r="A8" s="45" t="s">
        <v>1337</v>
      </c>
      <c r="B8" s="45" t="s">
        <v>1209</v>
      </c>
    </row>
    <row r="9" spans="1:3" x14ac:dyDescent="0.25">
      <c r="A9" s="45" t="s">
        <v>1419</v>
      </c>
      <c r="B9" s="45" t="s">
        <v>194</v>
      </c>
    </row>
    <row r="10" spans="1:3" x14ac:dyDescent="0.25">
      <c r="A10" s="45" t="s">
        <v>1418</v>
      </c>
      <c r="B10" s="45" t="s">
        <v>6</v>
      </c>
    </row>
    <row r="11" spans="1:3" x14ac:dyDescent="0.25">
      <c r="A11" s="45" t="s">
        <v>187</v>
      </c>
      <c r="B11" s="45" t="s">
        <v>1209</v>
      </c>
    </row>
    <row r="12" spans="1:3" x14ac:dyDescent="0.25">
      <c r="A12" s="45" t="s">
        <v>1340</v>
      </c>
      <c r="B12" s="45" t="s">
        <v>1209</v>
      </c>
    </row>
    <row r="13" spans="1:3" x14ac:dyDescent="0.25">
      <c r="A13" s="45" t="s">
        <v>1417</v>
      </c>
      <c r="B13" s="45" t="s">
        <v>1209</v>
      </c>
    </row>
    <row r="14" spans="1:3" x14ac:dyDescent="0.25">
      <c r="A14" s="45" t="s">
        <v>189</v>
      </c>
      <c r="B14" s="45" t="s">
        <v>1209</v>
      </c>
    </row>
    <row r="15" spans="1:3" x14ac:dyDescent="0.25">
      <c r="A15" s="45" t="s">
        <v>188</v>
      </c>
      <c r="B15" s="45" t="s">
        <v>1209</v>
      </c>
    </row>
    <row r="16" spans="1:3" x14ac:dyDescent="0.25">
      <c r="A16" s="45" t="s">
        <v>1416</v>
      </c>
      <c r="B16" s="45" t="s">
        <v>1209</v>
      </c>
    </row>
    <row r="17" spans="1:2" x14ac:dyDescent="0.25">
      <c r="A17" s="45" t="s">
        <v>196</v>
      </c>
      <c r="B17" s="45" t="s">
        <v>1209</v>
      </c>
    </row>
    <row r="18" spans="1:2" x14ac:dyDescent="0.25">
      <c r="A18" s="45" t="s">
        <v>197</v>
      </c>
      <c r="B18" s="45" t="s">
        <v>1209</v>
      </c>
    </row>
    <row r="19" spans="1:2" x14ac:dyDescent="0.25">
      <c r="A19" s="45" t="s">
        <v>198</v>
      </c>
      <c r="B19" s="45" t="s">
        <v>1209</v>
      </c>
    </row>
    <row r="20" spans="1:2" x14ac:dyDescent="0.25">
      <c r="A20" s="45" t="s">
        <v>199</v>
      </c>
      <c r="B20" s="45" t="s">
        <v>1209</v>
      </c>
    </row>
    <row r="21" spans="1:2" x14ac:dyDescent="0.25">
      <c r="A21" s="45" t="s">
        <v>200</v>
      </c>
      <c r="B21" s="45" t="s">
        <v>1209</v>
      </c>
    </row>
    <row r="22" spans="1:2" x14ac:dyDescent="0.25">
      <c r="A22" s="45" t="s">
        <v>201</v>
      </c>
      <c r="B22" s="45" t="s">
        <v>1209</v>
      </c>
    </row>
    <row r="23" spans="1:2" x14ac:dyDescent="0.25">
      <c r="A23" s="45" t="s">
        <v>202</v>
      </c>
      <c r="B23" s="45" t="s">
        <v>1209</v>
      </c>
    </row>
    <row r="24" spans="1:2" x14ac:dyDescent="0.25">
      <c r="A24" s="45" t="s">
        <v>203</v>
      </c>
      <c r="B24" s="45" t="s">
        <v>1209</v>
      </c>
    </row>
    <row r="25" spans="1:2" x14ac:dyDescent="0.25">
      <c r="A25" s="45" t="s">
        <v>204</v>
      </c>
      <c r="B25" s="45" t="s">
        <v>1209</v>
      </c>
    </row>
    <row r="26" spans="1:2" x14ac:dyDescent="0.25">
      <c r="A26" s="45" t="s">
        <v>205</v>
      </c>
      <c r="B26" s="45" t="s">
        <v>1209</v>
      </c>
    </row>
    <row r="27" spans="1:2" x14ac:dyDescent="0.25">
      <c r="A27" s="45" t="s">
        <v>206</v>
      </c>
      <c r="B27" s="45" t="s">
        <v>1209</v>
      </c>
    </row>
  </sheetData>
  <hyperlinks>
    <hyperlink ref="C1" location="'Comparison-Sheet'!A1" display="'Comparison-Sheet'!A1" xr:uid="{052B1E8C-7D24-42EA-BA5B-E08BC3E813E7}"/>
  </hyperlinks>
  <pageMargins left="0.75" right="0.75" top="1" bottom="1" header="0.5" footer="0.5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D4E6-5978-4983-AACB-06E89AF9CBD5}">
  <sheetPr>
    <tabColor rgb="FF92D050"/>
  </sheetPr>
  <dimension ref="A1:I29"/>
  <sheetViews>
    <sheetView workbookViewId="0">
      <selection activeCell="D16" sqref="D16"/>
    </sheetView>
  </sheetViews>
  <sheetFormatPr defaultRowHeight="14.4" x14ac:dyDescent="0.3"/>
  <cols>
    <col min="1" max="1" width="36.77734375" style="7" bestFit="1" customWidth="1"/>
    <col min="2" max="2" width="20.6640625" style="7" customWidth="1"/>
    <col min="3" max="3" width="27.33203125" style="7" customWidth="1"/>
    <col min="4" max="4" width="26.88671875" style="7" customWidth="1"/>
    <col min="5" max="5" width="26.6640625" style="7" customWidth="1"/>
    <col min="6" max="8" width="20.6640625" style="7" customWidth="1"/>
    <col min="9" max="9" width="8" style="7" customWidth="1"/>
    <col min="10" max="16384" width="8.88671875" style="7"/>
  </cols>
  <sheetData>
    <row r="1" spans="1:9" ht="14.55" customHeight="1" x14ac:dyDescent="0.3">
      <c r="A1" s="55" t="s">
        <v>1453</v>
      </c>
    </row>
    <row r="2" spans="1:9" ht="14.55" customHeight="1" x14ac:dyDescent="0.3">
      <c r="B2" s="56" t="s">
        <v>1454</v>
      </c>
      <c r="C2" s="56" t="s">
        <v>1455</v>
      </c>
      <c r="D2" s="56" t="s">
        <v>1456</v>
      </c>
      <c r="E2" s="56" t="s">
        <v>1457</v>
      </c>
      <c r="F2" s="56" t="s">
        <v>1458</v>
      </c>
      <c r="G2" s="56" t="s">
        <v>1459</v>
      </c>
      <c r="H2" s="56" t="s">
        <v>1460</v>
      </c>
    </row>
    <row r="3" spans="1:9" ht="14.55" customHeight="1" x14ac:dyDescent="0.3">
      <c r="A3" s="57"/>
    </row>
    <row r="4" spans="1:9" ht="14.55" customHeight="1" x14ac:dyDescent="0.3">
      <c r="A4" s="55" t="s">
        <v>1461</v>
      </c>
    </row>
    <row r="5" spans="1:9" x14ac:dyDescent="0.3">
      <c r="A5" s="7" t="s">
        <v>1462</v>
      </c>
      <c r="B5" s="8">
        <v>600000</v>
      </c>
      <c r="C5" s="8">
        <v>600000</v>
      </c>
      <c r="D5" s="8">
        <v>600000</v>
      </c>
      <c r="E5" s="8">
        <v>600000</v>
      </c>
      <c r="H5" s="8">
        <v>2400000</v>
      </c>
    </row>
    <row r="6" spans="1:9" x14ac:dyDescent="0.3">
      <c r="A6" s="7" t="s">
        <v>1463</v>
      </c>
    </row>
    <row r="7" spans="1:9" x14ac:dyDescent="0.3">
      <c r="A7" s="7" t="s">
        <v>1464</v>
      </c>
    </row>
    <row r="8" spans="1:9" x14ac:dyDescent="0.3">
      <c r="A8" s="7" t="s">
        <v>1465</v>
      </c>
    </row>
    <row r="9" spans="1:9" x14ac:dyDescent="0.3">
      <c r="A9" s="7" t="s">
        <v>1466</v>
      </c>
    </row>
    <row r="10" spans="1:9" x14ac:dyDescent="0.3">
      <c r="A10" s="7" t="s">
        <v>1467</v>
      </c>
      <c r="B10" s="8">
        <v>0</v>
      </c>
      <c r="C10" s="8">
        <v>0</v>
      </c>
      <c r="D10" s="8">
        <v>0</v>
      </c>
      <c r="E10" s="8">
        <v>0</v>
      </c>
      <c r="H10" s="8">
        <v>0</v>
      </c>
    </row>
    <row r="11" spans="1:9" ht="15" customHeight="1" x14ac:dyDescent="0.3">
      <c r="A11" s="58" t="s">
        <v>1468</v>
      </c>
      <c r="B11" s="8">
        <f t="shared" ref="B11:G11" si="0">SUM(B5+B6+B7+B8+B9+B10)</f>
        <v>600000</v>
      </c>
      <c r="C11" s="8">
        <f t="shared" si="0"/>
        <v>600000</v>
      </c>
      <c r="D11" s="8">
        <f t="shared" si="0"/>
        <v>600000</v>
      </c>
      <c r="E11" s="8">
        <f t="shared" si="0"/>
        <v>600000</v>
      </c>
      <c r="F11" s="8">
        <f t="shared" si="0"/>
        <v>0</v>
      </c>
      <c r="G11" s="8">
        <f t="shared" si="0"/>
        <v>0</v>
      </c>
      <c r="H11" s="8">
        <f>SUM(B11:G11)</f>
        <v>2400000</v>
      </c>
    </row>
    <row r="12" spans="1:9" ht="15" customHeight="1" x14ac:dyDescent="0.3">
      <c r="A12" s="116" t="s">
        <v>1674</v>
      </c>
      <c r="B12" s="194">
        <f>'Payment report (BI)'!AS4</f>
        <v>600000</v>
      </c>
      <c r="C12" s="194">
        <f>'Payment report (BI)'!AT4</f>
        <v>600000</v>
      </c>
      <c r="D12" s="194">
        <f>'Payment report (BI)'!AU4</f>
        <v>600000</v>
      </c>
      <c r="E12" s="194">
        <f>'Payment report (BI)'!AV4</f>
        <v>600000</v>
      </c>
      <c r="F12" s="194"/>
      <c r="G12" s="194"/>
      <c r="H12" s="194">
        <f>SUM(B12:E12)</f>
        <v>2400000</v>
      </c>
    </row>
    <row r="13" spans="1:9" ht="15" customHeight="1" x14ac:dyDescent="0.3">
      <c r="A13" s="117" t="s">
        <v>1594</v>
      </c>
      <c r="B13" s="194">
        <f>B5-B12</f>
        <v>0</v>
      </c>
      <c r="C13" s="194">
        <f t="shared" ref="C13:E13" si="1">C5-C12</f>
        <v>0</v>
      </c>
      <c r="D13" s="194">
        <f t="shared" si="1"/>
        <v>0</v>
      </c>
      <c r="E13" s="194">
        <f t="shared" si="1"/>
        <v>0</v>
      </c>
      <c r="F13" s="194"/>
      <c r="G13" s="194"/>
      <c r="H13" s="194">
        <f>H12-H11</f>
        <v>0</v>
      </c>
    </row>
    <row r="14" spans="1:9" ht="15" customHeight="1" x14ac:dyDescent="0.3">
      <c r="A14" s="117" t="s">
        <v>1675</v>
      </c>
      <c r="B14" s="194">
        <f>-SUM('Schedule acct Activity trend'!S16:AD16)</f>
        <v>600000</v>
      </c>
      <c r="C14" s="194">
        <f>-SUM('Schedule acct Activity trend'!AE16:AP16)</f>
        <v>600000</v>
      </c>
      <c r="D14" s="194">
        <f>-SUM('Schedule acct Activity trend'!AQ16:BB16)</f>
        <v>600000</v>
      </c>
      <c r="E14" s="194">
        <f>-SUM('Schedule acct Activity trend'!BC16:BN16)</f>
        <v>600000</v>
      </c>
      <c r="F14" s="194"/>
      <c r="G14" s="194"/>
      <c r="H14" s="194">
        <f>-SUM(B14:E14)</f>
        <v>-2400000</v>
      </c>
    </row>
    <row r="15" spans="1:9" ht="15" customHeight="1" x14ac:dyDescent="0.3">
      <c r="A15" s="117" t="s">
        <v>1594</v>
      </c>
      <c r="B15" s="194">
        <f>B11-B14</f>
        <v>0</v>
      </c>
      <c r="C15" s="194">
        <f t="shared" ref="C15:E15" si="2">C11-C14</f>
        <v>0</v>
      </c>
      <c r="D15" s="194">
        <f t="shared" si="2"/>
        <v>0</v>
      </c>
      <c r="E15" s="194">
        <f t="shared" si="2"/>
        <v>0</v>
      </c>
      <c r="F15" s="194"/>
      <c r="G15" s="194"/>
      <c r="H15" s="194">
        <f>H11+H14</f>
        <v>0</v>
      </c>
    </row>
    <row r="16" spans="1:9" ht="15" customHeight="1" x14ac:dyDescent="0.3">
      <c r="A16" s="58"/>
      <c r="B16" s="58"/>
      <c r="C16" s="58"/>
      <c r="D16" s="58"/>
      <c r="E16" s="58"/>
      <c r="F16" s="58"/>
      <c r="G16" s="58"/>
      <c r="H16" s="59"/>
      <c r="I16" s="58"/>
    </row>
    <row r="17" spans="1:8" ht="14.55" customHeight="1" x14ac:dyDescent="0.3">
      <c r="A17" s="55" t="s">
        <v>1469</v>
      </c>
    </row>
    <row r="18" spans="1:8" ht="15.45" customHeight="1" x14ac:dyDescent="0.3">
      <c r="B18" s="60" t="s">
        <v>1470</v>
      </c>
      <c r="C18" s="61" t="s">
        <v>1471</v>
      </c>
      <c r="D18" s="60" t="s">
        <v>1460</v>
      </c>
      <c r="E18" s="206" t="s">
        <v>1594</v>
      </c>
      <c r="F18" s="206"/>
      <c r="G18" s="123"/>
    </row>
    <row r="19" spans="1:8" ht="15" customHeight="1" x14ac:dyDescent="0.3">
      <c r="A19" s="58" t="s">
        <v>1472</v>
      </c>
      <c r="B19" s="8">
        <f>IF(ISNA(MATCH("Finance Leases",A5:A10,0)),0,INDEX(A5:H10,MATCH("Finance Leases",A5:A10,0),8))</f>
        <v>2400000</v>
      </c>
      <c r="C19" s="8">
        <f>IF(ISNA(MATCH("Operating Leases",A5:A10,0)),0,INDEX(A5:H10,MATCH("Operating Leases",A5:A10,0),8))</f>
        <v>0</v>
      </c>
      <c r="D19" s="8">
        <f>SUM(B19+C19)</f>
        <v>2400000</v>
      </c>
      <c r="E19" s="194">
        <f>H12</f>
        <v>2400000</v>
      </c>
      <c r="F19" s="195">
        <f>D19-E19</f>
        <v>0</v>
      </c>
      <c r="G19" s="118" t="s">
        <v>1676</v>
      </c>
    </row>
    <row r="20" spans="1:8" ht="14.55" customHeight="1" x14ac:dyDescent="0.3">
      <c r="A20" s="58" t="s">
        <v>1473</v>
      </c>
      <c r="B20" s="8">
        <f>SUM(B21-B19)</f>
        <v>-311989.92974500009</v>
      </c>
      <c r="C20" s="8">
        <f>SUM(C21-C19)</f>
        <v>0</v>
      </c>
      <c r="D20" s="8">
        <f>SUM(B20+C20)</f>
        <v>-311989.92974500009</v>
      </c>
      <c r="E20" s="194">
        <f>-E19+E21</f>
        <v>-311989.92974499986</v>
      </c>
      <c r="F20" s="195">
        <f t="shared" ref="F20:F21" si="3">D20-E20</f>
        <v>0</v>
      </c>
      <c r="G20" s="118" t="s">
        <v>1677</v>
      </c>
    </row>
    <row r="21" spans="1:8" ht="15" customHeight="1" x14ac:dyDescent="0.3">
      <c r="A21" s="58" t="s">
        <v>1474</v>
      </c>
      <c r="B21" s="8">
        <v>2088010.0702549999</v>
      </c>
      <c r="C21" s="8">
        <v>0</v>
      </c>
      <c r="D21" s="8">
        <f>SUM(B21+C21)</f>
        <v>2088010.0702549999</v>
      </c>
      <c r="E21" s="194">
        <f>-'Schedule Acct Balance Trend'!Q14-'Schedule Acct Balance Trend'!Q15</f>
        <v>2088010.0702550001</v>
      </c>
      <c r="F21" s="195">
        <f t="shared" si="3"/>
        <v>0</v>
      </c>
      <c r="G21" s="118" t="s">
        <v>1678</v>
      </c>
    </row>
    <row r="22" spans="1:8" ht="15" customHeight="1" x14ac:dyDescent="0.3"/>
    <row r="23" spans="1:8" ht="14.55" customHeight="1" x14ac:dyDescent="0.3">
      <c r="B23" s="58"/>
      <c r="C23" s="58"/>
      <c r="D23" s="58"/>
      <c r="E23" s="58"/>
      <c r="F23" s="58"/>
    </row>
    <row r="25" spans="1:8" ht="14.55" customHeight="1" x14ac:dyDescent="0.3">
      <c r="B25" s="58"/>
      <c r="C25" s="58"/>
      <c r="D25" s="58"/>
      <c r="E25" s="58"/>
      <c r="F25" s="58"/>
      <c r="G25" s="58"/>
      <c r="H25" s="59"/>
    </row>
    <row r="26" spans="1:8" ht="14.55" customHeight="1" x14ac:dyDescent="0.3">
      <c r="A26" s="55" t="s">
        <v>1475</v>
      </c>
    </row>
    <row r="27" spans="1:8" ht="14.55" customHeight="1" x14ac:dyDescent="0.3">
      <c r="A27" s="58" t="s">
        <v>1476</v>
      </c>
      <c r="B27" s="7">
        <f>(COUNTA('Maturity Analysis Detail'!$A:$A)-2)</f>
        <v>3</v>
      </c>
    </row>
    <row r="28" spans="1:8" ht="14.55" customHeight="1" x14ac:dyDescent="0.3">
      <c r="A28" s="58" t="s">
        <v>1477</v>
      </c>
      <c r="B28" s="7">
        <f>SUM('Maturity Analysis Detail'!K:K)</f>
        <v>7</v>
      </c>
    </row>
    <row r="29" spans="1:8" ht="14.55" customHeight="1" x14ac:dyDescent="0.3">
      <c r="A29" s="58" t="s">
        <v>1478</v>
      </c>
      <c r="B29" s="8">
        <f>SUM(B5:B21)</f>
        <v>6576020.1405100003</v>
      </c>
      <c r="C29" s="8">
        <f>SUM(C5:C21)</f>
        <v>2400000</v>
      </c>
      <c r="D29" s="8">
        <f>SUM(D5:D21)</f>
        <v>6576020.1405100003</v>
      </c>
      <c r="E29" s="8">
        <f>SUM(E5:E21)</f>
        <v>6576020.1405100003</v>
      </c>
      <c r="F29" s="8">
        <f>SUM(F5:F21)</f>
        <v>0</v>
      </c>
    </row>
  </sheetData>
  <mergeCells count="1">
    <mergeCell ref="E18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D04B-E921-40D7-84DD-69B2773B6068}">
  <sheetPr>
    <tabColor rgb="FF00B0F0"/>
  </sheetPr>
  <dimension ref="A1:K46"/>
  <sheetViews>
    <sheetView showGridLines="0" tabSelected="1" zoomScaleNormal="100" workbookViewId="0">
      <pane xSplit="1" ySplit="3" topLeftCell="B16" activePane="bottomRight" state="frozen"/>
      <selection activeCell="B4" sqref="B4"/>
      <selection pane="topRight" activeCell="B4" sqref="B4"/>
      <selection pane="bottomLeft" activeCell="B4" sqref="B4"/>
      <selection pane="bottomRight" activeCell="J26" sqref="J26"/>
    </sheetView>
  </sheetViews>
  <sheetFormatPr defaultColWidth="8.6640625" defaultRowHeight="14.4" x14ac:dyDescent="0.3"/>
  <cols>
    <col min="1" max="1" width="2.6640625" style="73" customWidth="1"/>
    <col min="2" max="2" width="40.5546875" style="73" bestFit="1" customWidth="1"/>
    <col min="3" max="3" width="20" style="73" bestFit="1" customWidth="1"/>
    <col min="4" max="4" width="19.5546875" style="73" bestFit="1" customWidth="1"/>
    <col min="5" max="6" width="23.88671875" style="73" bestFit="1" customWidth="1"/>
    <col min="7" max="7" width="37.109375" style="73" customWidth="1"/>
    <col min="8" max="8" width="2.6640625" style="73" customWidth="1"/>
    <col min="9" max="9" width="8.6640625" style="73"/>
    <col min="10" max="10" width="11.5546875" style="73" bestFit="1" customWidth="1"/>
    <col min="11" max="16384" width="8.6640625" style="73"/>
  </cols>
  <sheetData>
    <row r="1" spans="1:11" x14ac:dyDescent="0.3">
      <c r="A1" s="160"/>
      <c r="B1" s="160"/>
      <c r="C1" s="160"/>
      <c r="D1" s="160"/>
      <c r="E1" s="160"/>
      <c r="F1" s="160"/>
      <c r="G1" s="160"/>
      <c r="H1" s="160"/>
    </row>
    <row r="2" spans="1:11" x14ac:dyDescent="0.3">
      <c r="A2" s="160"/>
      <c r="B2" s="203" t="s">
        <v>2773</v>
      </c>
      <c r="C2" s="203"/>
      <c r="D2" s="203"/>
      <c r="E2" s="203"/>
      <c r="F2" s="203"/>
      <c r="G2" s="203"/>
      <c r="H2" s="160"/>
    </row>
    <row r="3" spans="1:11" x14ac:dyDescent="0.3">
      <c r="A3" s="160"/>
      <c r="B3" s="203"/>
      <c r="C3" s="203"/>
      <c r="D3" s="203"/>
      <c r="E3" s="203"/>
      <c r="F3" s="203"/>
      <c r="G3" s="203"/>
      <c r="H3" s="160"/>
    </row>
    <row r="4" spans="1:11" x14ac:dyDescent="0.3">
      <c r="A4" s="160"/>
      <c r="B4" s="161" t="s">
        <v>1680</v>
      </c>
      <c r="C4" s="204" t="s">
        <v>2774</v>
      </c>
      <c r="D4" s="204"/>
      <c r="E4" s="204"/>
      <c r="F4" s="204"/>
      <c r="G4" s="163" t="s">
        <v>27</v>
      </c>
      <c r="H4" s="160"/>
    </row>
    <row r="5" spans="1:11" x14ac:dyDescent="0.3">
      <c r="A5" s="160"/>
      <c r="B5" s="74"/>
      <c r="C5" s="75"/>
      <c r="D5" s="75"/>
      <c r="E5" s="75"/>
      <c r="F5" s="75"/>
      <c r="G5" s="74"/>
      <c r="H5" s="160"/>
    </row>
    <row r="6" spans="1:11" x14ac:dyDescent="0.3">
      <c r="A6" s="160"/>
      <c r="C6" s="164" t="s">
        <v>1453</v>
      </c>
      <c r="D6" s="165" t="s">
        <v>2789</v>
      </c>
      <c r="E6" s="165" t="s">
        <v>165</v>
      </c>
      <c r="F6" s="166" t="s">
        <v>1683</v>
      </c>
      <c r="H6" s="160"/>
    </row>
    <row r="7" spans="1:11" x14ac:dyDescent="0.3">
      <c r="A7" s="160"/>
      <c r="B7" s="73" t="s">
        <v>2788</v>
      </c>
      <c r="C7" s="170">
        <f>'Maturity Analysis Summary'!E19</f>
        <v>2400000</v>
      </c>
      <c r="D7" s="170">
        <f>SUM('Payment report (BI)'!AS3:AV3)</f>
        <v>2400000</v>
      </c>
      <c r="E7" s="170">
        <f>SUMIFS('Ledger Entries-schedule'!T146:T674,'Ledger Entries-schedule'!R146:R674,'Ledger Entries-schedule'!R6)-SUMIFS('Ledger Entries-schedule'!S146:S674,'Ledger Entries-schedule'!R146:R674,'Ledger Entries-schedule'!R6)</f>
        <v>2400000</v>
      </c>
      <c r="F7" s="170">
        <f>'Quantitative Detail Yr 1'!AE41</f>
        <v>2400000</v>
      </c>
      <c r="H7" s="160"/>
      <c r="J7" s="202"/>
      <c r="K7" s="202"/>
    </row>
    <row r="8" spans="1:11" x14ac:dyDescent="0.3">
      <c r="A8" s="160"/>
      <c r="C8" s="77"/>
      <c r="D8" s="77"/>
      <c r="E8" s="77"/>
      <c r="F8" s="77"/>
      <c r="H8" s="160"/>
      <c r="J8" s="202"/>
      <c r="K8" s="202"/>
    </row>
    <row r="9" spans="1:11" x14ac:dyDescent="0.3">
      <c r="A9" s="160"/>
      <c r="C9" s="164" t="s">
        <v>1682</v>
      </c>
      <c r="D9" s="166" t="s">
        <v>1683</v>
      </c>
      <c r="E9" s="165" t="s">
        <v>165</v>
      </c>
      <c r="F9" s="165" t="s">
        <v>2791</v>
      </c>
      <c r="H9" s="160"/>
      <c r="J9" s="202"/>
      <c r="K9" s="202"/>
    </row>
    <row r="10" spans="1:11" x14ac:dyDescent="0.3">
      <c r="A10" s="160"/>
      <c r="B10" s="73" t="s">
        <v>2790</v>
      </c>
      <c r="C10" s="170">
        <f>-SUM('Schedule acct Activity trend'!E16,'Schedule acct Activity trend'!H16:R16)</f>
        <v>600000</v>
      </c>
      <c r="D10" s="170">
        <f>SUM('Quantitative Detail Yr 1'!V41+'Quantitative Detail Yr 1'!T41)</f>
        <v>600000</v>
      </c>
      <c r="E10" s="170">
        <f>SUMIFS('Ledger Entries-schedule'!T2:T145,'Ledger Entries-schedule'!R2:R145,'Ledger Entries-schedule'!R6)-SUMIFS('Ledger Entries-schedule'!S2:S145,'Ledger Entries-schedule'!R2:R145,'Ledger Entries-schedule'!R6)</f>
        <v>600000</v>
      </c>
      <c r="F10" s="170">
        <f>AccountingRollForwardFx!J8</f>
        <v>600000</v>
      </c>
      <c r="H10" s="160"/>
      <c r="J10" s="202"/>
      <c r="K10" s="202"/>
    </row>
    <row r="11" spans="1:11" x14ac:dyDescent="0.3">
      <c r="A11" s="160"/>
      <c r="C11" s="77"/>
      <c r="D11" s="77"/>
      <c r="E11" s="77"/>
      <c r="F11" s="77"/>
      <c r="H11" s="160"/>
      <c r="J11" s="202"/>
      <c r="K11" s="202"/>
    </row>
    <row r="12" spans="1:11" x14ac:dyDescent="0.3">
      <c r="A12" s="160"/>
      <c r="C12" s="166" t="s">
        <v>1283</v>
      </c>
      <c r="D12" s="164" t="s">
        <v>1682</v>
      </c>
      <c r="F12" s="165" t="s">
        <v>2791</v>
      </c>
      <c r="H12" s="160"/>
      <c r="J12" s="202"/>
      <c r="K12" s="202"/>
    </row>
    <row r="13" spans="1:11" x14ac:dyDescent="0.3">
      <c r="A13" s="160"/>
      <c r="B13" s="73" t="s">
        <v>2792</v>
      </c>
      <c r="C13" s="170">
        <f>'Accounting (Accounting Wb)'!AE14+'Accounting (Accounting Wb)'!AH14</f>
        <v>668326.58583500003</v>
      </c>
      <c r="D13" s="170">
        <f>SUM('Schedule acct Activity trend'!E14:E15,'Schedule acct Activity trend'!H14:R15)</f>
        <v>668326.58583499992</v>
      </c>
      <c r="F13" s="170">
        <f>-SUM(AccountingRollForwardFx!J10,AccountingRollForwardFx!J15)</f>
        <v>668326.58583500003</v>
      </c>
      <c r="G13" s="73" t="s">
        <v>1685</v>
      </c>
      <c r="H13" s="160"/>
      <c r="J13" s="202"/>
      <c r="K13" s="202"/>
    </row>
    <row r="14" spans="1:11" x14ac:dyDescent="0.3">
      <c r="A14" s="160"/>
      <c r="C14" s="77"/>
      <c r="D14" s="77"/>
      <c r="E14" s="77"/>
      <c r="F14" s="77"/>
      <c r="H14" s="160"/>
      <c r="J14" s="202"/>
      <c r="K14" s="202"/>
    </row>
    <row r="15" spans="1:11" x14ac:dyDescent="0.3">
      <c r="A15" s="160"/>
      <c r="B15" s="161" t="s">
        <v>1686</v>
      </c>
      <c r="C15" s="204" t="s">
        <v>2775</v>
      </c>
      <c r="D15" s="204"/>
      <c r="E15" s="204"/>
      <c r="F15" s="204"/>
      <c r="G15" s="163" t="s">
        <v>27</v>
      </c>
      <c r="H15" s="160"/>
      <c r="J15" s="202"/>
      <c r="K15" s="202"/>
    </row>
    <row r="16" spans="1:11" x14ac:dyDescent="0.3">
      <c r="A16" s="160"/>
      <c r="B16" s="74"/>
      <c r="C16" s="167"/>
      <c r="D16" s="167"/>
      <c r="E16" s="77"/>
      <c r="F16" s="77"/>
      <c r="H16" s="160"/>
      <c r="J16" s="202"/>
      <c r="K16" s="202"/>
    </row>
    <row r="17" spans="1:11" x14ac:dyDescent="0.3">
      <c r="A17" s="160"/>
      <c r="B17" s="74"/>
      <c r="C17" s="164" t="s">
        <v>1687</v>
      </c>
      <c r="D17" s="164" t="s">
        <v>1283</v>
      </c>
      <c r="E17" s="164" t="s">
        <v>1688</v>
      </c>
      <c r="F17" s="165" t="s">
        <v>2791</v>
      </c>
      <c r="H17" s="160"/>
      <c r="J17" s="202"/>
      <c r="K17" s="202"/>
    </row>
    <row r="18" spans="1:11" x14ac:dyDescent="0.3">
      <c r="A18" s="160"/>
      <c r="B18" s="73" t="s">
        <v>42</v>
      </c>
      <c r="C18" s="170">
        <f>_xlfn.XLOOKUP(B18,'TB for single month'!$L$11:$L$20,'TB for single month'!$Y$11:$Y$20)</f>
        <v>2539829.423163</v>
      </c>
      <c r="D18" s="171">
        <f>'Accounting (Accounting Wb)'!H14</f>
        <v>2539829.423163</v>
      </c>
      <c r="E18" s="170">
        <f>_xlfn.XLOOKUP(B18,'Schedule Acct Balance Trend'!$H$136:$H$145,'Schedule Acct Balance Trend'!$I$136:$I$145)</f>
        <v>2539829.423163</v>
      </c>
      <c r="F18" s="170">
        <f>-_xlfn.XLOOKUP(B18,AccountingRollForwardFx!$A$8:$A$15,AccountingRollForwardFx!$J$8:$J$15)</f>
        <v>2539829.423163</v>
      </c>
      <c r="H18" s="160"/>
      <c r="J18" s="202"/>
      <c r="K18" s="202"/>
    </row>
    <row r="19" spans="1:11" x14ac:dyDescent="0.3">
      <c r="A19" s="160"/>
      <c r="B19" s="73" t="s">
        <v>52</v>
      </c>
      <c r="C19" s="170">
        <f>_xlfn.XLOOKUP(B19,'TB for single month'!$L$11:$L$20,'TB for single month'!$Y$11:$Y$20)</f>
        <v>-507965.88</v>
      </c>
      <c r="D19" s="171">
        <f>'Accounting (Accounting Wb)'!K14</f>
        <v>-507965.88</v>
      </c>
      <c r="E19" s="170">
        <f>_xlfn.XLOOKUP(B19,'Schedule Acct Balance Trend'!$H$136:$H$145,'Schedule Acct Balance Trend'!$I$136:$I$145)</f>
        <v>-507965.88</v>
      </c>
      <c r="F19" s="170">
        <f>-_xlfn.XLOOKUP(B19,AccountingRollForwardFx!$A$8:$A$15,AccountingRollForwardFx!$J$8:$J$15)</f>
        <v>-507965.88</v>
      </c>
      <c r="H19" s="160"/>
      <c r="J19" s="202"/>
      <c r="K19" s="202"/>
    </row>
    <row r="20" spans="1:11" x14ac:dyDescent="0.3">
      <c r="A20" s="160"/>
      <c r="B20" s="73" t="s">
        <v>45</v>
      </c>
      <c r="C20" s="170">
        <f>_xlfn.XLOOKUP(B20,'TB for single month'!$L$11:$L$20,'TB for single month'!$Y$11:$Y$20)</f>
        <v>-1619323.2202550001</v>
      </c>
      <c r="D20" s="171">
        <f>'Accounting (Accounting Wb)'!Q14</f>
        <v>-1619323.2202550001</v>
      </c>
      <c r="E20" s="170">
        <f>_xlfn.XLOOKUP(B20,'Schedule Acct Balance Trend'!$H$136:$H$145,'Schedule Acct Balance Trend'!$I$136:$I$145)</f>
        <v>-1619323.2202550001</v>
      </c>
      <c r="F20" s="170">
        <f>-_xlfn.XLOOKUP(B20,AccountingRollForwardFx!$A$8:$A$15,AccountingRollForwardFx!$J$8:$J$15)</f>
        <v>-1619323.2202550001</v>
      </c>
      <c r="H20" s="160"/>
      <c r="J20" s="202"/>
      <c r="K20" s="202"/>
    </row>
    <row r="21" spans="1:11" x14ac:dyDescent="0.3">
      <c r="A21" s="160"/>
      <c r="B21" s="73" t="s">
        <v>54</v>
      </c>
      <c r="C21" s="170">
        <f>_xlfn.XLOOKUP(B21,'TB for single month'!$L$11:$L$20,'TB for single month'!$Y$11:$Y$20)</f>
        <v>-468686.85</v>
      </c>
      <c r="D21" s="171">
        <f>'Accounting (Accounting Wb)'!U14</f>
        <v>-468686.85</v>
      </c>
      <c r="E21" s="170">
        <f>_xlfn.XLOOKUP(B21,'Schedule Acct Balance Trend'!$H$136:$H$145,'Schedule Acct Balance Trend'!$I$136:$I$145)</f>
        <v>-468686.85</v>
      </c>
      <c r="F21" s="170">
        <f>-_xlfn.XLOOKUP(B21,AccountingRollForwardFx!$A$8:$A$15,AccountingRollForwardFx!$J$8:$J$15)</f>
        <v>-468686.85</v>
      </c>
      <c r="H21" s="160"/>
      <c r="J21" s="202"/>
      <c r="K21" s="202"/>
    </row>
    <row r="22" spans="1:11" x14ac:dyDescent="0.3">
      <c r="A22" s="160"/>
      <c r="B22" s="76" t="s">
        <v>58</v>
      </c>
      <c r="C22" s="170">
        <f>_xlfn.XLOOKUP(B22,'TB for single month'!$L$11:$L$20,'TB for single month'!$Y$11:$Y$20)</f>
        <v>-600000</v>
      </c>
      <c r="D22" s="171">
        <f>'Accounting (Accounting Wb)'!X14</f>
        <v>-600000</v>
      </c>
      <c r="E22" s="170">
        <f>_xlfn.XLOOKUP(B22,'Schedule Acct Balance Trend'!$H$136:$H$145,'Schedule Acct Balance Trend'!$I$136:$I$145)</f>
        <v>-600000</v>
      </c>
      <c r="F22" s="170">
        <f>-_xlfn.XLOOKUP(B22,AccountingRollForwardFx!$A$8:$A$15,AccountingRollForwardFx!$J$8:$J$15)</f>
        <v>-600000</v>
      </c>
      <c r="H22" s="160"/>
      <c r="J22" s="202"/>
      <c r="K22" s="202"/>
    </row>
    <row r="23" spans="1:11" x14ac:dyDescent="0.3">
      <c r="A23" s="160"/>
      <c r="C23" s="77"/>
      <c r="D23" s="77"/>
      <c r="E23" s="77"/>
      <c r="F23" s="77"/>
      <c r="H23" s="160"/>
      <c r="J23" s="202"/>
      <c r="K23" s="202"/>
    </row>
    <row r="24" spans="1:11" x14ac:dyDescent="0.3">
      <c r="A24" s="160"/>
      <c r="B24" s="161" t="s">
        <v>2780</v>
      </c>
      <c r="C24" s="204" t="s">
        <v>2776</v>
      </c>
      <c r="D24" s="204"/>
      <c r="E24" s="204"/>
      <c r="F24" s="204"/>
      <c r="G24" s="163" t="s">
        <v>27</v>
      </c>
      <c r="H24" s="160"/>
      <c r="J24" s="202"/>
      <c r="K24" s="202"/>
    </row>
    <row r="25" spans="1:11" x14ac:dyDescent="0.3">
      <c r="A25" s="160"/>
      <c r="C25" s="167"/>
      <c r="D25" s="167"/>
      <c r="E25" s="167"/>
      <c r="F25" s="167"/>
      <c r="H25" s="160"/>
      <c r="J25" s="202"/>
      <c r="K25" s="202"/>
    </row>
    <row r="26" spans="1:11" x14ac:dyDescent="0.3">
      <c r="A26" s="160"/>
      <c r="C26" s="164" t="s">
        <v>1688</v>
      </c>
      <c r="D26" s="164" t="s">
        <v>1283</v>
      </c>
      <c r="E26" s="165" t="s">
        <v>2791</v>
      </c>
      <c r="F26" s="164"/>
      <c r="H26" s="160"/>
      <c r="J26" s="202"/>
      <c r="K26" s="202"/>
    </row>
    <row r="27" spans="1:11" x14ac:dyDescent="0.3">
      <c r="A27" s="160"/>
      <c r="B27" s="73" t="s">
        <v>50</v>
      </c>
      <c r="C27" s="172">
        <f>_xlfn.XLOOKUP(B27,'Schedule Acct Balance Trend'!$H$136:$H$145,'Schedule Acct Balance Trend'!$I$136:$I$145)</f>
        <v>507965.88</v>
      </c>
      <c r="D27" s="172">
        <f>'Accounting (Accounting Wb)'!AH14</f>
        <v>507965.88</v>
      </c>
      <c r="E27" s="173">
        <f>-_xlfn.XLOOKUP(B27,AccountingRollForwardFx!$A$8:$A$15,AccountingRollForwardFx!$J$8:$J$15)</f>
        <v>507965.88</v>
      </c>
      <c r="F27" s="168"/>
      <c r="G27" s="201" t="s">
        <v>2793</v>
      </c>
      <c r="H27" s="160"/>
      <c r="J27" s="202"/>
      <c r="K27" s="202"/>
    </row>
    <row r="28" spans="1:11" x14ac:dyDescent="0.3">
      <c r="A28" s="160"/>
      <c r="B28" s="73" t="s">
        <v>47</v>
      </c>
      <c r="C28" s="172">
        <f>_xlfn.XLOOKUP(B28,'Schedule Acct Balance Trend'!$H$136:$H$145,'Schedule Acct Balance Trend'!$I$136:$I$145)</f>
        <v>160360.705835</v>
      </c>
      <c r="D28" s="174">
        <f>'Accounting (Accounting Wb)'!AE14</f>
        <v>160360.705835</v>
      </c>
      <c r="E28" s="173">
        <f>-_xlfn.XLOOKUP(B28,AccountingRollForwardFx!$A$8:$A$15,AccountingRollForwardFx!$J$8:$J$15)</f>
        <v>160360.705835</v>
      </c>
      <c r="F28" s="168"/>
      <c r="G28" s="201" t="s">
        <v>2793</v>
      </c>
      <c r="H28" s="160"/>
      <c r="J28" s="202"/>
      <c r="K28" s="202"/>
    </row>
    <row r="29" spans="1:11" x14ac:dyDescent="0.3">
      <c r="A29" s="160"/>
      <c r="B29" s="77" t="s">
        <v>1460</v>
      </c>
      <c r="C29" s="175">
        <f>SUM(C27:C28)</f>
        <v>668326.58583500003</v>
      </c>
      <c r="D29" s="175">
        <f>SUM(D27:D28)</f>
        <v>668326.58583500003</v>
      </c>
      <c r="E29" s="173">
        <f>SUM(E27:E28)</f>
        <v>668326.58583500003</v>
      </c>
      <c r="F29" s="168"/>
      <c r="G29" s="73" t="s">
        <v>1684</v>
      </c>
      <c r="H29" s="160"/>
      <c r="J29" s="202"/>
      <c r="K29" s="202"/>
    </row>
    <row r="30" spans="1:11" x14ac:dyDescent="0.3">
      <c r="A30" s="160"/>
      <c r="B30" s="161" t="s">
        <v>1689</v>
      </c>
      <c r="C30" s="205" t="s">
        <v>2777</v>
      </c>
      <c r="D30" s="205"/>
      <c r="E30" s="205"/>
      <c r="F30" s="205"/>
      <c r="G30" s="163" t="s">
        <v>27</v>
      </c>
      <c r="H30" s="160"/>
      <c r="J30" s="202"/>
      <c r="K30" s="202"/>
    </row>
    <row r="31" spans="1:11" x14ac:dyDescent="0.3">
      <c r="A31" s="160"/>
      <c r="C31" s="167"/>
      <c r="D31" s="167"/>
      <c r="E31" s="167"/>
      <c r="F31" s="167"/>
      <c r="H31" s="160"/>
      <c r="J31" s="202"/>
      <c r="K31" s="202"/>
    </row>
    <row r="32" spans="1:11" x14ac:dyDescent="0.3">
      <c r="A32" s="160"/>
      <c r="C32" s="165" t="s">
        <v>1690</v>
      </c>
      <c r="D32" s="164" t="s">
        <v>1283</v>
      </c>
      <c r="E32" s="164" t="s">
        <v>1682</v>
      </c>
      <c r="F32" s="164"/>
      <c r="H32" s="160"/>
      <c r="J32" s="202"/>
      <c r="K32" s="202"/>
    </row>
    <row r="33" spans="1:11" x14ac:dyDescent="0.3">
      <c r="A33" s="160"/>
      <c r="B33" s="76" t="s">
        <v>58</v>
      </c>
      <c r="C33" s="210">
        <f>'Payment report (BI)'!AR12</f>
        <v>50000</v>
      </c>
      <c r="D33" s="210">
        <f>-'Accounting (Accounting Wb)'!X3</f>
        <v>50000</v>
      </c>
      <c r="E33" s="210">
        <f>-'Schedule acct Activity trend'!E16</f>
        <v>50000</v>
      </c>
      <c r="F33" s="211"/>
      <c r="G33" s="212"/>
      <c r="H33" s="160"/>
      <c r="J33" s="202"/>
      <c r="K33" s="202"/>
    </row>
    <row r="34" spans="1:11" x14ac:dyDescent="0.3">
      <c r="A34" s="160"/>
      <c r="C34" s="77"/>
      <c r="D34" s="77"/>
      <c r="E34" s="77"/>
      <c r="F34" s="77"/>
      <c r="H34" s="160"/>
      <c r="J34" s="202"/>
      <c r="K34" s="202"/>
    </row>
    <row r="35" spans="1:11" x14ac:dyDescent="0.3">
      <c r="A35" s="160"/>
      <c r="B35" s="177" t="s">
        <v>2779</v>
      </c>
      <c r="C35" s="204" t="s">
        <v>2778</v>
      </c>
      <c r="D35" s="204"/>
      <c r="E35" s="204"/>
      <c r="F35" s="204"/>
      <c r="G35" s="163" t="s">
        <v>27</v>
      </c>
      <c r="H35" s="160"/>
      <c r="J35" s="202"/>
      <c r="K35" s="202"/>
    </row>
    <row r="36" spans="1:11" x14ac:dyDescent="0.3">
      <c r="A36" s="160"/>
      <c r="C36" s="167"/>
      <c r="D36" s="167"/>
      <c r="E36" s="169"/>
      <c r="F36" s="169"/>
      <c r="H36" s="160"/>
      <c r="J36" s="202"/>
      <c r="K36" s="202"/>
    </row>
    <row r="37" spans="1:11" x14ac:dyDescent="0.3">
      <c r="A37" s="160"/>
      <c r="C37" s="164" t="s">
        <v>1283</v>
      </c>
      <c r="D37" s="165" t="s">
        <v>165</v>
      </c>
      <c r="E37" s="164" t="s">
        <v>1688</v>
      </c>
      <c r="F37" s="164"/>
      <c r="H37" s="160"/>
      <c r="J37" s="202"/>
      <c r="K37" s="202"/>
    </row>
    <row r="38" spans="1:11" x14ac:dyDescent="0.3">
      <c r="A38" s="160"/>
      <c r="B38" s="73" t="s">
        <v>42</v>
      </c>
      <c r="C38" s="176">
        <f>'Accounting (Accounting Wb)'!H62</f>
        <v>2539829.423163</v>
      </c>
      <c r="D38" s="175">
        <f>SUMIFS('Ledger Entries-schedule'!S:S,'Ledger Entries-schedule'!R:R,'Comparison-Sheet'!B38)-SUMIFS('Ledger Entries-schedule'!T:T,'Ledger Entries-schedule'!R:R,'Comparison-Sheet'!B38)</f>
        <v>2539829.423163</v>
      </c>
      <c r="E38" s="175">
        <f>'Schedule Acct Balance Trend'!I619</f>
        <v>2539829.423163</v>
      </c>
      <c r="F38" s="175"/>
      <c r="G38" s="73" t="s">
        <v>1692</v>
      </c>
      <c r="H38" s="160"/>
      <c r="J38" s="202"/>
      <c r="K38" s="202"/>
    </row>
    <row r="39" spans="1:11" x14ac:dyDescent="0.3">
      <c r="A39" s="160"/>
      <c r="B39" s="73" t="s">
        <v>52</v>
      </c>
      <c r="C39" s="176">
        <f>'Accounting (Accounting Wb)'!K62</f>
        <v>-2539829.42</v>
      </c>
      <c r="D39" s="175">
        <f>SUMIFS('Ledger Entries-schedule'!S:S,'Ledger Entries-schedule'!R:R,'Comparison-Sheet'!B39)-SUMIFS('Ledger Entries-schedule'!T:T,'Ledger Entries-schedule'!R:R,'Comparison-Sheet'!B39)</f>
        <v>-2539829.4200000018</v>
      </c>
      <c r="E39" s="175">
        <f>'Schedule Acct Balance Trend'!I617</f>
        <v>-2539829.42</v>
      </c>
      <c r="F39" s="175"/>
      <c r="H39" s="160"/>
      <c r="J39" s="202"/>
      <c r="K39" s="202"/>
    </row>
    <row r="40" spans="1:11" x14ac:dyDescent="0.3">
      <c r="A40" s="160"/>
      <c r="B40" s="73" t="s">
        <v>58</v>
      </c>
      <c r="C40" s="176">
        <f>'Accounting (Accounting Wb)'!X62</f>
        <v>-3000000</v>
      </c>
      <c r="D40" s="175">
        <f>SUMIFS('Ledger Entries-schedule'!S:S,'Ledger Entries-schedule'!R:R,'Comparison-Sheet'!B40)-SUMIFS('Ledger Entries-schedule'!T:T,'Ledger Entries-schedule'!R:R,'Comparison-Sheet'!B40)</f>
        <v>-3000000</v>
      </c>
      <c r="E40" s="175">
        <f>'Schedule Acct Balance Trend'!I616</f>
        <v>-3000000</v>
      </c>
      <c r="F40" s="175"/>
      <c r="H40" s="160"/>
      <c r="J40" s="202"/>
      <c r="K40" s="202"/>
    </row>
    <row r="41" spans="1:11" x14ac:dyDescent="0.3">
      <c r="A41" s="160"/>
      <c r="H41" s="160"/>
      <c r="J41" s="202"/>
      <c r="K41" s="202"/>
    </row>
    <row r="42" spans="1:11" x14ac:dyDescent="0.3">
      <c r="A42" s="160"/>
      <c r="B42" s="160"/>
      <c r="C42" s="160"/>
      <c r="D42" s="160"/>
      <c r="E42" s="160"/>
      <c r="F42" s="160"/>
      <c r="G42" s="160"/>
      <c r="H42" s="160"/>
    </row>
    <row r="44" spans="1:11" x14ac:dyDescent="0.3">
      <c r="B44" s="74" t="s">
        <v>2771</v>
      </c>
    </row>
    <row r="45" spans="1:11" x14ac:dyDescent="0.3">
      <c r="B45" s="162" t="s">
        <v>2772</v>
      </c>
    </row>
    <row r="46" spans="1:11" x14ac:dyDescent="0.3">
      <c r="B46" s="162" t="s">
        <v>2794</v>
      </c>
    </row>
  </sheetData>
  <mergeCells count="6">
    <mergeCell ref="C35:F35"/>
    <mergeCell ref="B2:G3"/>
    <mergeCell ref="C4:F4"/>
    <mergeCell ref="C15:F15"/>
    <mergeCell ref="C24:F24"/>
    <mergeCell ref="C30:F30"/>
  </mergeCells>
  <hyperlinks>
    <hyperlink ref="C6" location="'Maturity Analysis Detail'!U4" display="Maturity Analysis" xr:uid="{6FD0834B-8725-4ADC-BD02-8DB2ACCA52DA}"/>
    <hyperlink ref="D6" location="'Payment Report (BI)'!AS3" display="Payment Schedule" xr:uid="{5DED9BAB-174E-45BA-9DC7-16958184D003}"/>
    <hyperlink ref="C9" location="'Schedule acct Activity trend'!A1" display="Sch Acct Activity Trend" xr:uid="{4B1C6B19-32DB-4CDF-98B8-2D1B109EF3F6}"/>
    <hyperlink ref="C12" location="'Accounting (AW)'!A1" display="Accounting Workbook" xr:uid="{17E6690E-6CD2-497A-8D98-066FD158752A}"/>
    <hyperlink ref="C17" location="'TB for single month'!A1" display="TB for single month" xr:uid="{0811C6CF-DDB7-46D3-A530-E03A3A735628}"/>
    <hyperlink ref="E17" location="'Schedule Acct Balance Trend'!A1" display="Sch Acct Balance Trend" xr:uid="{C387A411-974E-4554-92F4-D33D545DF03D}"/>
    <hyperlink ref="D17" location="'Accounting (Accounting Wb)'!A1" display="Accounting Workbook" xr:uid="{6A310C1A-41E8-4F5D-B1D6-CEB7FB0B3421}"/>
    <hyperlink ref="E6" location="'Ledger Entries-Schedule'!A1" display="Ledger Export" xr:uid="{68F0672E-9579-4E0F-90D3-ACD726277E2E}"/>
    <hyperlink ref="E9" location="'Ledger Entries-Schedule'!A1" display="Ledger Export" xr:uid="{8955ED7C-C8ED-4C7A-BFC2-59EDC55C85B1}"/>
    <hyperlink ref="F6" location="'Quantitative Detail Yr 1'!L7" display="Quantitative Analysis" xr:uid="{743E3A93-7862-48CF-AF1A-65417980DF11}"/>
    <hyperlink ref="D12" location="'Schedule acct Activity trend'!A1" display="Sch Acct Activity Trend" xr:uid="{CFBDBCDC-0C5F-41FD-8C56-53439D547AC4}"/>
    <hyperlink ref="E32" location="'Schedule acct Activity trend'!A1" display="Sch Acct Activity Trend" xr:uid="{D08EC860-7C60-4FB1-9EC5-E51C826B6714}"/>
    <hyperlink ref="C26" location="'Schedule Acct Balance Trend'!A1" display="Sch Acct Balance Trend" xr:uid="{191FD89B-05E3-4BCD-A22E-6BF89F1B4C7F}"/>
    <hyperlink ref="E37" location="'Schedule Acct Balance Trend'!A1" display="Sch Acct Balance Trend" xr:uid="{048AB8EE-3D79-464F-8276-CE2029E65568}"/>
    <hyperlink ref="D26" location="'Accounting (Accounting Wb)'!A1" display="Accounting Workbook" xr:uid="{12B1B5B9-3457-4B86-9BC6-5438D0DAB2B1}"/>
    <hyperlink ref="D32" location="'Accounting (Accounting Wb)'!A1" display="Accounting Workbook" xr:uid="{2CD57C9D-125A-4CAD-BFF5-4EB82892D3F1}"/>
    <hyperlink ref="C37" location="'Accounting (Accounting Wb)'!A1" display="Accounting Workbook" xr:uid="{D8970528-4ACD-4B11-94FD-2817A1B5BD74}"/>
    <hyperlink ref="D37" location="'Ledger Entries-Schedule'!A1" display="Ledger Export" xr:uid="{0B9944A2-F3FE-4E65-BBD7-7C5AF3142F2C}"/>
    <hyperlink ref="D9" location="'Quantitative Detail Yr 1'!L7" display="Quantitative Analysis" xr:uid="{189D2BC2-8FCD-4662-B217-57AAFDF2D338}"/>
    <hyperlink ref="F9" location="AccountingRollForwardFx!A1" display="Accounting Rollforward FX" xr:uid="{4A6A07D8-31F4-4DAC-8220-F252979C38BC}"/>
    <hyperlink ref="F12" location="AccountingRollForwardFx!A1" display="Accounting Rollforward FX" xr:uid="{C78FAC64-1965-47C1-B43F-1918FCD5A198}"/>
    <hyperlink ref="F17" location="AccountingRollForwardFx!A1" display="Accounting Rollforward FX" xr:uid="{01EF37E3-ED9A-4392-B291-B07B82987D35}"/>
    <hyperlink ref="E26" location="AccountingRollForwardFx!A1" display="Accounting Rollforward FX" xr:uid="{6510D46B-A9E6-4E94-BA31-3A0F3B63B73F}"/>
    <hyperlink ref="C32" location="'Payment Report (BI)'!A1" display="Payment Report (BI)" xr:uid="{8A3B70D3-A6BD-45FF-9D4A-D6BBDF59265E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456E-1962-4498-9ECD-B7FE95E0B7CC}">
  <sheetPr>
    <tabColor rgb="FF92D050"/>
  </sheetPr>
  <dimension ref="A1:BB8"/>
  <sheetViews>
    <sheetView workbookViewId="0">
      <pane ySplit="1" topLeftCell="A2" activePane="bottomLeft" state="frozen"/>
      <selection activeCell="D15" sqref="D15"/>
      <selection pane="bottomLeft" activeCell="B10" sqref="B10"/>
    </sheetView>
  </sheetViews>
  <sheetFormatPr defaultRowHeight="14.4" x14ac:dyDescent="0.3"/>
  <cols>
    <col min="1" max="1" width="27" style="7" bestFit="1" customWidth="1"/>
    <col min="2" max="2" width="32.88671875" style="7" bestFit="1" customWidth="1"/>
    <col min="3" max="3" width="9.44140625" style="7" bestFit="1" customWidth="1"/>
    <col min="4" max="4" width="9.5546875" style="7" bestFit="1" customWidth="1"/>
    <col min="5" max="5" width="17.21875" style="7" bestFit="1" customWidth="1"/>
    <col min="6" max="6" width="6.21875" style="7" bestFit="1" customWidth="1"/>
    <col min="7" max="7" width="15.109375" style="7" bestFit="1" customWidth="1"/>
    <col min="8" max="8" width="10.5546875" style="7" bestFit="1" customWidth="1"/>
    <col min="9" max="9" width="12.88671875" style="7" bestFit="1" customWidth="1"/>
    <col min="10" max="10" width="14.5546875" style="7" bestFit="1" customWidth="1"/>
    <col min="11" max="11" width="3.77734375" style="7" bestFit="1" customWidth="1"/>
    <col min="12" max="12" width="13.88671875" style="7" bestFit="1" customWidth="1"/>
    <col min="13" max="13" width="10.6640625" style="7" bestFit="1" customWidth="1"/>
    <col min="14" max="14" width="15.77734375" style="7" bestFit="1" customWidth="1"/>
    <col min="15" max="15" width="11.44140625" style="7" bestFit="1" customWidth="1"/>
    <col min="16" max="16" width="12.44140625" style="7" bestFit="1" customWidth="1"/>
    <col min="17" max="17" width="13.109375" style="7" bestFit="1" customWidth="1"/>
    <col min="18" max="18" width="11.44140625" style="7" bestFit="1" customWidth="1"/>
    <col min="19" max="19" width="12" style="7" bestFit="1" customWidth="1"/>
    <col min="20" max="20" width="10.33203125" style="7" bestFit="1" customWidth="1"/>
    <col min="21" max="21" width="13.109375" style="7" bestFit="1" customWidth="1"/>
    <col min="22" max="22" width="9.33203125" style="7" bestFit="1" customWidth="1"/>
    <col min="23" max="23" width="12.21875" style="7" bestFit="1" customWidth="1"/>
    <col min="24" max="24" width="12.88671875" style="7" bestFit="1" customWidth="1"/>
    <col min="25" max="25" width="11.44140625" style="7" bestFit="1" customWidth="1"/>
    <col min="26" max="26" width="12.44140625" style="7" bestFit="1" customWidth="1"/>
    <col min="27" max="27" width="13.109375" style="7" bestFit="1" customWidth="1"/>
    <col min="28" max="28" width="11.44140625" style="7" bestFit="1" customWidth="1"/>
    <col min="29" max="29" width="12" style="7" bestFit="1" customWidth="1"/>
    <col min="30" max="30" width="10.33203125" style="7" bestFit="1" customWidth="1"/>
    <col min="31" max="31" width="13.109375" style="7" bestFit="1" customWidth="1"/>
    <col min="32" max="32" width="9.33203125" style="7" bestFit="1" customWidth="1"/>
    <col min="33" max="33" width="12.21875" style="7" bestFit="1" customWidth="1"/>
    <col min="34" max="34" width="12.88671875" style="7" bestFit="1" customWidth="1"/>
    <col min="35" max="35" width="11.44140625" style="7" bestFit="1" customWidth="1"/>
    <col min="36" max="36" width="12.44140625" style="7" bestFit="1" customWidth="1"/>
    <col min="37" max="37" width="13.109375" style="7" bestFit="1" customWidth="1"/>
    <col min="38" max="38" width="11.44140625" style="7" bestFit="1" customWidth="1"/>
    <col min="39" max="39" width="12" style="7" bestFit="1" customWidth="1"/>
    <col min="40" max="40" width="10.33203125" style="7" bestFit="1" customWidth="1"/>
    <col min="41" max="41" width="13.109375" style="7" bestFit="1" customWidth="1"/>
    <col min="42" max="42" width="9.33203125" style="7" bestFit="1" customWidth="1"/>
    <col min="43" max="43" width="12.21875" style="7" bestFit="1" customWidth="1"/>
    <col min="44" max="44" width="12.88671875" style="7" bestFit="1" customWidth="1"/>
    <col min="45" max="45" width="11.44140625" style="7" bestFit="1" customWidth="1"/>
    <col min="46" max="46" width="12.44140625" style="7" bestFit="1" customWidth="1"/>
    <col min="47" max="47" width="13.109375" style="7" bestFit="1" customWidth="1"/>
    <col min="48" max="48" width="11.44140625" style="7" bestFit="1" customWidth="1"/>
    <col min="49" max="49" width="12" style="7" bestFit="1" customWidth="1"/>
    <col min="50" max="50" width="10.33203125" style="7" bestFit="1" customWidth="1"/>
    <col min="51" max="51" width="13.109375" style="7" bestFit="1" customWidth="1"/>
    <col min="52" max="52" width="9.33203125" style="7" bestFit="1" customWidth="1"/>
    <col min="53" max="53" width="12.21875" style="7" bestFit="1" customWidth="1"/>
    <col min="54" max="54" width="12.88671875" style="7" bestFit="1" customWidth="1"/>
    <col min="55" max="16384" width="8.88671875" style="7"/>
  </cols>
  <sheetData>
    <row r="1" spans="1:54" ht="13.95" customHeight="1" x14ac:dyDescent="0.35">
      <c r="A1" s="62" t="str">
        <f>"Maturity Analysis Detail"</f>
        <v>Maturity Analysis Detail</v>
      </c>
    </row>
    <row r="2" spans="1:54" ht="86.4" x14ac:dyDescent="0.3">
      <c r="A2" s="63" t="s">
        <v>1479</v>
      </c>
      <c r="B2" s="63" t="s">
        <v>1480</v>
      </c>
      <c r="C2" s="63" t="s">
        <v>191</v>
      </c>
      <c r="D2" s="63" t="s">
        <v>1481</v>
      </c>
      <c r="E2" s="63" t="s">
        <v>1312</v>
      </c>
      <c r="F2" s="63" t="s">
        <v>1421</v>
      </c>
      <c r="G2" s="63" t="s">
        <v>1482</v>
      </c>
      <c r="H2" s="63" t="s">
        <v>1483</v>
      </c>
      <c r="I2" s="63" t="s">
        <v>1484</v>
      </c>
      <c r="J2" s="63" t="s">
        <v>1474</v>
      </c>
      <c r="K2" s="63" t="s">
        <v>1485</v>
      </c>
      <c r="L2" s="63" t="s">
        <v>1486</v>
      </c>
      <c r="M2" s="63" t="s">
        <v>1315</v>
      </c>
      <c r="N2" s="63" t="s">
        <v>1313</v>
      </c>
      <c r="O2" s="63" t="s">
        <v>1487</v>
      </c>
      <c r="P2" s="63" t="s">
        <v>1488</v>
      </c>
      <c r="Q2" s="63" t="s">
        <v>1489</v>
      </c>
      <c r="R2" s="63" t="s">
        <v>1490</v>
      </c>
      <c r="S2" s="63" t="s">
        <v>1491</v>
      </c>
      <c r="T2" s="63" t="s">
        <v>1492</v>
      </c>
      <c r="U2" s="63" t="s">
        <v>1493</v>
      </c>
      <c r="V2" s="63" t="s">
        <v>1494</v>
      </c>
      <c r="W2" s="63" t="s">
        <v>1495</v>
      </c>
      <c r="X2" s="63" t="s">
        <v>1496</v>
      </c>
      <c r="Y2" s="63" t="s">
        <v>1497</v>
      </c>
      <c r="Z2" s="63" t="s">
        <v>1498</v>
      </c>
      <c r="AA2" s="63" t="s">
        <v>1499</v>
      </c>
      <c r="AB2" s="63" t="s">
        <v>1500</v>
      </c>
      <c r="AC2" s="63" t="s">
        <v>1501</v>
      </c>
      <c r="AD2" s="63" t="s">
        <v>1502</v>
      </c>
      <c r="AE2" s="63" t="s">
        <v>1503</v>
      </c>
      <c r="AF2" s="63" t="s">
        <v>1504</v>
      </c>
      <c r="AG2" s="63" t="s">
        <v>1505</v>
      </c>
      <c r="AH2" s="63" t="s">
        <v>1506</v>
      </c>
      <c r="AI2" s="63" t="s">
        <v>1507</v>
      </c>
      <c r="AJ2" s="63" t="s">
        <v>1508</v>
      </c>
      <c r="AK2" s="63" t="s">
        <v>1509</v>
      </c>
      <c r="AL2" s="63" t="s">
        <v>1510</v>
      </c>
      <c r="AM2" s="63" t="s">
        <v>1511</v>
      </c>
      <c r="AN2" s="63" t="s">
        <v>1512</v>
      </c>
      <c r="AO2" s="63" t="s">
        <v>1513</v>
      </c>
      <c r="AP2" s="63" t="s">
        <v>1514</v>
      </c>
      <c r="AQ2" s="63" t="s">
        <v>1515</v>
      </c>
      <c r="AR2" s="63" t="s">
        <v>1516</v>
      </c>
      <c r="AS2" s="63" t="s">
        <v>1517</v>
      </c>
      <c r="AT2" s="63" t="s">
        <v>1518</v>
      </c>
      <c r="AU2" s="63" t="s">
        <v>1519</v>
      </c>
      <c r="AV2" s="63" t="s">
        <v>1520</v>
      </c>
      <c r="AW2" s="63" t="s">
        <v>1521</v>
      </c>
      <c r="AX2" s="63" t="s">
        <v>1522</v>
      </c>
      <c r="AY2" s="63" t="s">
        <v>1523</v>
      </c>
      <c r="AZ2" s="63" t="s">
        <v>1524</v>
      </c>
      <c r="BA2" s="63" t="s">
        <v>1525</v>
      </c>
      <c r="BB2" s="63" t="s">
        <v>1526</v>
      </c>
    </row>
    <row r="4" spans="1:54" x14ac:dyDescent="0.3">
      <c r="A4" s="7" t="s">
        <v>6</v>
      </c>
      <c r="B4" s="7" t="s">
        <v>1320</v>
      </c>
      <c r="C4" s="7" t="s">
        <v>1323</v>
      </c>
      <c r="D4" s="7" t="s">
        <v>1324</v>
      </c>
      <c r="E4" s="7" t="s">
        <v>1239</v>
      </c>
      <c r="F4" s="7" t="s">
        <v>1322</v>
      </c>
      <c r="G4" s="4">
        <v>44562</v>
      </c>
      <c r="H4" s="4">
        <v>46387</v>
      </c>
      <c r="I4" s="4">
        <v>46387</v>
      </c>
      <c r="J4" s="8">
        <v>2088010.0702549999</v>
      </c>
      <c r="K4" s="7">
        <v>7</v>
      </c>
      <c r="L4" s="7" t="s">
        <v>1226</v>
      </c>
      <c r="M4" s="7" t="s">
        <v>1218</v>
      </c>
      <c r="N4" s="7" t="s">
        <v>1194</v>
      </c>
      <c r="O4" s="8">
        <v>131313.152325</v>
      </c>
      <c r="P4" s="8">
        <v>468686.84767500003</v>
      </c>
      <c r="W4" s="8">
        <v>0</v>
      </c>
      <c r="X4" s="8">
        <v>600000</v>
      </c>
      <c r="Y4" s="8">
        <v>97431.742211999997</v>
      </c>
      <c r="Z4" s="8">
        <v>502568.25778799999</v>
      </c>
      <c r="AG4" s="8">
        <v>0</v>
      </c>
      <c r="AH4" s="8">
        <v>600000</v>
      </c>
      <c r="AI4" s="8">
        <v>61101.042217000002</v>
      </c>
      <c r="AJ4" s="8">
        <v>538898.95778299996</v>
      </c>
      <c r="AQ4" s="8">
        <v>0</v>
      </c>
      <c r="AR4" s="8">
        <v>600000</v>
      </c>
      <c r="AS4" s="8">
        <v>22143.992988999998</v>
      </c>
      <c r="AT4" s="8">
        <v>577856.00701099995</v>
      </c>
      <c r="BA4" s="8">
        <v>0</v>
      </c>
      <c r="BB4" s="8">
        <v>600000</v>
      </c>
    </row>
    <row r="5" spans="1:54" x14ac:dyDescent="0.3">
      <c r="J5" s="8">
        <f>SUBTOTAL(9, J3:J4)</f>
        <v>2088010.0702549999</v>
      </c>
      <c r="O5" s="8">
        <f t="shared" ref="O5:BB5" si="0">SUBTOTAL(9, O3:O4)</f>
        <v>131313.152325</v>
      </c>
      <c r="P5" s="8">
        <f t="shared" si="0"/>
        <v>468686.84767500003</v>
      </c>
      <c r="Q5" s="8">
        <f t="shared" si="0"/>
        <v>0</v>
      </c>
      <c r="R5" s="8">
        <f t="shared" si="0"/>
        <v>0</v>
      </c>
      <c r="S5" s="8">
        <f t="shared" si="0"/>
        <v>0</v>
      </c>
      <c r="T5" s="8">
        <f t="shared" si="0"/>
        <v>0</v>
      </c>
      <c r="U5" s="8">
        <f t="shared" si="0"/>
        <v>0</v>
      </c>
      <c r="V5" s="8">
        <f t="shared" si="0"/>
        <v>0</v>
      </c>
      <c r="W5" s="8">
        <f t="shared" si="0"/>
        <v>0</v>
      </c>
      <c r="X5" s="8">
        <f t="shared" si="0"/>
        <v>600000</v>
      </c>
      <c r="Y5" s="8">
        <f t="shared" si="0"/>
        <v>97431.742211999997</v>
      </c>
      <c r="Z5" s="8">
        <f t="shared" si="0"/>
        <v>502568.25778799999</v>
      </c>
      <c r="AA5" s="8">
        <f t="shared" si="0"/>
        <v>0</v>
      </c>
      <c r="AB5" s="8">
        <f t="shared" si="0"/>
        <v>0</v>
      </c>
      <c r="AC5" s="8">
        <f t="shared" si="0"/>
        <v>0</v>
      </c>
      <c r="AD5" s="8">
        <f t="shared" si="0"/>
        <v>0</v>
      </c>
      <c r="AE5" s="8">
        <f t="shared" si="0"/>
        <v>0</v>
      </c>
      <c r="AF5" s="8">
        <f t="shared" si="0"/>
        <v>0</v>
      </c>
      <c r="AG5" s="8">
        <f t="shared" si="0"/>
        <v>0</v>
      </c>
      <c r="AH5" s="8">
        <f t="shared" si="0"/>
        <v>600000</v>
      </c>
      <c r="AI5" s="8">
        <f t="shared" si="0"/>
        <v>61101.042217000002</v>
      </c>
      <c r="AJ5" s="8">
        <f t="shared" si="0"/>
        <v>538898.95778299996</v>
      </c>
      <c r="AK5" s="8">
        <f t="shared" si="0"/>
        <v>0</v>
      </c>
      <c r="AL5" s="8">
        <f t="shared" si="0"/>
        <v>0</v>
      </c>
      <c r="AM5" s="8">
        <f t="shared" si="0"/>
        <v>0</v>
      </c>
      <c r="AN5" s="8">
        <f t="shared" si="0"/>
        <v>0</v>
      </c>
      <c r="AO5" s="8">
        <f t="shared" si="0"/>
        <v>0</v>
      </c>
      <c r="AP5" s="8">
        <f t="shared" si="0"/>
        <v>0</v>
      </c>
      <c r="AQ5" s="8">
        <f t="shared" si="0"/>
        <v>0</v>
      </c>
      <c r="AR5" s="8">
        <f t="shared" si="0"/>
        <v>600000</v>
      </c>
      <c r="AS5" s="8">
        <f t="shared" si="0"/>
        <v>22143.992988999998</v>
      </c>
      <c r="AT5" s="8">
        <f t="shared" si="0"/>
        <v>577856.00701099995</v>
      </c>
      <c r="AU5" s="8">
        <f t="shared" si="0"/>
        <v>0</v>
      </c>
      <c r="AV5" s="8">
        <f t="shared" si="0"/>
        <v>0</v>
      </c>
      <c r="AW5" s="8">
        <f t="shared" si="0"/>
        <v>0</v>
      </c>
      <c r="AX5" s="8">
        <f t="shared" si="0"/>
        <v>0</v>
      </c>
      <c r="AY5" s="8">
        <f t="shared" si="0"/>
        <v>0</v>
      </c>
      <c r="AZ5" s="8">
        <f t="shared" si="0"/>
        <v>0</v>
      </c>
      <c r="BA5" s="8">
        <f t="shared" si="0"/>
        <v>0</v>
      </c>
      <c r="BB5" s="8">
        <f t="shared" si="0"/>
        <v>600000</v>
      </c>
    </row>
    <row r="7" spans="1:54" s="120" customFormat="1" x14ac:dyDescent="0.3">
      <c r="A7" s="119" t="s">
        <v>1679</v>
      </c>
      <c r="J7" s="120">
        <f>-'Schedule Acct Balance Trend'!Q14-'Schedule Acct Balance Trend'!Q15</f>
        <v>2088010.0702550001</v>
      </c>
      <c r="O7" s="121">
        <f>SUM('Schedule acct Activity trend'!S15:AD15)+SUM('Schedule acct Activity trend'!S19:AD19)</f>
        <v>131313.152325</v>
      </c>
      <c r="P7" s="120">
        <f>-SUM('Schedule acct Activity trend'!S16:AD16)-O7</f>
        <v>468686.84767499997</v>
      </c>
      <c r="X7" s="120">
        <f>-SUM('Schedule acct Activity trend'!T16:AE16)</f>
        <v>600000</v>
      </c>
      <c r="Y7" s="120">
        <f>SUM('Schedule acct Activity trend'!AE15:AP15)+SUM('Schedule acct Activity trend'!AE19:AP19)</f>
        <v>97431.742211999997</v>
      </c>
      <c r="Z7" s="120">
        <f>-SUM('Schedule acct Activity trend'!AE16:AP16)-'Maturity Analysis Detail'!Y7</f>
        <v>502568.25778799999</v>
      </c>
      <c r="AH7" s="120">
        <f>-SUM('Schedule acct Activity trend'!AE16:AP16)</f>
        <v>600000</v>
      </c>
      <c r="AI7" s="120">
        <f>SUM('Schedule acct Activity trend'!AQ15:BB15)+SUM('Schedule acct Activity trend'!AQ19:BB19)</f>
        <v>61101.042216999995</v>
      </c>
      <c r="AJ7" s="120">
        <f>-SUM('Schedule acct Activity trend'!AQ16:BB16)-'Maturity Analysis Detail'!AI7</f>
        <v>538898.95778299996</v>
      </c>
      <c r="AR7" s="120">
        <f>-SUM('Schedule acct Activity trend'!AQ16:BB16)</f>
        <v>600000</v>
      </c>
      <c r="AS7" s="120">
        <f>SUM('Schedule acct Activity trend'!BC15:BN15)+SUM('Schedule acct Activity trend'!BC19:BN19)</f>
        <v>22143.992988999998</v>
      </c>
      <c r="AT7" s="120">
        <f>-SUM('Schedule acct Activity trend'!BC16:BN16)-'Maturity Analysis Detail'!AS7</f>
        <v>577856.00701099995</v>
      </c>
      <c r="BB7" s="120">
        <f>-SUM('Schedule acct Activity trend'!BC16:BN16)</f>
        <v>600000</v>
      </c>
    </row>
    <row r="8" spans="1:54" s="120" customFormat="1" x14ac:dyDescent="0.3">
      <c r="A8" s="119" t="s">
        <v>1594</v>
      </c>
      <c r="J8" s="120">
        <f>J5-J7</f>
        <v>0</v>
      </c>
      <c r="O8" s="120">
        <f>O5-O7</f>
        <v>0</v>
      </c>
      <c r="P8" s="120">
        <f>P5-P7</f>
        <v>0</v>
      </c>
      <c r="X8" s="120">
        <f>X5-X7</f>
        <v>0</v>
      </c>
      <c r="Y8" s="120">
        <f t="shared" ref="Y8:Z8" si="1">Y5-Y7</f>
        <v>0</v>
      </c>
      <c r="Z8" s="120">
        <f t="shared" si="1"/>
        <v>0</v>
      </c>
      <c r="AH8" s="120">
        <f>AH5-AH7</f>
        <v>0</v>
      </c>
      <c r="AI8" s="120">
        <f t="shared" ref="AI8:AJ8" si="2">AI5-AI7</f>
        <v>0</v>
      </c>
      <c r="AJ8" s="120">
        <f t="shared" si="2"/>
        <v>0</v>
      </c>
      <c r="AR8" s="120">
        <f>AR5-AR7</f>
        <v>0</v>
      </c>
      <c r="AS8" s="120">
        <f t="shared" ref="AS8:AT8" si="3">AS5-AS7</f>
        <v>0</v>
      </c>
      <c r="AT8" s="120">
        <f t="shared" si="3"/>
        <v>0</v>
      </c>
      <c r="BB8" s="120">
        <f t="shared" ref="BB8" si="4">BB5-BB7</f>
        <v>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73D5-706A-4394-B8C4-DBF58524211C}">
  <sheetPr>
    <tabColor rgb="FF92D050"/>
  </sheetPr>
  <dimension ref="A1:N4"/>
  <sheetViews>
    <sheetView workbookViewId="0">
      <pane ySplit="1" topLeftCell="A2" activePane="bottomLeft" state="frozen"/>
      <selection activeCell="D15" sqref="D15"/>
      <selection pane="bottomLeft" activeCell="A2" sqref="A2"/>
    </sheetView>
  </sheetViews>
  <sheetFormatPr defaultRowHeight="14.4" x14ac:dyDescent="0.3"/>
  <cols>
    <col min="1" max="1" width="13" style="7" customWidth="1"/>
    <col min="2" max="4" width="10" style="7" customWidth="1"/>
    <col min="5" max="5" width="19" style="7" customWidth="1"/>
    <col min="6" max="6" width="17" style="7" customWidth="1"/>
    <col min="7" max="7" width="11" style="7" customWidth="1"/>
    <col min="8" max="8" width="14" style="7" customWidth="1"/>
    <col min="9" max="9" width="12" style="7" customWidth="1"/>
    <col min="10" max="10" width="13" style="7" customWidth="1"/>
    <col min="11" max="16384" width="8.88671875" style="7"/>
  </cols>
  <sheetData>
    <row r="1" spans="1:14" ht="13.95" customHeight="1" x14ac:dyDescent="0.35">
      <c r="A1" s="62" t="str">
        <f>"Maturity Analysis Materiality"</f>
        <v>Maturity Analysis Materiality</v>
      </c>
    </row>
    <row r="2" spans="1:14" ht="57.6" x14ac:dyDescent="0.3">
      <c r="A2" s="63" t="s">
        <v>1479</v>
      </c>
      <c r="B2" s="63" t="s">
        <v>1480</v>
      </c>
      <c r="C2" s="63" t="s">
        <v>191</v>
      </c>
      <c r="D2" s="63" t="s">
        <v>1481</v>
      </c>
      <c r="E2" s="63" t="s">
        <v>1312</v>
      </c>
      <c r="F2" s="63" t="s">
        <v>1482</v>
      </c>
      <c r="G2" s="63" t="s">
        <v>1483</v>
      </c>
      <c r="H2" s="63" t="s">
        <v>1484</v>
      </c>
      <c r="I2" s="63" t="s">
        <v>1527</v>
      </c>
      <c r="J2" s="63" t="s">
        <v>1315</v>
      </c>
      <c r="K2" s="63" t="s">
        <v>1528</v>
      </c>
      <c r="L2" s="63" t="s">
        <v>1529</v>
      </c>
      <c r="M2" s="63" t="s">
        <v>1530</v>
      </c>
      <c r="N2" s="63" t="s">
        <v>1531</v>
      </c>
    </row>
    <row r="4" spans="1:14" x14ac:dyDescent="0.3">
      <c r="K4" s="7">
        <f>SUBTOTAL(9, K3:K3)</f>
        <v>0</v>
      </c>
      <c r="L4" s="7">
        <f>SUBTOTAL(9, L3:L3)</f>
        <v>0</v>
      </c>
      <c r="M4" s="7">
        <f>SUBTOTAL(9, M3:M3)</f>
        <v>0</v>
      </c>
      <c r="N4" s="7">
        <f>SUBTOTAL(9, N3:N3)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8BCA-4961-4768-B1B4-C5696937A992}">
  <sheetPr>
    <tabColor rgb="FF92D050"/>
  </sheetPr>
  <dimension ref="A1:D34"/>
  <sheetViews>
    <sheetView workbookViewId="0">
      <selection activeCell="E10" sqref="E10"/>
    </sheetView>
  </sheetViews>
  <sheetFormatPr defaultRowHeight="14.4" x14ac:dyDescent="0.3"/>
  <cols>
    <col min="1" max="1" width="30" style="7" customWidth="1"/>
    <col min="2" max="2" width="31" style="7" customWidth="1"/>
    <col min="3" max="3" width="10.21875" style="7" customWidth="1"/>
    <col min="4" max="4" width="16.109375" style="7" bestFit="1" customWidth="1"/>
    <col min="5" max="16384" width="8.88671875" style="7"/>
  </cols>
  <sheetData>
    <row r="1" spans="1:4" ht="23.4" customHeight="1" x14ac:dyDescent="0.35">
      <c r="A1" s="62" t="s">
        <v>1532</v>
      </c>
      <c r="D1" s="179" t="s">
        <v>2781</v>
      </c>
    </row>
    <row r="2" spans="1:4" ht="14.4" customHeight="1" x14ac:dyDescent="0.3">
      <c r="A2" s="64" t="s">
        <v>166</v>
      </c>
      <c r="B2" s="7" t="s">
        <v>167</v>
      </c>
    </row>
    <row r="3" spans="1:4" ht="14.4" customHeight="1" x14ac:dyDescent="0.3">
      <c r="A3" s="64" t="s">
        <v>168</v>
      </c>
      <c r="B3" s="15" t="s">
        <v>1533</v>
      </c>
    </row>
    <row r="5" spans="1:4" ht="14.4" customHeight="1" x14ac:dyDescent="0.3">
      <c r="A5" s="57" t="s">
        <v>169</v>
      </c>
      <c r="B5" s="57" t="s">
        <v>170</v>
      </c>
      <c r="C5" s="57" t="s">
        <v>171</v>
      </c>
    </row>
    <row r="7" spans="1:4" x14ac:dyDescent="0.3">
      <c r="A7" s="7" t="s">
        <v>172</v>
      </c>
      <c r="B7" s="7" t="s">
        <v>63</v>
      </c>
    </row>
    <row r="8" spans="1:4" x14ac:dyDescent="0.3">
      <c r="A8" s="7" t="s">
        <v>173</v>
      </c>
      <c r="B8" s="7" t="s">
        <v>1534</v>
      </c>
    </row>
    <row r="9" spans="1:4" x14ac:dyDescent="0.3">
      <c r="A9" s="7" t="s">
        <v>175</v>
      </c>
      <c r="B9" s="7" t="s">
        <v>176</v>
      </c>
      <c r="C9" s="7" t="s">
        <v>177</v>
      </c>
    </row>
    <row r="10" spans="1:4" x14ac:dyDescent="0.3">
      <c r="A10" s="7" t="s">
        <v>186</v>
      </c>
    </row>
    <row r="11" spans="1:4" x14ac:dyDescent="0.3">
      <c r="A11" s="7" t="s">
        <v>191</v>
      </c>
    </row>
    <row r="12" spans="1:4" x14ac:dyDescent="0.3">
      <c r="A12" s="7" t="s">
        <v>1339</v>
      </c>
      <c r="B12" s="7" t="s">
        <v>6</v>
      </c>
    </row>
    <row r="13" spans="1:4" x14ac:dyDescent="0.3">
      <c r="A13" s="7" t="s">
        <v>1535</v>
      </c>
      <c r="B13" s="7" t="s">
        <v>208</v>
      </c>
    </row>
    <row r="14" spans="1:4" x14ac:dyDescent="0.3">
      <c r="A14" s="7" t="s">
        <v>1536</v>
      </c>
      <c r="B14" s="7" t="s">
        <v>1537</v>
      </c>
    </row>
    <row r="15" spans="1:4" x14ac:dyDescent="0.3">
      <c r="A15" s="7" t="s">
        <v>195</v>
      </c>
    </row>
    <row r="16" spans="1:4" x14ac:dyDescent="0.3">
      <c r="A16" s="7" t="s">
        <v>183</v>
      </c>
      <c r="B16" s="7" t="s">
        <v>184</v>
      </c>
    </row>
    <row r="17" spans="1:1" x14ac:dyDescent="0.3">
      <c r="A17" s="7" t="s">
        <v>1334</v>
      </c>
    </row>
    <row r="18" spans="1:1" x14ac:dyDescent="0.3">
      <c r="A18" s="7" t="s">
        <v>190</v>
      </c>
    </row>
    <row r="19" spans="1:1" x14ac:dyDescent="0.3">
      <c r="A19" s="7" t="s">
        <v>1422</v>
      </c>
    </row>
    <row r="20" spans="1:1" x14ac:dyDescent="0.3">
      <c r="A20" s="7" t="s">
        <v>1313</v>
      </c>
    </row>
    <row r="21" spans="1:1" x14ac:dyDescent="0.3">
      <c r="A21" s="7" t="s">
        <v>189</v>
      </c>
    </row>
    <row r="22" spans="1:1" x14ac:dyDescent="0.3">
      <c r="A22" s="7" t="s">
        <v>188</v>
      </c>
    </row>
    <row r="23" spans="1:1" x14ac:dyDescent="0.3">
      <c r="A23" s="7" t="s">
        <v>196</v>
      </c>
    </row>
    <row r="24" spans="1:1" x14ac:dyDescent="0.3">
      <c r="A24" s="7" t="s">
        <v>197</v>
      </c>
    </row>
    <row r="25" spans="1:1" x14ac:dyDescent="0.3">
      <c r="A25" s="7" t="s">
        <v>198</v>
      </c>
    </row>
    <row r="26" spans="1:1" x14ac:dyDescent="0.3">
      <c r="A26" s="7" t="s">
        <v>199</v>
      </c>
    </row>
    <row r="27" spans="1:1" x14ac:dyDescent="0.3">
      <c r="A27" s="7" t="s">
        <v>200</v>
      </c>
    </row>
    <row r="28" spans="1:1" x14ac:dyDescent="0.3">
      <c r="A28" s="7" t="s">
        <v>201</v>
      </c>
    </row>
    <row r="29" spans="1:1" x14ac:dyDescent="0.3">
      <c r="A29" s="7" t="s">
        <v>202</v>
      </c>
    </row>
    <row r="30" spans="1:1" x14ac:dyDescent="0.3">
      <c r="A30" s="7" t="s">
        <v>203</v>
      </c>
    </row>
    <row r="31" spans="1:1" x14ac:dyDescent="0.3">
      <c r="A31" s="7" t="s">
        <v>204</v>
      </c>
    </row>
    <row r="32" spans="1:1" x14ac:dyDescent="0.3">
      <c r="A32" s="7" t="s">
        <v>205</v>
      </c>
    </row>
    <row r="33" spans="1:3" x14ac:dyDescent="0.3">
      <c r="A33" s="7" t="s">
        <v>206</v>
      </c>
    </row>
    <row r="34" spans="1:3" x14ac:dyDescent="0.3">
      <c r="A34" s="7" t="s">
        <v>1243</v>
      </c>
      <c r="B34" s="7" t="s">
        <v>193</v>
      </c>
      <c r="C34" s="7" t="s">
        <v>194</v>
      </c>
    </row>
  </sheetData>
  <hyperlinks>
    <hyperlink ref="D1" location="'Comparison-Sheet'!A1" display="'Comparison-Sheet'!A1" xr:uid="{A74A6BD4-6684-45ED-8D30-1AF86471F4F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BED8-1B44-4BB3-818A-D2B44F22198C}">
  <sheetPr>
    <tabColor rgb="FFFF8A1F"/>
  </sheetPr>
  <dimension ref="A2:F35"/>
  <sheetViews>
    <sheetView topLeftCell="A15" workbookViewId="0">
      <selection activeCell="B7" sqref="B7"/>
    </sheetView>
  </sheetViews>
  <sheetFormatPr defaultRowHeight="14.4" x14ac:dyDescent="0.3"/>
  <cols>
    <col min="1" max="1" width="70" style="7" customWidth="1"/>
    <col min="2" max="2" width="33.44140625" style="65" customWidth="1"/>
    <col min="3" max="3" width="40" style="65" customWidth="1"/>
    <col min="4" max="4" width="1.88671875" style="7" customWidth="1"/>
    <col min="5" max="6" width="26.21875" style="122" bestFit="1" customWidth="1"/>
    <col min="7" max="16384" width="8.88671875" style="7"/>
  </cols>
  <sheetData>
    <row r="2" spans="1:6" ht="14.4" customHeight="1" x14ac:dyDescent="0.3">
      <c r="B2" s="65" t="str">
        <f>REPLACE('Quantitative Detail Yr 1'!A1,1,42,"")</f>
        <v xml:space="preserve"> Current Full Year Ending 31-DEC-22</v>
      </c>
      <c r="C2" s="65" t="str">
        <f>REPLACE('Quantitative Detail Yr 2'!A1,1,42,"")</f>
        <v xml:space="preserve"> Prior Full Year Ending 31-DEC-21</v>
      </c>
      <c r="E2" s="105" t="s">
        <v>2610</v>
      </c>
      <c r="F2" s="105" t="s">
        <v>2610</v>
      </c>
    </row>
    <row r="3" spans="1:6" ht="14.4" customHeight="1" x14ac:dyDescent="0.3">
      <c r="A3" s="30" t="s">
        <v>1545</v>
      </c>
      <c r="E3" s="121"/>
      <c r="F3" s="121"/>
    </row>
    <row r="4" spans="1:6" ht="14.4" customHeight="1" x14ac:dyDescent="0.3">
      <c r="A4" s="1" t="s">
        <v>1546</v>
      </c>
      <c r="E4" s="121"/>
      <c r="F4" s="121"/>
    </row>
    <row r="5" spans="1:6" ht="14.4" customHeight="1" x14ac:dyDescent="0.3">
      <c r="A5" s="1" t="s">
        <v>1547</v>
      </c>
      <c r="B5" s="65">
        <v>86607855.941455588</v>
      </c>
      <c r="C5" s="65">
        <v>73848591.19118087</v>
      </c>
      <c r="E5" s="121">
        <f>'Quantitative Detail Yr 1'!K1095</f>
        <v>86607855.941455588</v>
      </c>
      <c r="F5" s="121">
        <f>'Quantitative Detail Yr 2'!K609</f>
        <v>73848591.19118087</v>
      </c>
    </row>
    <row r="6" spans="1:6" ht="14.4" customHeight="1" x14ac:dyDescent="0.3">
      <c r="A6" s="1" t="s">
        <v>1548</v>
      </c>
      <c r="B6" s="65">
        <v>4996153.0964406617</v>
      </c>
      <c r="C6" s="65">
        <v>8685803.8867421001</v>
      </c>
      <c r="E6" s="121">
        <f>'Quantitative Detail Yr 1'!L1095</f>
        <v>4996153.0964406617</v>
      </c>
      <c r="F6" s="121">
        <f>'Quantitative Detail Yr 2'!L609</f>
        <v>8685803.8867421001</v>
      </c>
    </row>
    <row r="7" spans="1:6" ht="14.4" customHeight="1" x14ac:dyDescent="0.3">
      <c r="A7" s="1" t="s">
        <v>1549</v>
      </c>
      <c r="B7" s="65">
        <v>462139780.99029565</v>
      </c>
      <c r="C7" s="65">
        <v>84954016.878559008</v>
      </c>
      <c r="E7" s="121">
        <f>'Quantitative Detail Yr 1'!M1095</f>
        <v>462139780.99029565</v>
      </c>
      <c r="F7" s="121">
        <f>'Quantitative Detail Yr 2'!M609</f>
        <v>84954016.878559008</v>
      </c>
    </row>
    <row r="8" spans="1:6" ht="14.4" customHeight="1" x14ac:dyDescent="0.3">
      <c r="A8" s="1" t="s">
        <v>1550</v>
      </c>
      <c r="B8" s="65">
        <v>20191657.432887383</v>
      </c>
      <c r="C8" s="65">
        <v>12718624.481249876</v>
      </c>
      <c r="E8" s="121">
        <f>'Quantitative Detail Yr 1'!N1095</f>
        <v>20191657.432887383</v>
      </c>
      <c r="F8" s="121">
        <f>'Quantitative Detail Yr 2'!N609</f>
        <v>12718624.481249876</v>
      </c>
    </row>
    <row r="9" spans="1:6" ht="14.4" customHeight="1" x14ac:dyDescent="0.3">
      <c r="A9" s="1" t="s">
        <v>1551</v>
      </c>
      <c r="B9" s="65">
        <v>0</v>
      </c>
      <c r="C9" s="65">
        <v>0</v>
      </c>
      <c r="E9" s="121">
        <f>'Quantitative Detail Yr 1'!O1095</f>
        <v>0</v>
      </c>
      <c r="F9" s="121">
        <f>'Quantitative Detail Yr 2'!O609</f>
        <v>0</v>
      </c>
    </row>
    <row r="10" spans="1:6" ht="14.4" customHeight="1" x14ac:dyDescent="0.3">
      <c r="A10" s="1" t="s">
        <v>1552</v>
      </c>
      <c r="B10" s="65">
        <v>150249.96225071212</v>
      </c>
      <c r="C10" s="65">
        <v>756698.36204600008</v>
      </c>
      <c r="E10" s="121">
        <f>'Quantitative Detail Yr 1'!P1095</f>
        <v>150249.96225071212</v>
      </c>
      <c r="F10" s="121">
        <f>'Quantitative Detail Yr 2'!P609</f>
        <v>756698.36204600008</v>
      </c>
    </row>
    <row r="11" spans="1:6" ht="14.4" customHeight="1" x14ac:dyDescent="0.3">
      <c r="A11" s="1" t="s">
        <v>1553</v>
      </c>
      <c r="B11" s="65">
        <v>0</v>
      </c>
      <c r="C11" s="65">
        <v>0</v>
      </c>
      <c r="E11" s="121">
        <f>'Quantitative Detail Yr 1'!Q1095</f>
        <v>0</v>
      </c>
      <c r="F11" s="121">
        <f>'Quantitative Detail Yr 2'!Q609</f>
        <v>0</v>
      </c>
    </row>
    <row r="12" spans="1:6" ht="15" customHeight="1" x14ac:dyDescent="0.3">
      <c r="A12" s="1" t="s">
        <v>1554</v>
      </c>
      <c r="B12" s="65">
        <v>574085697.42333007</v>
      </c>
      <c r="C12" s="65">
        <v>180963734.79977787</v>
      </c>
      <c r="E12" s="121">
        <f>TotalLeaseCost</f>
        <v>574085697.42332935</v>
      </c>
      <c r="F12" s="121">
        <f>TotalLeaseCostY2</f>
        <v>180963734.79977676</v>
      </c>
    </row>
    <row r="13" spans="1:6" ht="15" customHeight="1" x14ac:dyDescent="0.3">
      <c r="E13" s="121"/>
      <c r="F13" s="121"/>
    </row>
    <row r="14" spans="1:6" ht="14.4" customHeight="1" x14ac:dyDescent="0.3">
      <c r="A14" s="30" t="s">
        <v>1555</v>
      </c>
      <c r="E14" s="121"/>
      <c r="F14" s="121"/>
    </row>
    <row r="15" spans="1:6" ht="14.4" customHeight="1" x14ac:dyDescent="0.3">
      <c r="A15" s="88" t="s">
        <v>1556</v>
      </c>
      <c r="B15" s="65">
        <v>0</v>
      </c>
      <c r="C15" s="65">
        <v>0</v>
      </c>
      <c r="E15" s="121">
        <f>'Quantitative Detail Yr 1'!S1095</f>
        <v>0</v>
      </c>
      <c r="F15" s="121">
        <f>'Quantitative Detail Yr 2'!S609</f>
        <v>0</v>
      </c>
    </row>
    <row r="16" spans="1:6" ht="14.4" customHeight="1" x14ac:dyDescent="0.3">
      <c r="A16" s="88" t="s">
        <v>1557</v>
      </c>
      <c r="E16" s="121"/>
      <c r="F16" s="121"/>
    </row>
    <row r="17" spans="1:6" ht="14.4" customHeight="1" x14ac:dyDescent="0.3">
      <c r="A17" s="1" t="s">
        <v>1558</v>
      </c>
      <c r="B17" s="65">
        <v>4972903.519623016</v>
      </c>
      <c r="C17" s="65">
        <v>8369557.295659109</v>
      </c>
      <c r="E17" s="121">
        <f>'Quantitative Detail Yr 1'!T1095</f>
        <v>4972903.519623016</v>
      </c>
      <c r="F17" s="121">
        <f>'Quantitative Detail Yr 2'!T609</f>
        <v>8369557.295659109</v>
      </c>
    </row>
    <row r="18" spans="1:6" ht="14.4" customHeight="1" x14ac:dyDescent="0.3">
      <c r="A18" s="1" t="s">
        <v>1559</v>
      </c>
      <c r="B18" s="65">
        <v>498946420.98755157</v>
      </c>
      <c r="C18" s="65">
        <v>42437061.229174227</v>
      </c>
      <c r="E18" s="121">
        <f>'Quantitative Detail Yr 1'!U1095</f>
        <v>498946420.98755157</v>
      </c>
      <c r="F18" s="121">
        <f>'Quantitative Detail Yr 2'!U609</f>
        <v>42437061.229174227</v>
      </c>
    </row>
    <row r="19" spans="1:6" ht="14.4" customHeight="1" x14ac:dyDescent="0.3">
      <c r="A19" s="1" t="s">
        <v>1560</v>
      </c>
      <c r="B19" s="65">
        <v>72984453.123741657</v>
      </c>
      <c r="C19" s="65">
        <v>75065303.77351436</v>
      </c>
      <c r="E19" s="121">
        <f>'Quantitative Detail Yr 1'!V1095</f>
        <v>72984453.123741657</v>
      </c>
      <c r="F19" s="121">
        <f>'Quantitative Detail Yr 2'!V609</f>
        <v>75065303.77351436</v>
      </c>
    </row>
    <row r="20" spans="1:6" ht="14.4" customHeight="1" x14ac:dyDescent="0.3">
      <c r="A20" s="1" t="s">
        <v>1561</v>
      </c>
      <c r="B20" s="65">
        <v>-53798.392021932057</v>
      </c>
      <c r="C20" s="65">
        <v>85804.518161999935</v>
      </c>
      <c r="E20" s="121">
        <f>'Quantitative Detail Yr 1'!W1095</f>
        <v>-53798.392021932057</v>
      </c>
      <c r="F20" s="121">
        <f>'Quantitative Detail Yr 2'!W609</f>
        <v>85804.518161999935</v>
      </c>
    </row>
    <row r="21" spans="1:6" x14ac:dyDescent="0.3">
      <c r="E21" s="121"/>
      <c r="F21" s="121"/>
    </row>
    <row r="22" spans="1:6" ht="14.4" customHeight="1" x14ac:dyDescent="0.3">
      <c r="A22" s="88" t="s">
        <v>1562</v>
      </c>
      <c r="B22" s="65">
        <v>91620219.089272991</v>
      </c>
      <c r="C22" s="65">
        <v>151638702.55440992</v>
      </c>
      <c r="E22" s="121">
        <f>'Quantitative Detail Yr 1'!X1095</f>
        <v>91620219.089272991</v>
      </c>
      <c r="F22" s="121">
        <f>'Quantitative Detail Yr 2'!X609</f>
        <v>151638702.55440992</v>
      </c>
    </row>
    <row r="23" spans="1:6" ht="28.8" customHeight="1" x14ac:dyDescent="0.3">
      <c r="A23" s="88" t="s">
        <v>1563</v>
      </c>
      <c r="B23" s="65">
        <v>1552651638.1126857</v>
      </c>
      <c r="C23" s="65">
        <v>41042281.902847037</v>
      </c>
      <c r="E23" s="121">
        <f>'Quantitative Detail Yr 1'!Y1095</f>
        <v>1552651638.1126857</v>
      </c>
      <c r="F23" s="121">
        <f>'Quantitative Detail Yr 2'!Y609</f>
        <v>41042281.902847037</v>
      </c>
    </row>
    <row r="24" spans="1:6" ht="14.4" customHeight="1" x14ac:dyDescent="0.3">
      <c r="A24" s="88" t="s">
        <v>1564</v>
      </c>
      <c r="B24" s="65">
        <v>-12201695.183779273</v>
      </c>
      <c r="C24" s="65">
        <v>1147759.7605097087</v>
      </c>
      <c r="E24" s="121">
        <f>'Quantitative Detail Yr 1'!Z1095</f>
        <v>-12201695.183779273</v>
      </c>
      <c r="F24" s="121">
        <f>'Quantitative Detail Yr 2'!Z609</f>
        <v>1147759.7605097087</v>
      </c>
    </row>
    <row r="25" spans="1:6" x14ac:dyDescent="0.3">
      <c r="E25" s="121"/>
      <c r="F25" s="121"/>
    </row>
    <row r="26" spans="1:6" ht="14.4" customHeight="1" x14ac:dyDescent="0.3">
      <c r="A26" s="88" t="s">
        <v>1565</v>
      </c>
      <c r="B26" s="92">
        <v>3.6879270000000002</v>
      </c>
      <c r="C26" s="92">
        <v>3.7955290000000002</v>
      </c>
      <c r="E26" s="121">
        <f>'Quantitative Detail Yr 1'!AK1097</f>
        <v>3.6879272253852138</v>
      </c>
      <c r="F26" s="121">
        <f>'Quantitative Detail Yr 2'!AL611</f>
        <v>3.7955288723066576</v>
      </c>
    </row>
    <row r="27" spans="1:6" ht="14.4" customHeight="1" x14ac:dyDescent="0.3">
      <c r="A27" s="88" t="s">
        <v>1566</v>
      </c>
      <c r="B27" s="92">
        <v>3.1246489999999998</v>
      </c>
      <c r="C27" s="92">
        <v>3.762721</v>
      </c>
      <c r="E27" s="121">
        <f>'Quantitative Detail Yr 1'!AK1098</f>
        <v>3.124648548378989</v>
      </c>
      <c r="F27" s="121">
        <f>'Quantitative Detail Yr 2'!AL612</f>
        <v>3.7627208054590429</v>
      </c>
    </row>
    <row r="28" spans="1:6" ht="14.4" customHeight="1" x14ac:dyDescent="0.3">
      <c r="A28" s="88" t="s">
        <v>1567</v>
      </c>
      <c r="B28" s="92">
        <v>3.453017</v>
      </c>
      <c r="C28" s="92">
        <v>3.4593449999999999</v>
      </c>
      <c r="E28" s="121">
        <f>'Quantitative Detail Yr 1'!AL1097</f>
        <v>3.4392592396864377</v>
      </c>
      <c r="F28" s="121">
        <f>'Quantitative Detail Yr 2'!AM611</f>
        <v>3.4506784786205316</v>
      </c>
    </row>
    <row r="29" spans="1:6" ht="14.4" customHeight="1" x14ac:dyDescent="0.3">
      <c r="A29" s="88" t="s">
        <v>1568</v>
      </c>
      <c r="B29" s="92">
        <v>0.96145899999999995</v>
      </c>
      <c r="C29" s="92">
        <v>4.0205039999999999</v>
      </c>
      <c r="E29" s="121">
        <f>'Quantitative Detail Yr 1'!AL1098</f>
        <v>0.96125245070792842</v>
      </c>
      <c r="F29" s="121">
        <f>'Quantitative Detail Yr 2'!AM612</f>
        <v>3.9995401118178928</v>
      </c>
    </row>
    <row r="31" spans="1:6" ht="14.4" customHeight="1" x14ac:dyDescent="0.3">
      <c r="A31" s="30" t="s">
        <v>1475</v>
      </c>
      <c r="B31" s="93"/>
    </row>
    <row r="32" spans="1:6" ht="14.4" customHeight="1" x14ac:dyDescent="0.3">
      <c r="A32" s="88" t="s">
        <v>1569</v>
      </c>
      <c r="B32" s="92">
        <v>821</v>
      </c>
      <c r="C32" s="92">
        <v>583</v>
      </c>
    </row>
    <row r="33" spans="1:3" ht="14.4" customHeight="1" x14ac:dyDescent="0.3">
      <c r="A33" s="88" t="s">
        <v>1570</v>
      </c>
      <c r="B33" s="92">
        <v>910.03015300000243</v>
      </c>
      <c r="C33" s="92">
        <v>803.52327400000286</v>
      </c>
    </row>
    <row r="34" spans="1:3" ht="14.4" customHeight="1" x14ac:dyDescent="0.3">
      <c r="A34" s="88" t="s">
        <v>1571</v>
      </c>
      <c r="B34" s="92">
        <v>3069.7637710000367</v>
      </c>
      <c r="C34" s="92">
        <v>1840.9184690000022</v>
      </c>
    </row>
    <row r="35" spans="1:3" ht="14.4" customHeight="1" x14ac:dyDescent="0.3">
      <c r="A35" s="88" t="s">
        <v>1572</v>
      </c>
      <c r="B35" s="92">
        <v>11.227051999999999</v>
      </c>
      <c r="C35" s="92">
        <v>15.038098999999999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EFCF-60C1-4F52-912F-5C999BEE32F2}">
  <sheetPr>
    <tabColor rgb="FFFF8A1F"/>
  </sheetPr>
  <dimension ref="A1:AL1105"/>
  <sheetViews>
    <sheetView topLeftCell="AE1083" workbookViewId="0">
      <selection activeCell="AI1110" sqref="AI1110"/>
    </sheetView>
  </sheetViews>
  <sheetFormatPr defaultRowHeight="14.4" x14ac:dyDescent="0.3"/>
  <cols>
    <col min="1" max="1" width="44.6640625" style="7" customWidth="1"/>
    <col min="2" max="2" width="49" style="7" bestFit="1" customWidth="1"/>
    <col min="3" max="3" width="30.5546875" style="7" bestFit="1" customWidth="1"/>
    <col min="4" max="4" width="35" style="7" bestFit="1" customWidth="1"/>
    <col min="5" max="5" width="18.6640625" style="7" bestFit="1" customWidth="1"/>
    <col min="6" max="6" width="17.33203125" style="7" bestFit="1" customWidth="1"/>
    <col min="7" max="7" width="12.6640625" style="7" bestFit="1" customWidth="1"/>
    <col min="8" max="8" width="14.21875" style="7" bestFit="1" customWidth="1"/>
    <col min="9" max="9" width="15.109375" style="7" bestFit="1" customWidth="1"/>
    <col min="10" max="10" width="19.44140625" style="7" bestFit="1" customWidth="1"/>
    <col min="11" max="11" width="20.77734375" style="7" bestFit="1" customWidth="1"/>
    <col min="12" max="12" width="16.6640625" style="7" bestFit="1" customWidth="1"/>
    <col min="13" max="13" width="21" style="7" bestFit="1" customWidth="1"/>
    <col min="14" max="14" width="17.77734375" style="7" bestFit="1" customWidth="1"/>
    <col min="15" max="15" width="8" style="7" bestFit="1" customWidth="1"/>
    <col min="16" max="16" width="15.33203125" style="7" bestFit="1" customWidth="1"/>
    <col min="17" max="17" width="10.6640625" style="7" bestFit="1" customWidth="1"/>
    <col min="18" max="18" width="14.6640625" style="7" bestFit="1" customWidth="1"/>
    <col min="19" max="19" width="18.21875" style="7" bestFit="1" customWidth="1"/>
    <col min="20" max="20" width="19" style="7" bestFit="1" customWidth="1"/>
    <col min="21" max="21" width="17.109375" style="7" bestFit="1" customWidth="1"/>
    <col min="22" max="22" width="19" style="7" bestFit="1" customWidth="1"/>
    <col min="23" max="23" width="15.88671875" style="7" bestFit="1" customWidth="1"/>
    <col min="24" max="24" width="18.6640625" style="7" bestFit="1" customWidth="1"/>
    <col min="25" max="25" width="21.44140625" style="7" bestFit="1" customWidth="1"/>
    <col min="26" max="26" width="17.109375" style="7" bestFit="1" customWidth="1"/>
    <col min="27" max="27" width="18.77734375" style="7" bestFit="1" customWidth="1"/>
    <col min="28" max="28" width="16.44140625" style="7" bestFit="1" customWidth="1"/>
    <col min="29" max="29" width="9" style="7" bestFit="1" customWidth="1"/>
    <col min="30" max="30" width="70.88671875" style="7" bestFit="1" customWidth="1"/>
    <col min="31" max="31" width="21.33203125" style="7" bestFit="1" customWidth="1"/>
    <col min="32" max="32" width="16.109375" style="7" bestFit="1" customWidth="1"/>
    <col min="33" max="33" width="17.21875" style="7" bestFit="1" customWidth="1"/>
    <col min="34" max="34" width="12.109375" style="7" bestFit="1" customWidth="1"/>
    <col min="35" max="35" width="22.21875" style="7" bestFit="1" customWidth="1"/>
    <col min="36" max="36" width="22" style="7" customWidth="1"/>
    <col min="37" max="38" width="15.77734375" style="7" customWidth="1"/>
    <col min="39" max="16384" width="8.88671875" style="7"/>
  </cols>
  <sheetData>
    <row r="1" spans="1:38" ht="43.2" x14ac:dyDescent="0.3">
      <c r="A1" s="7" t="s">
        <v>1589</v>
      </c>
      <c r="AK1" s="94" t="s">
        <v>2611</v>
      </c>
      <c r="AL1" s="94" t="s">
        <v>2612</v>
      </c>
    </row>
    <row r="2" spans="1:38" ht="72" x14ac:dyDescent="0.3">
      <c r="A2" s="6" t="s">
        <v>1479</v>
      </c>
      <c r="B2" s="6" t="s">
        <v>1480</v>
      </c>
      <c r="C2" s="6" t="s">
        <v>191</v>
      </c>
      <c r="D2" s="6" t="s">
        <v>1481</v>
      </c>
      <c r="E2" s="6" t="s">
        <v>1421</v>
      </c>
      <c r="F2" s="6" t="s">
        <v>1482</v>
      </c>
      <c r="G2" s="6" t="s">
        <v>1483</v>
      </c>
      <c r="H2" s="6" t="s">
        <v>1305</v>
      </c>
      <c r="I2" s="6" t="s">
        <v>1484</v>
      </c>
      <c r="J2" s="6" t="s">
        <v>1312</v>
      </c>
      <c r="K2" s="6" t="s">
        <v>1573</v>
      </c>
      <c r="L2" s="6" t="s">
        <v>1574</v>
      </c>
      <c r="M2" s="6" t="s">
        <v>1549</v>
      </c>
      <c r="N2" s="6" t="s">
        <v>1575</v>
      </c>
      <c r="O2" s="6" t="s">
        <v>1551</v>
      </c>
      <c r="P2" s="6" t="s">
        <v>1552</v>
      </c>
      <c r="Q2" s="6" t="s">
        <v>1553</v>
      </c>
      <c r="R2" s="6" t="s">
        <v>1554</v>
      </c>
      <c r="S2" s="6" t="s">
        <v>1556</v>
      </c>
      <c r="T2" s="6" t="s">
        <v>1576</v>
      </c>
      <c r="U2" s="6" t="s">
        <v>1577</v>
      </c>
      <c r="V2" s="6" t="s">
        <v>1578</v>
      </c>
      <c r="W2" s="6" t="s">
        <v>1579</v>
      </c>
      <c r="X2" s="6" t="s">
        <v>1580</v>
      </c>
      <c r="Y2" s="6" t="s">
        <v>1563</v>
      </c>
      <c r="Z2" s="6" t="s">
        <v>1581</v>
      </c>
      <c r="AA2" s="6" t="s">
        <v>1582</v>
      </c>
      <c r="AB2" s="6" t="s">
        <v>1583</v>
      </c>
      <c r="AC2" s="6" t="s">
        <v>1485</v>
      </c>
      <c r="AD2" s="6" t="s">
        <v>1486</v>
      </c>
      <c r="AE2" s="6" t="s">
        <v>1584</v>
      </c>
      <c r="AF2" s="6" t="s">
        <v>1585</v>
      </c>
      <c r="AG2" s="6" t="s">
        <v>1586</v>
      </c>
      <c r="AH2" s="6" t="s">
        <v>1587</v>
      </c>
      <c r="AI2" s="6" t="s">
        <v>1313</v>
      </c>
      <c r="AJ2" s="6" t="s">
        <v>1588</v>
      </c>
      <c r="AK2" s="95" t="s">
        <v>2613</v>
      </c>
      <c r="AL2" s="95" t="s">
        <v>2614</v>
      </c>
    </row>
    <row r="3" spans="1:38" x14ac:dyDescent="0.3">
      <c r="A3" s="7" t="s">
        <v>1693</v>
      </c>
      <c r="B3" s="7" t="s">
        <v>1320</v>
      </c>
      <c r="C3" s="7" t="s">
        <v>1323</v>
      </c>
      <c r="D3" s="7" t="s">
        <v>1694</v>
      </c>
      <c r="E3" s="7" t="s">
        <v>1695</v>
      </c>
      <c r="F3" s="36">
        <v>43466</v>
      </c>
      <c r="G3" s="36">
        <v>44561</v>
      </c>
      <c r="H3" s="36">
        <v>44895</v>
      </c>
      <c r="I3" s="36">
        <v>44895</v>
      </c>
      <c r="J3" s="7" t="s">
        <v>1696</v>
      </c>
      <c r="K3" s="8">
        <v>0</v>
      </c>
      <c r="L3" s="8">
        <v>0</v>
      </c>
      <c r="M3" s="8">
        <v>8254.5052880000003</v>
      </c>
      <c r="N3" s="8">
        <v>0</v>
      </c>
      <c r="O3" s="8">
        <v>0</v>
      </c>
      <c r="P3" s="8">
        <v>0</v>
      </c>
      <c r="Q3" s="8">
        <v>0</v>
      </c>
      <c r="R3" s="8">
        <f t="shared" ref="R3:R66" si="0">K3+L3+M3+N3+O3+P3+Q3</f>
        <v>8254.5052880000003</v>
      </c>
      <c r="S3" s="8">
        <v>0</v>
      </c>
      <c r="T3" s="8">
        <v>0</v>
      </c>
      <c r="U3" s="8">
        <v>50000</v>
      </c>
      <c r="V3" s="8">
        <v>0</v>
      </c>
      <c r="W3" s="8">
        <v>0</v>
      </c>
      <c r="X3" s="8">
        <v>0</v>
      </c>
      <c r="Y3" s="8">
        <v>0</v>
      </c>
      <c r="Z3" s="8">
        <v>24108.231087</v>
      </c>
      <c r="AA3" s="7">
        <v>0</v>
      </c>
      <c r="AB3" s="8">
        <v>0</v>
      </c>
      <c r="AC3" s="7">
        <v>2.920417</v>
      </c>
      <c r="AD3" s="7" t="s">
        <v>1697</v>
      </c>
      <c r="AE3" s="8">
        <v>0</v>
      </c>
      <c r="AF3" s="8">
        <v>0</v>
      </c>
      <c r="AG3" s="8">
        <v>0</v>
      </c>
      <c r="AH3" s="8">
        <v>0</v>
      </c>
      <c r="AI3" s="7" t="s">
        <v>1194</v>
      </c>
      <c r="AJ3" s="7">
        <f t="shared" ref="AJ3:AJ66" ca="1" si="1">IF(A3=OFFSET(A3,-1,0),OFFSET(AJ3,-1,0)+1,1)</f>
        <v>1</v>
      </c>
      <c r="AK3" s="96">
        <f>(+AA3*AB3)/$AB$1102</f>
        <v>0</v>
      </c>
      <c r="AL3" s="97">
        <f>AC3/$AE$1102*AE3</f>
        <v>0</v>
      </c>
    </row>
    <row r="4" spans="1:38" x14ac:dyDescent="0.3">
      <c r="A4" s="7" t="s">
        <v>1698</v>
      </c>
      <c r="B4" s="7" t="s">
        <v>1320</v>
      </c>
      <c r="C4" s="7" t="s">
        <v>1323</v>
      </c>
      <c r="D4" s="7" t="s">
        <v>1694</v>
      </c>
      <c r="E4" s="7" t="s">
        <v>1695</v>
      </c>
      <c r="F4" s="36">
        <v>43480</v>
      </c>
      <c r="G4" s="36">
        <v>44575</v>
      </c>
      <c r="H4" s="36">
        <v>44895</v>
      </c>
      <c r="I4" s="36">
        <v>44895</v>
      </c>
      <c r="J4" s="7" t="s">
        <v>1696</v>
      </c>
      <c r="K4" s="8">
        <v>0</v>
      </c>
      <c r="L4" s="8">
        <v>0</v>
      </c>
      <c r="M4" s="8">
        <v>22580.648972999999</v>
      </c>
      <c r="N4" s="8">
        <v>0</v>
      </c>
      <c r="O4" s="8">
        <v>0</v>
      </c>
      <c r="P4" s="8">
        <v>0</v>
      </c>
      <c r="Q4" s="8">
        <v>0</v>
      </c>
      <c r="R4" s="8">
        <f t="shared" si="0"/>
        <v>22580.648972999999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7">
        <v>0</v>
      </c>
      <c r="AB4" s="8">
        <v>0</v>
      </c>
      <c r="AC4" s="7">
        <v>7</v>
      </c>
      <c r="AD4" s="7" t="s">
        <v>1226</v>
      </c>
      <c r="AE4" s="8">
        <v>0</v>
      </c>
      <c r="AF4" s="8">
        <v>0</v>
      </c>
      <c r="AG4" s="8">
        <v>0</v>
      </c>
      <c r="AH4" s="8">
        <v>0</v>
      </c>
      <c r="AI4" s="7" t="s">
        <v>1194</v>
      </c>
      <c r="AJ4" s="7">
        <f t="shared" ca="1" si="1"/>
        <v>1</v>
      </c>
      <c r="AK4" s="96">
        <f>(+AA4*AB4)/$AB$1102</f>
        <v>0</v>
      </c>
      <c r="AL4" s="97">
        <f>AC4/$AE$1102*AE4</f>
        <v>0</v>
      </c>
    </row>
    <row r="5" spans="1:38" x14ac:dyDescent="0.3">
      <c r="A5" s="7" t="s">
        <v>1698</v>
      </c>
      <c r="B5" s="7" t="s">
        <v>1320</v>
      </c>
      <c r="C5" s="7" t="s">
        <v>1323</v>
      </c>
      <c r="D5" s="7" t="s">
        <v>1694</v>
      </c>
      <c r="E5" s="7" t="s">
        <v>1695</v>
      </c>
      <c r="F5" s="36">
        <v>43480</v>
      </c>
      <c r="G5" s="36">
        <v>44575</v>
      </c>
      <c r="H5" s="36">
        <v>44895</v>
      </c>
      <c r="I5" s="36">
        <v>44895</v>
      </c>
      <c r="J5" s="7" t="s">
        <v>1699</v>
      </c>
      <c r="K5" s="8">
        <v>0</v>
      </c>
      <c r="L5" s="8">
        <v>0</v>
      </c>
      <c r="M5" s="8">
        <v>0</v>
      </c>
      <c r="N5" s="8">
        <v>550000</v>
      </c>
      <c r="O5" s="8">
        <v>0</v>
      </c>
      <c r="P5" s="8">
        <v>0</v>
      </c>
      <c r="Q5" s="8">
        <v>0</v>
      </c>
      <c r="R5" s="8">
        <f t="shared" si="0"/>
        <v>550000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7">
        <v>0</v>
      </c>
      <c r="AB5" s="8">
        <v>0</v>
      </c>
      <c r="AC5" s="7">
        <v>7</v>
      </c>
      <c r="AD5" s="7" t="s">
        <v>1226</v>
      </c>
      <c r="AE5" s="8">
        <v>0</v>
      </c>
      <c r="AF5" s="8">
        <v>0</v>
      </c>
      <c r="AG5" s="8">
        <v>0</v>
      </c>
      <c r="AH5" s="8">
        <v>0</v>
      </c>
      <c r="AI5" s="7" t="s">
        <v>1194</v>
      </c>
      <c r="AJ5" s="7">
        <f t="shared" ca="1" si="1"/>
        <v>2</v>
      </c>
      <c r="AK5" s="100">
        <f>(+AA5*AB5)/$AB$1103</f>
        <v>0</v>
      </c>
      <c r="AL5" s="97">
        <f>AC5/$AE$1103*AE5</f>
        <v>0</v>
      </c>
    </row>
    <row r="6" spans="1:38" x14ac:dyDescent="0.3">
      <c r="A6" s="7" t="s">
        <v>1700</v>
      </c>
      <c r="B6" s="7" t="s">
        <v>1320</v>
      </c>
      <c r="C6" s="7" t="s">
        <v>1323</v>
      </c>
      <c r="D6" s="7" t="s">
        <v>1694</v>
      </c>
      <c r="E6" s="7" t="s">
        <v>1695</v>
      </c>
      <c r="F6" s="36">
        <v>43466</v>
      </c>
      <c r="G6" s="36">
        <v>44561</v>
      </c>
      <c r="H6" s="36">
        <v>44895</v>
      </c>
      <c r="I6" s="36">
        <v>44895</v>
      </c>
      <c r="J6" s="7" t="s">
        <v>1696</v>
      </c>
      <c r="K6" s="8">
        <v>0</v>
      </c>
      <c r="L6" s="8">
        <v>0</v>
      </c>
      <c r="M6" s="8">
        <v>102139.644453</v>
      </c>
      <c r="N6" s="8">
        <v>0</v>
      </c>
      <c r="O6" s="8">
        <v>0</v>
      </c>
      <c r="P6" s="8">
        <v>0</v>
      </c>
      <c r="Q6" s="8">
        <v>0</v>
      </c>
      <c r="R6" s="8">
        <f t="shared" si="0"/>
        <v>102139.644453</v>
      </c>
      <c r="S6" s="8">
        <v>0</v>
      </c>
      <c r="T6" s="8">
        <v>0</v>
      </c>
      <c r="U6" s="8">
        <v>200000</v>
      </c>
      <c r="V6" s="8">
        <v>0</v>
      </c>
      <c r="W6" s="8">
        <v>0</v>
      </c>
      <c r="X6" s="8">
        <v>0</v>
      </c>
      <c r="Y6" s="8">
        <v>0</v>
      </c>
      <c r="Z6" s="8">
        <v>254240.71881300001</v>
      </c>
      <c r="AA6" s="7">
        <v>0</v>
      </c>
      <c r="AB6" s="8">
        <v>0</v>
      </c>
      <c r="AC6" s="7">
        <v>2.920417</v>
      </c>
      <c r="AD6" s="7" t="s">
        <v>1697</v>
      </c>
      <c r="AE6" s="8">
        <v>0</v>
      </c>
      <c r="AF6" s="8">
        <v>0</v>
      </c>
      <c r="AG6" s="8">
        <v>0</v>
      </c>
      <c r="AH6" s="8">
        <v>0</v>
      </c>
      <c r="AI6" s="7" t="s">
        <v>1194</v>
      </c>
      <c r="AJ6" s="7">
        <f t="shared" ca="1" si="1"/>
        <v>1</v>
      </c>
      <c r="AK6" s="96">
        <f t="shared" ref="AK6:AK7" si="2">(+AA6*AB6)/$AB$1102</f>
        <v>0</v>
      </c>
      <c r="AL6" s="97">
        <f t="shared" ref="AL6:AL7" si="3">AC6/$AE$1102*AE6</f>
        <v>0</v>
      </c>
    </row>
    <row r="7" spans="1:38" x14ac:dyDescent="0.3">
      <c r="A7" s="7" t="s">
        <v>1701</v>
      </c>
      <c r="B7" s="7" t="s">
        <v>1320</v>
      </c>
      <c r="C7" s="7" t="s">
        <v>1323</v>
      </c>
      <c r="D7" s="7" t="s">
        <v>1694</v>
      </c>
      <c r="E7" s="7" t="s">
        <v>1695</v>
      </c>
      <c r="F7" s="36">
        <v>43647</v>
      </c>
      <c r="G7" s="36">
        <v>44742</v>
      </c>
      <c r="H7" s="36">
        <v>44895</v>
      </c>
      <c r="I7" s="36">
        <v>44895</v>
      </c>
      <c r="J7" s="7" t="s">
        <v>1696</v>
      </c>
      <c r="K7" s="8">
        <v>0</v>
      </c>
      <c r="L7" s="8">
        <v>0</v>
      </c>
      <c r="M7" s="8">
        <v>299999.99512199999</v>
      </c>
      <c r="N7" s="8">
        <v>0</v>
      </c>
      <c r="O7" s="8">
        <v>0</v>
      </c>
      <c r="P7" s="8">
        <v>0</v>
      </c>
      <c r="Q7" s="8">
        <v>0</v>
      </c>
      <c r="R7" s="8">
        <f t="shared" si="0"/>
        <v>299999.99512199999</v>
      </c>
      <c r="S7" s="8">
        <v>0</v>
      </c>
      <c r="T7" s="8">
        <v>0</v>
      </c>
      <c r="U7" s="8">
        <v>300000</v>
      </c>
      <c r="V7" s="8">
        <v>0</v>
      </c>
      <c r="W7" s="8">
        <v>0</v>
      </c>
      <c r="X7" s="8">
        <v>0</v>
      </c>
      <c r="Y7" s="8">
        <v>0</v>
      </c>
      <c r="Z7" s="8">
        <v>-162215.79147299999</v>
      </c>
      <c r="AA7" s="7">
        <v>0</v>
      </c>
      <c r="AB7" s="8">
        <v>0</v>
      </c>
      <c r="AC7" s="7">
        <v>7</v>
      </c>
      <c r="AD7" s="7" t="s">
        <v>1226</v>
      </c>
      <c r="AE7" s="8">
        <v>0</v>
      </c>
      <c r="AF7" s="8">
        <v>0</v>
      </c>
      <c r="AG7" s="8">
        <v>0</v>
      </c>
      <c r="AH7" s="8">
        <v>0</v>
      </c>
      <c r="AI7" s="7" t="s">
        <v>1194</v>
      </c>
      <c r="AJ7" s="7">
        <f t="shared" ca="1" si="1"/>
        <v>1</v>
      </c>
      <c r="AK7" s="96">
        <f t="shared" si="2"/>
        <v>0</v>
      </c>
      <c r="AL7" s="97">
        <f t="shared" si="3"/>
        <v>0</v>
      </c>
    </row>
    <row r="8" spans="1:38" x14ac:dyDescent="0.3">
      <c r="A8" s="7" t="s">
        <v>1701</v>
      </c>
      <c r="B8" s="7" t="s">
        <v>1320</v>
      </c>
      <c r="C8" s="7" t="s">
        <v>1323</v>
      </c>
      <c r="D8" s="7" t="s">
        <v>1694</v>
      </c>
      <c r="E8" s="7" t="s">
        <v>1695</v>
      </c>
      <c r="F8" s="36">
        <v>43647</v>
      </c>
      <c r="G8" s="36">
        <v>44742</v>
      </c>
      <c r="H8" s="36">
        <v>44895</v>
      </c>
      <c r="I8" s="36">
        <v>44895</v>
      </c>
      <c r="J8" s="7" t="s">
        <v>1699</v>
      </c>
      <c r="K8" s="8">
        <v>0</v>
      </c>
      <c r="L8" s="8">
        <v>0</v>
      </c>
      <c r="M8" s="8">
        <v>0</v>
      </c>
      <c r="N8" s="8">
        <v>250000</v>
      </c>
      <c r="O8" s="8">
        <v>0</v>
      </c>
      <c r="P8" s="8">
        <v>0</v>
      </c>
      <c r="Q8" s="8">
        <v>0</v>
      </c>
      <c r="R8" s="8">
        <f t="shared" si="0"/>
        <v>250000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7">
        <v>0</v>
      </c>
      <c r="AB8" s="8">
        <v>0</v>
      </c>
      <c r="AC8" s="7">
        <v>7</v>
      </c>
      <c r="AD8" s="7" t="s">
        <v>1226</v>
      </c>
      <c r="AE8" s="8">
        <v>0</v>
      </c>
      <c r="AF8" s="8">
        <v>0</v>
      </c>
      <c r="AG8" s="8">
        <v>0</v>
      </c>
      <c r="AH8" s="8">
        <v>0</v>
      </c>
      <c r="AI8" s="7" t="s">
        <v>1194</v>
      </c>
      <c r="AJ8" s="7">
        <f t="shared" ca="1" si="1"/>
        <v>2</v>
      </c>
      <c r="AK8" s="100">
        <f>(+AA8*AB8)/$AB$1103</f>
        <v>0</v>
      </c>
      <c r="AL8" s="97">
        <f>AC8/$AE$1103*AE8</f>
        <v>0</v>
      </c>
    </row>
    <row r="9" spans="1:38" x14ac:dyDescent="0.3">
      <c r="A9" s="7" t="s">
        <v>1702</v>
      </c>
      <c r="B9" s="7" t="s">
        <v>1320</v>
      </c>
      <c r="C9" s="7" t="s">
        <v>1323</v>
      </c>
      <c r="D9" s="7" t="s">
        <v>1694</v>
      </c>
      <c r="E9" s="7" t="s">
        <v>1695</v>
      </c>
      <c r="F9" s="36">
        <v>43647</v>
      </c>
      <c r="G9" s="36">
        <v>44742</v>
      </c>
      <c r="H9" s="36">
        <v>44895</v>
      </c>
      <c r="I9" s="36">
        <v>44895</v>
      </c>
      <c r="J9" s="7" t="s">
        <v>1696</v>
      </c>
      <c r="K9" s="8">
        <v>0</v>
      </c>
      <c r="L9" s="8">
        <v>0</v>
      </c>
      <c r="M9" s="8">
        <v>332049.05995600001</v>
      </c>
      <c r="N9" s="8">
        <v>0</v>
      </c>
      <c r="O9" s="8">
        <v>0</v>
      </c>
      <c r="P9" s="8">
        <v>0</v>
      </c>
      <c r="Q9" s="8">
        <v>0</v>
      </c>
      <c r="R9" s="8">
        <f t="shared" si="0"/>
        <v>332049.05995600001</v>
      </c>
      <c r="S9" s="8">
        <v>0</v>
      </c>
      <c r="T9" s="8">
        <v>0</v>
      </c>
      <c r="U9" s="8">
        <v>300000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7">
        <v>0</v>
      </c>
      <c r="AB9" s="8">
        <v>0</v>
      </c>
      <c r="AC9" s="7">
        <v>7</v>
      </c>
      <c r="AD9" s="7" t="s">
        <v>1226</v>
      </c>
      <c r="AE9" s="8">
        <v>0</v>
      </c>
      <c r="AF9" s="8">
        <v>0</v>
      </c>
      <c r="AG9" s="8">
        <v>0</v>
      </c>
      <c r="AH9" s="8">
        <v>0</v>
      </c>
      <c r="AI9" s="7" t="s">
        <v>1194</v>
      </c>
      <c r="AJ9" s="7">
        <f t="shared" ca="1" si="1"/>
        <v>1</v>
      </c>
      <c r="AK9" s="96">
        <f>(+AA9*AB9)/$AB$1102</f>
        <v>0</v>
      </c>
      <c r="AL9" s="97">
        <f>AC9/$AE$1102*AE9</f>
        <v>0</v>
      </c>
    </row>
    <row r="10" spans="1:38" x14ac:dyDescent="0.3">
      <c r="A10" s="7" t="s">
        <v>1702</v>
      </c>
      <c r="B10" s="7" t="s">
        <v>1320</v>
      </c>
      <c r="C10" s="7" t="s">
        <v>1323</v>
      </c>
      <c r="D10" s="7" t="s">
        <v>1694</v>
      </c>
      <c r="E10" s="7" t="s">
        <v>1695</v>
      </c>
      <c r="F10" s="36">
        <v>43647</v>
      </c>
      <c r="G10" s="36">
        <v>44742</v>
      </c>
      <c r="H10" s="36">
        <v>44895</v>
      </c>
      <c r="I10" s="36">
        <v>44895</v>
      </c>
      <c r="J10" s="7" t="s">
        <v>1699</v>
      </c>
      <c r="K10" s="8">
        <v>0</v>
      </c>
      <c r="L10" s="8">
        <v>0</v>
      </c>
      <c r="M10" s="8">
        <v>0</v>
      </c>
      <c r="N10" s="8">
        <v>250000</v>
      </c>
      <c r="O10" s="8">
        <v>0</v>
      </c>
      <c r="P10" s="8">
        <v>0</v>
      </c>
      <c r="Q10" s="8">
        <v>0</v>
      </c>
      <c r="R10" s="8">
        <f t="shared" si="0"/>
        <v>250000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7">
        <v>0</v>
      </c>
      <c r="AB10" s="8">
        <v>0</v>
      </c>
      <c r="AC10" s="7">
        <v>7</v>
      </c>
      <c r="AD10" s="7" t="s">
        <v>1226</v>
      </c>
      <c r="AE10" s="8">
        <v>0</v>
      </c>
      <c r="AF10" s="8">
        <v>0</v>
      </c>
      <c r="AG10" s="8">
        <v>0</v>
      </c>
      <c r="AH10" s="8">
        <v>0</v>
      </c>
      <c r="AI10" s="7" t="s">
        <v>1194</v>
      </c>
      <c r="AJ10" s="7">
        <f t="shared" ca="1" si="1"/>
        <v>2</v>
      </c>
      <c r="AK10" s="100">
        <f>(+AA10*AB10)/$AB$1103</f>
        <v>0</v>
      </c>
      <c r="AL10" s="97">
        <f>AC10/$AE$1103*AE10</f>
        <v>0</v>
      </c>
    </row>
    <row r="11" spans="1:38" x14ac:dyDescent="0.3">
      <c r="A11" s="7" t="s">
        <v>1703</v>
      </c>
      <c r="B11" s="7" t="s">
        <v>1320</v>
      </c>
      <c r="C11" s="7" t="s">
        <v>1323</v>
      </c>
      <c r="D11" s="7" t="s">
        <v>1694</v>
      </c>
      <c r="E11" s="7" t="s">
        <v>1695</v>
      </c>
      <c r="F11" s="36">
        <v>43647</v>
      </c>
      <c r="G11" s="36">
        <v>44742</v>
      </c>
      <c r="H11" s="36">
        <v>44895</v>
      </c>
      <c r="I11" s="36">
        <v>44895</v>
      </c>
      <c r="J11" s="7" t="s">
        <v>1696</v>
      </c>
      <c r="K11" s="8">
        <v>0</v>
      </c>
      <c r="L11" s="8">
        <v>0</v>
      </c>
      <c r="M11" s="8">
        <v>29335.587318000002</v>
      </c>
      <c r="N11" s="8">
        <v>0</v>
      </c>
      <c r="O11" s="8">
        <v>0</v>
      </c>
      <c r="P11" s="8">
        <v>0</v>
      </c>
      <c r="Q11" s="8">
        <v>0</v>
      </c>
      <c r="R11" s="8">
        <f t="shared" si="0"/>
        <v>29335.587318000002</v>
      </c>
      <c r="S11" s="8">
        <v>0</v>
      </c>
      <c r="T11" s="8">
        <v>0</v>
      </c>
      <c r="U11" s="8">
        <v>50000</v>
      </c>
      <c r="V11" s="8">
        <v>0</v>
      </c>
      <c r="W11" s="8">
        <v>0</v>
      </c>
      <c r="X11" s="8">
        <v>0</v>
      </c>
      <c r="Y11" s="8">
        <v>0</v>
      </c>
      <c r="Z11" s="8">
        <v>-150448.41102999999</v>
      </c>
      <c r="AA11" s="7">
        <v>0</v>
      </c>
      <c r="AB11" s="8">
        <v>0</v>
      </c>
      <c r="AC11" s="7">
        <v>2.920417</v>
      </c>
      <c r="AD11" s="7" t="s">
        <v>1697</v>
      </c>
      <c r="AE11" s="8">
        <v>0</v>
      </c>
      <c r="AF11" s="8">
        <v>0</v>
      </c>
      <c r="AG11" s="8">
        <v>0</v>
      </c>
      <c r="AH11" s="8">
        <v>0</v>
      </c>
      <c r="AI11" s="7" t="s">
        <v>1194</v>
      </c>
      <c r="AJ11" s="7">
        <f t="shared" ca="1" si="1"/>
        <v>1</v>
      </c>
      <c r="AK11" s="96">
        <f t="shared" ref="AK11:AK12" si="4">(+AA11*AB11)/$AB$1102</f>
        <v>0</v>
      </c>
      <c r="AL11" s="97">
        <f t="shared" ref="AL11:AL12" si="5">AC11/$AE$1102*AE11</f>
        <v>0</v>
      </c>
    </row>
    <row r="12" spans="1:38" x14ac:dyDescent="0.3">
      <c r="A12" s="7" t="s">
        <v>1704</v>
      </c>
      <c r="B12" s="7" t="s">
        <v>1320</v>
      </c>
      <c r="C12" s="7" t="s">
        <v>1323</v>
      </c>
      <c r="D12" s="7" t="s">
        <v>1694</v>
      </c>
      <c r="E12" s="7" t="s">
        <v>1695</v>
      </c>
      <c r="F12" s="36">
        <v>43647</v>
      </c>
      <c r="G12" s="36">
        <v>44742</v>
      </c>
      <c r="H12" s="36">
        <v>44895</v>
      </c>
      <c r="I12" s="36">
        <v>44895</v>
      </c>
      <c r="J12" s="7" t="s">
        <v>1696</v>
      </c>
      <c r="K12" s="8">
        <v>0</v>
      </c>
      <c r="L12" s="8">
        <v>0</v>
      </c>
      <c r="M12" s="8">
        <v>299999.99751999998</v>
      </c>
      <c r="N12" s="8">
        <v>0</v>
      </c>
      <c r="O12" s="8">
        <v>0</v>
      </c>
      <c r="P12" s="8">
        <v>0</v>
      </c>
      <c r="Q12" s="8">
        <v>0</v>
      </c>
      <c r="R12" s="8">
        <f t="shared" si="0"/>
        <v>299999.99751999998</v>
      </c>
      <c r="S12" s="8">
        <v>0</v>
      </c>
      <c r="T12" s="8">
        <v>0</v>
      </c>
      <c r="U12" s="8">
        <v>300000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7">
        <v>0</v>
      </c>
      <c r="AB12" s="8">
        <v>0</v>
      </c>
      <c r="AC12" s="7">
        <v>7</v>
      </c>
      <c r="AD12" s="7" t="s">
        <v>1226</v>
      </c>
      <c r="AE12" s="8">
        <v>0</v>
      </c>
      <c r="AF12" s="8">
        <v>0</v>
      </c>
      <c r="AG12" s="8">
        <v>0</v>
      </c>
      <c r="AH12" s="8">
        <v>0</v>
      </c>
      <c r="AI12" s="7" t="s">
        <v>1194</v>
      </c>
      <c r="AJ12" s="7">
        <f t="shared" ca="1" si="1"/>
        <v>1</v>
      </c>
      <c r="AK12" s="96">
        <f t="shared" si="4"/>
        <v>0</v>
      </c>
      <c r="AL12" s="97">
        <f t="shared" si="5"/>
        <v>0</v>
      </c>
    </row>
    <row r="13" spans="1:38" x14ac:dyDescent="0.3">
      <c r="A13" s="7" t="s">
        <v>1704</v>
      </c>
      <c r="B13" s="7" t="s">
        <v>1320</v>
      </c>
      <c r="C13" s="7" t="s">
        <v>1323</v>
      </c>
      <c r="D13" s="7" t="s">
        <v>1694</v>
      </c>
      <c r="E13" s="7" t="s">
        <v>1695</v>
      </c>
      <c r="F13" s="36">
        <v>43647</v>
      </c>
      <c r="G13" s="36">
        <v>44742</v>
      </c>
      <c r="H13" s="36">
        <v>44895</v>
      </c>
      <c r="I13" s="36">
        <v>44895</v>
      </c>
      <c r="J13" s="7" t="s">
        <v>1699</v>
      </c>
      <c r="K13" s="8">
        <v>0</v>
      </c>
      <c r="L13" s="8">
        <v>0</v>
      </c>
      <c r="M13" s="8">
        <v>0</v>
      </c>
      <c r="N13" s="8">
        <v>250000</v>
      </c>
      <c r="O13" s="8">
        <v>0</v>
      </c>
      <c r="P13" s="8">
        <v>0</v>
      </c>
      <c r="Q13" s="8">
        <v>0</v>
      </c>
      <c r="R13" s="8">
        <f t="shared" si="0"/>
        <v>250000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7">
        <v>0</v>
      </c>
      <c r="AB13" s="8">
        <v>0</v>
      </c>
      <c r="AC13" s="7">
        <v>7</v>
      </c>
      <c r="AD13" s="7" t="s">
        <v>1226</v>
      </c>
      <c r="AE13" s="8">
        <v>0</v>
      </c>
      <c r="AF13" s="8">
        <v>0</v>
      </c>
      <c r="AG13" s="8">
        <v>0</v>
      </c>
      <c r="AH13" s="8">
        <v>0</v>
      </c>
      <c r="AI13" s="7" t="s">
        <v>1194</v>
      </c>
      <c r="AJ13" s="7">
        <f t="shared" ca="1" si="1"/>
        <v>2</v>
      </c>
      <c r="AK13" s="100">
        <f>(+AA13*AB13)/$AB$1103</f>
        <v>0</v>
      </c>
      <c r="AL13" s="97">
        <f>AC13/$AE$1103*AE13</f>
        <v>0</v>
      </c>
    </row>
    <row r="14" spans="1:38" x14ac:dyDescent="0.3">
      <c r="A14" s="7" t="s">
        <v>1705</v>
      </c>
      <c r="B14" s="7" t="s">
        <v>1320</v>
      </c>
      <c r="C14" s="7" t="s">
        <v>1323</v>
      </c>
      <c r="D14" s="7" t="s">
        <v>1694</v>
      </c>
      <c r="E14" s="7" t="s">
        <v>1695</v>
      </c>
      <c r="F14" s="36">
        <v>43647</v>
      </c>
      <c r="G14" s="36">
        <v>44742</v>
      </c>
      <c r="H14" s="36">
        <v>44895</v>
      </c>
      <c r="I14" s="36">
        <v>44895</v>
      </c>
      <c r="J14" s="7" t="s">
        <v>1696</v>
      </c>
      <c r="K14" s="8">
        <v>0</v>
      </c>
      <c r="L14" s="8">
        <v>0</v>
      </c>
      <c r="M14" s="8">
        <v>299999.99512199999</v>
      </c>
      <c r="N14" s="8">
        <v>0</v>
      </c>
      <c r="O14" s="8">
        <v>0</v>
      </c>
      <c r="P14" s="8">
        <v>0</v>
      </c>
      <c r="Q14" s="8">
        <v>0</v>
      </c>
      <c r="R14" s="8">
        <f t="shared" si="0"/>
        <v>299999.99512199999</v>
      </c>
      <c r="S14" s="8">
        <v>0</v>
      </c>
      <c r="T14" s="8">
        <v>0</v>
      </c>
      <c r="U14" s="8">
        <v>300000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7">
        <v>0</v>
      </c>
      <c r="AB14" s="8">
        <v>0</v>
      </c>
      <c r="AC14" s="7">
        <v>7</v>
      </c>
      <c r="AD14" s="7" t="s">
        <v>1226</v>
      </c>
      <c r="AE14" s="8">
        <v>0</v>
      </c>
      <c r="AF14" s="8">
        <v>0</v>
      </c>
      <c r="AG14" s="8">
        <v>0</v>
      </c>
      <c r="AH14" s="8">
        <v>0</v>
      </c>
      <c r="AI14" s="7" t="s">
        <v>1194</v>
      </c>
      <c r="AJ14" s="7">
        <f t="shared" ca="1" si="1"/>
        <v>1</v>
      </c>
      <c r="AK14" s="96">
        <f>(+AA14*AB14)/$AB$1102</f>
        <v>0</v>
      </c>
      <c r="AL14" s="97">
        <f>AC14/$AE$1102*AE14</f>
        <v>0</v>
      </c>
    </row>
    <row r="15" spans="1:38" x14ac:dyDescent="0.3">
      <c r="A15" s="7" t="s">
        <v>1705</v>
      </c>
      <c r="B15" s="7" t="s">
        <v>1320</v>
      </c>
      <c r="C15" s="7" t="s">
        <v>1323</v>
      </c>
      <c r="D15" s="7" t="s">
        <v>1694</v>
      </c>
      <c r="E15" s="7" t="s">
        <v>1695</v>
      </c>
      <c r="F15" s="36">
        <v>43647</v>
      </c>
      <c r="G15" s="36">
        <v>44742</v>
      </c>
      <c r="H15" s="36">
        <v>44895</v>
      </c>
      <c r="I15" s="36">
        <v>44895</v>
      </c>
      <c r="J15" s="7" t="s">
        <v>1699</v>
      </c>
      <c r="K15" s="8">
        <v>0</v>
      </c>
      <c r="L15" s="8">
        <v>0</v>
      </c>
      <c r="M15" s="8">
        <v>0</v>
      </c>
      <c r="N15" s="8">
        <v>250000</v>
      </c>
      <c r="O15" s="8">
        <v>0</v>
      </c>
      <c r="P15" s="8">
        <v>0</v>
      </c>
      <c r="Q15" s="8">
        <v>0</v>
      </c>
      <c r="R15" s="8">
        <f t="shared" si="0"/>
        <v>250000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7">
        <v>0</v>
      </c>
      <c r="AB15" s="8">
        <v>0</v>
      </c>
      <c r="AC15" s="7">
        <v>7</v>
      </c>
      <c r="AD15" s="7" t="s">
        <v>1226</v>
      </c>
      <c r="AE15" s="8">
        <v>0</v>
      </c>
      <c r="AF15" s="8">
        <v>0</v>
      </c>
      <c r="AG15" s="8">
        <v>0</v>
      </c>
      <c r="AH15" s="8">
        <v>0</v>
      </c>
      <c r="AI15" s="7" t="s">
        <v>1194</v>
      </c>
      <c r="AJ15" s="7">
        <f t="shared" ca="1" si="1"/>
        <v>2</v>
      </c>
      <c r="AK15" s="100">
        <f>(+AA15*AB15)/$AB$1103</f>
        <v>0</v>
      </c>
      <c r="AL15" s="97">
        <f>AC15/$AE$1103*AE15</f>
        <v>0</v>
      </c>
    </row>
    <row r="16" spans="1:38" x14ac:dyDescent="0.3">
      <c r="A16" s="7" t="s">
        <v>1706</v>
      </c>
      <c r="B16" s="7" t="s">
        <v>1320</v>
      </c>
      <c r="C16" s="7" t="s">
        <v>1323</v>
      </c>
      <c r="D16" s="7" t="s">
        <v>1694</v>
      </c>
      <c r="E16" s="7" t="s">
        <v>1695</v>
      </c>
      <c r="F16" s="36">
        <v>43647</v>
      </c>
      <c r="G16" s="36">
        <v>44742</v>
      </c>
      <c r="H16" s="36">
        <v>44895</v>
      </c>
      <c r="I16" s="36">
        <v>44895</v>
      </c>
      <c r="J16" s="7" t="s">
        <v>1696</v>
      </c>
      <c r="K16" s="8">
        <v>0</v>
      </c>
      <c r="L16" s="8">
        <v>0</v>
      </c>
      <c r="M16" s="8">
        <v>381722.62171333801</v>
      </c>
      <c r="N16" s="8">
        <v>0</v>
      </c>
      <c r="O16" s="8">
        <v>0</v>
      </c>
      <c r="P16" s="8">
        <v>0</v>
      </c>
      <c r="Q16" s="8">
        <v>0</v>
      </c>
      <c r="R16" s="8">
        <f t="shared" si="0"/>
        <v>381722.62171333801</v>
      </c>
      <c r="S16" s="8">
        <v>0</v>
      </c>
      <c r="T16" s="8">
        <v>0</v>
      </c>
      <c r="U16" s="8">
        <v>225707.6862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7">
        <v>0</v>
      </c>
      <c r="AB16" s="8">
        <v>0</v>
      </c>
      <c r="AC16" s="7">
        <v>7</v>
      </c>
      <c r="AD16" s="7" t="s">
        <v>1226</v>
      </c>
      <c r="AE16" s="8">
        <v>0</v>
      </c>
      <c r="AF16" s="8">
        <v>0</v>
      </c>
      <c r="AG16" s="8">
        <v>0</v>
      </c>
      <c r="AH16" s="8">
        <v>0</v>
      </c>
      <c r="AI16" s="7" t="s">
        <v>1194</v>
      </c>
      <c r="AJ16" s="7">
        <f t="shared" ca="1" si="1"/>
        <v>1</v>
      </c>
      <c r="AK16" s="96">
        <f>(+AA16*AB16)/$AB$1102</f>
        <v>0</v>
      </c>
      <c r="AL16" s="97">
        <f>AC16/$AE$1102*AE16</f>
        <v>0</v>
      </c>
    </row>
    <row r="17" spans="1:38" x14ac:dyDescent="0.3">
      <c r="A17" s="7" t="s">
        <v>1706</v>
      </c>
      <c r="B17" s="7" t="s">
        <v>1320</v>
      </c>
      <c r="C17" s="7" t="s">
        <v>1323</v>
      </c>
      <c r="D17" s="7" t="s">
        <v>1694</v>
      </c>
      <c r="E17" s="7" t="s">
        <v>1695</v>
      </c>
      <c r="F17" s="36">
        <v>43647</v>
      </c>
      <c r="G17" s="36">
        <v>44742</v>
      </c>
      <c r="H17" s="36">
        <v>44895</v>
      </c>
      <c r="I17" s="36">
        <v>44895</v>
      </c>
      <c r="J17" s="7" t="s">
        <v>1699</v>
      </c>
      <c r="K17" s="8">
        <v>0</v>
      </c>
      <c r="L17" s="8">
        <v>0</v>
      </c>
      <c r="M17" s="8">
        <v>0</v>
      </c>
      <c r="N17" s="8">
        <v>188089.73850000001</v>
      </c>
      <c r="O17" s="8">
        <v>0</v>
      </c>
      <c r="P17" s="8">
        <v>0</v>
      </c>
      <c r="Q17" s="8">
        <v>0</v>
      </c>
      <c r="R17" s="8">
        <f t="shared" si="0"/>
        <v>188089.73850000001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7">
        <v>0</v>
      </c>
      <c r="AB17" s="8">
        <v>0</v>
      </c>
      <c r="AC17" s="7">
        <v>7</v>
      </c>
      <c r="AD17" s="7" t="s">
        <v>1226</v>
      </c>
      <c r="AE17" s="8">
        <v>0</v>
      </c>
      <c r="AF17" s="8">
        <v>0</v>
      </c>
      <c r="AG17" s="8">
        <v>0</v>
      </c>
      <c r="AH17" s="8">
        <v>0</v>
      </c>
      <c r="AI17" s="7" t="s">
        <v>1194</v>
      </c>
      <c r="AJ17" s="7">
        <f t="shared" ca="1" si="1"/>
        <v>2</v>
      </c>
      <c r="AK17" s="100">
        <f>(+AA17*AB17)/$AB$1103</f>
        <v>0</v>
      </c>
      <c r="AL17" s="97">
        <f>AC17/$AE$1103*AE17</f>
        <v>0</v>
      </c>
    </row>
    <row r="18" spans="1:38" x14ac:dyDescent="0.3">
      <c r="A18" s="7" t="s">
        <v>1707</v>
      </c>
      <c r="B18" s="7" t="s">
        <v>1320</v>
      </c>
      <c r="C18" s="7" t="s">
        <v>1323</v>
      </c>
      <c r="D18" s="7" t="s">
        <v>1694</v>
      </c>
      <c r="E18" s="7" t="s">
        <v>1695</v>
      </c>
      <c r="F18" s="36">
        <v>43647</v>
      </c>
      <c r="G18" s="36">
        <v>44742</v>
      </c>
      <c r="H18" s="36">
        <v>44895</v>
      </c>
      <c r="I18" s="36">
        <v>44895</v>
      </c>
      <c r="J18" s="7" t="s">
        <v>1696</v>
      </c>
      <c r="K18" s="8">
        <v>0</v>
      </c>
      <c r="L18" s="8">
        <v>0</v>
      </c>
      <c r="M18" s="8">
        <v>387055.95362501801</v>
      </c>
      <c r="N18" s="8">
        <v>0</v>
      </c>
      <c r="O18" s="8">
        <v>0</v>
      </c>
      <c r="P18" s="8">
        <v>0</v>
      </c>
      <c r="Q18" s="8">
        <v>0</v>
      </c>
      <c r="R18" s="8">
        <f t="shared" si="0"/>
        <v>387055.95362501801</v>
      </c>
      <c r="S18" s="8">
        <v>0</v>
      </c>
      <c r="T18" s="8">
        <v>0</v>
      </c>
      <c r="U18" s="8">
        <v>225707.6862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7">
        <v>0</v>
      </c>
      <c r="AB18" s="8">
        <v>18808.976708211667</v>
      </c>
      <c r="AC18" s="7">
        <v>7</v>
      </c>
      <c r="AD18" s="7" t="s">
        <v>1226</v>
      </c>
      <c r="AE18" s="8">
        <v>0</v>
      </c>
      <c r="AF18" s="8">
        <v>0</v>
      </c>
      <c r="AG18" s="8">
        <v>0</v>
      </c>
      <c r="AH18" s="8">
        <v>0</v>
      </c>
      <c r="AI18" s="7" t="s">
        <v>1194</v>
      </c>
      <c r="AJ18" s="7">
        <f t="shared" ca="1" si="1"/>
        <v>1</v>
      </c>
      <c r="AK18" s="96">
        <f>(+AA18*AB18)/$AB$1102</f>
        <v>0</v>
      </c>
      <c r="AL18" s="97">
        <f>AC18/$AE$1102*AE18</f>
        <v>0</v>
      </c>
    </row>
    <row r="19" spans="1:38" x14ac:dyDescent="0.3">
      <c r="A19" s="7" t="s">
        <v>1707</v>
      </c>
      <c r="B19" s="7" t="s">
        <v>1320</v>
      </c>
      <c r="C19" s="7" t="s">
        <v>1323</v>
      </c>
      <c r="D19" s="7" t="s">
        <v>1694</v>
      </c>
      <c r="E19" s="7" t="s">
        <v>1695</v>
      </c>
      <c r="F19" s="36">
        <v>43647</v>
      </c>
      <c r="G19" s="36">
        <v>44742</v>
      </c>
      <c r="H19" s="36">
        <v>44895</v>
      </c>
      <c r="I19" s="36">
        <v>44895</v>
      </c>
      <c r="J19" s="7" t="s">
        <v>1699</v>
      </c>
      <c r="K19" s="8">
        <v>0</v>
      </c>
      <c r="L19" s="8">
        <v>0</v>
      </c>
      <c r="M19" s="8">
        <v>0</v>
      </c>
      <c r="N19" s="8">
        <v>188089.73850000001</v>
      </c>
      <c r="O19" s="8">
        <v>0</v>
      </c>
      <c r="P19" s="8">
        <v>0</v>
      </c>
      <c r="Q19" s="8">
        <v>0</v>
      </c>
      <c r="R19" s="8">
        <f t="shared" si="0"/>
        <v>188089.73850000001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7">
        <v>0</v>
      </c>
      <c r="AB19" s="8">
        <v>0</v>
      </c>
      <c r="AC19" s="7">
        <v>7</v>
      </c>
      <c r="AD19" s="7" t="s">
        <v>1226</v>
      </c>
      <c r="AE19" s="8">
        <v>0</v>
      </c>
      <c r="AF19" s="8">
        <v>0</v>
      </c>
      <c r="AG19" s="8">
        <v>0</v>
      </c>
      <c r="AH19" s="8">
        <v>0</v>
      </c>
      <c r="AI19" s="7" t="s">
        <v>1194</v>
      </c>
      <c r="AJ19" s="7">
        <f t="shared" ca="1" si="1"/>
        <v>2</v>
      </c>
      <c r="AK19" s="100">
        <f>(+AA19*AB19)/$AB$1103</f>
        <v>0</v>
      </c>
      <c r="AL19" s="97">
        <f>AC19/$AE$1103*AE19</f>
        <v>0</v>
      </c>
    </row>
    <row r="20" spans="1:38" x14ac:dyDescent="0.3">
      <c r="A20" s="7" t="s">
        <v>1708</v>
      </c>
      <c r="B20" s="7" t="s">
        <v>1320</v>
      </c>
      <c r="C20" s="7" t="s">
        <v>1323</v>
      </c>
      <c r="D20" s="7" t="s">
        <v>1694</v>
      </c>
      <c r="E20" s="7" t="s">
        <v>1695</v>
      </c>
      <c r="F20" s="36">
        <v>43647</v>
      </c>
      <c r="G20" s="36">
        <v>44742</v>
      </c>
      <c r="H20" s="36">
        <v>44895</v>
      </c>
      <c r="I20" s="36">
        <v>44895</v>
      </c>
      <c r="J20" s="7" t="s">
        <v>1239</v>
      </c>
      <c r="K20" s="8">
        <v>271461.54903599998</v>
      </c>
      <c r="L20" s="8">
        <v>4316.1388980000002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f t="shared" si="0"/>
        <v>275777.68793399999</v>
      </c>
      <c r="S20" s="8">
        <v>0</v>
      </c>
      <c r="T20" s="8">
        <v>6030.9583080000002</v>
      </c>
      <c r="U20" s="8">
        <v>0</v>
      </c>
      <c r="V20" s="8">
        <v>293969.041692</v>
      </c>
      <c r="W20" s="8">
        <v>0</v>
      </c>
      <c r="X20" s="8">
        <v>0</v>
      </c>
      <c r="Y20" s="8">
        <v>0</v>
      </c>
      <c r="Z20" s="8">
        <v>0</v>
      </c>
      <c r="AA20" s="7">
        <v>0</v>
      </c>
      <c r="AB20" s="8">
        <v>0</v>
      </c>
      <c r="AC20" s="7">
        <v>7</v>
      </c>
      <c r="AD20" s="7" t="s">
        <v>1226</v>
      </c>
      <c r="AE20" s="8">
        <v>0</v>
      </c>
      <c r="AF20" s="8">
        <v>0</v>
      </c>
      <c r="AG20" s="8">
        <v>0</v>
      </c>
      <c r="AH20" s="8">
        <v>0</v>
      </c>
      <c r="AI20" s="7" t="s">
        <v>1194</v>
      </c>
      <c r="AJ20" s="7">
        <f t="shared" ca="1" si="1"/>
        <v>1</v>
      </c>
      <c r="AK20" s="96">
        <f t="shared" ref="AK20:AK63" si="6">(+AA20*AB20)/$AB$1101</f>
        <v>0</v>
      </c>
      <c r="AL20" s="97">
        <f t="shared" ref="AL20:AL63" si="7">AC20/$AE$1101*AE20</f>
        <v>0</v>
      </c>
    </row>
    <row r="21" spans="1:38" x14ac:dyDescent="0.3">
      <c r="A21" s="7" t="s">
        <v>1708</v>
      </c>
      <c r="B21" s="7" t="s">
        <v>1320</v>
      </c>
      <c r="C21" s="7" t="s">
        <v>1323</v>
      </c>
      <c r="D21" s="7" t="s">
        <v>1694</v>
      </c>
      <c r="E21" s="7" t="s">
        <v>1695</v>
      </c>
      <c r="F21" s="36">
        <v>43647</v>
      </c>
      <c r="G21" s="36">
        <v>44742</v>
      </c>
      <c r="H21" s="36">
        <v>44895</v>
      </c>
      <c r="I21" s="36">
        <v>44895</v>
      </c>
      <c r="J21" s="7" t="s">
        <v>1699</v>
      </c>
      <c r="K21" s="8">
        <v>0</v>
      </c>
      <c r="L21" s="8">
        <v>0</v>
      </c>
      <c r="M21" s="8">
        <v>0</v>
      </c>
      <c r="N21" s="8">
        <v>250000</v>
      </c>
      <c r="O21" s="8">
        <v>0</v>
      </c>
      <c r="P21" s="8">
        <v>0</v>
      </c>
      <c r="Q21" s="8">
        <v>0</v>
      </c>
      <c r="R21" s="8">
        <f t="shared" si="0"/>
        <v>250000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7">
        <v>0</v>
      </c>
      <c r="AB21" s="8">
        <v>0</v>
      </c>
      <c r="AC21" s="7">
        <v>7</v>
      </c>
      <c r="AD21" s="7" t="s">
        <v>1226</v>
      </c>
      <c r="AE21" s="8">
        <v>0</v>
      </c>
      <c r="AF21" s="8">
        <v>0</v>
      </c>
      <c r="AG21" s="8">
        <v>0</v>
      </c>
      <c r="AH21" s="8">
        <v>0</v>
      </c>
      <c r="AI21" s="7" t="s">
        <v>1194</v>
      </c>
      <c r="AJ21" s="7">
        <f t="shared" ca="1" si="1"/>
        <v>2</v>
      </c>
      <c r="AK21" s="100">
        <f>(+AA21*AB21)/$AB$1103</f>
        <v>0</v>
      </c>
      <c r="AL21" s="97">
        <f>AC21/$AE$1103*AE21</f>
        <v>0</v>
      </c>
    </row>
    <row r="22" spans="1:38" x14ac:dyDescent="0.3">
      <c r="A22" s="7" t="s">
        <v>1709</v>
      </c>
      <c r="B22" s="7" t="s">
        <v>1320</v>
      </c>
      <c r="C22" s="7" t="s">
        <v>1323</v>
      </c>
      <c r="D22" s="7" t="s">
        <v>1694</v>
      </c>
      <c r="E22" s="7" t="s">
        <v>1695</v>
      </c>
      <c r="F22" s="36">
        <v>43647</v>
      </c>
      <c r="G22" s="36">
        <v>44742</v>
      </c>
      <c r="H22" s="36">
        <v>44895</v>
      </c>
      <c r="I22" s="36">
        <v>44895</v>
      </c>
      <c r="J22" s="7" t="s">
        <v>1696</v>
      </c>
      <c r="K22" s="8">
        <v>0</v>
      </c>
      <c r="L22" s="8">
        <v>0</v>
      </c>
      <c r="M22" s="8">
        <v>302499.995123</v>
      </c>
      <c r="N22" s="8">
        <v>0</v>
      </c>
      <c r="O22" s="8">
        <v>0</v>
      </c>
      <c r="P22" s="8">
        <v>0</v>
      </c>
      <c r="Q22" s="8">
        <v>0</v>
      </c>
      <c r="R22" s="8">
        <f t="shared" si="0"/>
        <v>302499.995123</v>
      </c>
      <c r="S22" s="8">
        <v>0</v>
      </c>
      <c r="T22" s="8">
        <v>0</v>
      </c>
      <c r="U22" s="8">
        <v>300000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7">
        <v>0</v>
      </c>
      <c r="AB22" s="8">
        <v>0</v>
      </c>
      <c r="AC22" s="7">
        <v>7</v>
      </c>
      <c r="AD22" s="7" t="s">
        <v>1226</v>
      </c>
      <c r="AE22" s="8">
        <v>0</v>
      </c>
      <c r="AF22" s="8">
        <v>0</v>
      </c>
      <c r="AG22" s="8">
        <v>0</v>
      </c>
      <c r="AH22" s="8">
        <v>0</v>
      </c>
      <c r="AI22" s="7" t="s">
        <v>1194</v>
      </c>
      <c r="AJ22" s="7">
        <f t="shared" ca="1" si="1"/>
        <v>1</v>
      </c>
      <c r="AK22" s="96">
        <f>(+AA22*AB22)/$AB$1102</f>
        <v>0</v>
      </c>
      <c r="AL22" s="97">
        <f>AC22/$AE$1102*AE22</f>
        <v>0</v>
      </c>
    </row>
    <row r="23" spans="1:38" x14ac:dyDescent="0.3">
      <c r="A23" s="7" t="s">
        <v>1709</v>
      </c>
      <c r="B23" s="7" t="s">
        <v>1320</v>
      </c>
      <c r="C23" s="7" t="s">
        <v>1323</v>
      </c>
      <c r="D23" s="7" t="s">
        <v>1694</v>
      </c>
      <c r="E23" s="7" t="s">
        <v>1695</v>
      </c>
      <c r="F23" s="36">
        <v>43647</v>
      </c>
      <c r="G23" s="36">
        <v>44742</v>
      </c>
      <c r="H23" s="36">
        <v>44895</v>
      </c>
      <c r="I23" s="36">
        <v>44895</v>
      </c>
      <c r="J23" s="7" t="s">
        <v>1699</v>
      </c>
      <c r="K23" s="8">
        <v>0</v>
      </c>
      <c r="L23" s="8">
        <v>0</v>
      </c>
      <c r="M23" s="8">
        <v>0</v>
      </c>
      <c r="N23" s="8">
        <v>250000</v>
      </c>
      <c r="O23" s="8">
        <v>0</v>
      </c>
      <c r="P23" s="8">
        <v>0</v>
      </c>
      <c r="Q23" s="8">
        <v>0</v>
      </c>
      <c r="R23" s="8">
        <f t="shared" si="0"/>
        <v>250000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7">
        <v>0</v>
      </c>
      <c r="AB23" s="8">
        <v>0</v>
      </c>
      <c r="AC23" s="7">
        <v>7</v>
      </c>
      <c r="AD23" s="7" t="s">
        <v>1226</v>
      </c>
      <c r="AE23" s="8">
        <v>0</v>
      </c>
      <c r="AF23" s="8">
        <v>0</v>
      </c>
      <c r="AG23" s="8">
        <v>0</v>
      </c>
      <c r="AH23" s="8">
        <v>0</v>
      </c>
      <c r="AI23" s="7" t="s">
        <v>1194</v>
      </c>
      <c r="AJ23" s="7">
        <f t="shared" ca="1" si="1"/>
        <v>2</v>
      </c>
      <c r="AK23" s="100">
        <f>(+AA23*AB23)/$AB$1103</f>
        <v>0</v>
      </c>
      <c r="AL23" s="97">
        <f>AC23/$AE$1103*AE23</f>
        <v>0</v>
      </c>
    </row>
    <row r="24" spans="1:38" x14ac:dyDescent="0.3">
      <c r="A24" s="7" t="s">
        <v>1710</v>
      </c>
      <c r="B24" s="7" t="s">
        <v>1320</v>
      </c>
      <c r="C24" s="7" t="s">
        <v>1323</v>
      </c>
      <c r="D24" s="7" t="s">
        <v>1694</v>
      </c>
      <c r="E24" s="7" t="s">
        <v>1695</v>
      </c>
      <c r="F24" s="36">
        <v>43647</v>
      </c>
      <c r="G24" s="36">
        <v>44742</v>
      </c>
      <c r="H24" s="36">
        <v>44895</v>
      </c>
      <c r="I24" s="36">
        <v>44895</v>
      </c>
      <c r="J24" s="7" t="s">
        <v>1696</v>
      </c>
      <c r="K24" s="8">
        <v>0</v>
      </c>
      <c r="L24" s="8">
        <v>0</v>
      </c>
      <c r="M24" s="8">
        <v>299999.99513</v>
      </c>
      <c r="N24" s="8">
        <v>0</v>
      </c>
      <c r="O24" s="8">
        <v>0</v>
      </c>
      <c r="P24" s="8">
        <v>0</v>
      </c>
      <c r="Q24" s="8">
        <v>0</v>
      </c>
      <c r="R24" s="8">
        <f t="shared" si="0"/>
        <v>299999.99513</v>
      </c>
      <c r="S24" s="8">
        <v>0</v>
      </c>
      <c r="T24" s="8">
        <v>0</v>
      </c>
      <c r="U24" s="8">
        <v>300000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7">
        <v>0</v>
      </c>
      <c r="AB24" s="8">
        <v>0</v>
      </c>
      <c r="AC24" s="7">
        <v>7</v>
      </c>
      <c r="AD24" s="7" t="s">
        <v>1226</v>
      </c>
      <c r="AE24" s="8">
        <v>0</v>
      </c>
      <c r="AF24" s="8">
        <v>0</v>
      </c>
      <c r="AG24" s="8">
        <v>0</v>
      </c>
      <c r="AH24" s="8">
        <v>0</v>
      </c>
      <c r="AI24" s="7" t="s">
        <v>1194</v>
      </c>
      <c r="AJ24" s="7">
        <f t="shared" ca="1" si="1"/>
        <v>1</v>
      </c>
      <c r="AK24" s="96">
        <f>(+AA24*AB24)/$AB$1102</f>
        <v>0</v>
      </c>
      <c r="AL24" s="97">
        <f>AC24/$AE$1102*AE24</f>
        <v>0</v>
      </c>
    </row>
    <row r="25" spans="1:38" x14ac:dyDescent="0.3">
      <c r="A25" s="7" t="s">
        <v>1710</v>
      </c>
      <c r="B25" s="7" t="s">
        <v>1320</v>
      </c>
      <c r="C25" s="7" t="s">
        <v>1323</v>
      </c>
      <c r="D25" s="7" t="s">
        <v>1694</v>
      </c>
      <c r="E25" s="7" t="s">
        <v>1695</v>
      </c>
      <c r="F25" s="36">
        <v>43647</v>
      </c>
      <c r="G25" s="36">
        <v>44742</v>
      </c>
      <c r="H25" s="36">
        <v>44895</v>
      </c>
      <c r="I25" s="36">
        <v>44895</v>
      </c>
      <c r="J25" s="7" t="s">
        <v>1699</v>
      </c>
      <c r="K25" s="8">
        <v>0</v>
      </c>
      <c r="L25" s="8">
        <v>0</v>
      </c>
      <c r="M25" s="8">
        <v>0</v>
      </c>
      <c r="N25" s="8">
        <v>250000</v>
      </c>
      <c r="O25" s="8">
        <v>0</v>
      </c>
      <c r="P25" s="8">
        <v>0</v>
      </c>
      <c r="Q25" s="8">
        <v>0</v>
      </c>
      <c r="R25" s="8">
        <f t="shared" si="0"/>
        <v>250000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7">
        <v>0</v>
      </c>
      <c r="AB25" s="8">
        <v>0</v>
      </c>
      <c r="AC25" s="7">
        <v>7</v>
      </c>
      <c r="AD25" s="7" t="s">
        <v>1226</v>
      </c>
      <c r="AE25" s="8">
        <v>0</v>
      </c>
      <c r="AF25" s="8">
        <v>0</v>
      </c>
      <c r="AG25" s="8">
        <v>0</v>
      </c>
      <c r="AH25" s="8">
        <v>0</v>
      </c>
      <c r="AI25" s="7" t="s">
        <v>1194</v>
      </c>
      <c r="AJ25" s="7">
        <f t="shared" ca="1" si="1"/>
        <v>2</v>
      </c>
      <c r="AK25" s="100">
        <f>(+AA25*AB25)/$AB$1103</f>
        <v>0</v>
      </c>
      <c r="AL25" s="97">
        <f>AC25/$AE$1103*AE25</f>
        <v>0</v>
      </c>
    </row>
    <row r="26" spans="1:38" x14ac:dyDescent="0.3">
      <c r="A26" s="7" t="s">
        <v>1711</v>
      </c>
      <c r="B26" s="7" t="s">
        <v>1320</v>
      </c>
      <c r="C26" s="7" t="s">
        <v>1323</v>
      </c>
      <c r="D26" s="7" t="s">
        <v>1694</v>
      </c>
      <c r="E26" s="7" t="s">
        <v>1695</v>
      </c>
      <c r="F26" s="36">
        <v>43661</v>
      </c>
      <c r="G26" s="36">
        <v>44756</v>
      </c>
      <c r="H26" s="36">
        <v>44895</v>
      </c>
      <c r="I26" s="36">
        <v>44895</v>
      </c>
      <c r="J26" s="7" t="s">
        <v>1696</v>
      </c>
      <c r="K26" s="8">
        <v>0</v>
      </c>
      <c r="L26" s="8">
        <v>0</v>
      </c>
      <c r="M26" s="8">
        <v>322580.64291300002</v>
      </c>
      <c r="N26" s="8">
        <v>0</v>
      </c>
      <c r="O26" s="8">
        <v>0</v>
      </c>
      <c r="P26" s="8">
        <v>0</v>
      </c>
      <c r="Q26" s="8">
        <v>0</v>
      </c>
      <c r="R26" s="8">
        <f t="shared" si="0"/>
        <v>322580.64291300002</v>
      </c>
      <c r="S26" s="8">
        <v>0</v>
      </c>
      <c r="T26" s="8">
        <v>0</v>
      </c>
      <c r="U26" s="8">
        <v>300000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7">
        <v>0</v>
      </c>
      <c r="AB26" s="8">
        <v>0</v>
      </c>
      <c r="AC26" s="7">
        <v>7</v>
      </c>
      <c r="AD26" s="7" t="s">
        <v>1226</v>
      </c>
      <c r="AE26" s="8">
        <v>0</v>
      </c>
      <c r="AF26" s="8">
        <v>0</v>
      </c>
      <c r="AG26" s="8">
        <v>0</v>
      </c>
      <c r="AH26" s="8">
        <v>0</v>
      </c>
      <c r="AI26" s="7" t="s">
        <v>1194</v>
      </c>
      <c r="AJ26" s="7">
        <f t="shared" ca="1" si="1"/>
        <v>1</v>
      </c>
      <c r="AK26" s="96">
        <f>(+AA26*AB26)/$AB$1102</f>
        <v>0</v>
      </c>
      <c r="AL26" s="97">
        <f>AC26/$AE$1102*AE26</f>
        <v>0</v>
      </c>
    </row>
    <row r="27" spans="1:38" x14ac:dyDescent="0.3">
      <c r="A27" s="7" t="s">
        <v>1711</v>
      </c>
      <c r="B27" s="7" t="s">
        <v>1320</v>
      </c>
      <c r="C27" s="7" t="s">
        <v>1323</v>
      </c>
      <c r="D27" s="7" t="s">
        <v>1694</v>
      </c>
      <c r="E27" s="7" t="s">
        <v>1695</v>
      </c>
      <c r="F27" s="36">
        <v>43661</v>
      </c>
      <c r="G27" s="36">
        <v>44756</v>
      </c>
      <c r="H27" s="36">
        <v>44895</v>
      </c>
      <c r="I27" s="36">
        <v>44895</v>
      </c>
      <c r="J27" s="7" t="s">
        <v>1699</v>
      </c>
      <c r="K27" s="8">
        <v>0</v>
      </c>
      <c r="L27" s="8">
        <v>0</v>
      </c>
      <c r="M27" s="8">
        <v>0</v>
      </c>
      <c r="N27" s="8">
        <v>250000</v>
      </c>
      <c r="O27" s="8">
        <v>0</v>
      </c>
      <c r="P27" s="8">
        <v>0</v>
      </c>
      <c r="Q27" s="8">
        <v>0</v>
      </c>
      <c r="R27" s="8">
        <f t="shared" si="0"/>
        <v>250000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7">
        <v>0</v>
      </c>
      <c r="AB27" s="8">
        <v>0</v>
      </c>
      <c r="AC27" s="7">
        <v>7</v>
      </c>
      <c r="AD27" s="7" t="s">
        <v>1226</v>
      </c>
      <c r="AE27" s="8">
        <v>0</v>
      </c>
      <c r="AF27" s="8">
        <v>0</v>
      </c>
      <c r="AG27" s="8">
        <v>0</v>
      </c>
      <c r="AH27" s="8">
        <v>0</v>
      </c>
      <c r="AI27" s="7" t="s">
        <v>1194</v>
      </c>
      <c r="AJ27" s="7">
        <f t="shared" ca="1" si="1"/>
        <v>2</v>
      </c>
      <c r="AK27" s="100">
        <f>(+AA27*AB27)/$AB$1103</f>
        <v>0</v>
      </c>
      <c r="AL27" s="97">
        <f>AC27/$AE$1103*AE27</f>
        <v>0</v>
      </c>
    </row>
    <row r="28" spans="1:38" x14ac:dyDescent="0.3">
      <c r="A28" s="7" t="s">
        <v>1712</v>
      </c>
      <c r="B28" s="7" t="s">
        <v>1320</v>
      </c>
      <c r="C28" s="7" t="s">
        <v>1323</v>
      </c>
      <c r="D28" s="7" t="s">
        <v>1694</v>
      </c>
      <c r="E28" s="7" t="s">
        <v>1695</v>
      </c>
      <c r="F28" s="36">
        <v>43647</v>
      </c>
      <c r="G28" s="36">
        <v>44742</v>
      </c>
      <c r="H28" s="36">
        <v>44895</v>
      </c>
      <c r="I28" s="36">
        <v>44895</v>
      </c>
      <c r="J28" s="7" t="s">
        <v>1696</v>
      </c>
      <c r="K28" s="8">
        <v>0</v>
      </c>
      <c r="L28" s="8">
        <v>0</v>
      </c>
      <c r="M28" s="8">
        <v>300000</v>
      </c>
      <c r="N28" s="8">
        <v>0</v>
      </c>
      <c r="O28" s="8">
        <v>0</v>
      </c>
      <c r="P28" s="8">
        <v>0</v>
      </c>
      <c r="Q28" s="8">
        <v>0</v>
      </c>
      <c r="R28" s="8">
        <f t="shared" si="0"/>
        <v>300000</v>
      </c>
      <c r="S28" s="8">
        <v>0</v>
      </c>
      <c r="T28" s="8">
        <v>0</v>
      </c>
      <c r="U28" s="8">
        <v>300000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7">
        <v>0</v>
      </c>
      <c r="AB28" s="8">
        <v>0</v>
      </c>
      <c r="AC28" s="7">
        <v>7</v>
      </c>
      <c r="AD28" s="7" t="s">
        <v>1226</v>
      </c>
      <c r="AE28" s="8">
        <v>0</v>
      </c>
      <c r="AF28" s="8">
        <v>0</v>
      </c>
      <c r="AG28" s="8">
        <v>0</v>
      </c>
      <c r="AH28" s="8">
        <v>0</v>
      </c>
      <c r="AI28" s="7" t="s">
        <v>1194</v>
      </c>
      <c r="AJ28" s="7">
        <f t="shared" ca="1" si="1"/>
        <v>1</v>
      </c>
      <c r="AK28" s="96">
        <f>(+AA28*AB28)/$AB$1102</f>
        <v>0</v>
      </c>
      <c r="AL28" s="97">
        <f>AC28/$AE$1102*AE28</f>
        <v>0</v>
      </c>
    </row>
    <row r="29" spans="1:38" x14ac:dyDescent="0.3">
      <c r="A29" s="7" t="s">
        <v>1712</v>
      </c>
      <c r="B29" s="7" t="s">
        <v>1320</v>
      </c>
      <c r="C29" s="7" t="s">
        <v>1323</v>
      </c>
      <c r="D29" s="7" t="s">
        <v>1694</v>
      </c>
      <c r="E29" s="7" t="s">
        <v>1695</v>
      </c>
      <c r="F29" s="36">
        <v>43647</v>
      </c>
      <c r="G29" s="36">
        <v>44742</v>
      </c>
      <c r="H29" s="36">
        <v>44895</v>
      </c>
      <c r="I29" s="36">
        <v>44895</v>
      </c>
      <c r="J29" s="7" t="s">
        <v>1699</v>
      </c>
      <c r="K29" s="8">
        <v>0</v>
      </c>
      <c r="L29" s="8">
        <v>0</v>
      </c>
      <c r="M29" s="8">
        <v>0</v>
      </c>
      <c r="N29" s="8">
        <v>250000</v>
      </c>
      <c r="O29" s="8">
        <v>0</v>
      </c>
      <c r="P29" s="8">
        <v>0</v>
      </c>
      <c r="Q29" s="8">
        <v>0</v>
      </c>
      <c r="R29" s="8">
        <f t="shared" si="0"/>
        <v>250000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7">
        <v>0</v>
      </c>
      <c r="AB29" s="8">
        <v>0</v>
      </c>
      <c r="AC29" s="7">
        <v>7</v>
      </c>
      <c r="AD29" s="7" t="s">
        <v>1226</v>
      </c>
      <c r="AE29" s="8">
        <v>0</v>
      </c>
      <c r="AF29" s="8">
        <v>0</v>
      </c>
      <c r="AG29" s="8">
        <v>0</v>
      </c>
      <c r="AH29" s="8">
        <v>0</v>
      </c>
      <c r="AI29" s="7" t="s">
        <v>1194</v>
      </c>
      <c r="AJ29" s="7">
        <f t="shared" ca="1" si="1"/>
        <v>2</v>
      </c>
      <c r="AK29" s="100">
        <f t="shared" ref="AK29:AK30" si="8">(+AA29*AB29)/$AB$1103</f>
        <v>0</v>
      </c>
      <c r="AL29" s="97">
        <f t="shared" ref="AL29:AL30" si="9">AC29/$AE$1103*AE29</f>
        <v>0</v>
      </c>
    </row>
    <row r="30" spans="1:38" x14ac:dyDescent="0.3">
      <c r="A30" s="7" t="s">
        <v>1713</v>
      </c>
      <c r="B30" s="7" t="s">
        <v>1320</v>
      </c>
      <c r="C30" s="7" t="s">
        <v>1323</v>
      </c>
      <c r="D30" s="7" t="s">
        <v>1694</v>
      </c>
      <c r="E30" s="7" t="s">
        <v>1695</v>
      </c>
      <c r="F30" s="36">
        <v>43647</v>
      </c>
      <c r="G30" s="36">
        <v>43890</v>
      </c>
      <c r="H30" s="36">
        <v>44895</v>
      </c>
      <c r="I30" s="36">
        <v>44895</v>
      </c>
      <c r="J30" s="7" t="s">
        <v>1699</v>
      </c>
      <c r="K30" s="8">
        <v>0</v>
      </c>
      <c r="L30" s="8">
        <v>0</v>
      </c>
      <c r="M30" s="8">
        <v>0</v>
      </c>
      <c r="N30" s="8">
        <v>715000</v>
      </c>
      <c r="O30" s="8">
        <v>0</v>
      </c>
      <c r="P30" s="8">
        <v>0</v>
      </c>
      <c r="Q30" s="8">
        <v>0</v>
      </c>
      <c r="R30" s="8">
        <f t="shared" si="0"/>
        <v>715000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7">
        <v>0</v>
      </c>
      <c r="AB30" s="8">
        <v>0</v>
      </c>
      <c r="AC30" s="7">
        <v>7</v>
      </c>
      <c r="AD30" s="7" t="s">
        <v>1226</v>
      </c>
      <c r="AE30" s="8">
        <v>0</v>
      </c>
      <c r="AF30" s="8">
        <v>0</v>
      </c>
      <c r="AG30" s="8">
        <v>0</v>
      </c>
      <c r="AH30" s="8">
        <v>0</v>
      </c>
      <c r="AI30" s="7" t="s">
        <v>1194</v>
      </c>
      <c r="AJ30" s="7">
        <f t="shared" ca="1" si="1"/>
        <v>1</v>
      </c>
      <c r="AK30" s="100">
        <f t="shared" si="8"/>
        <v>0</v>
      </c>
      <c r="AL30" s="97">
        <f t="shared" si="9"/>
        <v>0</v>
      </c>
    </row>
    <row r="31" spans="1:38" x14ac:dyDescent="0.3">
      <c r="A31" s="7" t="s">
        <v>1714</v>
      </c>
      <c r="B31" s="7" t="s">
        <v>1320</v>
      </c>
      <c r="C31" s="7" t="s">
        <v>1323</v>
      </c>
      <c r="D31" s="7" t="s">
        <v>1694</v>
      </c>
      <c r="E31" s="7" t="s">
        <v>1695</v>
      </c>
      <c r="F31" s="36">
        <v>43647</v>
      </c>
      <c r="G31" s="36">
        <v>44742</v>
      </c>
      <c r="H31" s="36">
        <v>44895</v>
      </c>
      <c r="I31" s="36">
        <v>44895</v>
      </c>
      <c r="J31" s="7" t="s">
        <v>1696</v>
      </c>
      <c r="K31" s="8">
        <v>0</v>
      </c>
      <c r="L31" s="8">
        <v>0</v>
      </c>
      <c r="M31" s="8">
        <v>99436.932555000007</v>
      </c>
      <c r="N31" s="8">
        <v>0</v>
      </c>
      <c r="O31" s="8">
        <v>0</v>
      </c>
      <c r="P31" s="8">
        <v>0</v>
      </c>
      <c r="Q31" s="8">
        <v>0</v>
      </c>
      <c r="R31" s="8">
        <f t="shared" si="0"/>
        <v>99436.932555000007</v>
      </c>
      <c r="S31" s="8">
        <v>0</v>
      </c>
      <c r="T31" s="8">
        <v>0</v>
      </c>
      <c r="U31" s="8">
        <v>200000</v>
      </c>
      <c r="V31" s="8">
        <v>0</v>
      </c>
      <c r="W31" s="8">
        <v>0</v>
      </c>
      <c r="X31" s="8">
        <v>0</v>
      </c>
      <c r="Y31" s="8">
        <v>0</v>
      </c>
      <c r="Z31" s="8">
        <v>-690543.69460799999</v>
      </c>
      <c r="AA31" s="7">
        <v>0</v>
      </c>
      <c r="AB31" s="8">
        <v>0</v>
      </c>
      <c r="AC31" s="7">
        <v>2.920417</v>
      </c>
      <c r="AD31" s="7" t="s">
        <v>1697</v>
      </c>
      <c r="AE31" s="8">
        <v>0</v>
      </c>
      <c r="AF31" s="8">
        <v>0</v>
      </c>
      <c r="AG31" s="8">
        <v>0</v>
      </c>
      <c r="AH31" s="8">
        <v>0</v>
      </c>
      <c r="AI31" s="7" t="s">
        <v>1194</v>
      </c>
      <c r="AJ31" s="7">
        <f t="shared" ca="1" si="1"/>
        <v>1</v>
      </c>
      <c r="AK31" s="96">
        <f t="shared" ref="AK31:AK33" si="10">(+AA31*AB31)/$AB$1102</f>
        <v>0</v>
      </c>
      <c r="AL31" s="97">
        <f t="shared" ref="AL31:AL33" si="11">AC31/$AE$1102*AE31</f>
        <v>0</v>
      </c>
    </row>
    <row r="32" spans="1:38" x14ac:dyDescent="0.3">
      <c r="A32" s="7" t="s">
        <v>1715</v>
      </c>
      <c r="B32" s="7" t="s">
        <v>1320</v>
      </c>
      <c r="C32" s="7" t="s">
        <v>1323</v>
      </c>
      <c r="D32" s="7" t="s">
        <v>1694</v>
      </c>
      <c r="E32" s="7" t="s">
        <v>1695</v>
      </c>
      <c r="F32" s="36">
        <v>43647</v>
      </c>
      <c r="G32" s="36">
        <v>44742</v>
      </c>
      <c r="H32" s="36">
        <v>44895</v>
      </c>
      <c r="I32" s="36">
        <v>44895</v>
      </c>
      <c r="J32" s="7" t="s">
        <v>1696</v>
      </c>
      <c r="K32" s="8">
        <v>0</v>
      </c>
      <c r="L32" s="8">
        <v>0</v>
      </c>
      <c r="M32" s="8">
        <v>315202.70629399997</v>
      </c>
      <c r="N32" s="8">
        <v>0</v>
      </c>
      <c r="O32" s="8">
        <v>0</v>
      </c>
      <c r="P32" s="8">
        <v>0</v>
      </c>
      <c r="Q32" s="8">
        <v>0</v>
      </c>
      <c r="R32" s="8">
        <f t="shared" si="0"/>
        <v>315202.70629399997</v>
      </c>
      <c r="S32" s="8">
        <v>0</v>
      </c>
      <c r="T32" s="8">
        <v>0</v>
      </c>
      <c r="U32" s="8">
        <v>550000</v>
      </c>
      <c r="V32" s="8">
        <v>0</v>
      </c>
      <c r="W32" s="8">
        <v>0</v>
      </c>
      <c r="X32" s="8">
        <v>0</v>
      </c>
      <c r="Y32" s="8">
        <v>0</v>
      </c>
      <c r="Z32" s="8">
        <v>-1171997.7799839999</v>
      </c>
      <c r="AA32" s="7">
        <v>0</v>
      </c>
      <c r="AB32" s="8">
        <v>0</v>
      </c>
      <c r="AC32" s="7">
        <v>2.920417</v>
      </c>
      <c r="AD32" s="7" t="s">
        <v>1697</v>
      </c>
      <c r="AE32" s="8">
        <v>0</v>
      </c>
      <c r="AF32" s="8">
        <v>0</v>
      </c>
      <c r="AG32" s="8">
        <v>0</v>
      </c>
      <c r="AH32" s="8">
        <v>0</v>
      </c>
      <c r="AI32" s="7" t="s">
        <v>1194</v>
      </c>
      <c r="AJ32" s="7">
        <f t="shared" ca="1" si="1"/>
        <v>1</v>
      </c>
      <c r="AK32" s="96">
        <f t="shared" si="10"/>
        <v>0</v>
      </c>
      <c r="AL32" s="97">
        <f t="shared" si="11"/>
        <v>0</v>
      </c>
    </row>
    <row r="33" spans="1:38" x14ac:dyDescent="0.3">
      <c r="A33" s="7" t="s">
        <v>1716</v>
      </c>
      <c r="B33" s="7" t="s">
        <v>1320</v>
      </c>
      <c r="C33" s="7" t="s">
        <v>1323</v>
      </c>
      <c r="D33" s="7" t="s">
        <v>1694</v>
      </c>
      <c r="E33" s="7" t="s">
        <v>1695</v>
      </c>
      <c r="F33" s="36">
        <v>43647</v>
      </c>
      <c r="G33" s="36">
        <v>44742</v>
      </c>
      <c r="H33" s="36">
        <v>44895</v>
      </c>
      <c r="I33" s="36">
        <v>44895</v>
      </c>
      <c r="J33" s="7" t="s">
        <v>1696</v>
      </c>
      <c r="K33" s="8">
        <v>0</v>
      </c>
      <c r="L33" s="8">
        <v>0</v>
      </c>
      <c r="M33" s="8">
        <v>330000.00274800003</v>
      </c>
      <c r="N33" s="8">
        <v>0</v>
      </c>
      <c r="O33" s="8">
        <v>0</v>
      </c>
      <c r="P33" s="8">
        <v>0</v>
      </c>
      <c r="Q33" s="8">
        <v>0</v>
      </c>
      <c r="R33" s="8">
        <f t="shared" si="0"/>
        <v>330000.00274800003</v>
      </c>
      <c r="S33" s="8">
        <v>0</v>
      </c>
      <c r="T33" s="8">
        <v>0</v>
      </c>
      <c r="U33" s="8">
        <v>360000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7">
        <v>0</v>
      </c>
      <c r="AB33" s="8">
        <v>0</v>
      </c>
      <c r="AC33" s="7">
        <v>7</v>
      </c>
      <c r="AD33" s="7" t="s">
        <v>1226</v>
      </c>
      <c r="AE33" s="8">
        <v>0</v>
      </c>
      <c r="AF33" s="8">
        <v>0</v>
      </c>
      <c r="AG33" s="8">
        <v>0</v>
      </c>
      <c r="AH33" s="8">
        <v>0</v>
      </c>
      <c r="AI33" s="7" t="s">
        <v>1194</v>
      </c>
      <c r="AJ33" s="7">
        <f t="shared" ca="1" si="1"/>
        <v>1</v>
      </c>
      <c r="AK33" s="96">
        <f t="shared" si="10"/>
        <v>0</v>
      </c>
      <c r="AL33" s="97">
        <f t="shared" si="11"/>
        <v>0</v>
      </c>
    </row>
    <row r="34" spans="1:38" x14ac:dyDescent="0.3">
      <c r="A34" s="7" t="s">
        <v>1716</v>
      </c>
      <c r="B34" s="7" t="s">
        <v>1320</v>
      </c>
      <c r="C34" s="7" t="s">
        <v>1323</v>
      </c>
      <c r="D34" s="7" t="s">
        <v>1694</v>
      </c>
      <c r="E34" s="7" t="s">
        <v>1695</v>
      </c>
      <c r="F34" s="36">
        <v>43647</v>
      </c>
      <c r="G34" s="36">
        <v>44742</v>
      </c>
      <c r="H34" s="36">
        <v>44895</v>
      </c>
      <c r="I34" s="36">
        <v>44895</v>
      </c>
      <c r="J34" s="7" t="s">
        <v>1699</v>
      </c>
      <c r="K34" s="8">
        <v>0</v>
      </c>
      <c r="L34" s="8">
        <v>0</v>
      </c>
      <c r="M34" s="8">
        <v>0</v>
      </c>
      <c r="N34" s="8">
        <v>300000</v>
      </c>
      <c r="O34" s="8">
        <v>0</v>
      </c>
      <c r="P34" s="8">
        <v>0</v>
      </c>
      <c r="Q34" s="8">
        <v>0</v>
      </c>
      <c r="R34" s="8">
        <f t="shared" si="0"/>
        <v>300000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7">
        <v>0</v>
      </c>
      <c r="AB34" s="8">
        <v>0</v>
      </c>
      <c r="AC34" s="7">
        <v>7</v>
      </c>
      <c r="AD34" s="7" t="s">
        <v>1226</v>
      </c>
      <c r="AE34" s="8">
        <v>0</v>
      </c>
      <c r="AF34" s="8">
        <v>0</v>
      </c>
      <c r="AG34" s="8">
        <v>0</v>
      </c>
      <c r="AH34" s="8">
        <v>0</v>
      </c>
      <c r="AI34" s="7" t="s">
        <v>1194</v>
      </c>
      <c r="AJ34" s="7">
        <f t="shared" ca="1" si="1"/>
        <v>2</v>
      </c>
      <c r="AK34" s="100">
        <f>(+AA34*AB34)/$AB$1103</f>
        <v>0</v>
      </c>
      <c r="AL34" s="97">
        <f>AC34/$AE$1103*AE34</f>
        <v>0</v>
      </c>
    </row>
    <row r="35" spans="1:38" x14ac:dyDescent="0.3">
      <c r="A35" s="7" t="s">
        <v>1717</v>
      </c>
      <c r="B35" s="7" t="s">
        <v>1320</v>
      </c>
      <c r="C35" s="7" t="s">
        <v>1323</v>
      </c>
      <c r="D35" s="7" t="s">
        <v>1324</v>
      </c>
      <c r="E35" s="7" t="s">
        <v>1322</v>
      </c>
      <c r="F35" s="36">
        <v>44562</v>
      </c>
      <c r="G35" s="36">
        <v>46387</v>
      </c>
      <c r="H35" s="36">
        <v>46387</v>
      </c>
      <c r="I35" s="36">
        <v>46387</v>
      </c>
      <c r="J35" s="7" t="s">
        <v>1239</v>
      </c>
      <c r="K35" s="8">
        <v>1382791.9</v>
      </c>
      <c r="L35" s="8">
        <v>437827.30889599997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f t="shared" si="0"/>
        <v>1820619.2088959999</v>
      </c>
      <c r="S35" s="8">
        <v>0</v>
      </c>
      <c r="T35" s="8">
        <v>395148.39224800002</v>
      </c>
      <c r="U35" s="8">
        <v>0</v>
      </c>
      <c r="V35" s="8">
        <v>1204851.607748</v>
      </c>
      <c r="W35" s="8">
        <v>0</v>
      </c>
      <c r="X35" s="8">
        <v>6913959.4763860004</v>
      </c>
      <c r="Y35" s="8">
        <v>0</v>
      </c>
      <c r="Z35" s="8">
        <v>0</v>
      </c>
      <c r="AA35" s="7">
        <v>4.0027400000000002</v>
      </c>
      <c r="AB35" s="8">
        <v>5719306.6286380002</v>
      </c>
      <c r="AC35" s="7">
        <v>7</v>
      </c>
      <c r="AD35" s="7" t="s">
        <v>1226</v>
      </c>
      <c r="AE35" s="8">
        <v>6399999.9999839999</v>
      </c>
      <c r="AF35" s="8">
        <v>200000.01</v>
      </c>
      <c r="AG35" s="8">
        <v>6600000.0099839997</v>
      </c>
      <c r="AH35" s="8">
        <v>0</v>
      </c>
      <c r="AI35" s="7" t="s">
        <v>1194</v>
      </c>
      <c r="AJ35" s="7">
        <f t="shared" ca="1" si="1"/>
        <v>1</v>
      </c>
      <c r="AK35" s="96">
        <f t="shared" si="6"/>
        <v>0.15336044629062051</v>
      </c>
      <c r="AL35" s="97">
        <f t="shared" si="7"/>
        <v>0.28479516199555477</v>
      </c>
    </row>
    <row r="36" spans="1:38" x14ac:dyDescent="0.3">
      <c r="A36" s="7" t="s">
        <v>1718</v>
      </c>
      <c r="B36" s="7" t="s">
        <v>1320</v>
      </c>
      <c r="C36" s="7" t="s">
        <v>1323</v>
      </c>
      <c r="D36" s="7" t="s">
        <v>1324</v>
      </c>
      <c r="E36" s="7" t="s">
        <v>1322</v>
      </c>
      <c r="F36" s="36">
        <v>44562</v>
      </c>
      <c r="G36" s="36">
        <v>46387</v>
      </c>
      <c r="H36" s="36">
        <v>46387</v>
      </c>
      <c r="I36" s="36">
        <v>46387</v>
      </c>
      <c r="J36" s="7" t="s">
        <v>1696</v>
      </c>
      <c r="K36" s="8">
        <v>0</v>
      </c>
      <c r="L36" s="8">
        <v>0</v>
      </c>
      <c r="M36" s="8">
        <v>1704918.0271759999</v>
      </c>
      <c r="N36" s="8">
        <v>0</v>
      </c>
      <c r="O36" s="8">
        <v>0</v>
      </c>
      <c r="P36" s="8">
        <v>0</v>
      </c>
      <c r="Q36" s="8">
        <v>0</v>
      </c>
      <c r="R36" s="8">
        <f t="shared" si="0"/>
        <v>1704918.0271759999</v>
      </c>
      <c r="S36" s="8">
        <v>0</v>
      </c>
      <c r="T36" s="8">
        <v>0</v>
      </c>
      <c r="U36" s="8">
        <v>1599999.999996</v>
      </c>
      <c r="V36" s="8">
        <v>0</v>
      </c>
      <c r="W36" s="8">
        <v>0</v>
      </c>
      <c r="X36" s="8">
        <v>0</v>
      </c>
      <c r="Y36" s="8">
        <v>6733599.1334720002</v>
      </c>
      <c r="Z36" s="8">
        <v>0</v>
      </c>
      <c r="AA36" s="7">
        <v>4.0027400000000002</v>
      </c>
      <c r="AB36" s="8">
        <v>5600507.0106520001</v>
      </c>
      <c r="AC36" s="7">
        <v>7</v>
      </c>
      <c r="AD36" s="7" t="s">
        <v>1226</v>
      </c>
      <c r="AE36" s="8">
        <v>6399999.9999839999</v>
      </c>
      <c r="AF36" s="8">
        <v>0</v>
      </c>
      <c r="AG36" s="8">
        <v>6399999.9999839999</v>
      </c>
      <c r="AH36" s="8">
        <v>0</v>
      </c>
      <c r="AI36" s="7" t="s">
        <v>1194</v>
      </c>
      <c r="AJ36" s="7">
        <f t="shared" ca="1" si="1"/>
        <v>1</v>
      </c>
      <c r="AK36" s="96">
        <f t="shared" ref="AK36:AK40" si="12">(+AA36*AB36)/$AB$1102</f>
        <v>1.9647124234924547E-2</v>
      </c>
      <c r="AL36" s="97">
        <f t="shared" ref="AL36:AL40" si="13">AC36/$AE$1102*AE36</f>
        <v>3.8333607329471234E-2</v>
      </c>
    </row>
    <row r="37" spans="1:38" x14ac:dyDescent="0.3">
      <c r="A37" s="7" t="s">
        <v>1719</v>
      </c>
      <c r="B37" s="7" t="s">
        <v>1320</v>
      </c>
      <c r="C37" s="7" t="s">
        <v>1323</v>
      </c>
      <c r="D37" s="7" t="s">
        <v>1324</v>
      </c>
      <c r="E37" s="7" t="s">
        <v>1322</v>
      </c>
      <c r="F37" s="36">
        <v>44562</v>
      </c>
      <c r="G37" s="36">
        <v>46387</v>
      </c>
      <c r="H37" s="36">
        <v>46387</v>
      </c>
      <c r="I37" s="36">
        <v>48213</v>
      </c>
      <c r="J37" s="7" t="s">
        <v>1696</v>
      </c>
      <c r="K37" s="8">
        <v>0</v>
      </c>
      <c r="L37" s="8">
        <v>0</v>
      </c>
      <c r="M37" s="8">
        <v>96666.663977000004</v>
      </c>
      <c r="N37" s="8">
        <v>0</v>
      </c>
      <c r="O37" s="8">
        <v>0</v>
      </c>
      <c r="P37" s="8">
        <v>0</v>
      </c>
      <c r="Q37" s="8">
        <v>0</v>
      </c>
      <c r="R37" s="8">
        <f t="shared" si="0"/>
        <v>96666.663977000004</v>
      </c>
      <c r="S37" s="8">
        <v>0</v>
      </c>
      <c r="T37" s="8">
        <v>0</v>
      </c>
      <c r="U37" s="8">
        <v>133333.33333299999</v>
      </c>
      <c r="V37" s="8">
        <v>0</v>
      </c>
      <c r="W37" s="8">
        <v>0</v>
      </c>
      <c r="X37" s="8">
        <v>0</v>
      </c>
      <c r="Y37" s="8">
        <v>767584.02765399998</v>
      </c>
      <c r="Z37" s="8">
        <v>0</v>
      </c>
      <c r="AA37" s="7">
        <v>9.0054789999999993</v>
      </c>
      <c r="AB37" s="8">
        <v>680100.72829799994</v>
      </c>
      <c r="AC37" s="7">
        <v>7</v>
      </c>
      <c r="AD37" s="7" t="s">
        <v>1226</v>
      </c>
      <c r="AE37" s="8">
        <v>833333.34083200002</v>
      </c>
      <c r="AF37" s="8">
        <v>0</v>
      </c>
      <c r="AG37" s="8">
        <v>833333.34083200002</v>
      </c>
      <c r="AH37" s="8">
        <v>0</v>
      </c>
      <c r="AI37" s="7" t="s">
        <v>1194</v>
      </c>
      <c r="AJ37" s="7">
        <f t="shared" ca="1" si="1"/>
        <v>1</v>
      </c>
      <c r="AK37" s="96">
        <f t="shared" si="12"/>
        <v>5.3677752392783185E-3</v>
      </c>
      <c r="AL37" s="97">
        <f t="shared" si="13"/>
        <v>4.9913551659515887E-3</v>
      </c>
    </row>
    <row r="38" spans="1:38" x14ac:dyDescent="0.3">
      <c r="A38" s="7" t="s">
        <v>1720</v>
      </c>
      <c r="B38" s="7" t="s">
        <v>1320</v>
      </c>
      <c r="C38" s="7" t="s">
        <v>1323</v>
      </c>
      <c r="D38" s="7" t="s">
        <v>1324</v>
      </c>
      <c r="E38" s="7" t="s">
        <v>1322</v>
      </c>
      <c r="F38" s="36">
        <v>44562</v>
      </c>
      <c r="G38" s="36">
        <v>46387</v>
      </c>
      <c r="H38" s="36">
        <v>46387</v>
      </c>
      <c r="I38" s="36">
        <v>46387</v>
      </c>
      <c r="J38" s="7" t="s">
        <v>1696</v>
      </c>
      <c r="K38" s="8">
        <v>0</v>
      </c>
      <c r="L38" s="8">
        <v>0</v>
      </c>
      <c r="M38" s="8">
        <v>1600000.0005280001</v>
      </c>
      <c r="N38" s="8">
        <v>0</v>
      </c>
      <c r="O38" s="8">
        <v>0</v>
      </c>
      <c r="P38" s="8">
        <v>0</v>
      </c>
      <c r="Q38" s="8">
        <v>0</v>
      </c>
      <c r="R38" s="8">
        <f t="shared" si="0"/>
        <v>1600000.0005280001</v>
      </c>
      <c r="S38" s="8">
        <v>0</v>
      </c>
      <c r="T38" s="8">
        <v>0</v>
      </c>
      <c r="U38" s="8">
        <v>1599999.999996</v>
      </c>
      <c r="V38" s="8">
        <v>0</v>
      </c>
      <c r="W38" s="8">
        <v>0</v>
      </c>
      <c r="X38" s="8">
        <v>0</v>
      </c>
      <c r="Y38" s="8">
        <v>6733599.1334720002</v>
      </c>
      <c r="Z38" s="8">
        <v>0</v>
      </c>
      <c r="AA38" s="7">
        <v>4.0027400000000002</v>
      </c>
      <c r="AB38" s="8">
        <v>5568026.8540040003</v>
      </c>
      <c r="AC38" s="7">
        <v>7</v>
      </c>
      <c r="AD38" s="7" t="s">
        <v>1226</v>
      </c>
      <c r="AE38" s="8">
        <v>6399999.9999839999</v>
      </c>
      <c r="AF38" s="8">
        <v>0</v>
      </c>
      <c r="AG38" s="8">
        <v>6399999.9999839999</v>
      </c>
      <c r="AH38" s="8">
        <v>0</v>
      </c>
      <c r="AI38" s="7" t="s">
        <v>1194</v>
      </c>
      <c r="AJ38" s="7">
        <f t="shared" ca="1" si="1"/>
        <v>1</v>
      </c>
      <c r="AK38" s="96">
        <f t="shared" si="12"/>
        <v>1.9533180680953569E-2</v>
      </c>
      <c r="AL38" s="97">
        <f t="shared" si="13"/>
        <v>3.8333607329471234E-2</v>
      </c>
    </row>
    <row r="39" spans="1:38" x14ac:dyDescent="0.3">
      <c r="A39" s="7" t="s">
        <v>1721</v>
      </c>
      <c r="B39" s="7" t="s">
        <v>1320</v>
      </c>
      <c r="C39" s="7" t="s">
        <v>1323</v>
      </c>
      <c r="D39" s="7" t="s">
        <v>1324</v>
      </c>
      <c r="E39" s="7" t="s">
        <v>1322</v>
      </c>
      <c r="F39" s="36">
        <v>44562</v>
      </c>
      <c r="G39" s="36">
        <v>46387</v>
      </c>
      <c r="H39" s="36">
        <v>46387</v>
      </c>
      <c r="I39" s="36">
        <v>46387</v>
      </c>
      <c r="J39" s="7" t="s">
        <v>1696</v>
      </c>
      <c r="K39" s="8">
        <v>0</v>
      </c>
      <c r="L39" s="8">
        <v>0</v>
      </c>
      <c r="M39" s="8">
        <v>689999.99734799995</v>
      </c>
      <c r="N39" s="8">
        <v>0</v>
      </c>
      <c r="O39" s="8">
        <v>0</v>
      </c>
      <c r="P39" s="8">
        <v>0</v>
      </c>
      <c r="Q39" s="8">
        <v>0</v>
      </c>
      <c r="R39" s="8">
        <f t="shared" si="0"/>
        <v>689999.99734799995</v>
      </c>
      <c r="S39" s="8">
        <v>0</v>
      </c>
      <c r="T39" s="8">
        <v>0</v>
      </c>
      <c r="U39" s="8">
        <v>450000</v>
      </c>
      <c r="V39" s="8">
        <v>0</v>
      </c>
      <c r="W39" s="8">
        <v>0</v>
      </c>
      <c r="X39" s="8">
        <v>0</v>
      </c>
      <c r="Y39" s="8">
        <v>2863283.8755319999</v>
      </c>
      <c r="Z39" s="8">
        <v>0</v>
      </c>
      <c r="AA39" s="7">
        <v>4.0027400000000002</v>
      </c>
      <c r="AB39" s="8">
        <v>2606939.6328799999</v>
      </c>
      <c r="AC39" s="7">
        <v>7</v>
      </c>
      <c r="AD39" s="7" t="s">
        <v>1226</v>
      </c>
      <c r="AE39" s="8">
        <v>3000000</v>
      </c>
      <c r="AF39" s="8">
        <v>0</v>
      </c>
      <c r="AG39" s="8">
        <v>3000000</v>
      </c>
      <c r="AH39" s="8">
        <v>0</v>
      </c>
      <c r="AI39" s="7" t="s">
        <v>1194</v>
      </c>
      <c r="AJ39" s="7">
        <f t="shared" ca="1" si="1"/>
        <v>1</v>
      </c>
      <c r="AK39" s="96">
        <f t="shared" si="12"/>
        <v>9.1453982188978884E-3</v>
      </c>
      <c r="AL39" s="97">
        <f t="shared" si="13"/>
        <v>1.796887843573456E-2</v>
      </c>
    </row>
    <row r="40" spans="1:38" x14ac:dyDescent="0.3">
      <c r="A40" s="7" t="s">
        <v>1722</v>
      </c>
      <c r="B40" s="7" t="s">
        <v>1320</v>
      </c>
      <c r="C40" s="7" t="s">
        <v>1323</v>
      </c>
      <c r="D40" s="7" t="s">
        <v>1324</v>
      </c>
      <c r="E40" s="7" t="s">
        <v>1322</v>
      </c>
      <c r="F40" s="36">
        <v>44562</v>
      </c>
      <c r="G40" s="36">
        <v>46387</v>
      </c>
      <c r="H40" s="36">
        <v>46387</v>
      </c>
      <c r="I40" s="36">
        <v>46387</v>
      </c>
      <c r="J40" s="7" t="s">
        <v>1696</v>
      </c>
      <c r="K40" s="8">
        <v>0</v>
      </c>
      <c r="L40" s="8">
        <v>0</v>
      </c>
      <c r="M40" s="8">
        <v>1599999.998896</v>
      </c>
      <c r="N40" s="8">
        <v>0</v>
      </c>
      <c r="O40" s="8">
        <v>0</v>
      </c>
      <c r="P40" s="8">
        <v>0</v>
      </c>
      <c r="Q40" s="8">
        <v>0</v>
      </c>
      <c r="R40" s="8">
        <f t="shared" si="0"/>
        <v>1599999.998896</v>
      </c>
      <c r="S40" s="8">
        <v>0</v>
      </c>
      <c r="T40" s="8">
        <v>0</v>
      </c>
      <c r="U40" s="8">
        <v>1599999.999996</v>
      </c>
      <c r="V40" s="8">
        <v>0</v>
      </c>
      <c r="W40" s="8">
        <v>0</v>
      </c>
      <c r="X40" s="8">
        <v>0</v>
      </c>
      <c r="Y40" s="8">
        <v>6772878.4617499998</v>
      </c>
      <c r="Z40" s="8">
        <v>0</v>
      </c>
      <c r="AA40" s="7">
        <v>4.0027400000000002</v>
      </c>
      <c r="AB40" s="8">
        <v>5600507.0106499996</v>
      </c>
      <c r="AC40" s="7">
        <v>7</v>
      </c>
      <c r="AD40" s="7" t="s">
        <v>1226</v>
      </c>
      <c r="AE40" s="8">
        <v>6399999.9999839999</v>
      </c>
      <c r="AF40" s="8">
        <v>0</v>
      </c>
      <c r="AG40" s="8">
        <v>6399999.9999839999</v>
      </c>
      <c r="AH40" s="8">
        <v>0</v>
      </c>
      <c r="AI40" s="7" t="s">
        <v>1194</v>
      </c>
      <c r="AJ40" s="7">
        <f t="shared" ca="1" si="1"/>
        <v>1</v>
      </c>
      <c r="AK40" s="96">
        <f t="shared" si="12"/>
        <v>1.9647124234917528E-2</v>
      </c>
      <c r="AL40" s="97">
        <f t="shared" si="13"/>
        <v>3.8333607329471234E-2</v>
      </c>
    </row>
    <row r="41" spans="1:38" s="89" customFormat="1" x14ac:dyDescent="0.3">
      <c r="A41" s="89" t="s">
        <v>6</v>
      </c>
      <c r="B41" s="89" t="s">
        <v>1320</v>
      </c>
      <c r="C41" s="89" t="s">
        <v>1323</v>
      </c>
      <c r="D41" s="89" t="s">
        <v>1324</v>
      </c>
      <c r="E41" s="89" t="s">
        <v>1322</v>
      </c>
      <c r="F41" s="90">
        <v>44562</v>
      </c>
      <c r="G41" s="90">
        <v>46387</v>
      </c>
      <c r="H41" s="90">
        <v>46387</v>
      </c>
      <c r="I41" s="90">
        <v>46387</v>
      </c>
      <c r="J41" s="89" t="s">
        <v>1239</v>
      </c>
      <c r="K41" s="91">
        <v>507965.88</v>
      </c>
      <c r="L41" s="91">
        <v>160360.705835</v>
      </c>
      <c r="M41" s="91">
        <v>0</v>
      </c>
      <c r="N41" s="91">
        <v>0</v>
      </c>
      <c r="O41" s="91">
        <v>0</v>
      </c>
      <c r="P41" s="91">
        <v>0</v>
      </c>
      <c r="Q41" s="91">
        <v>0</v>
      </c>
      <c r="R41" s="91">
        <f t="shared" si="0"/>
        <v>668326.58583500003</v>
      </c>
      <c r="S41" s="91">
        <v>0</v>
      </c>
      <c r="T41" s="91">
        <v>148180.647092</v>
      </c>
      <c r="U41" s="91">
        <v>0</v>
      </c>
      <c r="V41" s="91">
        <v>451819.352908</v>
      </c>
      <c r="W41" s="91">
        <v>0</v>
      </c>
      <c r="X41" s="91">
        <v>2539829.423163</v>
      </c>
      <c r="Y41" s="91">
        <v>0</v>
      </c>
      <c r="Z41" s="91">
        <v>0</v>
      </c>
      <c r="AA41" s="89">
        <v>4.0027400000000002</v>
      </c>
      <c r="AB41" s="91">
        <v>2088010.0702549999</v>
      </c>
      <c r="AC41" s="89">
        <v>7</v>
      </c>
      <c r="AD41" s="89" t="s">
        <v>1226</v>
      </c>
      <c r="AE41" s="91">
        <v>2400000</v>
      </c>
      <c r="AF41" s="91">
        <v>0</v>
      </c>
      <c r="AG41" s="91">
        <v>2400000</v>
      </c>
      <c r="AH41" s="91">
        <v>0</v>
      </c>
      <c r="AI41" s="89" t="s">
        <v>1194</v>
      </c>
      <c r="AJ41" s="89">
        <f t="shared" ca="1" si="1"/>
        <v>1</v>
      </c>
      <c r="AK41" s="96">
        <f t="shared" si="6"/>
        <v>5.5988982061252704E-2</v>
      </c>
      <c r="AL41" s="97">
        <f t="shared" si="7"/>
        <v>0.10679818574860003</v>
      </c>
    </row>
    <row r="42" spans="1:38" x14ac:dyDescent="0.3">
      <c r="A42" s="7" t="s">
        <v>1723</v>
      </c>
      <c r="B42" s="7" t="s">
        <v>1320</v>
      </c>
      <c r="C42" s="7" t="s">
        <v>1323</v>
      </c>
      <c r="D42" s="7" t="s">
        <v>1324</v>
      </c>
      <c r="E42" s="7" t="s">
        <v>1322</v>
      </c>
      <c r="F42" s="36">
        <v>44562</v>
      </c>
      <c r="G42" s="36">
        <v>46387</v>
      </c>
      <c r="H42" s="36">
        <v>46387</v>
      </c>
      <c r="I42" s="36">
        <v>46387</v>
      </c>
      <c r="J42" s="7" t="s">
        <v>1696</v>
      </c>
      <c r="K42" s="8">
        <v>0</v>
      </c>
      <c r="L42" s="8">
        <v>0</v>
      </c>
      <c r="M42" s="8">
        <v>1599999.9989</v>
      </c>
      <c r="N42" s="8">
        <v>0</v>
      </c>
      <c r="O42" s="8">
        <v>0</v>
      </c>
      <c r="P42" s="8">
        <v>0</v>
      </c>
      <c r="Q42" s="8">
        <v>0</v>
      </c>
      <c r="R42" s="8">
        <f t="shared" si="0"/>
        <v>1599999.9989</v>
      </c>
      <c r="S42" s="8">
        <v>0</v>
      </c>
      <c r="T42" s="8">
        <v>0</v>
      </c>
      <c r="U42" s="8">
        <v>1599999.999996</v>
      </c>
      <c r="V42" s="8">
        <v>0</v>
      </c>
      <c r="W42" s="8">
        <v>0</v>
      </c>
      <c r="X42" s="8">
        <v>0</v>
      </c>
      <c r="Y42" s="8">
        <v>6772878.4617499998</v>
      </c>
      <c r="Z42" s="8">
        <v>0</v>
      </c>
      <c r="AA42" s="7">
        <v>4.0027400000000002</v>
      </c>
      <c r="AB42" s="8">
        <v>5600507.0106499996</v>
      </c>
      <c r="AC42" s="7">
        <v>7</v>
      </c>
      <c r="AD42" s="7" t="s">
        <v>1226</v>
      </c>
      <c r="AE42" s="8">
        <v>6399999.9999839999</v>
      </c>
      <c r="AF42" s="8">
        <v>0</v>
      </c>
      <c r="AG42" s="8">
        <v>6399999.9999839999</v>
      </c>
      <c r="AH42" s="8">
        <v>0</v>
      </c>
      <c r="AI42" s="7" t="s">
        <v>1194</v>
      </c>
      <c r="AJ42" s="7">
        <f t="shared" ca="1" si="1"/>
        <v>1</v>
      </c>
      <c r="AK42" s="96">
        <f t="shared" ref="AK42:AK52" si="14">(+AA42*AB42)/$AB$1102</f>
        <v>1.9647124234917528E-2</v>
      </c>
      <c r="AL42" s="97">
        <f t="shared" ref="AL42:AL52" si="15">AC42/$AE$1102*AE42</f>
        <v>3.8333607329471234E-2</v>
      </c>
    </row>
    <row r="43" spans="1:38" x14ac:dyDescent="0.3">
      <c r="A43" s="7" t="s">
        <v>1724</v>
      </c>
      <c r="B43" s="7" t="s">
        <v>1320</v>
      </c>
      <c r="C43" s="7" t="s">
        <v>1323</v>
      </c>
      <c r="D43" s="7" t="s">
        <v>1324</v>
      </c>
      <c r="E43" s="7" t="s">
        <v>1322</v>
      </c>
      <c r="F43" s="36">
        <v>44576</v>
      </c>
      <c r="G43" s="36">
        <v>46401</v>
      </c>
      <c r="H43" s="36">
        <v>46401</v>
      </c>
      <c r="I43" s="36">
        <v>46401</v>
      </c>
      <c r="J43" s="7" t="s">
        <v>1696</v>
      </c>
      <c r="K43" s="8">
        <v>0</v>
      </c>
      <c r="L43" s="8">
        <v>0</v>
      </c>
      <c r="M43" s="8">
        <v>1539784.9510580001</v>
      </c>
      <c r="N43" s="8">
        <v>0</v>
      </c>
      <c r="O43" s="8">
        <v>0</v>
      </c>
      <c r="P43" s="8">
        <v>0</v>
      </c>
      <c r="Q43" s="8">
        <v>0</v>
      </c>
      <c r="R43" s="8">
        <f t="shared" si="0"/>
        <v>1539784.9510580001</v>
      </c>
      <c r="S43" s="8">
        <v>0</v>
      </c>
      <c r="T43" s="8">
        <v>0</v>
      </c>
      <c r="U43" s="8">
        <v>1599999.999996</v>
      </c>
      <c r="V43" s="8">
        <v>0</v>
      </c>
      <c r="W43" s="8">
        <v>0</v>
      </c>
      <c r="X43" s="8">
        <v>0</v>
      </c>
      <c r="Y43" s="8">
        <v>6772878.4617499998</v>
      </c>
      <c r="Z43" s="8">
        <v>0</v>
      </c>
      <c r="AA43" s="7">
        <v>4.0410959999999996</v>
      </c>
      <c r="AB43" s="8">
        <v>5585838.5528119998</v>
      </c>
      <c r="AC43" s="7">
        <v>7</v>
      </c>
      <c r="AD43" s="7" t="s">
        <v>1226</v>
      </c>
      <c r="AE43" s="8">
        <v>6399999.9999839999</v>
      </c>
      <c r="AF43" s="8">
        <v>0</v>
      </c>
      <c r="AG43" s="8">
        <v>6399999.9999839999</v>
      </c>
      <c r="AH43" s="8">
        <v>0</v>
      </c>
      <c r="AI43" s="7" t="s">
        <v>1194</v>
      </c>
      <c r="AJ43" s="7">
        <f t="shared" ca="1" si="1"/>
        <v>1</v>
      </c>
      <c r="AK43" s="96">
        <f t="shared" si="14"/>
        <v>1.978344007026895E-2</v>
      </c>
      <c r="AL43" s="97">
        <f t="shared" si="15"/>
        <v>3.8333607329471234E-2</v>
      </c>
    </row>
    <row r="44" spans="1:38" x14ac:dyDescent="0.3">
      <c r="A44" s="7" t="s">
        <v>1725</v>
      </c>
      <c r="B44" s="7" t="s">
        <v>1320</v>
      </c>
      <c r="C44" s="7" t="s">
        <v>1323</v>
      </c>
      <c r="D44" s="7" t="s">
        <v>1324</v>
      </c>
      <c r="E44" s="7" t="s">
        <v>1322</v>
      </c>
      <c r="F44" s="36">
        <v>44562</v>
      </c>
      <c r="G44" s="36">
        <v>46387</v>
      </c>
      <c r="H44" s="36">
        <v>46387</v>
      </c>
      <c r="I44" s="36">
        <v>46387</v>
      </c>
      <c r="J44" s="7" t="s">
        <v>1696</v>
      </c>
      <c r="K44" s="8">
        <v>0</v>
      </c>
      <c r="L44" s="8">
        <v>0</v>
      </c>
      <c r="M44" s="8">
        <v>963521.03693045327</v>
      </c>
      <c r="N44" s="8">
        <v>0</v>
      </c>
      <c r="O44" s="8">
        <v>0</v>
      </c>
      <c r="P44" s="8">
        <v>-61944.219586491548</v>
      </c>
      <c r="Q44" s="8">
        <v>0</v>
      </c>
      <c r="R44" s="8">
        <f t="shared" si="0"/>
        <v>901576.81734396168</v>
      </c>
      <c r="S44" s="8">
        <v>0</v>
      </c>
      <c r="T44" s="8">
        <v>0</v>
      </c>
      <c r="U44" s="8">
        <v>959759.24291431694</v>
      </c>
      <c r="V44" s="8">
        <v>0</v>
      </c>
      <c r="W44" s="8">
        <v>-61944.218038136823</v>
      </c>
      <c r="X44" s="8">
        <v>0</v>
      </c>
      <c r="Y44" s="8">
        <v>5108903.6999632549</v>
      </c>
      <c r="Z44" s="8">
        <v>-2745363.6246490926</v>
      </c>
      <c r="AA44" s="7">
        <v>4.0027400000000002</v>
      </c>
      <c r="AB44" s="8">
        <v>1665428.3303195382</v>
      </c>
      <c r="AC44" s="7">
        <v>7</v>
      </c>
      <c r="AD44" s="7" t="s">
        <v>1726</v>
      </c>
      <c r="AE44" s="8">
        <v>1886916.3037958781</v>
      </c>
      <c r="AF44" s="8">
        <v>18808.973849999998</v>
      </c>
      <c r="AG44" s="8">
        <v>1905725.277645878</v>
      </c>
      <c r="AH44" s="8">
        <v>0</v>
      </c>
      <c r="AI44" s="7" t="s">
        <v>1194</v>
      </c>
      <c r="AJ44" s="7">
        <f t="shared" ca="1" si="1"/>
        <v>1</v>
      </c>
      <c r="AK44" s="96">
        <f t="shared" si="14"/>
        <v>5.8424848407325931E-3</v>
      </c>
      <c r="AL44" s="97">
        <f t="shared" si="15"/>
        <v>1.1301923227104573E-2</v>
      </c>
    </row>
    <row r="45" spans="1:38" x14ac:dyDescent="0.3">
      <c r="A45" s="7" t="s">
        <v>1727</v>
      </c>
      <c r="B45" s="7" t="s">
        <v>1320</v>
      </c>
      <c r="C45" s="7" t="s">
        <v>1323</v>
      </c>
      <c r="D45" s="7" t="s">
        <v>1324</v>
      </c>
      <c r="E45" s="7" t="s">
        <v>1322</v>
      </c>
      <c r="F45" s="36">
        <v>44562</v>
      </c>
      <c r="G45" s="36">
        <v>46387</v>
      </c>
      <c r="H45" s="36">
        <v>46387</v>
      </c>
      <c r="I45" s="36">
        <v>48213</v>
      </c>
      <c r="J45" s="7" t="s">
        <v>1696</v>
      </c>
      <c r="K45" s="8">
        <v>0</v>
      </c>
      <c r="L45" s="8">
        <v>0</v>
      </c>
      <c r="M45" s="8">
        <v>950000.00111499999</v>
      </c>
      <c r="N45" s="8">
        <v>0</v>
      </c>
      <c r="O45" s="8">
        <v>0</v>
      </c>
      <c r="P45" s="8">
        <v>0</v>
      </c>
      <c r="Q45" s="8">
        <v>0</v>
      </c>
      <c r="R45" s="8">
        <f t="shared" si="0"/>
        <v>950000.00111499999</v>
      </c>
      <c r="S45" s="8">
        <v>0</v>
      </c>
      <c r="T45" s="8">
        <v>0</v>
      </c>
      <c r="U45" s="8">
        <v>1599999.999996</v>
      </c>
      <c r="V45" s="8">
        <v>0</v>
      </c>
      <c r="W45" s="8">
        <v>0</v>
      </c>
      <c r="X45" s="8">
        <v>0</v>
      </c>
      <c r="Y45" s="8">
        <v>7668682.7194109997</v>
      </c>
      <c r="Z45" s="8">
        <v>0</v>
      </c>
      <c r="AA45" s="7">
        <v>9.0054789999999993</v>
      </c>
      <c r="AB45" s="8">
        <v>6561069.0305300001</v>
      </c>
      <c r="AC45" s="7">
        <v>7</v>
      </c>
      <c r="AD45" s="7" t="s">
        <v>1226</v>
      </c>
      <c r="AE45" s="8">
        <v>7900000.0374840004</v>
      </c>
      <c r="AF45" s="8">
        <v>0</v>
      </c>
      <c r="AG45" s="8">
        <v>7900000.0374840004</v>
      </c>
      <c r="AH45" s="8">
        <v>0</v>
      </c>
      <c r="AI45" s="7" t="s">
        <v>1194</v>
      </c>
      <c r="AJ45" s="7">
        <f t="shared" ca="1" si="1"/>
        <v>1</v>
      </c>
      <c r="AK45" s="96">
        <f t="shared" si="14"/>
        <v>5.1784011426382573E-2</v>
      </c>
      <c r="AL45" s="97">
        <f t="shared" si="15"/>
        <v>4.7318046771949493E-2</v>
      </c>
    </row>
    <row r="46" spans="1:38" x14ac:dyDescent="0.3">
      <c r="A46" s="7" t="s">
        <v>1728</v>
      </c>
      <c r="B46" s="7" t="s">
        <v>1320</v>
      </c>
      <c r="C46" s="7" t="s">
        <v>1323</v>
      </c>
      <c r="D46" s="7" t="s">
        <v>1324</v>
      </c>
      <c r="E46" s="7" t="s">
        <v>1322</v>
      </c>
      <c r="F46" s="36">
        <v>44562</v>
      </c>
      <c r="G46" s="36">
        <v>46387</v>
      </c>
      <c r="H46" s="36">
        <v>46387</v>
      </c>
      <c r="I46" s="36">
        <v>46387</v>
      </c>
      <c r="J46" s="7" t="s">
        <v>1696</v>
      </c>
      <c r="K46" s="8">
        <v>0</v>
      </c>
      <c r="L46" s="8">
        <v>0</v>
      </c>
      <c r="M46" s="8">
        <v>720000.00107100001</v>
      </c>
      <c r="N46" s="8">
        <v>0</v>
      </c>
      <c r="O46" s="8">
        <v>0</v>
      </c>
      <c r="P46" s="8">
        <v>0</v>
      </c>
      <c r="Q46" s="8">
        <v>0</v>
      </c>
      <c r="R46" s="8">
        <f t="shared" si="0"/>
        <v>720000.00107100001</v>
      </c>
      <c r="S46" s="8">
        <v>0</v>
      </c>
      <c r="T46" s="8">
        <v>0</v>
      </c>
      <c r="U46" s="8">
        <v>600000</v>
      </c>
      <c r="V46" s="8">
        <v>0</v>
      </c>
      <c r="W46" s="8">
        <v>0</v>
      </c>
      <c r="X46" s="8">
        <v>0</v>
      </c>
      <c r="Y46" s="8">
        <v>3012415.6318089999</v>
      </c>
      <c r="Z46" s="8">
        <v>0</v>
      </c>
      <c r="AA46" s="7">
        <v>4.0027400000000002</v>
      </c>
      <c r="AB46" s="8">
        <v>2606939.6328799999</v>
      </c>
      <c r="AC46" s="7">
        <v>7</v>
      </c>
      <c r="AD46" s="7" t="s">
        <v>1226</v>
      </c>
      <c r="AE46" s="8">
        <v>3000000</v>
      </c>
      <c r="AF46" s="8">
        <v>0</v>
      </c>
      <c r="AG46" s="8">
        <v>3000000</v>
      </c>
      <c r="AH46" s="8">
        <v>0</v>
      </c>
      <c r="AI46" s="7" t="s">
        <v>1194</v>
      </c>
      <c r="AJ46" s="7">
        <f t="shared" ca="1" si="1"/>
        <v>1</v>
      </c>
      <c r="AK46" s="96">
        <f t="shared" si="14"/>
        <v>9.1453982188978884E-3</v>
      </c>
      <c r="AL46" s="97">
        <f t="shared" si="15"/>
        <v>1.796887843573456E-2</v>
      </c>
    </row>
    <row r="47" spans="1:38" x14ac:dyDescent="0.3">
      <c r="A47" s="7" t="s">
        <v>1729</v>
      </c>
      <c r="B47" s="7" t="s">
        <v>1320</v>
      </c>
      <c r="C47" s="7" t="s">
        <v>1323</v>
      </c>
      <c r="D47" s="7" t="s">
        <v>1324</v>
      </c>
      <c r="E47" s="7" t="s">
        <v>1322</v>
      </c>
      <c r="F47" s="36">
        <v>44287</v>
      </c>
      <c r="G47" s="36">
        <v>45382</v>
      </c>
      <c r="H47" s="36">
        <v>45382</v>
      </c>
      <c r="I47" s="36">
        <v>45382</v>
      </c>
      <c r="J47" s="7" t="s">
        <v>1696</v>
      </c>
      <c r="K47" s="8">
        <v>0</v>
      </c>
      <c r="L47" s="8">
        <v>0</v>
      </c>
      <c r="M47" s="8">
        <v>9530.0659199999991</v>
      </c>
      <c r="N47" s="8">
        <v>0</v>
      </c>
      <c r="O47" s="8">
        <v>0</v>
      </c>
      <c r="P47" s="8">
        <v>0</v>
      </c>
      <c r="Q47" s="8">
        <v>0</v>
      </c>
      <c r="R47" s="8">
        <f t="shared" si="0"/>
        <v>9530.0659199999991</v>
      </c>
      <c r="S47" s="8">
        <v>0</v>
      </c>
      <c r="T47" s="8">
        <v>0</v>
      </c>
      <c r="U47" s="8">
        <v>9530.0659199999991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7">
        <v>1.249315</v>
      </c>
      <c r="AB47" s="8">
        <v>11706.86254</v>
      </c>
      <c r="AC47" s="7">
        <v>3</v>
      </c>
      <c r="AD47" s="7" t="s">
        <v>1226</v>
      </c>
      <c r="AE47" s="8">
        <v>11912.582399999999</v>
      </c>
      <c r="AF47" s="8">
        <v>0</v>
      </c>
      <c r="AG47" s="8">
        <v>11912.582399999999</v>
      </c>
      <c r="AH47" s="8">
        <v>0</v>
      </c>
      <c r="AI47" s="7" t="s">
        <v>1730</v>
      </c>
      <c r="AJ47" s="7">
        <f t="shared" ca="1" si="1"/>
        <v>1</v>
      </c>
      <c r="AK47" s="96">
        <f t="shared" si="14"/>
        <v>1.2818190991220242E-5</v>
      </c>
      <c r="AL47" s="97">
        <f t="shared" si="15"/>
        <v>3.0579392143038724E-5</v>
      </c>
    </row>
    <row r="48" spans="1:38" x14ac:dyDescent="0.3">
      <c r="A48" s="7" t="s">
        <v>1731</v>
      </c>
      <c r="B48" s="7" t="s">
        <v>1320</v>
      </c>
      <c r="C48" s="7" t="s">
        <v>1323</v>
      </c>
      <c r="D48" s="7" t="s">
        <v>1324</v>
      </c>
      <c r="E48" s="7" t="s">
        <v>1322</v>
      </c>
      <c r="F48" s="36">
        <v>44287</v>
      </c>
      <c r="G48" s="36">
        <v>45382</v>
      </c>
      <c r="H48" s="36">
        <v>45382</v>
      </c>
      <c r="I48" s="36">
        <v>45382</v>
      </c>
      <c r="J48" s="7" t="s">
        <v>1696</v>
      </c>
      <c r="K48" s="8">
        <v>0</v>
      </c>
      <c r="L48" s="8">
        <v>0</v>
      </c>
      <c r="M48" s="8">
        <v>9644.7406200000005</v>
      </c>
      <c r="N48" s="8">
        <v>0</v>
      </c>
      <c r="O48" s="8">
        <v>0</v>
      </c>
      <c r="P48" s="8">
        <v>0</v>
      </c>
      <c r="Q48" s="8">
        <v>0</v>
      </c>
      <c r="R48" s="8">
        <f t="shared" si="0"/>
        <v>9644.7406200000005</v>
      </c>
      <c r="S48" s="8">
        <v>0</v>
      </c>
      <c r="T48" s="8">
        <v>0</v>
      </c>
      <c r="U48" s="8">
        <v>9644.7406200000005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7">
        <v>1.249315</v>
      </c>
      <c r="AB48" s="8">
        <v>11847.730502</v>
      </c>
      <c r="AC48" s="7">
        <v>3</v>
      </c>
      <c r="AD48" s="7" t="s">
        <v>1226</v>
      </c>
      <c r="AE48" s="8">
        <v>12055.925775</v>
      </c>
      <c r="AF48" s="8">
        <v>0</v>
      </c>
      <c r="AG48" s="8">
        <v>12055.925775</v>
      </c>
      <c r="AH48" s="8">
        <v>0</v>
      </c>
      <c r="AI48" s="7" t="s">
        <v>1730</v>
      </c>
      <c r="AJ48" s="7">
        <f t="shared" ca="1" si="1"/>
        <v>1</v>
      </c>
      <c r="AK48" s="96">
        <f t="shared" si="14"/>
        <v>1.2972431500604403E-5</v>
      </c>
      <c r="AL48" s="97">
        <f t="shared" si="15"/>
        <v>3.0947352097316283E-5</v>
      </c>
    </row>
    <row r="49" spans="1:38" x14ac:dyDescent="0.3">
      <c r="A49" s="7" t="s">
        <v>1732</v>
      </c>
      <c r="B49" s="7" t="s">
        <v>1320</v>
      </c>
      <c r="C49" s="7" t="s">
        <v>1323</v>
      </c>
      <c r="D49" s="7" t="s">
        <v>1324</v>
      </c>
      <c r="E49" s="7" t="s">
        <v>1733</v>
      </c>
      <c r="F49" s="36">
        <v>44287</v>
      </c>
      <c r="G49" s="36">
        <v>45382</v>
      </c>
      <c r="H49" s="36">
        <v>45382</v>
      </c>
      <c r="I49" s="36">
        <v>45382</v>
      </c>
      <c r="J49" s="7" t="s">
        <v>1696</v>
      </c>
      <c r="K49" s="8">
        <v>0</v>
      </c>
      <c r="L49" s="8">
        <v>0</v>
      </c>
      <c r="M49" s="8">
        <v>9852.2862480000003</v>
      </c>
      <c r="N49" s="8">
        <v>0</v>
      </c>
      <c r="O49" s="8">
        <v>0</v>
      </c>
      <c r="P49" s="8">
        <v>0</v>
      </c>
      <c r="Q49" s="8">
        <v>0</v>
      </c>
      <c r="R49" s="8">
        <f t="shared" si="0"/>
        <v>9852.2862480000003</v>
      </c>
      <c r="S49" s="8">
        <v>0</v>
      </c>
      <c r="T49" s="8">
        <v>0</v>
      </c>
      <c r="U49" s="8">
        <v>9852.2862480000003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7">
        <v>1.249315</v>
      </c>
      <c r="AB49" s="8">
        <v>12102.682371000001</v>
      </c>
      <c r="AC49" s="7">
        <v>3</v>
      </c>
      <c r="AD49" s="7" t="s">
        <v>1226</v>
      </c>
      <c r="AE49" s="8">
        <v>12315.35781</v>
      </c>
      <c r="AF49" s="8">
        <v>0</v>
      </c>
      <c r="AG49" s="8">
        <v>12315.35781</v>
      </c>
      <c r="AH49" s="8">
        <v>0</v>
      </c>
      <c r="AI49" s="7" t="s">
        <v>1730</v>
      </c>
      <c r="AJ49" s="7">
        <f t="shared" ca="1" si="1"/>
        <v>1</v>
      </c>
      <c r="AK49" s="96">
        <f t="shared" si="14"/>
        <v>1.3251585863205348E-5</v>
      </c>
      <c r="AL49" s="97">
        <f t="shared" si="15"/>
        <v>3.1613309625780598E-5</v>
      </c>
    </row>
    <row r="50" spans="1:38" x14ac:dyDescent="0.3">
      <c r="A50" s="7" t="s">
        <v>1734</v>
      </c>
      <c r="B50" s="7" t="s">
        <v>1735</v>
      </c>
      <c r="C50" s="7" t="s">
        <v>1323</v>
      </c>
      <c r="E50" s="7" t="s">
        <v>1322</v>
      </c>
      <c r="F50" s="36">
        <v>44670</v>
      </c>
      <c r="G50" s="36">
        <v>45765</v>
      </c>
      <c r="H50" s="36">
        <v>45765</v>
      </c>
      <c r="I50" s="36">
        <v>45765</v>
      </c>
      <c r="J50" s="7" t="s">
        <v>1696</v>
      </c>
      <c r="K50" s="8">
        <v>0</v>
      </c>
      <c r="L50" s="8">
        <v>0</v>
      </c>
      <c r="M50" s="8">
        <v>13759.196403</v>
      </c>
      <c r="N50" s="8">
        <v>0</v>
      </c>
      <c r="O50" s="8">
        <v>0</v>
      </c>
      <c r="P50" s="8">
        <v>0</v>
      </c>
      <c r="Q50" s="8">
        <v>0</v>
      </c>
      <c r="R50" s="8">
        <f t="shared" si="0"/>
        <v>13759.196403</v>
      </c>
      <c r="S50" s="8">
        <v>0</v>
      </c>
      <c r="T50" s="8">
        <v>0</v>
      </c>
      <c r="U50" s="8">
        <v>14742</v>
      </c>
      <c r="V50" s="8">
        <v>0</v>
      </c>
      <c r="W50" s="8">
        <v>0</v>
      </c>
      <c r="X50" s="8">
        <v>0</v>
      </c>
      <c r="Y50" s="8">
        <v>56465.842406999996</v>
      </c>
      <c r="Z50" s="8">
        <v>0</v>
      </c>
      <c r="AA50" s="7">
        <v>2.2986300000000002</v>
      </c>
      <c r="AB50" s="8">
        <v>42759.588810000001</v>
      </c>
      <c r="AC50" s="7">
        <v>3</v>
      </c>
      <c r="AD50" s="7" t="s">
        <v>1226</v>
      </c>
      <c r="AE50" s="8">
        <v>44226</v>
      </c>
      <c r="AF50" s="8">
        <v>0</v>
      </c>
      <c r="AG50" s="8">
        <v>44226</v>
      </c>
      <c r="AH50" s="8">
        <v>0</v>
      </c>
      <c r="AI50" s="7" t="s">
        <v>1736</v>
      </c>
      <c r="AJ50" s="7">
        <f t="shared" ca="1" si="1"/>
        <v>1</v>
      </c>
      <c r="AK50" s="96">
        <f t="shared" si="14"/>
        <v>8.6142377833471246E-5</v>
      </c>
      <c r="AL50" s="97">
        <f t="shared" si="15"/>
        <v>1.1352737395697095E-4</v>
      </c>
    </row>
    <row r="51" spans="1:38" x14ac:dyDescent="0.3">
      <c r="A51" s="7" t="s">
        <v>1737</v>
      </c>
      <c r="B51" s="7" t="s">
        <v>1320</v>
      </c>
      <c r="C51" s="7" t="s">
        <v>1323</v>
      </c>
      <c r="E51" s="7" t="s">
        <v>1733</v>
      </c>
      <c r="F51" s="36">
        <v>44805</v>
      </c>
      <c r="G51" s="36">
        <v>45900</v>
      </c>
      <c r="H51" s="36">
        <v>45900</v>
      </c>
      <c r="I51" s="36">
        <v>45900</v>
      </c>
      <c r="J51" s="7" t="s">
        <v>1696</v>
      </c>
      <c r="K51" s="8">
        <v>0</v>
      </c>
      <c r="L51" s="8">
        <v>0</v>
      </c>
      <c r="M51" s="8">
        <v>5185.1528369999996</v>
      </c>
      <c r="N51" s="8">
        <v>0</v>
      </c>
      <c r="O51" s="8">
        <v>0</v>
      </c>
      <c r="P51" s="8">
        <v>0</v>
      </c>
      <c r="Q51" s="8">
        <v>0</v>
      </c>
      <c r="R51" s="8">
        <f t="shared" si="0"/>
        <v>5185.1528369999996</v>
      </c>
      <c r="S51" s="8">
        <v>0</v>
      </c>
      <c r="T51" s="8">
        <v>0</v>
      </c>
      <c r="U51" s="8">
        <v>5185.16</v>
      </c>
      <c r="V51" s="8">
        <v>0</v>
      </c>
      <c r="W51" s="8">
        <v>0</v>
      </c>
      <c r="X51" s="8">
        <v>0</v>
      </c>
      <c r="Y51" s="8">
        <v>44686.267919999998</v>
      </c>
      <c r="Z51" s="8">
        <v>0</v>
      </c>
      <c r="AA51" s="7">
        <v>2.6684929999999998</v>
      </c>
      <c r="AB51" s="8">
        <v>39917.160756999998</v>
      </c>
      <c r="AC51" s="7">
        <v>3</v>
      </c>
      <c r="AD51" s="7" t="s">
        <v>1226</v>
      </c>
      <c r="AE51" s="8">
        <v>41481.279999999999</v>
      </c>
      <c r="AF51" s="8">
        <v>0</v>
      </c>
      <c r="AG51" s="8">
        <v>41481.279999999999</v>
      </c>
      <c r="AH51" s="8">
        <v>0</v>
      </c>
      <c r="AI51" s="7" t="s">
        <v>1730</v>
      </c>
      <c r="AJ51" s="7">
        <f t="shared" ca="1" si="1"/>
        <v>1</v>
      </c>
      <c r="AK51" s="96">
        <f t="shared" si="14"/>
        <v>9.3355514306297409E-5</v>
      </c>
      <c r="AL51" s="97">
        <f t="shared" si="15"/>
        <v>1.0648172538266676E-4</v>
      </c>
    </row>
    <row r="52" spans="1:38" x14ac:dyDescent="0.3">
      <c r="A52" s="7" t="s">
        <v>1738</v>
      </c>
      <c r="B52" s="7" t="s">
        <v>1320</v>
      </c>
      <c r="C52" s="7" t="s">
        <v>1323</v>
      </c>
      <c r="D52" s="7" t="s">
        <v>1694</v>
      </c>
      <c r="E52" s="7" t="s">
        <v>1739</v>
      </c>
      <c r="F52" s="36">
        <v>43831</v>
      </c>
      <c r="G52" s="36">
        <v>44926</v>
      </c>
      <c r="I52" s="36">
        <v>44926</v>
      </c>
      <c r="J52" s="7" t="s">
        <v>1696</v>
      </c>
      <c r="K52" s="8">
        <v>0</v>
      </c>
      <c r="L52" s="8">
        <v>0</v>
      </c>
      <c r="M52" s="8">
        <v>600000.00372299994</v>
      </c>
      <c r="N52" s="8">
        <v>0</v>
      </c>
      <c r="O52" s="8">
        <v>0</v>
      </c>
      <c r="P52" s="8">
        <v>0</v>
      </c>
      <c r="Q52" s="8">
        <v>0</v>
      </c>
      <c r="R52" s="8">
        <f t="shared" si="0"/>
        <v>600000.00372299994</v>
      </c>
      <c r="S52" s="8">
        <v>0</v>
      </c>
      <c r="T52" s="8">
        <v>0</v>
      </c>
      <c r="U52" s="8">
        <v>600000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7">
        <v>0</v>
      </c>
      <c r="AB52" s="8">
        <v>0</v>
      </c>
      <c r="AC52" s="7">
        <v>7</v>
      </c>
      <c r="AD52" s="7" t="s">
        <v>1226</v>
      </c>
      <c r="AE52" s="8">
        <v>0</v>
      </c>
      <c r="AF52" s="8">
        <v>0</v>
      </c>
      <c r="AG52" s="8">
        <v>0</v>
      </c>
      <c r="AH52" s="8">
        <v>0</v>
      </c>
      <c r="AI52" s="7" t="s">
        <v>1194</v>
      </c>
      <c r="AJ52" s="7">
        <f t="shared" ca="1" si="1"/>
        <v>1</v>
      </c>
      <c r="AK52" s="96">
        <f t="shared" si="14"/>
        <v>0</v>
      </c>
      <c r="AL52" s="97">
        <f t="shared" si="15"/>
        <v>0</v>
      </c>
    </row>
    <row r="53" spans="1:38" x14ac:dyDescent="0.3">
      <c r="A53" s="7" t="s">
        <v>1738</v>
      </c>
      <c r="B53" s="7" t="s">
        <v>1320</v>
      </c>
      <c r="C53" s="7" t="s">
        <v>1323</v>
      </c>
      <c r="D53" s="7" t="s">
        <v>1694</v>
      </c>
      <c r="E53" s="7" t="s">
        <v>1739</v>
      </c>
      <c r="F53" s="36">
        <v>43831</v>
      </c>
      <c r="G53" s="36">
        <v>44926</v>
      </c>
      <c r="I53" s="36">
        <v>44926</v>
      </c>
      <c r="J53" s="7" t="s">
        <v>1699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f t="shared" si="0"/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7">
        <v>0</v>
      </c>
      <c r="AB53" s="8">
        <v>0</v>
      </c>
      <c r="AC53" s="7">
        <v>7</v>
      </c>
      <c r="AD53" s="7" t="s">
        <v>1226</v>
      </c>
      <c r="AE53" s="8">
        <v>50000</v>
      </c>
      <c r="AF53" s="8">
        <v>0</v>
      </c>
      <c r="AG53" s="8">
        <v>50000</v>
      </c>
      <c r="AH53" s="8">
        <v>0</v>
      </c>
      <c r="AI53" s="7" t="s">
        <v>1194</v>
      </c>
      <c r="AJ53" s="7">
        <f t="shared" ca="1" si="1"/>
        <v>2</v>
      </c>
      <c r="AK53" s="100">
        <f>(+AA53*AB53)/$AB$1103</f>
        <v>0</v>
      </c>
      <c r="AL53" s="97">
        <f>AC53/$AE$1103*AE53</f>
        <v>4.2017065669706935E-2</v>
      </c>
    </row>
    <row r="54" spans="1:38" x14ac:dyDescent="0.3">
      <c r="A54" s="7" t="s">
        <v>1740</v>
      </c>
      <c r="B54" s="7" t="s">
        <v>1320</v>
      </c>
      <c r="C54" s="7" t="s">
        <v>1323</v>
      </c>
      <c r="D54" s="7" t="s">
        <v>1694</v>
      </c>
      <c r="E54" s="7" t="s">
        <v>1739</v>
      </c>
      <c r="F54" s="36">
        <v>43831</v>
      </c>
      <c r="G54" s="36">
        <v>44926</v>
      </c>
      <c r="I54" s="36">
        <v>44926</v>
      </c>
      <c r="J54" s="7" t="s">
        <v>1696</v>
      </c>
      <c r="K54" s="8">
        <v>0</v>
      </c>
      <c r="L54" s="8">
        <v>0</v>
      </c>
      <c r="M54" s="8">
        <v>583783.79156399996</v>
      </c>
      <c r="N54" s="8">
        <v>0</v>
      </c>
      <c r="O54" s="8">
        <v>0</v>
      </c>
      <c r="P54" s="8">
        <v>0</v>
      </c>
      <c r="Q54" s="8">
        <v>0</v>
      </c>
      <c r="R54" s="8">
        <f t="shared" si="0"/>
        <v>583783.79156399996</v>
      </c>
      <c r="S54" s="8">
        <v>0</v>
      </c>
      <c r="T54" s="8">
        <v>0</v>
      </c>
      <c r="U54" s="8">
        <v>600000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7">
        <v>0</v>
      </c>
      <c r="AB54" s="8">
        <v>0</v>
      </c>
      <c r="AC54" s="7">
        <v>7</v>
      </c>
      <c r="AD54" s="7" t="s">
        <v>1226</v>
      </c>
      <c r="AE54" s="8">
        <v>0</v>
      </c>
      <c r="AF54" s="8">
        <v>0</v>
      </c>
      <c r="AG54" s="8">
        <v>0</v>
      </c>
      <c r="AH54" s="8">
        <v>0</v>
      </c>
      <c r="AI54" s="7" t="s">
        <v>1194</v>
      </c>
      <c r="AJ54" s="7">
        <f t="shared" ca="1" si="1"/>
        <v>1</v>
      </c>
      <c r="AK54" s="96">
        <f>(+AA54*AB54)/$AB$1102</f>
        <v>0</v>
      </c>
      <c r="AL54" s="97">
        <f>AC54/$AE$1102*AE54</f>
        <v>0</v>
      </c>
    </row>
    <row r="55" spans="1:38" x14ac:dyDescent="0.3">
      <c r="A55" s="7" t="s">
        <v>1740</v>
      </c>
      <c r="B55" s="7" t="s">
        <v>1320</v>
      </c>
      <c r="C55" s="7" t="s">
        <v>1323</v>
      </c>
      <c r="D55" s="7" t="s">
        <v>1694</v>
      </c>
      <c r="E55" s="7" t="s">
        <v>1739</v>
      </c>
      <c r="F55" s="36">
        <v>43831</v>
      </c>
      <c r="G55" s="36">
        <v>44926</v>
      </c>
      <c r="I55" s="36">
        <v>44926</v>
      </c>
      <c r="J55" s="7" t="s">
        <v>1699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f t="shared" si="0"/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7">
        <v>0</v>
      </c>
      <c r="AB55" s="8">
        <v>0</v>
      </c>
      <c r="AC55" s="7">
        <v>7</v>
      </c>
      <c r="AD55" s="7" t="s">
        <v>1226</v>
      </c>
      <c r="AE55" s="8">
        <v>50000</v>
      </c>
      <c r="AF55" s="8">
        <v>0</v>
      </c>
      <c r="AG55" s="8">
        <v>50000</v>
      </c>
      <c r="AH55" s="8">
        <v>0</v>
      </c>
      <c r="AI55" s="7" t="s">
        <v>1194</v>
      </c>
      <c r="AJ55" s="7">
        <f t="shared" ca="1" si="1"/>
        <v>2</v>
      </c>
      <c r="AK55" s="100">
        <f>(+AA55*AB55)/$AB$1103</f>
        <v>0</v>
      </c>
      <c r="AL55" s="97">
        <f>AC55/$AE$1103*AE55</f>
        <v>4.2017065669706935E-2</v>
      </c>
    </row>
    <row r="56" spans="1:38" x14ac:dyDescent="0.3">
      <c r="A56" s="7" t="s">
        <v>1741</v>
      </c>
      <c r="B56" s="7" t="s">
        <v>1320</v>
      </c>
      <c r="C56" s="7" t="s">
        <v>1323</v>
      </c>
      <c r="D56" s="7" t="s">
        <v>1694</v>
      </c>
      <c r="E56" s="7" t="s">
        <v>1739</v>
      </c>
      <c r="F56" s="36">
        <v>43831</v>
      </c>
      <c r="G56" s="36">
        <v>44926</v>
      </c>
      <c r="I56" s="36">
        <v>46022</v>
      </c>
      <c r="J56" s="7" t="s">
        <v>1696</v>
      </c>
      <c r="K56" s="8">
        <v>0</v>
      </c>
      <c r="L56" s="8">
        <v>0</v>
      </c>
      <c r="M56" s="8">
        <v>51486.486291000001</v>
      </c>
      <c r="N56" s="8">
        <v>0</v>
      </c>
      <c r="O56" s="8">
        <v>0</v>
      </c>
      <c r="P56" s="8">
        <v>0</v>
      </c>
      <c r="Q56" s="8">
        <v>0</v>
      </c>
      <c r="R56" s="8">
        <f t="shared" si="0"/>
        <v>51486.486291000001</v>
      </c>
      <c r="S56" s="8">
        <v>0</v>
      </c>
      <c r="T56" s="8">
        <v>0</v>
      </c>
      <c r="U56" s="8">
        <v>50000</v>
      </c>
      <c r="V56" s="8">
        <v>0</v>
      </c>
      <c r="W56" s="8">
        <v>0</v>
      </c>
      <c r="X56" s="8">
        <v>0</v>
      </c>
      <c r="Y56" s="8">
        <v>0</v>
      </c>
      <c r="Z56" s="8">
        <v>-117283.99660499999</v>
      </c>
      <c r="AA56" s="7">
        <v>3.0027400000000002</v>
      </c>
      <c r="AB56" s="8">
        <v>50000</v>
      </c>
      <c r="AC56" s="7">
        <v>2.920417</v>
      </c>
      <c r="AD56" s="7" t="s">
        <v>1697</v>
      </c>
      <c r="AE56" s="8">
        <v>50000</v>
      </c>
      <c r="AF56" s="8">
        <v>0</v>
      </c>
      <c r="AG56" s="8">
        <v>50000</v>
      </c>
      <c r="AH56" s="8">
        <v>0</v>
      </c>
      <c r="AI56" s="7" t="s">
        <v>1194</v>
      </c>
      <c r="AJ56" s="7">
        <f t="shared" ca="1" si="1"/>
        <v>1</v>
      </c>
      <c r="AK56" s="96">
        <f t="shared" ref="AK56:AK57" si="16">(+AA56*AB56)/$AB$1102</f>
        <v>1.3158367104115079E-4</v>
      </c>
      <c r="AL56" s="97">
        <f t="shared" ref="AL56:AL57" si="17">AC56/$AE$1102*AE56</f>
        <v>1.2494432870155387E-4</v>
      </c>
    </row>
    <row r="57" spans="1:38" x14ac:dyDescent="0.3">
      <c r="A57" s="7" t="s">
        <v>1742</v>
      </c>
      <c r="B57" s="7" t="s">
        <v>1320</v>
      </c>
      <c r="C57" s="7" t="s">
        <v>1323</v>
      </c>
      <c r="D57" s="7" t="s">
        <v>1694</v>
      </c>
      <c r="E57" s="7" t="s">
        <v>1739</v>
      </c>
      <c r="F57" s="36">
        <v>43831</v>
      </c>
      <c r="G57" s="36">
        <v>44926</v>
      </c>
      <c r="I57" s="36">
        <v>44926</v>
      </c>
      <c r="J57" s="7" t="s">
        <v>1696</v>
      </c>
      <c r="K57" s="8">
        <v>0</v>
      </c>
      <c r="L57" s="8">
        <v>0</v>
      </c>
      <c r="M57" s="8">
        <v>600000.003776</v>
      </c>
      <c r="N57" s="8">
        <v>0</v>
      </c>
      <c r="O57" s="8">
        <v>0</v>
      </c>
      <c r="P57" s="8">
        <v>0</v>
      </c>
      <c r="Q57" s="8">
        <v>0</v>
      </c>
      <c r="R57" s="8">
        <f t="shared" si="0"/>
        <v>600000.003776</v>
      </c>
      <c r="S57" s="8">
        <v>0</v>
      </c>
      <c r="T57" s="8">
        <v>0</v>
      </c>
      <c r="U57" s="8">
        <v>600000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7">
        <v>0</v>
      </c>
      <c r="AB57" s="8">
        <v>0</v>
      </c>
      <c r="AC57" s="7">
        <v>7</v>
      </c>
      <c r="AD57" s="7" t="s">
        <v>1226</v>
      </c>
      <c r="AE57" s="8">
        <v>0</v>
      </c>
      <c r="AF57" s="8">
        <v>0</v>
      </c>
      <c r="AG57" s="8">
        <v>0</v>
      </c>
      <c r="AH57" s="8">
        <v>0</v>
      </c>
      <c r="AI57" s="7" t="s">
        <v>1194</v>
      </c>
      <c r="AJ57" s="7">
        <f t="shared" ca="1" si="1"/>
        <v>1</v>
      </c>
      <c r="AK57" s="96">
        <f t="shared" si="16"/>
        <v>0</v>
      </c>
      <c r="AL57" s="97">
        <f t="shared" si="17"/>
        <v>0</v>
      </c>
    </row>
    <row r="58" spans="1:38" x14ac:dyDescent="0.3">
      <c r="A58" s="7" t="s">
        <v>1742</v>
      </c>
      <c r="B58" s="7" t="s">
        <v>1320</v>
      </c>
      <c r="C58" s="7" t="s">
        <v>1323</v>
      </c>
      <c r="D58" s="7" t="s">
        <v>1694</v>
      </c>
      <c r="E58" s="7" t="s">
        <v>1739</v>
      </c>
      <c r="F58" s="36">
        <v>43831</v>
      </c>
      <c r="G58" s="36">
        <v>44926</v>
      </c>
      <c r="I58" s="36">
        <v>44926</v>
      </c>
      <c r="J58" s="7" t="s">
        <v>1699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f t="shared" si="0"/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7">
        <v>0</v>
      </c>
      <c r="AB58" s="8">
        <v>0</v>
      </c>
      <c r="AC58" s="7">
        <v>7</v>
      </c>
      <c r="AD58" s="7" t="s">
        <v>1226</v>
      </c>
      <c r="AE58" s="8">
        <v>50000</v>
      </c>
      <c r="AF58" s="8">
        <v>0</v>
      </c>
      <c r="AG58" s="8">
        <v>50000</v>
      </c>
      <c r="AH58" s="8">
        <v>0</v>
      </c>
      <c r="AI58" s="7" t="s">
        <v>1194</v>
      </c>
      <c r="AJ58" s="7">
        <f t="shared" ca="1" si="1"/>
        <v>2</v>
      </c>
      <c r="AK58" s="100">
        <f>(+AA58*AB58)/$AB$1103</f>
        <v>0</v>
      </c>
      <c r="AL58" s="97">
        <f>AC58/$AE$1103*AE58</f>
        <v>4.2017065669706935E-2</v>
      </c>
    </row>
    <row r="59" spans="1:38" x14ac:dyDescent="0.3">
      <c r="A59" s="7" t="s">
        <v>1743</v>
      </c>
      <c r="B59" s="7" t="s">
        <v>1320</v>
      </c>
      <c r="C59" s="7" t="s">
        <v>1323</v>
      </c>
      <c r="D59" s="7" t="s">
        <v>1694</v>
      </c>
      <c r="E59" s="7" t="s">
        <v>1739</v>
      </c>
      <c r="F59" s="36">
        <v>43831</v>
      </c>
      <c r="G59" s="36">
        <v>44926</v>
      </c>
      <c r="I59" s="36">
        <v>44926</v>
      </c>
      <c r="J59" s="7" t="s">
        <v>1696</v>
      </c>
      <c r="K59" s="8">
        <v>0</v>
      </c>
      <c r="L59" s="8">
        <v>0</v>
      </c>
      <c r="M59" s="8">
        <v>452284.33605944121</v>
      </c>
      <c r="N59" s="8">
        <v>0</v>
      </c>
      <c r="O59" s="8">
        <v>0</v>
      </c>
      <c r="P59" s="8">
        <v>0</v>
      </c>
      <c r="Q59" s="8">
        <v>0</v>
      </c>
      <c r="R59" s="8">
        <f t="shared" si="0"/>
        <v>452284.33605944121</v>
      </c>
      <c r="S59" s="8">
        <v>0</v>
      </c>
      <c r="T59" s="8">
        <v>0</v>
      </c>
      <c r="U59" s="8">
        <v>451415.37239999999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7">
        <v>0</v>
      </c>
      <c r="AB59" s="8">
        <v>0</v>
      </c>
      <c r="AC59" s="7">
        <v>7</v>
      </c>
      <c r="AD59" s="7" t="s">
        <v>1226</v>
      </c>
      <c r="AE59" s="8">
        <v>0</v>
      </c>
      <c r="AF59" s="8">
        <v>0</v>
      </c>
      <c r="AG59" s="8">
        <v>0</v>
      </c>
      <c r="AH59" s="8">
        <v>0</v>
      </c>
      <c r="AI59" s="7" t="s">
        <v>1194</v>
      </c>
      <c r="AJ59" s="7">
        <f t="shared" ca="1" si="1"/>
        <v>1</v>
      </c>
      <c r="AK59" s="96">
        <f>(+AA59*AB59)/$AB$1102</f>
        <v>0</v>
      </c>
      <c r="AL59" s="97">
        <f>AC59/$AE$1102*AE59</f>
        <v>0</v>
      </c>
    </row>
    <row r="60" spans="1:38" x14ac:dyDescent="0.3">
      <c r="A60" s="7" t="s">
        <v>1743</v>
      </c>
      <c r="B60" s="7" t="s">
        <v>1320</v>
      </c>
      <c r="C60" s="7" t="s">
        <v>1323</v>
      </c>
      <c r="D60" s="7" t="s">
        <v>1694</v>
      </c>
      <c r="E60" s="7" t="s">
        <v>1739</v>
      </c>
      <c r="F60" s="36">
        <v>43831</v>
      </c>
      <c r="G60" s="36">
        <v>44926</v>
      </c>
      <c r="I60" s="36">
        <v>44926</v>
      </c>
      <c r="J60" s="7" t="s">
        <v>1699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f t="shared" si="0"/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7">
        <v>0</v>
      </c>
      <c r="AB60" s="8">
        <v>0</v>
      </c>
      <c r="AC60" s="7">
        <v>7</v>
      </c>
      <c r="AD60" s="7" t="s">
        <v>1226</v>
      </c>
      <c r="AE60" s="8">
        <v>37617.947699999997</v>
      </c>
      <c r="AF60" s="8">
        <v>0</v>
      </c>
      <c r="AG60" s="8">
        <v>37617.947699999997</v>
      </c>
      <c r="AH60" s="8">
        <v>0</v>
      </c>
      <c r="AI60" s="7" t="s">
        <v>1194</v>
      </c>
      <c r="AJ60" s="7">
        <f t="shared" ca="1" si="1"/>
        <v>2</v>
      </c>
      <c r="AK60" s="100">
        <f>(+AA60*AB60)/$AB$1103</f>
        <v>0</v>
      </c>
      <c r="AL60" s="97">
        <f>AC60/$AE$1103*AE60</f>
        <v>3.1611915577410013E-2</v>
      </c>
    </row>
    <row r="61" spans="1:38" x14ac:dyDescent="0.3">
      <c r="A61" s="7" t="s">
        <v>1744</v>
      </c>
      <c r="B61" s="7" t="s">
        <v>1320</v>
      </c>
      <c r="C61" s="7" t="s">
        <v>1323</v>
      </c>
      <c r="D61" s="7" t="s">
        <v>1694</v>
      </c>
      <c r="E61" s="7" t="s">
        <v>1739</v>
      </c>
      <c r="F61" s="36">
        <v>43831</v>
      </c>
      <c r="G61" s="36">
        <v>44926</v>
      </c>
      <c r="I61" s="36">
        <v>44926</v>
      </c>
      <c r="J61" s="7" t="s">
        <v>1696</v>
      </c>
      <c r="K61" s="8">
        <v>0</v>
      </c>
      <c r="L61" s="8">
        <v>0</v>
      </c>
      <c r="M61" s="8">
        <v>458566.45021024579</v>
      </c>
      <c r="N61" s="8">
        <v>0</v>
      </c>
      <c r="O61" s="8">
        <v>0</v>
      </c>
      <c r="P61" s="8">
        <v>0</v>
      </c>
      <c r="Q61" s="8">
        <v>0</v>
      </c>
      <c r="R61" s="8">
        <f t="shared" si="0"/>
        <v>458566.45021024579</v>
      </c>
      <c r="S61" s="8">
        <v>0</v>
      </c>
      <c r="T61" s="8">
        <v>0</v>
      </c>
      <c r="U61" s="8">
        <v>451415.37239999999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7">
        <v>0</v>
      </c>
      <c r="AB61" s="8">
        <v>18808.977590728718</v>
      </c>
      <c r="AC61" s="7">
        <v>7</v>
      </c>
      <c r="AD61" s="7" t="s">
        <v>1226</v>
      </c>
      <c r="AE61" s="8">
        <v>0</v>
      </c>
      <c r="AF61" s="8">
        <v>18808.973849999998</v>
      </c>
      <c r="AG61" s="8">
        <v>18808.973849999998</v>
      </c>
      <c r="AH61" s="8">
        <v>0</v>
      </c>
      <c r="AI61" s="7" t="s">
        <v>1194</v>
      </c>
      <c r="AJ61" s="7">
        <f t="shared" ca="1" si="1"/>
        <v>1</v>
      </c>
      <c r="AK61" s="96">
        <f>(+AA61*AB61)/$AB$1102</f>
        <v>0</v>
      </c>
      <c r="AL61" s="97">
        <f>AC61/$AE$1102*AE61</f>
        <v>0</v>
      </c>
    </row>
    <row r="62" spans="1:38" x14ac:dyDescent="0.3">
      <c r="A62" s="7" t="s">
        <v>1744</v>
      </c>
      <c r="B62" s="7" t="s">
        <v>1320</v>
      </c>
      <c r="C62" s="7" t="s">
        <v>1323</v>
      </c>
      <c r="D62" s="7" t="s">
        <v>1694</v>
      </c>
      <c r="E62" s="7" t="s">
        <v>1739</v>
      </c>
      <c r="F62" s="36">
        <v>43831</v>
      </c>
      <c r="G62" s="36">
        <v>44926</v>
      </c>
      <c r="I62" s="36">
        <v>44926</v>
      </c>
      <c r="J62" s="7" t="s">
        <v>1699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f t="shared" si="0"/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7">
        <v>0</v>
      </c>
      <c r="AB62" s="8">
        <v>0</v>
      </c>
      <c r="AC62" s="7">
        <v>7</v>
      </c>
      <c r="AD62" s="7" t="s">
        <v>1226</v>
      </c>
      <c r="AE62" s="8">
        <v>37617.947699999997</v>
      </c>
      <c r="AF62" s="8">
        <v>0</v>
      </c>
      <c r="AG62" s="8">
        <v>37617.947699999997</v>
      </c>
      <c r="AH62" s="8">
        <v>0</v>
      </c>
      <c r="AI62" s="7" t="s">
        <v>1194</v>
      </c>
      <c r="AJ62" s="7">
        <f t="shared" ca="1" si="1"/>
        <v>2</v>
      </c>
      <c r="AK62" s="100">
        <f>(+AA62*AB62)/$AB$1103</f>
        <v>0</v>
      </c>
      <c r="AL62" s="97">
        <f>AC62/$AE$1103*AE62</f>
        <v>3.1611915577410013E-2</v>
      </c>
    </row>
    <row r="63" spans="1:38" x14ac:dyDescent="0.3">
      <c r="A63" s="7" t="s">
        <v>1745</v>
      </c>
      <c r="B63" s="7" t="s">
        <v>1320</v>
      </c>
      <c r="C63" s="7" t="s">
        <v>1323</v>
      </c>
      <c r="D63" s="7" t="s">
        <v>1694</v>
      </c>
      <c r="E63" s="7" t="s">
        <v>1739</v>
      </c>
      <c r="F63" s="36">
        <v>43831</v>
      </c>
      <c r="G63" s="36">
        <v>44926</v>
      </c>
      <c r="I63" s="36">
        <v>44926</v>
      </c>
      <c r="J63" s="7" t="s">
        <v>1239</v>
      </c>
      <c r="K63" s="8">
        <v>542923.08867600001</v>
      </c>
      <c r="L63" s="8">
        <v>18773.166281999998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f t="shared" si="0"/>
        <v>561696.25495800003</v>
      </c>
      <c r="S63" s="8">
        <v>0</v>
      </c>
      <c r="T63" s="8">
        <v>22143.992989999999</v>
      </c>
      <c r="U63" s="8">
        <v>0</v>
      </c>
      <c r="V63" s="8">
        <v>577856.00700999994</v>
      </c>
      <c r="W63" s="8">
        <v>0</v>
      </c>
      <c r="X63" s="8">
        <v>0</v>
      </c>
      <c r="Y63" s="8">
        <v>0</v>
      </c>
      <c r="Z63" s="8">
        <v>0</v>
      </c>
      <c r="AA63" s="7">
        <v>0</v>
      </c>
      <c r="AB63" s="8">
        <v>0</v>
      </c>
      <c r="AC63" s="7">
        <v>7</v>
      </c>
      <c r="AD63" s="7" t="s">
        <v>1226</v>
      </c>
      <c r="AE63" s="8">
        <v>0</v>
      </c>
      <c r="AF63" s="8">
        <v>0</v>
      </c>
      <c r="AG63" s="8">
        <v>0</v>
      </c>
      <c r="AH63" s="8">
        <v>0</v>
      </c>
      <c r="AI63" s="7" t="s">
        <v>1194</v>
      </c>
      <c r="AJ63" s="7">
        <f t="shared" ca="1" si="1"/>
        <v>1</v>
      </c>
      <c r="AK63" s="96">
        <f t="shared" si="6"/>
        <v>0</v>
      </c>
      <c r="AL63" s="97">
        <f t="shared" si="7"/>
        <v>0</v>
      </c>
    </row>
    <row r="64" spans="1:38" x14ac:dyDescent="0.3">
      <c r="A64" s="7" t="s">
        <v>1745</v>
      </c>
      <c r="B64" s="7" t="s">
        <v>1320</v>
      </c>
      <c r="C64" s="7" t="s">
        <v>1323</v>
      </c>
      <c r="D64" s="7" t="s">
        <v>1694</v>
      </c>
      <c r="E64" s="7" t="s">
        <v>1739</v>
      </c>
      <c r="F64" s="36">
        <v>43831</v>
      </c>
      <c r="G64" s="36">
        <v>44926</v>
      </c>
      <c r="I64" s="36">
        <v>44926</v>
      </c>
      <c r="J64" s="7" t="s">
        <v>1699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f t="shared" si="0"/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7">
        <v>0</v>
      </c>
      <c r="AB64" s="8">
        <v>0</v>
      </c>
      <c r="AC64" s="7">
        <v>7</v>
      </c>
      <c r="AD64" s="7" t="s">
        <v>1226</v>
      </c>
      <c r="AE64" s="8">
        <v>50000</v>
      </c>
      <c r="AF64" s="8">
        <v>0</v>
      </c>
      <c r="AG64" s="8">
        <v>50000</v>
      </c>
      <c r="AH64" s="8">
        <v>0</v>
      </c>
      <c r="AI64" s="7" t="s">
        <v>1194</v>
      </c>
      <c r="AJ64" s="7">
        <f t="shared" ca="1" si="1"/>
        <v>2</v>
      </c>
      <c r="AK64" s="100">
        <f>(+AA64*AB64)/$AB$1103</f>
        <v>0</v>
      </c>
      <c r="AL64" s="97">
        <f>AC64/$AE$1103*AE64</f>
        <v>4.2017065669706935E-2</v>
      </c>
    </row>
    <row r="65" spans="1:38" x14ac:dyDescent="0.3">
      <c r="A65" s="7" t="s">
        <v>1746</v>
      </c>
      <c r="B65" s="7" t="s">
        <v>1320</v>
      </c>
      <c r="C65" s="7" t="s">
        <v>1323</v>
      </c>
      <c r="D65" s="7" t="s">
        <v>1694</v>
      </c>
      <c r="E65" s="7" t="s">
        <v>1739</v>
      </c>
      <c r="F65" s="36">
        <v>43831</v>
      </c>
      <c r="G65" s="36">
        <v>44926</v>
      </c>
      <c r="I65" s="36">
        <v>44926</v>
      </c>
      <c r="J65" s="7" t="s">
        <v>1696</v>
      </c>
      <c r="K65" s="8">
        <v>0</v>
      </c>
      <c r="L65" s="8">
        <v>0</v>
      </c>
      <c r="M65" s="8">
        <v>605000.00372599997</v>
      </c>
      <c r="N65" s="8">
        <v>0</v>
      </c>
      <c r="O65" s="8">
        <v>0</v>
      </c>
      <c r="P65" s="8">
        <v>0</v>
      </c>
      <c r="Q65" s="8">
        <v>0</v>
      </c>
      <c r="R65" s="8">
        <f t="shared" si="0"/>
        <v>605000.00372599997</v>
      </c>
      <c r="S65" s="8">
        <v>0</v>
      </c>
      <c r="T65" s="8">
        <v>0</v>
      </c>
      <c r="U65" s="8">
        <v>600000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7">
        <v>0</v>
      </c>
      <c r="AB65" s="8">
        <v>0</v>
      </c>
      <c r="AC65" s="7">
        <v>7</v>
      </c>
      <c r="AD65" s="7" t="s">
        <v>1226</v>
      </c>
      <c r="AE65" s="8">
        <v>0</v>
      </c>
      <c r="AF65" s="8">
        <v>0</v>
      </c>
      <c r="AG65" s="8">
        <v>0</v>
      </c>
      <c r="AH65" s="8">
        <v>0</v>
      </c>
      <c r="AI65" s="7" t="s">
        <v>1194</v>
      </c>
      <c r="AJ65" s="7">
        <f t="shared" ca="1" si="1"/>
        <v>1</v>
      </c>
      <c r="AK65" s="96">
        <f>(+AA65*AB65)/$AB$1102</f>
        <v>0</v>
      </c>
      <c r="AL65" s="97">
        <f>AC65/$AE$1102*AE65</f>
        <v>0</v>
      </c>
    </row>
    <row r="66" spans="1:38" x14ac:dyDescent="0.3">
      <c r="A66" s="7" t="s">
        <v>1746</v>
      </c>
      <c r="B66" s="7" t="s">
        <v>1320</v>
      </c>
      <c r="C66" s="7" t="s">
        <v>1323</v>
      </c>
      <c r="D66" s="7" t="s">
        <v>1694</v>
      </c>
      <c r="E66" s="7" t="s">
        <v>1739</v>
      </c>
      <c r="F66" s="36">
        <v>43831</v>
      </c>
      <c r="G66" s="36">
        <v>44926</v>
      </c>
      <c r="I66" s="36">
        <v>44926</v>
      </c>
      <c r="J66" s="7" t="s">
        <v>1699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f t="shared" si="0"/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7">
        <v>0</v>
      </c>
      <c r="AB66" s="8">
        <v>0</v>
      </c>
      <c r="AC66" s="7">
        <v>7</v>
      </c>
      <c r="AD66" s="7" t="s">
        <v>1226</v>
      </c>
      <c r="AE66" s="8">
        <v>50000</v>
      </c>
      <c r="AF66" s="8">
        <v>0</v>
      </c>
      <c r="AG66" s="8">
        <v>50000</v>
      </c>
      <c r="AH66" s="8">
        <v>0</v>
      </c>
      <c r="AI66" s="7" t="s">
        <v>1194</v>
      </c>
      <c r="AJ66" s="7">
        <f t="shared" ca="1" si="1"/>
        <v>2</v>
      </c>
      <c r="AK66" s="100">
        <f>(+AA66*AB66)/$AB$1103</f>
        <v>0</v>
      </c>
      <c r="AL66" s="97">
        <f>AC66/$AE$1103*AE66</f>
        <v>4.2017065669706935E-2</v>
      </c>
    </row>
    <row r="67" spans="1:38" x14ac:dyDescent="0.3">
      <c r="A67" s="7" t="s">
        <v>1747</v>
      </c>
      <c r="B67" s="7" t="s">
        <v>1320</v>
      </c>
      <c r="C67" s="7" t="s">
        <v>1323</v>
      </c>
      <c r="D67" s="7" t="s">
        <v>1694</v>
      </c>
      <c r="E67" s="7" t="s">
        <v>1739</v>
      </c>
      <c r="F67" s="36">
        <v>43831</v>
      </c>
      <c r="G67" s="36">
        <v>44926</v>
      </c>
      <c r="I67" s="36">
        <v>44926</v>
      </c>
      <c r="J67" s="7" t="s">
        <v>1696</v>
      </c>
      <c r="K67" s="8">
        <v>0</v>
      </c>
      <c r="L67" s="8">
        <v>0</v>
      </c>
      <c r="M67" s="8">
        <v>600000.003731</v>
      </c>
      <c r="N67" s="8">
        <v>0</v>
      </c>
      <c r="O67" s="8">
        <v>0</v>
      </c>
      <c r="P67" s="8">
        <v>0</v>
      </c>
      <c r="Q67" s="8">
        <v>0</v>
      </c>
      <c r="R67" s="8">
        <f t="shared" ref="R67:R130" si="18">K67+L67+M67+N67+O67+P67+Q67</f>
        <v>600000.003731</v>
      </c>
      <c r="S67" s="8">
        <v>0</v>
      </c>
      <c r="T67" s="8">
        <v>0</v>
      </c>
      <c r="U67" s="8">
        <v>600000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7">
        <v>0</v>
      </c>
      <c r="AB67" s="8">
        <v>0</v>
      </c>
      <c r="AC67" s="7">
        <v>7</v>
      </c>
      <c r="AD67" s="7" t="s">
        <v>1226</v>
      </c>
      <c r="AE67" s="8">
        <v>0</v>
      </c>
      <c r="AF67" s="8">
        <v>0</v>
      </c>
      <c r="AG67" s="8">
        <v>0</v>
      </c>
      <c r="AH67" s="8">
        <v>0</v>
      </c>
      <c r="AI67" s="7" t="s">
        <v>1194</v>
      </c>
      <c r="AJ67" s="7">
        <f t="shared" ref="AJ67:AJ130" ca="1" si="19">IF(A67=OFFSET(A67,-1,0),OFFSET(AJ67,-1,0)+1,1)</f>
        <v>1</v>
      </c>
      <c r="AK67" s="96">
        <f>(+AA67*AB67)/$AB$1102</f>
        <v>0</v>
      </c>
      <c r="AL67" s="97">
        <f>AC67/$AE$1102*AE67</f>
        <v>0</v>
      </c>
    </row>
    <row r="68" spans="1:38" x14ac:dyDescent="0.3">
      <c r="A68" s="7" t="s">
        <v>1747</v>
      </c>
      <c r="B68" s="7" t="s">
        <v>1320</v>
      </c>
      <c r="C68" s="7" t="s">
        <v>1323</v>
      </c>
      <c r="D68" s="7" t="s">
        <v>1694</v>
      </c>
      <c r="E68" s="7" t="s">
        <v>1739</v>
      </c>
      <c r="F68" s="36">
        <v>43831</v>
      </c>
      <c r="G68" s="36">
        <v>44926</v>
      </c>
      <c r="I68" s="36">
        <v>44926</v>
      </c>
      <c r="J68" s="7" t="s">
        <v>1699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f t="shared" si="18"/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7">
        <v>0</v>
      </c>
      <c r="AB68" s="8">
        <v>0</v>
      </c>
      <c r="AC68" s="7">
        <v>7</v>
      </c>
      <c r="AD68" s="7" t="s">
        <v>1226</v>
      </c>
      <c r="AE68" s="8">
        <v>50000</v>
      </c>
      <c r="AF68" s="8">
        <v>0</v>
      </c>
      <c r="AG68" s="8">
        <v>50000</v>
      </c>
      <c r="AH68" s="8">
        <v>0</v>
      </c>
      <c r="AI68" s="7" t="s">
        <v>1194</v>
      </c>
      <c r="AJ68" s="7">
        <f t="shared" ca="1" si="19"/>
        <v>2</v>
      </c>
      <c r="AK68" s="100">
        <f>(+AA68*AB68)/$AB$1103</f>
        <v>0</v>
      </c>
      <c r="AL68" s="97">
        <f>AC68/$AE$1103*AE68</f>
        <v>4.2017065669706935E-2</v>
      </c>
    </row>
    <row r="69" spans="1:38" x14ac:dyDescent="0.3">
      <c r="A69" s="7" t="s">
        <v>1748</v>
      </c>
      <c r="B69" s="7" t="s">
        <v>1320</v>
      </c>
      <c r="C69" s="7" t="s">
        <v>1323</v>
      </c>
      <c r="D69" s="7" t="s">
        <v>1694</v>
      </c>
      <c r="E69" s="7" t="s">
        <v>1739</v>
      </c>
      <c r="F69" s="36">
        <v>43845</v>
      </c>
      <c r="G69" s="36">
        <v>44940</v>
      </c>
      <c r="I69" s="36">
        <v>44940</v>
      </c>
      <c r="J69" s="7" t="s">
        <v>1696</v>
      </c>
      <c r="K69" s="8">
        <v>0</v>
      </c>
      <c r="L69" s="8">
        <v>0</v>
      </c>
      <c r="M69" s="8">
        <v>599999.99908099999</v>
      </c>
      <c r="N69" s="8">
        <v>0</v>
      </c>
      <c r="O69" s="8">
        <v>0</v>
      </c>
      <c r="P69" s="8">
        <v>0</v>
      </c>
      <c r="Q69" s="8">
        <v>0</v>
      </c>
      <c r="R69" s="8">
        <f t="shared" si="18"/>
        <v>599999.99908099999</v>
      </c>
      <c r="S69" s="8">
        <v>0</v>
      </c>
      <c r="T69" s="8">
        <v>0</v>
      </c>
      <c r="U69" s="8">
        <v>600000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7">
        <v>3.8356000000000001E-2</v>
      </c>
      <c r="AB69" s="8">
        <v>0</v>
      </c>
      <c r="AC69" s="7">
        <v>7</v>
      </c>
      <c r="AD69" s="7" t="s">
        <v>1226</v>
      </c>
      <c r="AE69" s="8">
        <v>0</v>
      </c>
      <c r="AF69" s="8">
        <v>0</v>
      </c>
      <c r="AG69" s="8">
        <v>0</v>
      </c>
      <c r="AH69" s="8">
        <v>0</v>
      </c>
      <c r="AI69" s="7" t="s">
        <v>1194</v>
      </c>
      <c r="AJ69" s="7">
        <f t="shared" ca="1" si="19"/>
        <v>1</v>
      </c>
      <c r="AK69" s="96">
        <f>(+AA69*AB69)/$AB$1102</f>
        <v>0</v>
      </c>
      <c r="AL69" s="97">
        <f>AC69/$AE$1102*AE69</f>
        <v>0</v>
      </c>
    </row>
    <row r="70" spans="1:38" x14ac:dyDescent="0.3">
      <c r="A70" s="7" t="s">
        <v>1748</v>
      </c>
      <c r="B70" s="7" t="s">
        <v>1320</v>
      </c>
      <c r="C70" s="7" t="s">
        <v>1323</v>
      </c>
      <c r="D70" s="7" t="s">
        <v>1694</v>
      </c>
      <c r="E70" s="7" t="s">
        <v>1739</v>
      </c>
      <c r="F70" s="36">
        <v>43845</v>
      </c>
      <c r="G70" s="36">
        <v>44940</v>
      </c>
      <c r="I70" s="36">
        <v>44940</v>
      </c>
      <c r="J70" s="7" t="s">
        <v>1699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f t="shared" si="18"/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7">
        <v>0</v>
      </c>
      <c r="AB70" s="8">
        <v>0</v>
      </c>
      <c r="AC70" s="7">
        <v>7</v>
      </c>
      <c r="AD70" s="7" t="s">
        <v>1226</v>
      </c>
      <c r="AE70" s="8">
        <v>50000</v>
      </c>
      <c r="AF70" s="8">
        <v>0</v>
      </c>
      <c r="AG70" s="8">
        <v>50000</v>
      </c>
      <c r="AH70" s="8">
        <v>0</v>
      </c>
      <c r="AI70" s="7" t="s">
        <v>1194</v>
      </c>
      <c r="AJ70" s="7">
        <f t="shared" ca="1" si="19"/>
        <v>2</v>
      </c>
      <c r="AK70" s="100">
        <f>(+AA70*AB70)/$AB$1103</f>
        <v>0</v>
      </c>
      <c r="AL70" s="97">
        <f>AC70/$AE$1103*AE70</f>
        <v>4.2017065669706935E-2</v>
      </c>
    </row>
    <row r="71" spans="1:38" x14ac:dyDescent="0.3">
      <c r="A71" s="7" t="s">
        <v>1749</v>
      </c>
      <c r="B71" s="7" t="s">
        <v>1320</v>
      </c>
      <c r="C71" s="7" t="s">
        <v>1323</v>
      </c>
      <c r="D71" s="7" t="s">
        <v>1694</v>
      </c>
      <c r="E71" s="7" t="s">
        <v>1750</v>
      </c>
      <c r="F71" s="36">
        <v>43831</v>
      </c>
      <c r="G71" s="36">
        <v>44926</v>
      </c>
      <c r="H71" s="36">
        <v>45291</v>
      </c>
      <c r="I71" s="36">
        <v>45291</v>
      </c>
      <c r="J71" s="7" t="s">
        <v>1696</v>
      </c>
      <c r="K71" s="8">
        <v>0</v>
      </c>
      <c r="L71" s="8">
        <v>0</v>
      </c>
      <c r="M71" s="8">
        <v>576923.07842000003</v>
      </c>
      <c r="N71" s="8">
        <v>0</v>
      </c>
      <c r="O71" s="8">
        <v>0</v>
      </c>
      <c r="P71" s="8">
        <v>0</v>
      </c>
      <c r="Q71" s="8">
        <v>0</v>
      </c>
      <c r="R71" s="8">
        <f t="shared" si="18"/>
        <v>576923.07842000003</v>
      </c>
      <c r="S71" s="8">
        <v>0</v>
      </c>
      <c r="T71" s="8">
        <v>0</v>
      </c>
      <c r="U71" s="8">
        <v>600000</v>
      </c>
      <c r="V71" s="8">
        <v>0</v>
      </c>
      <c r="W71" s="8">
        <v>0</v>
      </c>
      <c r="X71" s="8">
        <v>0</v>
      </c>
      <c r="Y71" s="8">
        <v>0</v>
      </c>
      <c r="Z71" s="8">
        <v>297359.39806400001</v>
      </c>
      <c r="AA71" s="7">
        <v>1</v>
      </c>
      <c r="AB71" s="8">
        <v>297764.63276000001</v>
      </c>
      <c r="AC71" s="7">
        <v>1.6353329999999999</v>
      </c>
      <c r="AD71" s="7" t="s">
        <v>1697</v>
      </c>
      <c r="AE71" s="8">
        <v>300000</v>
      </c>
      <c r="AF71" s="8">
        <v>0</v>
      </c>
      <c r="AG71" s="8">
        <v>300000</v>
      </c>
      <c r="AH71" s="8">
        <v>0</v>
      </c>
      <c r="AI71" s="7" t="s">
        <v>1194</v>
      </c>
      <c r="AJ71" s="7">
        <f t="shared" ca="1" si="19"/>
        <v>1</v>
      </c>
      <c r="AK71" s="96">
        <f>(+AA71*AB71)/$AB$1102</f>
        <v>2.6096807239242104E-4</v>
      </c>
      <c r="AL71" s="97">
        <f>AC71/$AE$1102*AE71</f>
        <v>4.1978714112778727E-4</v>
      </c>
    </row>
    <row r="72" spans="1:38" x14ac:dyDescent="0.3">
      <c r="A72" s="7" t="s">
        <v>1751</v>
      </c>
      <c r="B72" s="7" t="s">
        <v>1320</v>
      </c>
      <c r="C72" s="7" t="s">
        <v>1323</v>
      </c>
      <c r="D72" s="7" t="s">
        <v>1694</v>
      </c>
      <c r="E72" s="7" t="s">
        <v>1695</v>
      </c>
      <c r="F72" s="36">
        <v>43831</v>
      </c>
      <c r="G72" s="36">
        <v>44074</v>
      </c>
      <c r="H72" s="36">
        <v>44895</v>
      </c>
      <c r="I72" s="36">
        <v>44895</v>
      </c>
      <c r="J72" s="7" t="s">
        <v>1699</v>
      </c>
      <c r="K72" s="8">
        <v>0</v>
      </c>
      <c r="L72" s="8">
        <v>0</v>
      </c>
      <c r="M72" s="8">
        <v>0</v>
      </c>
      <c r="N72" s="8">
        <v>715000</v>
      </c>
      <c r="O72" s="8">
        <v>0</v>
      </c>
      <c r="P72" s="8">
        <v>0</v>
      </c>
      <c r="Q72" s="8">
        <v>0</v>
      </c>
      <c r="R72" s="8">
        <f t="shared" si="18"/>
        <v>715000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7">
        <v>0</v>
      </c>
      <c r="AB72" s="8">
        <v>0</v>
      </c>
      <c r="AC72" s="7">
        <v>7</v>
      </c>
      <c r="AD72" s="7" t="s">
        <v>1226</v>
      </c>
      <c r="AE72" s="8">
        <v>0</v>
      </c>
      <c r="AF72" s="8">
        <v>0</v>
      </c>
      <c r="AG72" s="8">
        <v>0</v>
      </c>
      <c r="AH72" s="8">
        <v>0</v>
      </c>
      <c r="AI72" s="7" t="s">
        <v>1194</v>
      </c>
      <c r="AJ72" s="7">
        <f t="shared" ca="1" si="19"/>
        <v>1</v>
      </c>
      <c r="AK72" s="100">
        <f>(+AA72*AB72)/$AB$1103</f>
        <v>0</v>
      </c>
      <c r="AL72" s="97">
        <f>AC72/$AE$1103*AE72</f>
        <v>0</v>
      </c>
    </row>
    <row r="73" spans="1:38" x14ac:dyDescent="0.3">
      <c r="A73" s="7" t="s">
        <v>1752</v>
      </c>
      <c r="B73" s="7" t="s">
        <v>1320</v>
      </c>
      <c r="C73" s="7" t="s">
        <v>1323</v>
      </c>
      <c r="D73" s="7" t="s">
        <v>1694</v>
      </c>
      <c r="E73" s="7" t="s">
        <v>1739</v>
      </c>
      <c r="F73" s="36">
        <v>43831</v>
      </c>
      <c r="G73" s="36">
        <v>44926</v>
      </c>
      <c r="I73" s="36">
        <v>46022</v>
      </c>
      <c r="J73" s="7" t="s">
        <v>1696</v>
      </c>
      <c r="K73" s="8">
        <v>0</v>
      </c>
      <c r="L73" s="8">
        <v>0</v>
      </c>
      <c r="M73" s="8">
        <v>227027.03333499999</v>
      </c>
      <c r="N73" s="8">
        <v>0</v>
      </c>
      <c r="O73" s="8">
        <v>0</v>
      </c>
      <c r="P73" s="8">
        <v>0</v>
      </c>
      <c r="Q73" s="8">
        <v>0</v>
      </c>
      <c r="R73" s="8">
        <f t="shared" si="18"/>
        <v>227027.03333499999</v>
      </c>
      <c r="S73" s="8">
        <v>0</v>
      </c>
      <c r="T73" s="8">
        <v>0</v>
      </c>
      <c r="U73" s="8">
        <v>200000</v>
      </c>
      <c r="V73" s="8">
        <v>0</v>
      </c>
      <c r="W73" s="8">
        <v>0</v>
      </c>
      <c r="X73" s="8">
        <v>0</v>
      </c>
      <c r="Y73" s="8">
        <v>0</v>
      </c>
      <c r="Z73" s="8">
        <v>-764496.84241599997</v>
      </c>
      <c r="AA73" s="7">
        <v>3.0027400000000002</v>
      </c>
      <c r="AB73" s="8">
        <v>50000</v>
      </c>
      <c r="AC73" s="7">
        <v>2.920417</v>
      </c>
      <c r="AD73" s="7" t="s">
        <v>1697</v>
      </c>
      <c r="AE73" s="8">
        <v>50000</v>
      </c>
      <c r="AF73" s="8">
        <v>0</v>
      </c>
      <c r="AG73" s="8">
        <v>50000</v>
      </c>
      <c r="AH73" s="8">
        <v>0</v>
      </c>
      <c r="AI73" s="7" t="s">
        <v>1194</v>
      </c>
      <c r="AJ73" s="7">
        <f t="shared" ca="1" si="19"/>
        <v>1</v>
      </c>
      <c r="AK73" s="96">
        <f t="shared" ref="AK73:AK84" si="20">(+AA73*AB73)/$AB$1102</f>
        <v>1.3158367104115079E-4</v>
      </c>
      <c r="AL73" s="97">
        <f t="shared" ref="AL73:AL84" si="21">AC73/$AE$1102*AE73</f>
        <v>1.2494432870155387E-4</v>
      </c>
    </row>
    <row r="74" spans="1:38" x14ac:dyDescent="0.3">
      <c r="A74" s="7" t="s">
        <v>1753</v>
      </c>
      <c r="B74" s="7" t="s">
        <v>1320</v>
      </c>
      <c r="C74" s="7" t="s">
        <v>1323</v>
      </c>
      <c r="D74" s="7" t="s">
        <v>1694</v>
      </c>
      <c r="E74" s="7" t="s">
        <v>1739</v>
      </c>
      <c r="F74" s="36">
        <v>43831</v>
      </c>
      <c r="G74" s="36">
        <v>44926</v>
      </c>
      <c r="I74" s="36">
        <v>46022</v>
      </c>
      <c r="J74" s="7" t="s">
        <v>1696</v>
      </c>
      <c r="K74" s="8">
        <v>0</v>
      </c>
      <c r="L74" s="8">
        <v>0</v>
      </c>
      <c r="M74" s="8">
        <v>428378.38363699999</v>
      </c>
      <c r="N74" s="8">
        <v>0</v>
      </c>
      <c r="O74" s="8">
        <v>0</v>
      </c>
      <c r="P74" s="8">
        <v>0</v>
      </c>
      <c r="Q74" s="8">
        <v>0</v>
      </c>
      <c r="R74" s="8">
        <f t="shared" si="18"/>
        <v>428378.38363699999</v>
      </c>
      <c r="S74" s="8">
        <v>0</v>
      </c>
      <c r="T74" s="8">
        <v>0</v>
      </c>
      <c r="U74" s="8">
        <v>600000</v>
      </c>
      <c r="V74" s="8">
        <v>0</v>
      </c>
      <c r="W74" s="8">
        <v>0</v>
      </c>
      <c r="X74" s="8">
        <v>0</v>
      </c>
      <c r="Y74" s="8">
        <v>0</v>
      </c>
      <c r="Z74" s="8">
        <v>-710025.482448</v>
      </c>
      <c r="AA74" s="7">
        <v>3.0027400000000002</v>
      </c>
      <c r="AB74" s="8">
        <v>99878.611378999994</v>
      </c>
      <c r="AC74" s="7">
        <v>2.920417</v>
      </c>
      <c r="AD74" s="7" t="s">
        <v>1697</v>
      </c>
      <c r="AE74" s="8">
        <v>100000</v>
      </c>
      <c r="AF74" s="8">
        <v>0</v>
      </c>
      <c r="AG74" s="8">
        <v>100000</v>
      </c>
      <c r="AH74" s="8">
        <v>0</v>
      </c>
      <c r="AI74" s="7" t="s">
        <v>1194</v>
      </c>
      <c r="AJ74" s="7">
        <f t="shared" ca="1" si="19"/>
        <v>1</v>
      </c>
      <c r="AK74" s="96">
        <f t="shared" si="20"/>
        <v>2.6284788687482556E-4</v>
      </c>
      <c r="AL74" s="97">
        <f t="shared" si="21"/>
        <v>2.4988865740310773E-4</v>
      </c>
    </row>
    <row r="75" spans="1:38" x14ac:dyDescent="0.3">
      <c r="A75" s="7" t="s">
        <v>1754</v>
      </c>
      <c r="B75" s="7" t="s">
        <v>1320</v>
      </c>
      <c r="C75" s="7" t="s">
        <v>1323</v>
      </c>
      <c r="D75" s="7" t="s">
        <v>1694</v>
      </c>
      <c r="E75" s="7" t="s">
        <v>1322</v>
      </c>
      <c r="F75" s="36">
        <v>43831</v>
      </c>
      <c r="G75" s="36">
        <v>44926</v>
      </c>
      <c r="H75" s="36">
        <v>44926</v>
      </c>
      <c r="I75" s="36">
        <v>44926</v>
      </c>
      <c r="J75" s="7" t="s">
        <v>1696</v>
      </c>
      <c r="K75" s="8">
        <v>0</v>
      </c>
      <c r="L75" s="8">
        <v>0</v>
      </c>
      <c r="M75" s="8">
        <v>721200.00399100001</v>
      </c>
      <c r="N75" s="8">
        <v>0</v>
      </c>
      <c r="O75" s="8">
        <v>0</v>
      </c>
      <c r="P75" s="8">
        <v>0</v>
      </c>
      <c r="Q75" s="8">
        <v>0</v>
      </c>
      <c r="R75" s="8">
        <f t="shared" si="18"/>
        <v>721200.00399100001</v>
      </c>
      <c r="S75" s="8">
        <v>0</v>
      </c>
      <c r="T75" s="8">
        <v>0</v>
      </c>
      <c r="U75" s="8">
        <v>781200</v>
      </c>
      <c r="V75" s="8">
        <v>0</v>
      </c>
      <c r="W75" s="8">
        <v>0</v>
      </c>
      <c r="X75" s="8">
        <v>0</v>
      </c>
      <c r="Y75" s="8">
        <v>0</v>
      </c>
      <c r="Z75" s="8">
        <v>56664.864077999999</v>
      </c>
      <c r="AA75" s="7">
        <v>0</v>
      </c>
      <c r="AB75" s="8">
        <v>0</v>
      </c>
      <c r="AC75" s="7">
        <v>7</v>
      </c>
      <c r="AD75" s="7" t="s">
        <v>1726</v>
      </c>
      <c r="AE75" s="8">
        <v>0</v>
      </c>
      <c r="AF75" s="8">
        <v>0</v>
      </c>
      <c r="AG75" s="8">
        <v>0</v>
      </c>
      <c r="AH75" s="8">
        <v>0</v>
      </c>
      <c r="AI75" s="7" t="s">
        <v>1194</v>
      </c>
      <c r="AJ75" s="7">
        <f t="shared" ca="1" si="19"/>
        <v>1</v>
      </c>
      <c r="AK75" s="96">
        <f t="shared" si="20"/>
        <v>0</v>
      </c>
      <c r="AL75" s="97">
        <f t="shared" si="21"/>
        <v>0</v>
      </c>
    </row>
    <row r="76" spans="1:38" x14ac:dyDescent="0.3">
      <c r="A76" s="7" t="s">
        <v>1755</v>
      </c>
      <c r="B76" s="7" t="s">
        <v>194</v>
      </c>
      <c r="C76" s="7" t="s">
        <v>1756</v>
      </c>
      <c r="D76" s="7" t="s">
        <v>1757</v>
      </c>
      <c r="E76" s="7" t="s">
        <v>1322</v>
      </c>
      <c r="F76" s="36">
        <v>44197</v>
      </c>
      <c r="G76" s="36">
        <v>46387</v>
      </c>
      <c r="H76" s="36">
        <v>46387</v>
      </c>
      <c r="I76" s="36">
        <v>46387</v>
      </c>
      <c r="J76" s="7" t="s">
        <v>1696</v>
      </c>
      <c r="K76" s="8">
        <v>0</v>
      </c>
      <c r="L76" s="8">
        <v>0</v>
      </c>
      <c r="M76" s="8">
        <v>95505.234658611473</v>
      </c>
      <c r="N76" s="8">
        <v>0</v>
      </c>
      <c r="O76" s="8">
        <v>0</v>
      </c>
      <c r="P76" s="8">
        <v>0</v>
      </c>
      <c r="Q76" s="8">
        <v>0</v>
      </c>
      <c r="R76" s="8">
        <f t="shared" si="18"/>
        <v>95505.234658611473</v>
      </c>
      <c r="S76" s="8">
        <v>0</v>
      </c>
      <c r="T76" s="8">
        <v>0</v>
      </c>
      <c r="U76" s="8">
        <v>95505.235826160002</v>
      </c>
      <c r="V76" s="8">
        <v>0</v>
      </c>
      <c r="W76" s="8">
        <v>0</v>
      </c>
      <c r="X76" s="8">
        <v>0</v>
      </c>
      <c r="Y76" s="8">
        <v>268728.20579809509</v>
      </c>
      <c r="Z76" s="8">
        <v>0</v>
      </c>
      <c r="AA76" s="7">
        <v>4.0027400000000002</v>
      </c>
      <c r="AB76" s="8">
        <v>184351.99106026706</v>
      </c>
      <c r="AC76" s="7">
        <v>2.0449999999999999</v>
      </c>
      <c r="AD76" s="7" t="s">
        <v>1226</v>
      </c>
      <c r="AE76" s="8">
        <v>193076.52689760001</v>
      </c>
      <c r="AF76" s="8">
        <v>0</v>
      </c>
      <c r="AG76" s="8">
        <v>193076.52689760001</v>
      </c>
      <c r="AH76" s="8">
        <v>0</v>
      </c>
      <c r="AI76" s="7" t="s">
        <v>1758</v>
      </c>
      <c r="AJ76" s="7">
        <f t="shared" ca="1" si="19"/>
        <v>1</v>
      </c>
      <c r="AK76" s="96">
        <f t="shared" si="20"/>
        <v>6.4672474553247668E-4</v>
      </c>
      <c r="AL76" s="97">
        <f t="shared" si="21"/>
        <v>3.3785042238387495E-4</v>
      </c>
    </row>
    <row r="77" spans="1:38" x14ac:dyDescent="0.3">
      <c r="A77" s="7" t="s">
        <v>1759</v>
      </c>
      <c r="B77" s="7" t="s">
        <v>1735</v>
      </c>
      <c r="C77" s="7" t="s">
        <v>1323</v>
      </c>
      <c r="D77" s="7" t="s">
        <v>1324</v>
      </c>
      <c r="E77" s="7" t="s">
        <v>1322</v>
      </c>
      <c r="F77" s="36">
        <v>44531</v>
      </c>
      <c r="G77" s="36">
        <v>45077</v>
      </c>
      <c r="H77" s="36">
        <v>45077</v>
      </c>
      <c r="I77" s="36">
        <v>45077</v>
      </c>
      <c r="J77" s="7" t="s">
        <v>1696</v>
      </c>
      <c r="K77" s="8">
        <v>0</v>
      </c>
      <c r="L77" s="8">
        <v>0</v>
      </c>
      <c r="M77" s="8">
        <v>-104.94</v>
      </c>
      <c r="N77" s="8">
        <v>0</v>
      </c>
      <c r="O77" s="8">
        <v>0</v>
      </c>
      <c r="P77" s="8">
        <v>0</v>
      </c>
      <c r="Q77" s="8">
        <v>0</v>
      </c>
      <c r="R77" s="8">
        <f t="shared" si="18"/>
        <v>-104.94</v>
      </c>
      <c r="S77" s="8">
        <v>0</v>
      </c>
      <c r="T77" s="8">
        <v>0</v>
      </c>
      <c r="U77" s="8">
        <v>1259.28</v>
      </c>
      <c r="V77" s="8">
        <v>0</v>
      </c>
      <c r="W77" s="8">
        <v>0</v>
      </c>
      <c r="X77" s="8">
        <v>0</v>
      </c>
      <c r="Y77" s="8">
        <v>0</v>
      </c>
      <c r="Z77" s="8">
        <v>-1863.3316050000001</v>
      </c>
      <c r="AA77" s="7">
        <v>0.41369899999999998</v>
      </c>
      <c r="AB77" s="8">
        <v>0</v>
      </c>
      <c r="AC77" s="7">
        <v>1.9319999999999999</v>
      </c>
      <c r="AD77" s="7" t="s">
        <v>1226</v>
      </c>
      <c r="AE77" s="8">
        <v>524.70000000000005</v>
      </c>
      <c r="AF77" s="8">
        <v>0</v>
      </c>
      <c r="AG77" s="8">
        <v>524.70000000000005</v>
      </c>
      <c r="AH77" s="8">
        <v>0</v>
      </c>
      <c r="AI77" s="7" t="s">
        <v>1760</v>
      </c>
      <c r="AJ77" s="7">
        <f t="shared" ca="1" si="19"/>
        <v>1</v>
      </c>
      <c r="AK77" s="96">
        <f t="shared" si="20"/>
        <v>0</v>
      </c>
      <c r="AL77" s="97">
        <f t="shared" si="21"/>
        <v>8.674008874011531E-7</v>
      </c>
    </row>
    <row r="78" spans="1:38" x14ac:dyDescent="0.3">
      <c r="A78" s="7" t="s">
        <v>1761</v>
      </c>
      <c r="B78" s="7" t="s">
        <v>1735</v>
      </c>
      <c r="C78" s="7" t="s">
        <v>1323</v>
      </c>
      <c r="D78" s="7" t="s">
        <v>1324</v>
      </c>
      <c r="E78" s="7" t="s">
        <v>1695</v>
      </c>
      <c r="F78" s="36">
        <v>44166</v>
      </c>
      <c r="G78" s="36">
        <v>45260</v>
      </c>
      <c r="H78" s="36">
        <v>44713</v>
      </c>
      <c r="I78" s="36">
        <v>44713</v>
      </c>
      <c r="J78" s="7" t="s">
        <v>1696</v>
      </c>
      <c r="K78" s="8">
        <v>0</v>
      </c>
      <c r="L78" s="8">
        <v>0</v>
      </c>
      <c r="M78" s="8">
        <v>92592.002036999998</v>
      </c>
      <c r="N78" s="8">
        <v>0</v>
      </c>
      <c r="O78" s="8">
        <v>0</v>
      </c>
      <c r="P78" s="8">
        <v>0</v>
      </c>
      <c r="Q78" s="8">
        <v>0</v>
      </c>
      <c r="R78" s="8">
        <f t="shared" si="18"/>
        <v>92592.002036999998</v>
      </c>
      <c r="S78" s="8">
        <v>0</v>
      </c>
      <c r="T78" s="8">
        <v>0</v>
      </c>
      <c r="U78" s="8">
        <v>92592</v>
      </c>
      <c r="V78" s="8">
        <v>0</v>
      </c>
      <c r="W78" s="8">
        <v>0</v>
      </c>
      <c r="X78" s="8">
        <v>0</v>
      </c>
      <c r="Y78" s="8">
        <v>0</v>
      </c>
      <c r="Z78" s="8">
        <v>-326358.676745</v>
      </c>
      <c r="AA78" s="7">
        <v>0</v>
      </c>
      <c r="AB78" s="8">
        <v>0</v>
      </c>
      <c r="AC78" s="7">
        <v>3</v>
      </c>
      <c r="AD78" s="7" t="s">
        <v>1226</v>
      </c>
      <c r="AE78" s="8">
        <v>0</v>
      </c>
      <c r="AF78" s="8">
        <v>0</v>
      </c>
      <c r="AG78" s="8">
        <v>0</v>
      </c>
      <c r="AH78" s="8">
        <v>0</v>
      </c>
      <c r="AI78" s="7" t="s">
        <v>1758</v>
      </c>
      <c r="AJ78" s="7">
        <f t="shared" ca="1" si="19"/>
        <v>1</v>
      </c>
      <c r="AK78" s="96">
        <f t="shared" si="20"/>
        <v>0</v>
      </c>
      <c r="AL78" s="97">
        <f t="shared" si="21"/>
        <v>0</v>
      </c>
    </row>
    <row r="79" spans="1:38" x14ac:dyDescent="0.3">
      <c r="A79" s="7" t="s">
        <v>1762</v>
      </c>
      <c r="B79" s="7" t="s">
        <v>194</v>
      </c>
      <c r="C79" s="7" t="s">
        <v>1323</v>
      </c>
      <c r="D79" s="7" t="s">
        <v>1324</v>
      </c>
      <c r="E79" s="7" t="s">
        <v>1322</v>
      </c>
      <c r="F79" s="36">
        <v>44713</v>
      </c>
      <c r="G79" s="36">
        <v>45230</v>
      </c>
      <c r="H79" s="36">
        <v>45230</v>
      </c>
      <c r="I79" s="36">
        <v>45230</v>
      </c>
      <c r="J79" s="7" t="s">
        <v>1696</v>
      </c>
      <c r="K79" s="8">
        <v>0</v>
      </c>
      <c r="L79" s="8">
        <v>0</v>
      </c>
      <c r="M79" s="8">
        <v>155554.55321899999</v>
      </c>
      <c r="N79" s="8">
        <v>0</v>
      </c>
      <c r="O79" s="8">
        <v>0</v>
      </c>
      <c r="P79" s="8">
        <v>0</v>
      </c>
      <c r="Q79" s="8">
        <v>0</v>
      </c>
      <c r="R79" s="8">
        <f t="shared" si="18"/>
        <v>155554.55321899999</v>
      </c>
      <c r="S79" s="8">
        <v>0</v>
      </c>
      <c r="T79" s="8">
        <v>0</v>
      </c>
      <c r="U79" s="8">
        <v>155554.56</v>
      </c>
      <c r="V79" s="8">
        <v>0</v>
      </c>
      <c r="W79" s="8">
        <v>0</v>
      </c>
      <c r="X79" s="8">
        <v>0</v>
      </c>
      <c r="Y79" s="8">
        <v>0</v>
      </c>
      <c r="Z79" s="8">
        <v>373102.87880300003</v>
      </c>
      <c r="AA79" s="7">
        <v>0.83287699999999998</v>
      </c>
      <c r="AB79" s="8">
        <v>220669.14202200001</v>
      </c>
      <c r="AC79" s="7">
        <v>1.8726670000000001</v>
      </c>
      <c r="AD79" s="7" t="s">
        <v>1226</v>
      </c>
      <c r="AE79" s="8">
        <v>222220.79999999999</v>
      </c>
      <c r="AF79" s="8">
        <v>0</v>
      </c>
      <c r="AG79" s="8">
        <v>222220.79999999999</v>
      </c>
      <c r="AH79" s="8">
        <v>0</v>
      </c>
      <c r="AI79" s="7" t="s">
        <v>1758</v>
      </c>
      <c r="AJ79" s="7">
        <f t="shared" ca="1" si="19"/>
        <v>1</v>
      </c>
      <c r="AK79" s="96">
        <f t="shared" si="20"/>
        <v>1.6107818986194677E-4</v>
      </c>
      <c r="AL79" s="97">
        <f t="shared" si="21"/>
        <v>3.5607947423669232E-4</v>
      </c>
    </row>
    <row r="80" spans="1:38" x14ac:dyDescent="0.3">
      <c r="A80" s="7" t="s">
        <v>1763</v>
      </c>
      <c r="B80" s="7" t="s">
        <v>1735</v>
      </c>
      <c r="C80" s="7" t="s">
        <v>1323</v>
      </c>
      <c r="D80" s="7" t="s">
        <v>1324</v>
      </c>
      <c r="E80" s="7" t="s">
        <v>1322</v>
      </c>
      <c r="F80" s="36">
        <v>44166</v>
      </c>
      <c r="G80" s="36">
        <v>45260</v>
      </c>
      <c r="H80" s="36">
        <v>45260</v>
      </c>
      <c r="I80" s="36">
        <v>45260</v>
      </c>
      <c r="J80" s="7" t="s">
        <v>1696</v>
      </c>
      <c r="K80" s="8">
        <v>0</v>
      </c>
      <c r="L80" s="8">
        <v>0</v>
      </c>
      <c r="M80" s="8">
        <v>9629.5695680000008</v>
      </c>
      <c r="N80" s="8">
        <v>0</v>
      </c>
      <c r="O80" s="8">
        <v>0</v>
      </c>
      <c r="P80" s="8">
        <v>0</v>
      </c>
      <c r="Q80" s="8">
        <v>0</v>
      </c>
      <c r="R80" s="8">
        <f t="shared" si="18"/>
        <v>9629.5695680000008</v>
      </c>
      <c r="S80" s="8">
        <v>0</v>
      </c>
      <c r="T80" s="8">
        <v>0</v>
      </c>
      <c r="U80" s="8">
        <v>9629.5679999999993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7">
        <v>0.91506799999999999</v>
      </c>
      <c r="AB80" s="8">
        <v>8717.8596849999994</v>
      </c>
      <c r="AC80" s="7">
        <v>3</v>
      </c>
      <c r="AD80" s="7" t="s">
        <v>1226</v>
      </c>
      <c r="AE80" s="8">
        <v>8827.1039999999994</v>
      </c>
      <c r="AF80" s="8">
        <v>0</v>
      </c>
      <c r="AG80" s="8">
        <v>8827.1039999999994</v>
      </c>
      <c r="AH80" s="8">
        <v>0</v>
      </c>
      <c r="AI80" s="7" t="s">
        <v>1730</v>
      </c>
      <c r="AJ80" s="7">
        <f t="shared" ca="1" si="19"/>
        <v>1</v>
      </c>
      <c r="AK80" s="96">
        <f t="shared" si="20"/>
        <v>6.9916150402224034E-6</v>
      </c>
      <c r="AL80" s="97">
        <f t="shared" si="21"/>
        <v>2.2659022673655181E-5</v>
      </c>
    </row>
    <row r="81" spans="1:38" x14ac:dyDescent="0.3">
      <c r="A81" s="7" t="s">
        <v>1764</v>
      </c>
      <c r="B81" s="7" t="s">
        <v>1735</v>
      </c>
      <c r="C81" s="7" t="s">
        <v>1323</v>
      </c>
      <c r="D81" s="7" t="s">
        <v>1324</v>
      </c>
      <c r="E81" s="7" t="s">
        <v>1322</v>
      </c>
      <c r="F81" s="36">
        <v>44166</v>
      </c>
      <c r="G81" s="36">
        <v>45260</v>
      </c>
      <c r="H81" s="36">
        <v>45260</v>
      </c>
      <c r="I81" s="36">
        <v>45260</v>
      </c>
      <c r="J81" s="7" t="s">
        <v>1696</v>
      </c>
      <c r="K81" s="8">
        <v>0</v>
      </c>
      <c r="L81" s="8">
        <v>0</v>
      </c>
      <c r="M81" s="8">
        <v>5036.9998269999996</v>
      </c>
      <c r="N81" s="8">
        <v>0</v>
      </c>
      <c r="O81" s="8">
        <v>0</v>
      </c>
      <c r="P81" s="8">
        <v>0</v>
      </c>
      <c r="Q81" s="8">
        <v>0</v>
      </c>
      <c r="R81" s="8">
        <f t="shared" si="18"/>
        <v>5036.9998269999996</v>
      </c>
      <c r="S81" s="8">
        <v>0</v>
      </c>
      <c r="T81" s="8">
        <v>0</v>
      </c>
      <c r="U81" s="8">
        <v>5037.0047999999997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7">
        <v>0.91506799999999999</v>
      </c>
      <c r="AB81" s="8">
        <v>4560.1112300000004</v>
      </c>
      <c r="AC81" s="7">
        <v>3</v>
      </c>
      <c r="AD81" s="7" t="s">
        <v>1226</v>
      </c>
      <c r="AE81" s="8">
        <v>4617.2543999999998</v>
      </c>
      <c r="AF81" s="8">
        <v>0</v>
      </c>
      <c r="AG81" s="8">
        <v>4617.2543999999998</v>
      </c>
      <c r="AH81" s="8">
        <v>0</v>
      </c>
      <c r="AI81" s="7" t="s">
        <v>1760</v>
      </c>
      <c r="AJ81" s="7">
        <f t="shared" ca="1" si="19"/>
        <v>1</v>
      </c>
      <c r="AK81" s="96">
        <f t="shared" si="20"/>
        <v>3.6571524907211314E-6</v>
      </c>
      <c r="AL81" s="97">
        <f t="shared" si="21"/>
        <v>1.1852411860065788E-5</v>
      </c>
    </row>
    <row r="82" spans="1:38" x14ac:dyDescent="0.3">
      <c r="A82" s="7" t="s">
        <v>1765</v>
      </c>
      <c r="B82" s="7" t="s">
        <v>1735</v>
      </c>
      <c r="C82" s="7" t="s">
        <v>1323</v>
      </c>
      <c r="D82" s="7" t="s">
        <v>1324</v>
      </c>
      <c r="E82" s="7" t="s">
        <v>1322</v>
      </c>
      <c r="F82" s="36">
        <v>44166</v>
      </c>
      <c r="G82" s="36">
        <v>45260</v>
      </c>
      <c r="H82" s="36">
        <v>45260</v>
      </c>
      <c r="I82" s="36">
        <v>45260</v>
      </c>
      <c r="J82" s="7" t="s">
        <v>1696</v>
      </c>
      <c r="K82" s="8">
        <v>0</v>
      </c>
      <c r="L82" s="8">
        <v>0</v>
      </c>
      <c r="M82" s="8">
        <v>222220.79999999999</v>
      </c>
      <c r="N82" s="8">
        <v>0</v>
      </c>
      <c r="O82" s="8">
        <v>0</v>
      </c>
      <c r="P82" s="8">
        <v>0</v>
      </c>
      <c r="Q82" s="8">
        <v>0</v>
      </c>
      <c r="R82" s="8">
        <f t="shared" si="18"/>
        <v>222220.79999999999</v>
      </c>
      <c r="S82" s="8">
        <v>0</v>
      </c>
      <c r="T82" s="8">
        <v>0</v>
      </c>
      <c r="U82" s="8">
        <v>222220.79999999999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7">
        <v>0.91506799999999999</v>
      </c>
      <c r="AB82" s="8">
        <v>201181.377354</v>
      </c>
      <c r="AC82" s="7">
        <v>3</v>
      </c>
      <c r="AD82" s="7" t="s">
        <v>1226</v>
      </c>
      <c r="AE82" s="8">
        <v>203702.39999999999</v>
      </c>
      <c r="AF82" s="8">
        <v>0</v>
      </c>
      <c r="AG82" s="8">
        <v>203702.39999999999</v>
      </c>
      <c r="AH82" s="8">
        <v>0</v>
      </c>
      <c r="AI82" s="7" t="s">
        <v>1758</v>
      </c>
      <c r="AJ82" s="7">
        <f t="shared" ca="1" si="19"/>
        <v>1</v>
      </c>
      <c r="AK82" s="96">
        <f t="shared" si="20"/>
        <v>1.6134496247296337E-4</v>
      </c>
      <c r="AL82" s="97">
        <f t="shared" si="21"/>
        <v>5.2290052323819656E-4</v>
      </c>
    </row>
    <row r="83" spans="1:38" x14ac:dyDescent="0.3">
      <c r="A83" s="7" t="s">
        <v>1766</v>
      </c>
      <c r="B83" s="7" t="s">
        <v>1735</v>
      </c>
      <c r="C83" s="7" t="s">
        <v>1323</v>
      </c>
      <c r="D83" s="7" t="s">
        <v>1324</v>
      </c>
      <c r="E83" s="7" t="s">
        <v>1322</v>
      </c>
      <c r="F83" s="36">
        <v>44166</v>
      </c>
      <c r="G83" s="36">
        <v>45260</v>
      </c>
      <c r="H83" s="36">
        <v>45260</v>
      </c>
      <c r="I83" s="36">
        <v>45260</v>
      </c>
      <c r="J83" s="7" t="s">
        <v>1696</v>
      </c>
      <c r="K83" s="8">
        <v>0</v>
      </c>
      <c r="L83" s="8">
        <v>0</v>
      </c>
      <c r="M83" s="8">
        <v>9629.5679999999993</v>
      </c>
      <c r="N83" s="8">
        <v>0</v>
      </c>
      <c r="O83" s="8">
        <v>0</v>
      </c>
      <c r="P83" s="8">
        <v>0</v>
      </c>
      <c r="Q83" s="8">
        <v>0</v>
      </c>
      <c r="R83" s="8">
        <f t="shared" si="18"/>
        <v>9629.5679999999993</v>
      </c>
      <c r="S83" s="8">
        <v>0</v>
      </c>
      <c r="T83" s="8">
        <v>0</v>
      </c>
      <c r="U83" s="8">
        <v>9629.5679999999993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7">
        <v>0.91506799999999999</v>
      </c>
      <c r="AB83" s="8">
        <v>8717.8596849999994</v>
      </c>
      <c r="AC83" s="7">
        <v>3</v>
      </c>
      <c r="AD83" s="7" t="s">
        <v>1226</v>
      </c>
      <c r="AE83" s="8">
        <v>8827.1039999999994</v>
      </c>
      <c r="AF83" s="8">
        <v>0</v>
      </c>
      <c r="AG83" s="8">
        <v>8827.1039999999994</v>
      </c>
      <c r="AH83" s="8">
        <v>0</v>
      </c>
      <c r="AI83" s="7" t="s">
        <v>1730</v>
      </c>
      <c r="AJ83" s="7">
        <f t="shared" ca="1" si="19"/>
        <v>1</v>
      </c>
      <c r="AK83" s="96">
        <f t="shared" si="20"/>
        <v>6.9916150402224034E-6</v>
      </c>
      <c r="AL83" s="97">
        <f t="shared" si="21"/>
        <v>2.2659022673655181E-5</v>
      </c>
    </row>
    <row r="84" spans="1:38" x14ac:dyDescent="0.3">
      <c r="A84" s="7" t="s">
        <v>1767</v>
      </c>
      <c r="B84" s="7" t="s">
        <v>1768</v>
      </c>
      <c r="C84" s="7" t="s">
        <v>1769</v>
      </c>
      <c r="D84" s="7" t="s">
        <v>1770</v>
      </c>
      <c r="E84" s="7" t="s">
        <v>1322</v>
      </c>
      <c r="F84" s="36">
        <v>42370</v>
      </c>
      <c r="G84" s="36">
        <v>44926</v>
      </c>
      <c r="H84" s="36">
        <v>44926</v>
      </c>
      <c r="I84" s="36">
        <v>44926</v>
      </c>
      <c r="J84" s="7" t="s">
        <v>1696</v>
      </c>
      <c r="K84" s="8">
        <v>0</v>
      </c>
      <c r="L84" s="8">
        <v>0</v>
      </c>
      <c r="M84" s="8">
        <v>2940000.0042280001</v>
      </c>
      <c r="N84" s="8">
        <v>0</v>
      </c>
      <c r="O84" s="8">
        <v>0</v>
      </c>
      <c r="P84" s="8">
        <v>0</v>
      </c>
      <c r="Q84" s="8">
        <v>0</v>
      </c>
      <c r="R84" s="8">
        <f t="shared" si="18"/>
        <v>2940000.0042280001</v>
      </c>
      <c r="S84" s="8">
        <v>0</v>
      </c>
      <c r="T84" s="8">
        <v>0</v>
      </c>
      <c r="U84" s="8">
        <v>2940000</v>
      </c>
      <c r="V84" s="8">
        <v>0</v>
      </c>
      <c r="W84" s="8">
        <v>0</v>
      </c>
      <c r="X84" s="8">
        <v>0</v>
      </c>
      <c r="Y84" s="8">
        <v>2704242.2857679999</v>
      </c>
      <c r="Z84" s="8">
        <v>0</v>
      </c>
      <c r="AA84" s="7">
        <v>0</v>
      </c>
      <c r="AB84" s="8">
        <v>0</v>
      </c>
      <c r="AC84" s="7">
        <v>2.4550000000000001</v>
      </c>
      <c r="AD84" s="7" t="s">
        <v>1226</v>
      </c>
      <c r="AE84" s="8">
        <v>0</v>
      </c>
      <c r="AF84" s="8">
        <v>0</v>
      </c>
      <c r="AG84" s="8">
        <v>0</v>
      </c>
      <c r="AH84" s="8">
        <v>0</v>
      </c>
      <c r="AI84" s="7" t="s">
        <v>1758</v>
      </c>
      <c r="AJ84" s="7">
        <f t="shared" ca="1" si="19"/>
        <v>1</v>
      </c>
      <c r="AK84" s="96">
        <f t="shared" si="20"/>
        <v>0</v>
      </c>
      <c r="AL84" s="97">
        <f t="shared" si="21"/>
        <v>0</v>
      </c>
    </row>
    <row r="85" spans="1:38" x14ac:dyDescent="0.3">
      <c r="A85" s="7" t="s">
        <v>1771</v>
      </c>
      <c r="B85" s="7" t="s">
        <v>194</v>
      </c>
      <c r="C85" s="7" t="s">
        <v>1323</v>
      </c>
      <c r="D85" s="7" t="s">
        <v>1770</v>
      </c>
      <c r="E85" s="7" t="s">
        <v>1322</v>
      </c>
      <c r="F85" s="36">
        <v>44593</v>
      </c>
      <c r="G85" s="36">
        <v>46418</v>
      </c>
      <c r="H85" s="36">
        <v>46418</v>
      </c>
      <c r="I85" s="36">
        <v>48244</v>
      </c>
      <c r="J85" s="7" t="s">
        <v>1239</v>
      </c>
      <c r="K85" s="8">
        <v>34851.120000000003</v>
      </c>
      <c r="L85" s="8">
        <v>6792.1879269999999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f t="shared" si="18"/>
        <v>41643.307927000002</v>
      </c>
      <c r="S85" s="8">
        <v>0</v>
      </c>
      <c r="T85" s="8">
        <v>6199.319555</v>
      </c>
      <c r="U85" s="8">
        <v>0</v>
      </c>
      <c r="V85" s="8">
        <v>32300.680445000002</v>
      </c>
      <c r="W85" s="8">
        <v>0</v>
      </c>
      <c r="X85" s="8">
        <v>380194.10158999998</v>
      </c>
      <c r="Y85" s="8">
        <v>0</v>
      </c>
      <c r="Z85" s="8">
        <v>0</v>
      </c>
      <c r="AA85" s="7">
        <v>9.0904109999999996</v>
      </c>
      <c r="AB85" s="8">
        <v>347893.42114499997</v>
      </c>
      <c r="AC85" s="7">
        <v>2.0449999999999999</v>
      </c>
      <c r="AD85" s="7" t="s">
        <v>1226</v>
      </c>
      <c r="AE85" s="8">
        <v>381500</v>
      </c>
      <c r="AF85" s="8">
        <v>0</v>
      </c>
      <c r="AG85" s="8">
        <v>381500</v>
      </c>
      <c r="AH85" s="8">
        <v>0</v>
      </c>
      <c r="AI85" s="7" t="s">
        <v>1758</v>
      </c>
      <c r="AJ85" s="7">
        <f t="shared" ca="1" si="19"/>
        <v>1</v>
      </c>
      <c r="AK85" s="96">
        <f t="shared" ref="AK85:AK126" si="22">(+AA85*AB85)/$AB$1101</f>
        <v>2.118567651874655E-2</v>
      </c>
      <c r="AL85" s="97">
        <f t="shared" ref="AL85:AL126" si="23">AC85/$AE$1101*AE85</f>
        <v>4.959551998810768E-3</v>
      </c>
    </row>
    <row r="86" spans="1:38" x14ac:dyDescent="0.3">
      <c r="A86" s="7" t="s">
        <v>1772</v>
      </c>
      <c r="B86" s="7" t="s">
        <v>1768</v>
      </c>
      <c r="C86" s="7" t="s">
        <v>1769</v>
      </c>
      <c r="D86" s="7" t="s">
        <v>1770</v>
      </c>
      <c r="E86" s="7" t="s">
        <v>1773</v>
      </c>
      <c r="F86" s="36">
        <v>42370</v>
      </c>
      <c r="G86" s="36">
        <v>44926</v>
      </c>
      <c r="H86" s="36">
        <v>44926</v>
      </c>
      <c r="I86" s="36">
        <v>45291</v>
      </c>
      <c r="J86" s="7" t="s">
        <v>1696</v>
      </c>
      <c r="K86" s="8">
        <v>0</v>
      </c>
      <c r="L86" s="8">
        <v>0</v>
      </c>
      <c r="M86" s="8">
        <v>800742.57013861241</v>
      </c>
      <c r="N86" s="8">
        <v>0</v>
      </c>
      <c r="O86" s="8">
        <v>0</v>
      </c>
      <c r="P86" s="8">
        <v>0</v>
      </c>
      <c r="Q86" s="8">
        <v>0</v>
      </c>
      <c r="R86" s="8">
        <f t="shared" si="18"/>
        <v>800742.57013861241</v>
      </c>
      <c r="S86" s="8">
        <v>0</v>
      </c>
      <c r="T86" s="8">
        <v>0</v>
      </c>
      <c r="U86" s="8">
        <v>600556.92839999998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7">
        <v>1</v>
      </c>
      <c r="AB86" s="8">
        <v>157950.00555018117</v>
      </c>
      <c r="AC86" s="7">
        <v>2.6966670000000001</v>
      </c>
      <c r="AD86" s="7" t="s">
        <v>1226</v>
      </c>
      <c r="AE86" s="8">
        <v>160950.75599999999</v>
      </c>
      <c r="AF86" s="8">
        <v>0</v>
      </c>
      <c r="AG86" s="8">
        <v>160950.75599999999</v>
      </c>
      <c r="AH86" s="8">
        <v>0</v>
      </c>
      <c r="AI86" s="7" t="s">
        <v>1758</v>
      </c>
      <c r="AJ86" s="7">
        <f t="shared" ca="1" si="19"/>
        <v>1</v>
      </c>
      <c r="AK86" s="96">
        <f t="shared" ref="AK86:AK90" si="24">(+AA86*AB86)/$AB$1102</f>
        <v>1.3843117666706396E-4</v>
      </c>
      <c r="AL86" s="97">
        <f t="shared" ref="AL86:AL90" si="25">AC86/$AE$1102*AE86</f>
        <v>3.7138299766534114E-4</v>
      </c>
    </row>
    <row r="87" spans="1:38" x14ac:dyDescent="0.3">
      <c r="A87" s="7" t="s">
        <v>1774</v>
      </c>
      <c r="B87" s="7" t="s">
        <v>194</v>
      </c>
      <c r="C87" s="7" t="s">
        <v>1769</v>
      </c>
      <c r="D87" s="7" t="s">
        <v>1770</v>
      </c>
      <c r="E87" s="7" t="s">
        <v>1775</v>
      </c>
      <c r="F87" s="36">
        <v>42370</v>
      </c>
      <c r="G87" s="36">
        <v>45291</v>
      </c>
      <c r="H87" s="36">
        <v>45291</v>
      </c>
      <c r="I87" s="36">
        <v>45657</v>
      </c>
      <c r="J87" s="7" t="s">
        <v>1696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f t="shared" si="18"/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928880.13863199996</v>
      </c>
      <c r="Z87" s="8">
        <v>-928880.13863199996</v>
      </c>
      <c r="AA87" s="7">
        <v>2.0027400000000002</v>
      </c>
      <c r="AB87" s="8">
        <v>0</v>
      </c>
      <c r="AC87" s="7">
        <v>2.181667</v>
      </c>
      <c r="AD87" s="7" t="s">
        <v>1226</v>
      </c>
      <c r="AE87" s="8">
        <v>0</v>
      </c>
      <c r="AF87" s="8">
        <v>0</v>
      </c>
      <c r="AG87" s="8">
        <v>0</v>
      </c>
      <c r="AH87" s="8">
        <v>0</v>
      </c>
      <c r="AI87" s="7" t="s">
        <v>1758</v>
      </c>
      <c r="AJ87" s="7">
        <f t="shared" ca="1" si="19"/>
        <v>1</v>
      </c>
      <c r="AK87" s="96">
        <f t="shared" si="24"/>
        <v>0</v>
      </c>
      <c r="AL87" s="97">
        <f t="shared" si="25"/>
        <v>0</v>
      </c>
    </row>
    <row r="88" spans="1:38" x14ac:dyDescent="0.3">
      <c r="A88" s="7" t="s">
        <v>1776</v>
      </c>
      <c r="B88" s="7" t="s">
        <v>194</v>
      </c>
      <c r="C88" s="7" t="s">
        <v>1769</v>
      </c>
      <c r="D88" s="7" t="s">
        <v>1770</v>
      </c>
      <c r="E88" s="7" t="s">
        <v>1695</v>
      </c>
      <c r="F88" s="36">
        <v>42370</v>
      </c>
      <c r="G88" s="36">
        <v>45657</v>
      </c>
      <c r="H88" s="36">
        <v>44652</v>
      </c>
      <c r="I88" s="36">
        <v>44652</v>
      </c>
      <c r="J88" s="7" t="s">
        <v>1696</v>
      </c>
      <c r="K88" s="8">
        <v>0</v>
      </c>
      <c r="L88" s="8">
        <v>0</v>
      </c>
      <c r="M88" s="8">
        <v>8750000.0040700007</v>
      </c>
      <c r="N88" s="8">
        <v>0</v>
      </c>
      <c r="O88" s="8">
        <v>0</v>
      </c>
      <c r="P88" s="8">
        <v>0</v>
      </c>
      <c r="Q88" s="8">
        <v>0</v>
      </c>
      <c r="R88" s="8">
        <f t="shared" si="18"/>
        <v>8750000.0040700007</v>
      </c>
      <c r="S88" s="8">
        <v>0</v>
      </c>
      <c r="T88" s="8">
        <v>0</v>
      </c>
      <c r="U88" s="8">
        <v>9375000</v>
      </c>
      <c r="V88" s="8">
        <v>0</v>
      </c>
      <c r="W88" s="8">
        <v>0</v>
      </c>
      <c r="X88" s="8">
        <v>0</v>
      </c>
      <c r="Y88" s="8">
        <v>0</v>
      </c>
      <c r="Z88" s="8">
        <v>7797424.3459369997</v>
      </c>
      <c r="AA88" s="7">
        <v>0</v>
      </c>
      <c r="AB88" s="8">
        <v>0</v>
      </c>
      <c r="AC88" s="7">
        <v>2.0449999999999999</v>
      </c>
      <c r="AD88" s="7" t="s">
        <v>1226</v>
      </c>
      <c r="AE88" s="8">
        <v>0</v>
      </c>
      <c r="AF88" s="8">
        <v>0</v>
      </c>
      <c r="AG88" s="8">
        <v>0</v>
      </c>
      <c r="AH88" s="8">
        <v>0</v>
      </c>
      <c r="AI88" s="7" t="s">
        <v>1758</v>
      </c>
      <c r="AJ88" s="7">
        <f t="shared" ca="1" si="19"/>
        <v>1</v>
      </c>
      <c r="AK88" s="96">
        <f t="shared" si="24"/>
        <v>0</v>
      </c>
      <c r="AL88" s="97">
        <f t="shared" si="25"/>
        <v>0</v>
      </c>
    </row>
    <row r="89" spans="1:38" x14ac:dyDescent="0.3">
      <c r="A89" s="7" t="s">
        <v>1777</v>
      </c>
      <c r="B89" s="7" t="s">
        <v>194</v>
      </c>
      <c r="C89" s="7" t="s">
        <v>1769</v>
      </c>
      <c r="D89" s="7" t="s">
        <v>1770</v>
      </c>
      <c r="E89" s="7" t="s">
        <v>1322</v>
      </c>
      <c r="F89" s="36">
        <v>44652</v>
      </c>
      <c r="G89" s="36">
        <v>45838</v>
      </c>
      <c r="H89" s="36">
        <v>45838</v>
      </c>
      <c r="I89" s="36">
        <v>46234</v>
      </c>
      <c r="J89" s="7" t="s">
        <v>1696</v>
      </c>
      <c r="K89" s="8">
        <v>0</v>
      </c>
      <c r="L89" s="8">
        <v>0</v>
      </c>
      <c r="M89" s="8">
        <v>1385912</v>
      </c>
      <c r="N89" s="8">
        <v>0</v>
      </c>
      <c r="O89" s="8">
        <v>0</v>
      </c>
      <c r="P89" s="8">
        <v>0</v>
      </c>
      <c r="Q89" s="8">
        <v>0</v>
      </c>
      <c r="R89" s="8">
        <f t="shared" si="18"/>
        <v>1385912</v>
      </c>
      <c r="S89" s="8">
        <v>0</v>
      </c>
      <c r="T89" s="8">
        <v>0</v>
      </c>
      <c r="U89" s="8">
        <v>1242090.8999999999</v>
      </c>
      <c r="V89" s="8">
        <v>0</v>
      </c>
      <c r="W89" s="8">
        <v>0</v>
      </c>
      <c r="X89" s="8">
        <v>0</v>
      </c>
      <c r="Y89" s="8">
        <v>0</v>
      </c>
      <c r="Z89" s="8">
        <v>8007491.509993</v>
      </c>
      <c r="AA89" s="7">
        <v>3.5835620000000001</v>
      </c>
      <c r="AB89" s="8">
        <v>6140400.6100000003</v>
      </c>
      <c r="AC89" s="7">
        <v>0</v>
      </c>
      <c r="AD89" s="7" t="s">
        <v>1226</v>
      </c>
      <c r="AE89" s="8">
        <v>6140400.6100000003</v>
      </c>
      <c r="AF89" s="8">
        <v>0</v>
      </c>
      <c r="AG89" s="8">
        <v>6140400.6100000003</v>
      </c>
      <c r="AH89" s="8">
        <v>0</v>
      </c>
      <c r="AI89" s="7" t="s">
        <v>1758</v>
      </c>
      <c r="AJ89" s="7">
        <f t="shared" ca="1" si="19"/>
        <v>1</v>
      </c>
      <c r="AK89" s="96">
        <f t="shared" si="24"/>
        <v>1.9285277561080776E-2</v>
      </c>
      <c r="AL89" s="97">
        <f t="shared" si="25"/>
        <v>0</v>
      </c>
    </row>
    <row r="90" spans="1:38" x14ac:dyDescent="0.3">
      <c r="A90" s="7" t="s">
        <v>1778</v>
      </c>
      <c r="B90" s="7" t="s">
        <v>194</v>
      </c>
      <c r="C90" s="7" t="s">
        <v>1769</v>
      </c>
      <c r="D90" s="7" t="s">
        <v>1770</v>
      </c>
      <c r="E90" s="7" t="s">
        <v>1695</v>
      </c>
      <c r="F90" s="36">
        <v>42370</v>
      </c>
      <c r="G90" s="36">
        <v>46022</v>
      </c>
      <c r="H90" s="36">
        <v>44713</v>
      </c>
      <c r="I90" s="36">
        <v>44713</v>
      </c>
      <c r="J90" s="7" t="s">
        <v>1696</v>
      </c>
      <c r="K90" s="8">
        <v>0</v>
      </c>
      <c r="L90" s="8">
        <v>0</v>
      </c>
      <c r="M90" s="8">
        <v>744944.45177599997</v>
      </c>
      <c r="N90" s="8">
        <v>0</v>
      </c>
      <c r="O90" s="8">
        <v>0</v>
      </c>
      <c r="P90" s="8">
        <v>0</v>
      </c>
      <c r="Q90" s="8">
        <v>0</v>
      </c>
      <c r="R90" s="8">
        <f t="shared" si="18"/>
        <v>744944.45177599997</v>
      </c>
      <c r="S90" s="8">
        <v>0</v>
      </c>
      <c r="T90" s="8">
        <v>0</v>
      </c>
      <c r="U90" s="8">
        <v>885500</v>
      </c>
      <c r="V90" s="8">
        <v>0</v>
      </c>
      <c r="W90" s="8">
        <v>0</v>
      </c>
      <c r="X90" s="8">
        <v>0</v>
      </c>
      <c r="Y90" s="8">
        <v>0</v>
      </c>
      <c r="Z90" s="8">
        <v>664286.01269200002</v>
      </c>
      <c r="AA90" s="7">
        <v>0</v>
      </c>
      <c r="AB90" s="8">
        <v>0</v>
      </c>
      <c r="AC90" s="7">
        <v>2.1101670000000001</v>
      </c>
      <c r="AD90" s="7" t="s">
        <v>1226</v>
      </c>
      <c r="AE90" s="8">
        <v>0</v>
      </c>
      <c r="AF90" s="8">
        <v>0</v>
      </c>
      <c r="AG90" s="8">
        <v>0</v>
      </c>
      <c r="AH90" s="8">
        <v>0</v>
      </c>
      <c r="AI90" s="7" t="s">
        <v>1758</v>
      </c>
      <c r="AJ90" s="7">
        <f t="shared" ca="1" si="19"/>
        <v>1</v>
      </c>
      <c r="AK90" s="96">
        <f t="shared" si="24"/>
        <v>0</v>
      </c>
      <c r="AL90" s="97">
        <f t="shared" si="25"/>
        <v>0</v>
      </c>
    </row>
    <row r="91" spans="1:38" x14ac:dyDescent="0.3">
      <c r="A91" s="7" t="s">
        <v>1779</v>
      </c>
      <c r="B91" s="7" t="s">
        <v>1320</v>
      </c>
      <c r="C91" s="7" t="s">
        <v>1323</v>
      </c>
      <c r="D91" s="7" t="s">
        <v>1780</v>
      </c>
      <c r="E91" s="7" t="s">
        <v>1322</v>
      </c>
      <c r="F91" s="36">
        <v>44805</v>
      </c>
      <c r="G91" s="36">
        <v>45657</v>
      </c>
      <c r="H91" s="36">
        <v>45657</v>
      </c>
      <c r="I91" s="36">
        <v>45657</v>
      </c>
      <c r="J91" s="7" t="s">
        <v>1239</v>
      </c>
      <c r="K91" s="8">
        <v>777.73</v>
      </c>
      <c r="L91" s="8">
        <v>41.754243000000002</v>
      </c>
      <c r="M91" s="8">
        <v>0</v>
      </c>
      <c r="N91" s="8">
        <v>0</v>
      </c>
      <c r="O91" s="8">
        <v>0</v>
      </c>
      <c r="P91" s="8">
        <v>-25</v>
      </c>
      <c r="Q91" s="8">
        <v>0</v>
      </c>
      <c r="R91" s="8">
        <f t="shared" si="18"/>
        <v>794.48424299999999</v>
      </c>
      <c r="S91" s="8">
        <v>0</v>
      </c>
      <c r="T91" s="8">
        <v>31.913854000000001</v>
      </c>
      <c r="U91" s="8">
        <v>0</v>
      </c>
      <c r="V91" s="8">
        <v>768.08614599999999</v>
      </c>
      <c r="W91" s="8">
        <v>-25</v>
      </c>
      <c r="X91" s="8">
        <v>5444.0900810000003</v>
      </c>
      <c r="Y91" s="8">
        <v>0</v>
      </c>
      <c r="Z91" s="8">
        <v>0</v>
      </c>
      <c r="AA91" s="7">
        <v>2.0027400000000002</v>
      </c>
      <c r="AB91" s="8">
        <v>4676.0039349999997</v>
      </c>
      <c r="AC91" s="7">
        <v>2.5253329999999998</v>
      </c>
      <c r="AD91" s="7" t="s">
        <v>1226</v>
      </c>
      <c r="AE91" s="8">
        <v>4800</v>
      </c>
      <c r="AF91" s="8">
        <v>0</v>
      </c>
      <c r="AG91" s="8">
        <v>4800</v>
      </c>
      <c r="AH91" s="8">
        <v>-25</v>
      </c>
      <c r="AI91" s="7" t="s">
        <v>1781</v>
      </c>
      <c r="AJ91" s="7">
        <f t="shared" ca="1" si="19"/>
        <v>1</v>
      </c>
      <c r="AK91" s="96">
        <f t="shared" si="22"/>
        <v>6.2735308997251615E-5</v>
      </c>
      <c r="AL91" s="97">
        <f t="shared" si="23"/>
        <v>7.7057423660305518E-5</v>
      </c>
    </row>
    <row r="92" spans="1:38" x14ac:dyDescent="0.3">
      <c r="A92" s="7" t="s">
        <v>1782</v>
      </c>
      <c r="B92" s="7" t="s">
        <v>1320</v>
      </c>
      <c r="C92" s="7" t="s">
        <v>1323</v>
      </c>
      <c r="D92" s="7" t="s">
        <v>1780</v>
      </c>
      <c r="E92" s="7" t="s">
        <v>1322</v>
      </c>
      <c r="F92" s="36">
        <v>44866</v>
      </c>
      <c r="G92" s="36">
        <v>45961</v>
      </c>
      <c r="H92" s="36">
        <v>45961</v>
      </c>
      <c r="I92" s="36">
        <v>45961</v>
      </c>
      <c r="J92" s="7" t="s">
        <v>1239</v>
      </c>
      <c r="K92" s="8">
        <v>383.03</v>
      </c>
      <c r="L92" s="8">
        <v>33.014271999999998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f t="shared" si="18"/>
        <v>416.04427199999998</v>
      </c>
      <c r="S92" s="8">
        <v>0</v>
      </c>
      <c r="T92" s="8">
        <v>16.736215999999999</v>
      </c>
      <c r="U92" s="8">
        <v>0</v>
      </c>
      <c r="V92" s="8">
        <v>383.26378399999999</v>
      </c>
      <c r="W92" s="8">
        <v>0</v>
      </c>
      <c r="X92" s="8">
        <v>6894.4862519999997</v>
      </c>
      <c r="Y92" s="8">
        <v>0</v>
      </c>
      <c r="Z92" s="8">
        <v>0</v>
      </c>
      <c r="AA92" s="7">
        <v>2.8356159999999999</v>
      </c>
      <c r="AB92" s="8">
        <v>6511.2224679999999</v>
      </c>
      <c r="AC92" s="7">
        <v>3</v>
      </c>
      <c r="AD92" s="7" t="s">
        <v>1226</v>
      </c>
      <c r="AE92" s="8">
        <v>6800</v>
      </c>
      <c r="AF92" s="8">
        <v>0</v>
      </c>
      <c r="AG92" s="8">
        <v>6800</v>
      </c>
      <c r="AH92" s="8">
        <v>0</v>
      </c>
      <c r="AI92" s="7" t="s">
        <v>1760</v>
      </c>
      <c r="AJ92" s="7">
        <f t="shared" ca="1" si="19"/>
        <v>1</v>
      </c>
      <c r="AK92" s="96">
        <f t="shared" si="22"/>
        <v>1.2368657219734652E-4</v>
      </c>
      <c r="AL92" s="97">
        <f t="shared" si="23"/>
        <v>1.2968351126615716E-4</v>
      </c>
    </row>
    <row r="93" spans="1:38" x14ac:dyDescent="0.3">
      <c r="A93" s="7" t="s">
        <v>1783</v>
      </c>
      <c r="B93" s="7" t="s">
        <v>1320</v>
      </c>
      <c r="C93" s="7" t="s">
        <v>1323</v>
      </c>
      <c r="D93" s="7" t="s">
        <v>1780</v>
      </c>
      <c r="E93" s="7" t="s">
        <v>1322</v>
      </c>
      <c r="F93" s="36">
        <v>44867</v>
      </c>
      <c r="G93" s="36">
        <v>45962</v>
      </c>
      <c r="H93" s="36">
        <v>45962</v>
      </c>
      <c r="I93" s="36">
        <v>45962</v>
      </c>
      <c r="J93" s="7" t="s">
        <v>1239</v>
      </c>
      <c r="K93" s="8">
        <v>376.64</v>
      </c>
      <c r="L93" s="8">
        <v>32.489173999999998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f t="shared" si="18"/>
        <v>409.12917399999998</v>
      </c>
      <c r="S93" s="8">
        <v>0</v>
      </c>
      <c r="T93" s="8">
        <v>16.736215999999999</v>
      </c>
      <c r="U93" s="8">
        <v>0</v>
      </c>
      <c r="V93" s="8">
        <v>383.26378399999999</v>
      </c>
      <c r="W93" s="8">
        <v>0</v>
      </c>
      <c r="X93" s="8">
        <v>6894.4862519999997</v>
      </c>
      <c r="Y93" s="8">
        <v>0</v>
      </c>
      <c r="Z93" s="8">
        <v>0</v>
      </c>
      <c r="AA93" s="7">
        <v>2.8383560000000001</v>
      </c>
      <c r="AB93" s="8">
        <v>6511.2224679999999</v>
      </c>
      <c r="AC93" s="7">
        <v>3</v>
      </c>
      <c r="AD93" s="7" t="s">
        <v>1226</v>
      </c>
      <c r="AE93" s="8">
        <v>6800</v>
      </c>
      <c r="AF93" s="8">
        <v>0</v>
      </c>
      <c r="AG93" s="8">
        <v>6800</v>
      </c>
      <c r="AH93" s="8">
        <v>0</v>
      </c>
      <c r="AI93" s="7" t="s">
        <v>1760</v>
      </c>
      <c r="AJ93" s="7">
        <f t="shared" ca="1" si="19"/>
        <v>1</v>
      </c>
      <c r="AK93" s="96">
        <f t="shared" si="22"/>
        <v>1.2380608810070605E-4</v>
      </c>
      <c r="AL93" s="97">
        <f t="shared" si="23"/>
        <v>1.2968351126615716E-4</v>
      </c>
    </row>
    <row r="94" spans="1:38" x14ac:dyDescent="0.3">
      <c r="A94" s="7" t="s">
        <v>1784</v>
      </c>
      <c r="B94" s="7" t="s">
        <v>1320</v>
      </c>
      <c r="C94" s="7" t="s">
        <v>1323</v>
      </c>
      <c r="D94" s="7" t="s">
        <v>1780</v>
      </c>
      <c r="E94" s="7" t="s">
        <v>1322</v>
      </c>
      <c r="F94" s="36">
        <v>44866</v>
      </c>
      <c r="G94" s="36">
        <v>45961</v>
      </c>
      <c r="H94" s="36">
        <v>45961</v>
      </c>
      <c r="I94" s="36">
        <v>45961</v>
      </c>
      <c r="J94" s="7" t="s">
        <v>1239</v>
      </c>
      <c r="K94" s="8">
        <v>383.03</v>
      </c>
      <c r="L94" s="8">
        <v>33.014271999999998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f t="shared" si="18"/>
        <v>416.04427199999998</v>
      </c>
      <c r="S94" s="8">
        <v>0</v>
      </c>
      <c r="T94" s="8">
        <v>16.736215999999999</v>
      </c>
      <c r="U94" s="8">
        <v>0</v>
      </c>
      <c r="V94" s="8">
        <v>383.26378399999999</v>
      </c>
      <c r="W94" s="8">
        <v>0</v>
      </c>
      <c r="X94" s="8">
        <v>6894.4862519999997</v>
      </c>
      <c r="Y94" s="8">
        <v>0</v>
      </c>
      <c r="Z94" s="8">
        <v>0</v>
      </c>
      <c r="AA94" s="7">
        <v>2.8356159999999999</v>
      </c>
      <c r="AB94" s="8">
        <v>6511.2224679999999</v>
      </c>
      <c r="AC94" s="7">
        <v>3</v>
      </c>
      <c r="AD94" s="7" t="s">
        <v>1226</v>
      </c>
      <c r="AE94" s="8">
        <v>6800</v>
      </c>
      <c r="AF94" s="8">
        <v>0</v>
      </c>
      <c r="AG94" s="8">
        <v>6800</v>
      </c>
      <c r="AH94" s="8">
        <v>0</v>
      </c>
      <c r="AI94" s="7" t="s">
        <v>1760</v>
      </c>
      <c r="AJ94" s="7">
        <f t="shared" ca="1" si="19"/>
        <v>1</v>
      </c>
      <c r="AK94" s="96">
        <f t="shared" si="22"/>
        <v>1.2368657219734652E-4</v>
      </c>
      <c r="AL94" s="97">
        <f t="shared" si="23"/>
        <v>1.2968351126615716E-4</v>
      </c>
    </row>
    <row r="95" spans="1:38" x14ac:dyDescent="0.3">
      <c r="A95" s="7" t="s">
        <v>1785</v>
      </c>
      <c r="B95" s="7" t="s">
        <v>1320</v>
      </c>
      <c r="C95" s="7" t="s">
        <v>1323</v>
      </c>
      <c r="D95" s="7" t="s">
        <v>1780</v>
      </c>
      <c r="E95" s="7" t="s">
        <v>1322</v>
      </c>
      <c r="F95" s="36">
        <v>44867</v>
      </c>
      <c r="G95" s="36">
        <v>45962</v>
      </c>
      <c r="H95" s="36">
        <v>45962</v>
      </c>
      <c r="I95" s="36">
        <v>45962</v>
      </c>
      <c r="J95" s="7" t="s">
        <v>1239</v>
      </c>
      <c r="K95" s="8">
        <v>338.98</v>
      </c>
      <c r="L95" s="8">
        <v>29.240255999999999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f t="shared" si="18"/>
        <v>368.22025600000001</v>
      </c>
      <c r="S95" s="8">
        <v>0</v>
      </c>
      <c r="T95" s="8">
        <v>15.062594000000001</v>
      </c>
      <c r="U95" s="8">
        <v>0</v>
      </c>
      <c r="V95" s="8">
        <v>344.93740600000001</v>
      </c>
      <c r="W95" s="8">
        <v>0</v>
      </c>
      <c r="X95" s="8">
        <v>6205.0376269999997</v>
      </c>
      <c r="Y95" s="8">
        <v>0</v>
      </c>
      <c r="Z95" s="8">
        <v>0</v>
      </c>
      <c r="AA95" s="7">
        <v>2.8383560000000001</v>
      </c>
      <c r="AB95" s="8">
        <v>5860.1002209999997</v>
      </c>
      <c r="AC95" s="7">
        <v>3</v>
      </c>
      <c r="AD95" s="7" t="s">
        <v>1226</v>
      </c>
      <c r="AE95" s="8">
        <v>6120</v>
      </c>
      <c r="AF95" s="8">
        <v>0</v>
      </c>
      <c r="AG95" s="8">
        <v>6120</v>
      </c>
      <c r="AH95" s="8">
        <v>0</v>
      </c>
      <c r="AI95" s="7" t="s">
        <v>1760</v>
      </c>
      <c r="AJ95" s="7">
        <f t="shared" ca="1" si="19"/>
        <v>1</v>
      </c>
      <c r="AK95" s="96">
        <f t="shared" si="22"/>
        <v>1.1142547928683259E-4</v>
      </c>
      <c r="AL95" s="97">
        <f t="shared" si="23"/>
        <v>1.1671516013954145E-4</v>
      </c>
    </row>
    <row r="96" spans="1:38" x14ac:dyDescent="0.3">
      <c r="A96" s="7" t="s">
        <v>1786</v>
      </c>
      <c r="B96" s="7" t="s">
        <v>1320</v>
      </c>
      <c r="C96" s="7" t="s">
        <v>1323</v>
      </c>
      <c r="D96" s="7" t="s">
        <v>1780</v>
      </c>
      <c r="E96" s="7" t="s">
        <v>1695</v>
      </c>
      <c r="F96" s="36">
        <v>44866</v>
      </c>
      <c r="G96" s="36">
        <v>45961</v>
      </c>
      <c r="H96" s="36">
        <v>44896</v>
      </c>
      <c r="I96" s="36">
        <v>44896</v>
      </c>
      <c r="J96" s="7" t="s">
        <v>1239</v>
      </c>
      <c r="K96" s="8">
        <v>191.51</v>
      </c>
      <c r="L96" s="8">
        <v>16.736215999999999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f t="shared" si="18"/>
        <v>208.246216</v>
      </c>
      <c r="S96" s="8">
        <v>0</v>
      </c>
      <c r="T96" s="8">
        <v>0</v>
      </c>
      <c r="U96" s="8">
        <v>0</v>
      </c>
      <c r="V96" s="8">
        <v>200</v>
      </c>
      <c r="W96" s="8">
        <v>0</v>
      </c>
      <c r="X96" s="8">
        <v>6894.4862519999997</v>
      </c>
      <c r="Y96" s="8">
        <v>0</v>
      </c>
      <c r="Z96" s="8">
        <v>-6702.972745</v>
      </c>
      <c r="AA96" s="7">
        <v>0</v>
      </c>
      <c r="AB96" s="8">
        <v>0</v>
      </c>
      <c r="AC96" s="7">
        <v>3</v>
      </c>
      <c r="AD96" s="7" t="s">
        <v>1226</v>
      </c>
      <c r="AE96" s="8">
        <v>0</v>
      </c>
      <c r="AF96" s="8">
        <v>0</v>
      </c>
      <c r="AG96" s="8">
        <v>0</v>
      </c>
      <c r="AH96" s="8">
        <v>0</v>
      </c>
      <c r="AI96" s="7" t="s">
        <v>1760</v>
      </c>
      <c r="AJ96" s="7">
        <f t="shared" ca="1" si="19"/>
        <v>1</v>
      </c>
      <c r="AK96" s="96">
        <f t="shared" si="22"/>
        <v>0</v>
      </c>
      <c r="AL96" s="97">
        <f t="shared" si="23"/>
        <v>0</v>
      </c>
    </row>
    <row r="97" spans="1:38" x14ac:dyDescent="0.3">
      <c r="A97" s="7" t="s">
        <v>1787</v>
      </c>
      <c r="B97" s="7" t="s">
        <v>1320</v>
      </c>
      <c r="C97" s="7" t="s">
        <v>1323</v>
      </c>
      <c r="D97" s="7" t="s">
        <v>1780</v>
      </c>
      <c r="E97" s="7" t="s">
        <v>1773</v>
      </c>
      <c r="F97" s="36">
        <v>44896</v>
      </c>
      <c r="G97" s="36">
        <v>45991</v>
      </c>
      <c r="H97" s="36">
        <v>45991</v>
      </c>
      <c r="I97" s="36">
        <v>45991</v>
      </c>
      <c r="J97" s="7" t="s">
        <v>1239</v>
      </c>
      <c r="K97" s="8">
        <v>191.28</v>
      </c>
      <c r="L97" s="8">
        <v>16.736215999999999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f t="shared" si="18"/>
        <v>208.01621599999999</v>
      </c>
      <c r="S97" s="8">
        <v>0</v>
      </c>
      <c r="T97" s="8">
        <v>16.736215999999999</v>
      </c>
      <c r="U97" s="8">
        <v>0</v>
      </c>
      <c r="V97" s="8">
        <v>183.26378399999999</v>
      </c>
      <c r="W97" s="8">
        <v>0</v>
      </c>
      <c r="X97" s="8">
        <v>0</v>
      </c>
      <c r="Y97" s="8">
        <v>0</v>
      </c>
      <c r="Z97" s="8">
        <v>6886.2365289999998</v>
      </c>
      <c r="AA97" s="7">
        <v>2.917808</v>
      </c>
      <c r="AB97" s="8">
        <v>6694.4862519999997</v>
      </c>
      <c r="AC97" s="7">
        <v>3</v>
      </c>
      <c r="AD97" s="7" t="s">
        <v>1226</v>
      </c>
      <c r="AE97" s="8">
        <v>7000</v>
      </c>
      <c r="AF97" s="8">
        <v>0</v>
      </c>
      <c r="AG97" s="8">
        <v>7000</v>
      </c>
      <c r="AH97" s="8">
        <v>0</v>
      </c>
      <c r="AI97" s="7" t="s">
        <v>1760</v>
      </c>
      <c r="AJ97" s="7">
        <f t="shared" ca="1" si="19"/>
        <v>1</v>
      </c>
      <c r="AK97" s="96">
        <f t="shared" si="22"/>
        <v>1.3085386844424867E-4</v>
      </c>
      <c r="AL97" s="97">
        <f t="shared" si="23"/>
        <v>1.3349773218575002E-4</v>
      </c>
    </row>
    <row r="98" spans="1:38" x14ac:dyDescent="0.3">
      <c r="A98" s="7" t="s">
        <v>1788</v>
      </c>
      <c r="B98" s="7" t="s">
        <v>1320</v>
      </c>
      <c r="C98" s="7" t="s">
        <v>1756</v>
      </c>
      <c r="D98" s="7" t="s">
        <v>1780</v>
      </c>
      <c r="E98" s="7" t="s">
        <v>1322</v>
      </c>
      <c r="F98" s="36">
        <v>44867</v>
      </c>
      <c r="G98" s="36">
        <v>45962</v>
      </c>
      <c r="H98" s="36">
        <v>45962</v>
      </c>
      <c r="I98" s="36">
        <v>45962</v>
      </c>
      <c r="J98" s="7" t="s">
        <v>1239</v>
      </c>
      <c r="K98" s="8">
        <v>338.98</v>
      </c>
      <c r="L98" s="8">
        <v>29.240255999999999</v>
      </c>
      <c r="M98" s="8">
        <v>0</v>
      </c>
      <c r="N98" s="8">
        <v>0</v>
      </c>
      <c r="O98" s="8">
        <v>0</v>
      </c>
      <c r="P98" s="8">
        <v>-30</v>
      </c>
      <c r="Q98" s="8">
        <v>0</v>
      </c>
      <c r="R98" s="8">
        <f t="shared" si="18"/>
        <v>338.22025600000001</v>
      </c>
      <c r="S98" s="8">
        <v>0</v>
      </c>
      <c r="T98" s="8">
        <v>15.062594000000001</v>
      </c>
      <c r="U98" s="8">
        <v>0</v>
      </c>
      <c r="V98" s="8">
        <v>344.93740600000001</v>
      </c>
      <c r="W98" s="8">
        <v>-30</v>
      </c>
      <c r="X98" s="8">
        <v>6205.0376269999997</v>
      </c>
      <c r="Y98" s="8">
        <v>0</v>
      </c>
      <c r="Z98" s="8">
        <v>0</v>
      </c>
      <c r="AA98" s="7">
        <v>2.8383560000000001</v>
      </c>
      <c r="AB98" s="8">
        <v>5860.1002209999997</v>
      </c>
      <c r="AC98" s="7">
        <v>3</v>
      </c>
      <c r="AD98" s="7" t="s">
        <v>1226</v>
      </c>
      <c r="AE98" s="8">
        <v>6120</v>
      </c>
      <c r="AF98" s="8">
        <v>0</v>
      </c>
      <c r="AG98" s="8">
        <v>6120</v>
      </c>
      <c r="AH98" s="8">
        <v>-80</v>
      </c>
      <c r="AI98" s="7" t="s">
        <v>1760</v>
      </c>
      <c r="AJ98" s="7">
        <f t="shared" ca="1" si="19"/>
        <v>1</v>
      </c>
      <c r="AK98" s="96">
        <f t="shared" si="22"/>
        <v>1.1142547928683259E-4</v>
      </c>
      <c r="AL98" s="97">
        <f t="shared" si="23"/>
        <v>1.1671516013954145E-4</v>
      </c>
    </row>
    <row r="99" spans="1:38" x14ac:dyDescent="0.3">
      <c r="A99" s="7" t="s">
        <v>1789</v>
      </c>
      <c r="B99" s="7" t="s">
        <v>1320</v>
      </c>
      <c r="C99" s="7" t="s">
        <v>1323</v>
      </c>
      <c r="D99" s="7" t="s">
        <v>1780</v>
      </c>
      <c r="E99" s="7" t="s">
        <v>1695</v>
      </c>
      <c r="F99" s="36">
        <v>44866</v>
      </c>
      <c r="G99" s="36">
        <v>45961</v>
      </c>
      <c r="H99" s="36">
        <v>44873</v>
      </c>
      <c r="I99" s="36">
        <v>44873</v>
      </c>
      <c r="J99" s="7" t="s">
        <v>1239</v>
      </c>
      <c r="K99" s="8">
        <v>43.11</v>
      </c>
      <c r="L99" s="8">
        <v>3.7805049999999998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f t="shared" si="18"/>
        <v>46.890504999999997</v>
      </c>
      <c r="S99" s="8">
        <v>0</v>
      </c>
      <c r="T99" s="8">
        <v>0</v>
      </c>
      <c r="U99" s="8">
        <v>0</v>
      </c>
      <c r="V99" s="8">
        <v>170</v>
      </c>
      <c r="W99" s="8">
        <v>0</v>
      </c>
      <c r="X99" s="8">
        <v>6650.8659600000001</v>
      </c>
      <c r="Y99" s="8">
        <v>0</v>
      </c>
      <c r="Z99" s="8">
        <v>-6607.758495</v>
      </c>
      <c r="AA99" s="7">
        <v>0</v>
      </c>
      <c r="AB99" s="8">
        <v>0</v>
      </c>
      <c r="AC99" s="7">
        <v>3</v>
      </c>
      <c r="AD99" s="7" t="s">
        <v>1226</v>
      </c>
      <c r="AE99" s="8">
        <v>0</v>
      </c>
      <c r="AF99" s="8">
        <v>0</v>
      </c>
      <c r="AG99" s="8">
        <v>0</v>
      </c>
      <c r="AH99" s="8">
        <v>0</v>
      </c>
      <c r="AI99" s="7" t="s">
        <v>1760</v>
      </c>
      <c r="AJ99" s="7">
        <f t="shared" ca="1" si="19"/>
        <v>1</v>
      </c>
      <c r="AK99" s="96">
        <f t="shared" si="22"/>
        <v>0</v>
      </c>
      <c r="AL99" s="97">
        <f t="shared" si="23"/>
        <v>0</v>
      </c>
    </row>
    <row r="100" spans="1:38" x14ac:dyDescent="0.3">
      <c r="A100" s="7" t="s">
        <v>1790</v>
      </c>
      <c r="B100" s="7" t="s">
        <v>1320</v>
      </c>
      <c r="C100" s="7" t="s">
        <v>1323</v>
      </c>
      <c r="D100" s="7" t="s">
        <v>1780</v>
      </c>
      <c r="E100" s="7" t="s">
        <v>1773</v>
      </c>
      <c r="F100" s="36">
        <v>44873</v>
      </c>
      <c r="G100" s="36">
        <v>45968</v>
      </c>
      <c r="H100" s="36">
        <v>45968</v>
      </c>
      <c r="I100" s="36">
        <v>45968</v>
      </c>
      <c r="J100" s="7" t="s">
        <v>1239</v>
      </c>
      <c r="K100" s="8">
        <v>326.62</v>
      </c>
      <c r="L100" s="8">
        <v>27.986270999999999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f t="shared" si="18"/>
        <v>354.60627099999999</v>
      </c>
      <c r="S100" s="8">
        <v>0</v>
      </c>
      <c r="T100" s="8">
        <v>19.711751</v>
      </c>
      <c r="U100" s="8">
        <v>0</v>
      </c>
      <c r="V100" s="8">
        <v>300.28824900000001</v>
      </c>
      <c r="W100" s="8">
        <v>0</v>
      </c>
      <c r="X100" s="8">
        <v>0</v>
      </c>
      <c r="Y100" s="8">
        <v>0</v>
      </c>
      <c r="Z100" s="8">
        <v>6655.6102709999996</v>
      </c>
      <c r="AA100" s="7">
        <v>2.8547950000000002</v>
      </c>
      <c r="AB100" s="8">
        <v>6228.4294870000003</v>
      </c>
      <c r="AC100" s="7">
        <v>3</v>
      </c>
      <c r="AD100" s="7" t="s">
        <v>1226</v>
      </c>
      <c r="AE100" s="8">
        <v>6520</v>
      </c>
      <c r="AF100" s="8">
        <v>0</v>
      </c>
      <c r="AG100" s="8">
        <v>6520</v>
      </c>
      <c r="AH100" s="8">
        <v>0</v>
      </c>
      <c r="AI100" s="7" t="s">
        <v>1760</v>
      </c>
      <c r="AJ100" s="7">
        <f t="shared" ca="1" si="19"/>
        <v>1</v>
      </c>
      <c r="AK100" s="96">
        <f t="shared" si="22"/>
        <v>1.1911489742373631E-4</v>
      </c>
      <c r="AL100" s="97">
        <f t="shared" si="23"/>
        <v>1.2434360197872716E-4</v>
      </c>
    </row>
    <row r="101" spans="1:38" x14ac:dyDescent="0.3">
      <c r="A101" s="7" t="s">
        <v>1791</v>
      </c>
      <c r="B101" s="7" t="s">
        <v>1320</v>
      </c>
      <c r="C101" s="7" t="s">
        <v>1323</v>
      </c>
      <c r="D101" s="7" t="s">
        <v>1792</v>
      </c>
      <c r="E101" s="7" t="s">
        <v>1750</v>
      </c>
      <c r="F101" s="36">
        <v>44044</v>
      </c>
      <c r="G101" s="36">
        <v>44773</v>
      </c>
      <c r="H101" s="36">
        <v>45138</v>
      </c>
      <c r="I101" s="36">
        <v>45138</v>
      </c>
      <c r="J101" s="7" t="s">
        <v>1696</v>
      </c>
      <c r="K101" s="8">
        <v>0</v>
      </c>
      <c r="L101" s="8">
        <v>0</v>
      </c>
      <c r="M101" s="8">
        <v>7948.2648740000004</v>
      </c>
      <c r="N101" s="8">
        <v>0</v>
      </c>
      <c r="O101" s="8">
        <v>0</v>
      </c>
      <c r="P101" s="8">
        <v>0</v>
      </c>
      <c r="Q101" s="8">
        <v>0</v>
      </c>
      <c r="R101" s="8">
        <f t="shared" si="18"/>
        <v>7948.2648740000004</v>
      </c>
      <c r="S101" s="8">
        <v>0</v>
      </c>
      <c r="T101" s="8">
        <v>0</v>
      </c>
      <c r="U101" s="8">
        <v>8379.7216000000008</v>
      </c>
      <c r="V101" s="8">
        <v>0</v>
      </c>
      <c r="W101" s="8">
        <v>0</v>
      </c>
      <c r="X101" s="8">
        <v>0</v>
      </c>
      <c r="Y101" s="8">
        <v>0</v>
      </c>
      <c r="Z101" s="8">
        <v>0.21420400000000001</v>
      </c>
      <c r="AA101" s="7">
        <v>0.58082199999999995</v>
      </c>
      <c r="AB101" s="8">
        <v>6620.1396450000002</v>
      </c>
      <c r="AC101" s="7">
        <v>1.8029999999999999</v>
      </c>
      <c r="AD101" s="7" t="s">
        <v>1226</v>
      </c>
      <c r="AE101" s="8">
        <v>6650</v>
      </c>
      <c r="AF101" s="8">
        <v>0</v>
      </c>
      <c r="AG101" s="8">
        <v>6650</v>
      </c>
      <c r="AH101" s="8">
        <v>0</v>
      </c>
      <c r="AI101" s="7" t="s">
        <v>1793</v>
      </c>
      <c r="AJ101" s="7">
        <f t="shared" ca="1" si="19"/>
        <v>1</v>
      </c>
      <c r="AK101" s="96">
        <f t="shared" ref="AK101:AK104" si="26">(+AA101*AB101)/$AB$1102</f>
        <v>3.3699578844824996E-6</v>
      </c>
      <c r="AL101" s="97">
        <f t="shared" ref="AL101:AL104" si="27">AC101/$AE$1102*AE101</f>
        <v>1.0259331142882647E-5</v>
      </c>
    </row>
    <row r="102" spans="1:38" x14ac:dyDescent="0.3">
      <c r="A102" s="7" t="s">
        <v>1794</v>
      </c>
      <c r="B102" s="7" t="s">
        <v>1320</v>
      </c>
      <c r="C102" s="7" t="s">
        <v>1323</v>
      </c>
      <c r="D102" s="7" t="s">
        <v>1792</v>
      </c>
      <c r="E102" s="7" t="s">
        <v>1773</v>
      </c>
      <c r="F102" s="36">
        <v>44868</v>
      </c>
      <c r="G102" s="36">
        <v>45140</v>
      </c>
      <c r="H102" s="36">
        <v>45140</v>
      </c>
      <c r="I102" s="36">
        <v>45232</v>
      </c>
      <c r="J102" s="7" t="s">
        <v>1696</v>
      </c>
      <c r="K102" s="8">
        <v>0</v>
      </c>
      <c r="L102" s="8">
        <v>0</v>
      </c>
      <c r="M102" s="8">
        <v>539.72515799999996</v>
      </c>
      <c r="N102" s="8">
        <v>0</v>
      </c>
      <c r="O102" s="8">
        <v>0</v>
      </c>
      <c r="P102" s="8">
        <v>0</v>
      </c>
      <c r="Q102" s="8">
        <v>0</v>
      </c>
      <c r="R102" s="8">
        <f t="shared" si="18"/>
        <v>539.72515799999996</v>
      </c>
      <c r="S102" s="8">
        <v>0</v>
      </c>
      <c r="T102" s="8">
        <v>0</v>
      </c>
      <c r="U102" s="8">
        <v>111.12</v>
      </c>
      <c r="V102" s="8">
        <v>0</v>
      </c>
      <c r="W102" s="8">
        <v>0</v>
      </c>
      <c r="X102" s="8">
        <v>0</v>
      </c>
      <c r="Y102" s="8">
        <v>3307.3688350000002</v>
      </c>
      <c r="Z102" s="8">
        <v>0</v>
      </c>
      <c r="AA102" s="7">
        <v>0.83835599999999999</v>
      </c>
      <c r="AB102" s="8">
        <v>3205.053993</v>
      </c>
      <c r="AC102" s="7">
        <v>1.6916359999999999</v>
      </c>
      <c r="AD102" s="7" t="s">
        <v>1226</v>
      </c>
      <c r="AE102" s="8">
        <v>3238.92</v>
      </c>
      <c r="AF102" s="8">
        <v>0</v>
      </c>
      <c r="AG102" s="8">
        <v>3238.92</v>
      </c>
      <c r="AH102" s="8">
        <v>0</v>
      </c>
      <c r="AI102" s="7" t="s">
        <v>1760</v>
      </c>
      <c r="AJ102" s="7">
        <f t="shared" ca="1" si="19"/>
        <v>1</v>
      </c>
      <c r="AK102" s="96">
        <f t="shared" si="26"/>
        <v>2.3549304859178331E-6</v>
      </c>
      <c r="AL102" s="97">
        <f t="shared" si="27"/>
        <v>4.6882289891774732E-6</v>
      </c>
    </row>
    <row r="103" spans="1:38" x14ac:dyDescent="0.3">
      <c r="A103" s="7" t="s">
        <v>1795</v>
      </c>
      <c r="B103" s="7" t="s">
        <v>1320</v>
      </c>
      <c r="C103" s="7" t="s">
        <v>1323</v>
      </c>
      <c r="D103" s="7" t="s">
        <v>1792</v>
      </c>
      <c r="E103" s="7" t="s">
        <v>1750</v>
      </c>
      <c r="F103" s="36">
        <v>44044</v>
      </c>
      <c r="G103" s="36">
        <v>44773</v>
      </c>
      <c r="H103" s="36">
        <v>45138</v>
      </c>
      <c r="I103" s="36">
        <v>45138</v>
      </c>
      <c r="J103" s="7" t="s">
        <v>1696</v>
      </c>
      <c r="K103" s="8">
        <v>0</v>
      </c>
      <c r="L103" s="8">
        <v>0</v>
      </c>
      <c r="M103" s="8">
        <v>7948.2634289999996</v>
      </c>
      <c r="N103" s="8">
        <v>0</v>
      </c>
      <c r="O103" s="8">
        <v>0</v>
      </c>
      <c r="P103" s="8">
        <v>0</v>
      </c>
      <c r="Q103" s="8">
        <v>0</v>
      </c>
      <c r="R103" s="8">
        <f t="shared" si="18"/>
        <v>7948.2634289999996</v>
      </c>
      <c r="S103" s="8">
        <v>0</v>
      </c>
      <c r="T103" s="8">
        <v>0</v>
      </c>
      <c r="U103" s="8">
        <v>11229.721600000001</v>
      </c>
      <c r="V103" s="8">
        <v>0</v>
      </c>
      <c r="W103" s="8">
        <v>0</v>
      </c>
      <c r="X103" s="8">
        <v>0</v>
      </c>
      <c r="Y103" s="8">
        <v>0</v>
      </c>
      <c r="Z103" s="8">
        <v>0.21420400000000001</v>
      </c>
      <c r="AA103" s="7">
        <v>0.58082199999999995</v>
      </c>
      <c r="AB103" s="8">
        <v>3770.1396450000002</v>
      </c>
      <c r="AC103" s="7">
        <v>1.8029999999999999</v>
      </c>
      <c r="AD103" s="7" t="s">
        <v>1226</v>
      </c>
      <c r="AE103" s="8">
        <v>13300</v>
      </c>
      <c r="AF103" s="8">
        <v>0</v>
      </c>
      <c r="AG103" s="8">
        <v>13300</v>
      </c>
      <c r="AH103" s="8">
        <v>0</v>
      </c>
      <c r="AI103" s="7" t="s">
        <v>1793</v>
      </c>
      <c r="AJ103" s="7">
        <f t="shared" ca="1" si="19"/>
        <v>1</v>
      </c>
      <c r="AK103" s="96">
        <f t="shared" si="26"/>
        <v>1.9191758034686898E-6</v>
      </c>
      <c r="AL103" s="97">
        <f t="shared" si="27"/>
        <v>2.0518662285765294E-5</v>
      </c>
    </row>
    <row r="104" spans="1:38" x14ac:dyDescent="0.3">
      <c r="A104" s="7" t="s">
        <v>1796</v>
      </c>
      <c r="B104" s="7" t="s">
        <v>194</v>
      </c>
      <c r="C104" s="7" t="s">
        <v>1323</v>
      </c>
      <c r="D104" s="7" t="s">
        <v>1780</v>
      </c>
      <c r="E104" s="7" t="s">
        <v>1322</v>
      </c>
      <c r="F104" s="36">
        <v>44228</v>
      </c>
      <c r="G104" s="36">
        <v>45322</v>
      </c>
      <c r="H104" s="36">
        <v>45322</v>
      </c>
      <c r="I104" s="36">
        <v>45322</v>
      </c>
      <c r="J104" s="7" t="s">
        <v>1696</v>
      </c>
      <c r="K104" s="8">
        <v>0</v>
      </c>
      <c r="L104" s="8">
        <v>0</v>
      </c>
      <c r="M104" s="8">
        <v>5185.152</v>
      </c>
      <c r="N104" s="8">
        <v>0</v>
      </c>
      <c r="O104" s="8">
        <v>0</v>
      </c>
      <c r="P104" s="8">
        <v>0</v>
      </c>
      <c r="Q104" s="8">
        <v>0</v>
      </c>
      <c r="R104" s="8">
        <f t="shared" si="18"/>
        <v>5185.152</v>
      </c>
      <c r="S104" s="8">
        <v>0</v>
      </c>
      <c r="T104" s="8">
        <v>0</v>
      </c>
      <c r="U104" s="8">
        <v>5185.152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7">
        <v>1.084932</v>
      </c>
      <c r="AB104" s="8">
        <v>5533.963154</v>
      </c>
      <c r="AC104" s="7">
        <v>3</v>
      </c>
      <c r="AD104" s="7" t="s">
        <v>1226</v>
      </c>
      <c r="AE104" s="8">
        <v>5617.2479999999996</v>
      </c>
      <c r="AF104" s="8">
        <v>0</v>
      </c>
      <c r="AG104" s="8">
        <v>5617.2479999999996</v>
      </c>
      <c r="AH104" s="8">
        <v>0</v>
      </c>
      <c r="AI104" s="7" t="s">
        <v>1730</v>
      </c>
      <c r="AJ104" s="7">
        <f t="shared" ca="1" si="19"/>
        <v>1</v>
      </c>
      <c r="AK104" s="96">
        <f t="shared" si="26"/>
        <v>5.2620266952042922E-6</v>
      </c>
      <c r="AL104" s="97">
        <f t="shared" si="27"/>
        <v>1.4419378065053297E-5</v>
      </c>
    </row>
    <row r="105" spans="1:38" x14ac:dyDescent="0.3">
      <c r="A105" s="7" t="s">
        <v>1797</v>
      </c>
      <c r="B105" s="7" t="s">
        <v>1320</v>
      </c>
      <c r="C105" s="7" t="s">
        <v>1323</v>
      </c>
      <c r="D105" s="7" t="s">
        <v>1780</v>
      </c>
      <c r="E105" s="7" t="s">
        <v>1322</v>
      </c>
      <c r="F105" s="36">
        <v>44743</v>
      </c>
      <c r="G105" s="36">
        <v>45838</v>
      </c>
      <c r="H105" s="36">
        <v>45838</v>
      </c>
      <c r="I105" s="36">
        <v>45838</v>
      </c>
      <c r="J105" s="7" t="s">
        <v>1239</v>
      </c>
      <c r="K105" s="8">
        <v>8929.2756735999992</v>
      </c>
      <c r="L105" s="8">
        <v>467.25907511295998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f t="shared" si="18"/>
        <v>9396.5347487129584</v>
      </c>
      <c r="S105" s="8">
        <v>0</v>
      </c>
      <c r="T105" s="8">
        <v>395.22466534656002</v>
      </c>
      <c r="U105" s="8">
        <v>0</v>
      </c>
      <c r="V105" s="8">
        <v>8787.4633346534392</v>
      </c>
      <c r="W105" s="8">
        <v>0</v>
      </c>
      <c r="X105" s="8">
        <v>0</v>
      </c>
      <c r="Y105" s="8">
        <v>0</v>
      </c>
      <c r="Z105" s="8">
        <v>53575.697787029763</v>
      </c>
      <c r="AA105" s="7">
        <v>2.4986299999999999</v>
      </c>
      <c r="AB105" s="8">
        <v>44788.234452376317</v>
      </c>
      <c r="AC105" s="7">
        <v>1.93</v>
      </c>
      <c r="AD105" s="7" t="s">
        <v>1226</v>
      </c>
      <c r="AE105" s="8">
        <v>46018.082249999999</v>
      </c>
      <c r="AF105" s="8">
        <v>0</v>
      </c>
      <c r="AG105" s="8">
        <v>46018.082249999999</v>
      </c>
      <c r="AH105" s="8">
        <v>0</v>
      </c>
      <c r="AI105" s="7" t="s">
        <v>1730</v>
      </c>
      <c r="AJ105" s="7">
        <f t="shared" ca="1" si="19"/>
        <v>1</v>
      </c>
      <c r="AK105" s="96">
        <f t="shared" si="22"/>
        <v>7.4968443577906824E-4</v>
      </c>
      <c r="AL105" s="97">
        <f t="shared" si="23"/>
        <v>5.6459940792527477E-4</v>
      </c>
    </row>
    <row r="106" spans="1:38" x14ac:dyDescent="0.3">
      <c r="A106" s="7" t="s">
        <v>1798</v>
      </c>
      <c r="B106" s="7" t="s">
        <v>1320</v>
      </c>
      <c r="C106" s="7" t="s">
        <v>1756</v>
      </c>
      <c r="D106" s="7" t="s">
        <v>1780</v>
      </c>
      <c r="E106" s="7" t="s">
        <v>1322</v>
      </c>
      <c r="F106" s="36">
        <v>43670</v>
      </c>
      <c r="G106" s="36">
        <v>45130</v>
      </c>
      <c r="H106" s="36">
        <v>45130</v>
      </c>
      <c r="I106" s="36">
        <v>45130</v>
      </c>
      <c r="J106" s="7" t="s">
        <v>1696</v>
      </c>
      <c r="K106" s="8">
        <v>0</v>
      </c>
      <c r="L106" s="8">
        <v>0</v>
      </c>
      <c r="M106" s="8">
        <v>25467.778515000002</v>
      </c>
      <c r="N106" s="8">
        <v>0</v>
      </c>
      <c r="O106" s="8">
        <v>0</v>
      </c>
      <c r="P106" s="8">
        <v>0</v>
      </c>
      <c r="Q106" s="8">
        <v>0</v>
      </c>
      <c r="R106" s="8">
        <f t="shared" si="18"/>
        <v>25467.778515000002</v>
      </c>
      <c r="S106" s="8">
        <v>0</v>
      </c>
      <c r="T106" s="8">
        <v>0</v>
      </c>
      <c r="U106" s="8">
        <v>25925.759999999998</v>
      </c>
      <c r="V106" s="8">
        <v>0</v>
      </c>
      <c r="W106" s="8">
        <v>0</v>
      </c>
      <c r="X106" s="8">
        <v>0</v>
      </c>
      <c r="Y106" s="8">
        <v>28475.179736999999</v>
      </c>
      <c r="Z106" s="8">
        <v>0</v>
      </c>
      <c r="AA106" s="7">
        <v>0.55890399999999996</v>
      </c>
      <c r="AB106" s="8">
        <v>3683.3082519999998</v>
      </c>
      <c r="AC106" s="7">
        <v>2.0449999999999999</v>
      </c>
      <c r="AD106" s="7" t="s">
        <v>1226</v>
      </c>
      <c r="AE106" s="8">
        <v>3703.68</v>
      </c>
      <c r="AF106" s="8">
        <v>0</v>
      </c>
      <c r="AG106" s="8">
        <v>3703.68</v>
      </c>
      <c r="AH106" s="8">
        <v>0</v>
      </c>
      <c r="AI106" s="7" t="s">
        <v>1760</v>
      </c>
      <c r="AJ106" s="7">
        <f t="shared" ca="1" si="19"/>
        <v>1</v>
      </c>
      <c r="AK106" s="96">
        <f t="shared" ref="AK106:AK107" si="28">(+AA106*AB106)/$AB$1102</f>
        <v>1.8042202327140894E-6</v>
      </c>
      <c r="AL106" s="97">
        <f t="shared" ref="AL106:AL107" si="29">AC106/$AE$1102*AE106</f>
        <v>6.4807973940734059E-6</v>
      </c>
    </row>
    <row r="107" spans="1:38" x14ac:dyDescent="0.3">
      <c r="A107" s="7" t="s">
        <v>1799</v>
      </c>
      <c r="B107" s="7" t="s">
        <v>1320</v>
      </c>
      <c r="C107" s="7" t="s">
        <v>1756</v>
      </c>
      <c r="D107" s="7" t="s">
        <v>1780</v>
      </c>
      <c r="E107" s="7" t="s">
        <v>1695</v>
      </c>
      <c r="F107" s="36">
        <v>44252</v>
      </c>
      <c r="G107" s="36">
        <v>45346</v>
      </c>
      <c r="H107" s="36">
        <v>44805</v>
      </c>
      <c r="I107" s="36">
        <v>44805</v>
      </c>
      <c r="J107" s="7" t="s">
        <v>1696</v>
      </c>
      <c r="K107" s="8">
        <v>0</v>
      </c>
      <c r="L107" s="8">
        <v>0</v>
      </c>
      <c r="M107" s="8">
        <v>8201.0057159999997</v>
      </c>
      <c r="N107" s="8">
        <v>0</v>
      </c>
      <c r="O107" s="8">
        <v>0</v>
      </c>
      <c r="P107" s="8">
        <v>0</v>
      </c>
      <c r="Q107" s="8">
        <v>0</v>
      </c>
      <c r="R107" s="8">
        <f t="shared" si="18"/>
        <v>8201.0057159999997</v>
      </c>
      <c r="S107" s="8">
        <v>0</v>
      </c>
      <c r="T107" s="8">
        <v>0</v>
      </c>
      <c r="U107" s="8">
        <v>7407.36</v>
      </c>
      <c r="V107" s="8">
        <v>0</v>
      </c>
      <c r="W107" s="8">
        <v>0</v>
      </c>
      <c r="X107" s="8">
        <v>0</v>
      </c>
      <c r="Y107" s="8">
        <v>0</v>
      </c>
      <c r="Z107" s="8">
        <v>-16194.348591</v>
      </c>
      <c r="AA107" s="7">
        <v>0</v>
      </c>
      <c r="AB107" s="8">
        <v>0</v>
      </c>
      <c r="AC107" s="7">
        <v>3</v>
      </c>
      <c r="AD107" s="7" t="s">
        <v>1226</v>
      </c>
      <c r="AE107" s="8">
        <v>0</v>
      </c>
      <c r="AF107" s="8">
        <v>0</v>
      </c>
      <c r="AG107" s="8">
        <v>0</v>
      </c>
      <c r="AH107" s="8">
        <v>0</v>
      </c>
      <c r="AI107" s="7" t="s">
        <v>1730</v>
      </c>
      <c r="AJ107" s="7">
        <f t="shared" ca="1" si="19"/>
        <v>1</v>
      </c>
      <c r="AK107" s="96">
        <f t="shared" si="28"/>
        <v>0</v>
      </c>
      <c r="AL107" s="97">
        <f t="shared" si="29"/>
        <v>0</v>
      </c>
    </row>
    <row r="108" spans="1:38" x14ac:dyDescent="0.3">
      <c r="A108" s="7" t="s">
        <v>1800</v>
      </c>
      <c r="B108" s="7" t="s">
        <v>1320</v>
      </c>
      <c r="C108" s="7" t="s">
        <v>1756</v>
      </c>
      <c r="D108" s="7" t="s">
        <v>1780</v>
      </c>
      <c r="E108" s="7" t="s">
        <v>1773</v>
      </c>
      <c r="F108" s="36">
        <v>44805</v>
      </c>
      <c r="G108" s="36">
        <v>45900</v>
      </c>
      <c r="H108" s="36">
        <v>45900</v>
      </c>
      <c r="I108" s="36">
        <v>45900</v>
      </c>
      <c r="J108" s="7" t="s">
        <v>1239</v>
      </c>
      <c r="K108" s="8">
        <v>3627.36</v>
      </c>
      <c r="L108" s="8">
        <v>297.18014099999999</v>
      </c>
      <c r="M108" s="8">
        <v>0</v>
      </c>
      <c r="N108" s="8">
        <v>-793.64571599999999</v>
      </c>
      <c r="O108" s="8">
        <v>0</v>
      </c>
      <c r="P108" s="8">
        <v>0</v>
      </c>
      <c r="Q108" s="8">
        <v>0</v>
      </c>
      <c r="R108" s="8">
        <f t="shared" si="18"/>
        <v>3130.894425</v>
      </c>
      <c r="S108" s="8">
        <v>0</v>
      </c>
      <c r="T108" s="8">
        <v>226.07736299999999</v>
      </c>
      <c r="U108" s="8">
        <v>0</v>
      </c>
      <c r="V108" s="8">
        <v>3477.602637</v>
      </c>
      <c r="W108" s="8">
        <v>0</v>
      </c>
      <c r="X108" s="8">
        <v>0</v>
      </c>
      <c r="Y108" s="8">
        <v>0</v>
      </c>
      <c r="Z108" s="8">
        <v>32646.222128000001</v>
      </c>
      <c r="AA108" s="7">
        <v>2.6684929999999998</v>
      </c>
      <c r="AB108" s="8">
        <v>28441.110917999998</v>
      </c>
      <c r="AC108" s="7">
        <v>3</v>
      </c>
      <c r="AD108" s="7" t="s">
        <v>1226</v>
      </c>
      <c r="AE108" s="8">
        <v>29629.439999999999</v>
      </c>
      <c r="AF108" s="8">
        <v>0</v>
      </c>
      <c r="AG108" s="8">
        <v>29629.439999999999</v>
      </c>
      <c r="AH108" s="8">
        <v>0</v>
      </c>
      <c r="AI108" s="7" t="s">
        <v>1730</v>
      </c>
      <c r="AJ108" s="7">
        <f t="shared" ca="1" si="19"/>
        <v>1</v>
      </c>
      <c r="AK108" s="96">
        <f t="shared" si="22"/>
        <v>5.0842304283305083E-4</v>
      </c>
      <c r="AL108" s="97">
        <f t="shared" si="23"/>
        <v>5.65066149419107E-4</v>
      </c>
    </row>
    <row r="109" spans="1:38" x14ac:dyDescent="0.3">
      <c r="A109" s="7" t="s">
        <v>1801</v>
      </c>
      <c r="B109" s="7" t="s">
        <v>1320</v>
      </c>
      <c r="C109" s="7" t="s">
        <v>1323</v>
      </c>
      <c r="D109" s="7" t="s">
        <v>1780</v>
      </c>
      <c r="E109" s="7" t="s">
        <v>1322</v>
      </c>
      <c r="F109" s="36">
        <v>44748</v>
      </c>
      <c r="G109" s="36">
        <v>45478</v>
      </c>
      <c r="H109" s="36">
        <v>45478</v>
      </c>
      <c r="I109" s="36">
        <v>45478</v>
      </c>
      <c r="J109" s="7" t="s">
        <v>1239</v>
      </c>
      <c r="K109" s="8">
        <v>5694.13</v>
      </c>
      <c r="L109" s="8">
        <v>223.58506299999999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f t="shared" si="18"/>
        <v>5917.7150629999996</v>
      </c>
      <c r="S109" s="8">
        <v>0</v>
      </c>
      <c r="T109" s="8">
        <v>195.40724499999999</v>
      </c>
      <c r="U109" s="8">
        <v>0</v>
      </c>
      <c r="V109" s="8">
        <v>5785.0927549999997</v>
      </c>
      <c r="W109" s="8">
        <v>0</v>
      </c>
      <c r="X109" s="8">
        <v>23405.702239999999</v>
      </c>
      <c r="Y109" s="8">
        <v>0</v>
      </c>
      <c r="Z109" s="8">
        <v>0</v>
      </c>
      <c r="AA109" s="7">
        <v>1.512329</v>
      </c>
      <c r="AB109" s="8">
        <v>17620.609485000001</v>
      </c>
      <c r="AC109" s="7">
        <v>2.2879999999999998</v>
      </c>
      <c r="AD109" s="7" t="s">
        <v>1226</v>
      </c>
      <c r="AE109" s="8">
        <v>17941.5</v>
      </c>
      <c r="AF109" s="8">
        <v>0</v>
      </c>
      <c r="AG109" s="8">
        <v>17941.5</v>
      </c>
      <c r="AH109" s="8">
        <v>0</v>
      </c>
      <c r="AI109" s="7" t="s">
        <v>1730</v>
      </c>
      <c r="AJ109" s="7">
        <f t="shared" ca="1" si="19"/>
        <v>1</v>
      </c>
      <c r="AK109" s="96">
        <f t="shared" si="22"/>
        <v>1.7851709376804251E-4</v>
      </c>
      <c r="AL109" s="97">
        <f t="shared" si="23"/>
        <v>2.6095724751811096E-4</v>
      </c>
    </row>
    <row r="110" spans="1:38" x14ac:dyDescent="0.3">
      <c r="A110" s="7" t="s">
        <v>1802</v>
      </c>
      <c r="B110" s="7" t="s">
        <v>1735</v>
      </c>
      <c r="C110" s="7" t="s">
        <v>1323</v>
      </c>
      <c r="D110" s="7" t="s">
        <v>1780</v>
      </c>
      <c r="E110" s="7" t="s">
        <v>1322</v>
      </c>
      <c r="F110" s="36">
        <v>44336</v>
      </c>
      <c r="G110" s="36">
        <v>45431</v>
      </c>
      <c r="H110" s="36">
        <v>45431</v>
      </c>
      <c r="I110" s="36">
        <v>45431</v>
      </c>
      <c r="J110" s="7" t="s">
        <v>1696</v>
      </c>
      <c r="K110" s="8">
        <v>0</v>
      </c>
      <c r="L110" s="8">
        <v>0</v>
      </c>
      <c r="M110" s="8">
        <v>5185.152</v>
      </c>
      <c r="N110" s="8">
        <v>0</v>
      </c>
      <c r="O110" s="8">
        <v>0</v>
      </c>
      <c r="P110" s="8">
        <v>0</v>
      </c>
      <c r="Q110" s="8">
        <v>0</v>
      </c>
      <c r="R110" s="8">
        <f t="shared" si="18"/>
        <v>5185.152</v>
      </c>
      <c r="S110" s="8">
        <v>0</v>
      </c>
      <c r="T110" s="8">
        <v>0</v>
      </c>
      <c r="U110" s="8">
        <v>5185.152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7">
        <v>1.383562</v>
      </c>
      <c r="AB110" s="8">
        <v>6775.3515900000002</v>
      </c>
      <c r="AC110" s="7">
        <v>3</v>
      </c>
      <c r="AD110" s="7" t="s">
        <v>1226</v>
      </c>
      <c r="AE110" s="8">
        <v>6913.5360000000001</v>
      </c>
      <c r="AF110" s="8">
        <v>0</v>
      </c>
      <c r="AG110" s="8">
        <v>6913.5360000000001</v>
      </c>
      <c r="AH110" s="8">
        <v>0</v>
      </c>
      <c r="AI110" s="7" t="s">
        <v>1730</v>
      </c>
      <c r="AJ110" s="7">
        <f t="shared" ca="1" si="19"/>
        <v>1</v>
      </c>
      <c r="AK110" s="96">
        <f t="shared" ref="AK110:AK125" si="30">(+AA110*AB110)/$AB$1102</f>
        <v>8.2157029269562119E-6</v>
      </c>
      <c r="AL110" s="97">
        <f t="shared" ref="AL110:AL125" si="31">AC110/$AE$1102*AE110</f>
        <v>1.7746926849296367E-5</v>
      </c>
    </row>
    <row r="111" spans="1:38" x14ac:dyDescent="0.3">
      <c r="A111" s="7" t="s">
        <v>1803</v>
      </c>
      <c r="B111" s="7" t="s">
        <v>194</v>
      </c>
      <c r="C111" s="7" t="s">
        <v>1323</v>
      </c>
      <c r="D111" s="7" t="s">
        <v>1780</v>
      </c>
      <c r="E111" s="7" t="s">
        <v>1322</v>
      </c>
      <c r="F111" s="36">
        <v>44378</v>
      </c>
      <c r="G111" s="36">
        <v>45473</v>
      </c>
      <c r="H111" s="36">
        <v>45473</v>
      </c>
      <c r="I111" s="36">
        <v>45473</v>
      </c>
      <c r="J111" s="7" t="s">
        <v>1696</v>
      </c>
      <c r="K111" s="8">
        <v>0</v>
      </c>
      <c r="L111" s="8">
        <v>0</v>
      </c>
      <c r="M111" s="8">
        <v>2962.944</v>
      </c>
      <c r="N111" s="8">
        <v>0</v>
      </c>
      <c r="O111" s="8">
        <v>0</v>
      </c>
      <c r="P111" s="8">
        <v>0</v>
      </c>
      <c r="Q111" s="8">
        <v>0</v>
      </c>
      <c r="R111" s="8">
        <f t="shared" si="18"/>
        <v>2962.944</v>
      </c>
      <c r="S111" s="8">
        <v>0</v>
      </c>
      <c r="T111" s="8">
        <v>0</v>
      </c>
      <c r="U111" s="8">
        <v>2962.944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7">
        <v>1.4986299999999999</v>
      </c>
      <c r="AB111" s="8">
        <v>4351.4490249999999</v>
      </c>
      <c r="AC111" s="7">
        <v>3</v>
      </c>
      <c r="AD111" s="7" t="s">
        <v>1226</v>
      </c>
      <c r="AE111" s="8">
        <v>4444.4160000000002</v>
      </c>
      <c r="AF111" s="8">
        <v>0</v>
      </c>
      <c r="AG111" s="8">
        <v>4444.4160000000002</v>
      </c>
      <c r="AH111" s="8">
        <v>0</v>
      </c>
      <c r="AI111" s="7" t="s">
        <v>1760</v>
      </c>
      <c r="AJ111" s="7">
        <f t="shared" ca="1" si="19"/>
        <v>1</v>
      </c>
      <c r="AK111" s="96">
        <f t="shared" si="30"/>
        <v>5.7153467931564851E-6</v>
      </c>
      <c r="AL111" s="97">
        <f t="shared" si="31"/>
        <v>1.140873868883338E-5</v>
      </c>
    </row>
    <row r="112" spans="1:38" x14ac:dyDescent="0.3">
      <c r="A112" s="7" t="s">
        <v>1804</v>
      </c>
      <c r="B112" s="7" t="s">
        <v>1735</v>
      </c>
      <c r="C112" s="7" t="s">
        <v>1805</v>
      </c>
      <c r="D112" s="7" t="s">
        <v>1780</v>
      </c>
      <c r="E112" s="7" t="s">
        <v>1806</v>
      </c>
      <c r="F112" s="36">
        <v>44256</v>
      </c>
      <c r="G112" s="36">
        <v>45351</v>
      </c>
      <c r="H112" s="36">
        <v>44715</v>
      </c>
      <c r="I112" s="36">
        <v>44715</v>
      </c>
      <c r="J112" s="7" t="s">
        <v>1696</v>
      </c>
      <c r="K112" s="8">
        <v>0</v>
      </c>
      <c r="L112" s="8">
        <v>0</v>
      </c>
      <c r="M112" s="8">
        <v>7500.048522</v>
      </c>
      <c r="N112" s="8">
        <v>0</v>
      </c>
      <c r="O112" s="8">
        <v>0</v>
      </c>
      <c r="P112" s="8">
        <v>0</v>
      </c>
      <c r="Q112" s="8">
        <v>0</v>
      </c>
      <c r="R112" s="8">
        <f t="shared" si="18"/>
        <v>7500.048522</v>
      </c>
      <c r="S112" s="8">
        <v>0</v>
      </c>
      <c r="T112" s="8">
        <v>0</v>
      </c>
      <c r="U112" s="8">
        <v>7500.05</v>
      </c>
      <c r="V112" s="8">
        <v>0</v>
      </c>
      <c r="W112" s="8">
        <v>0</v>
      </c>
      <c r="X112" s="8">
        <v>0</v>
      </c>
      <c r="Y112" s="8">
        <v>15321.272074</v>
      </c>
      <c r="Z112" s="8">
        <v>-8676.5805959999998</v>
      </c>
      <c r="AA112" s="7">
        <v>0</v>
      </c>
      <c r="AB112" s="8">
        <v>0</v>
      </c>
      <c r="AC112" s="7">
        <v>2.3431899999999999</v>
      </c>
      <c r="AD112" s="7" t="s">
        <v>1697</v>
      </c>
      <c r="AE112" s="8">
        <v>0</v>
      </c>
      <c r="AF112" s="8">
        <v>0</v>
      </c>
      <c r="AG112" s="8">
        <v>0</v>
      </c>
      <c r="AH112" s="8">
        <v>0</v>
      </c>
      <c r="AI112" s="7" t="s">
        <v>1730</v>
      </c>
      <c r="AJ112" s="7">
        <f t="shared" ca="1" si="19"/>
        <v>1</v>
      </c>
      <c r="AK112" s="96">
        <f t="shared" si="30"/>
        <v>0</v>
      </c>
      <c r="AL112" s="97">
        <f t="shared" si="31"/>
        <v>0</v>
      </c>
    </row>
    <row r="113" spans="1:38" x14ac:dyDescent="0.3">
      <c r="A113" s="7" t="s">
        <v>1807</v>
      </c>
      <c r="B113" s="7" t="s">
        <v>1320</v>
      </c>
      <c r="C113" s="7" t="s">
        <v>1805</v>
      </c>
      <c r="D113" s="7" t="s">
        <v>1780</v>
      </c>
      <c r="E113" s="7" t="s">
        <v>1322</v>
      </c>
      <c r="F113" s="36">
        <v>44715</v>
      </c>
      <c r="G113" s="36">
        <v>45262</v>
      </c>
      <c r="H113" s="36">
        <v>45262</v>
      </c>
      <c r="I113" s="36">
        <v>45628</v>
      </c>
      <c r="J113" s="7" t="s">
        <v>1696</v>
      </c>
      <c r="K113" s="8">
        <v>0</v>
      </c>
      <c r="L113" s="8">
        <v>0</v>
      </c>
      <c r="M113" s="8">
        <v>8146.440724</v>
      </c>
      <c r="N113" s="8">
        <v>0</v>
      </c>
      <c r="O113" s="8">
        <v>0</v>
      </c>
      <c r="P113" s="8">
        <v>0</v>
      </c>
      <c r="Q113" s="8">
        <v>0</v>
      </c>
      <c r="R113" s="8">
        <f t="shared" si="18"/>
        <v>8146.440724</v>
      </c>
      <c r="S113" s="8">
        <v>0</v>
      </c>
      <c r="T113" s="8">
        <v>0</v>
      </c>
      <c r="U113" s="8">
        <v>3111.15</v>
      </c>
      <c r="V113" s="8">
        <v>0</v>
      </c>
      <c r="W113" s="8">
        <v>0</v>
      </c>
      <c r="X113" s="8">
        <v>0</v>
      </c>
      <c r="Y113" s="8">
        <v>0</v>
      </c>
      <c r="Z113" s="8">
        <v>37477.135579000002</v>
      </c>
      <c r="AA113" s="7">
        <v>1.9232880000000001</v>
      </c>
      <c r="AB113" s="8">
        <v>34359.700410999998</v>
      </c>
      <c r="AC113" s="7">
        <v>1.5221769999999999</v>
      </c>
      <c r="AD113" s="7" t="s">
        <v>1226</v>
      </c>
      <c r="AE113" s="8">
        <v>10222.35</v>
      </c>
      <c r="AF113" s="8">
        <v>0</v>
      </c>
      <c r="AG113" s="8">
        <v>10222.35</v>
      </c>
      <c r="AH113" s="8">
        <v>0</v>
      </c>
      <c r="AI113" s="7" t="s">
        <v>1730</v>
      </c>
      <c r="AJ113" s="7">
        <f t="shared" ca="1" si="19"/>
        <v>1</v>
      </c>
      <c r="AK113" s="96">
        <f t="shared" si="30"/>
        <v>5.7917253013762158E-5</v>
      </c>
      <c r="AL113" s="97">
        <f t="shared" si="31"/>
        <v>1.3314276687234047E-5</v>
      </c>
    </row>
    <row r="114" spans="1:38" x14ac:dyDescent="0.3">
      <c r="A114" s="7" t="s">
        <v>1808</v>
      </c>
      <c r="B114" s="7" t="s">
        <v>194</v>
      </c>
      <c r="C114" s="7" t="s">
        <v>1805</v>
      </c>
      <c r="D114" s="7" t="s">
        <v>1780</v>
      </c>
      <c r="E114" s="7" t="s">
        <v>1322</v>
      </c>
      <c r="F114" s="36">
        <v>44256</v>
      </c>
      <c r="G114" s="36">
        <v>45351</v>
      </c>
      <c r="H114" s="36">
        <v>45351</v>
      </c>
      <c r="I114" s="36">
        <v>45351</v>
      </c>
      <c r="J114" s="7" t="s">
        <v>1696</v>
      </c>
      <c r="K114" s="8">
        <v>0</v>
      </c>
      <c r="L114" s="8">
        <v>0</v>
      </c>
      <c r="M114" s="8">
        <v>5841.8414400000001</v>
      </c>
      <c r="N114" s="8">
        <v>0</v>
      </c>
      <c r="O114" s="8">
        <v>0</v>
      </c>
      <c r="P114" s="8">
        <v>0</v>
      </c>
      <c r="Q114" s="8">
        <v>0</v>
      </c>
      <c r="R114" s="8">
        <f t="shared" si="18"/>
        <v>5841.8414400000001</v>
      </c>
      <c r="S114" s="8">
        <v>0</v>
      </c>
      <c r="T114" s="8">
        <v>0</v>
      </c>
      <c r="U114" s="8">
        <v>5841.8414400000001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7">
        <v>1.1643840000000001</v>
      </c>
      <c r="AB114" s="8">
        <v>6706.10077</v>
      </c>
      <c r="AC114" s="7">
        <v>3</v>
      </c>
      <c r="AD114" s="7" t="s">
        <v>1226</v>
      </c>
      <c r="AE114" s="8">
        <v>6815.4816799999999</v>
      </c>
      <c r="AF114" s="8">
        <v>0</v>
      </c>
      <c r="AG114" s="8">
        <v>6815.4816799999999</v>
      </c>
      <c r="AH114" s="8">
        <v>0</v>
      </c>
      <c r="AI114" s="7" t="s">
        <v>1730</v>
      </c>
      <c r="AJ114" s="7">
        <f t="shared" ca="1" si="19"/>
        <v>1</v>
      </c>
      <c r="AK114" s="96">
        <f t="shared" si="30"/>
        <v>6.8435362041252493E-6</v>
      </c>
      <c r="AL114" s="97">
        <f t="shared" si="31"/>
        <v>1.7495223112699422E-5</v>
      </c>
    </row>
    <row r="115" spans="1:38" x14ac:dyDescent="0.3">
      <c r="A115" s="7" t="s">
        <v>1809</v>
      </c>
      <c r="B115" s="7" t="s">
        <v>194</v>
      </c>
      <c r="C115" s="7" t="s">
        <v>1756</v>
      </c>
      <c r="D115" s="7" t="s">
        <v>1780</v>
      </c>
      <c r="E115" s="7" t="s">
        <v>1775</v>
      </c>
      <c r="F115" s="36">
        <v>44287</v>
      </c>
      <c r="G115" s="36">
        <v>45382</v>
      </c>
      <c r="I115" s="36">
        <v>44620</v>
      </c>
      <c r="J115" s="7" t="s">
        <v>1696</v>
      </c>
      <c r="K115" s="8">
        <v>0</v>
      </c>
      <c r="L115" s="8">
        <v>0</v>
      </c>
      <c r="M115" s="8">
        <v>315.67721399999999</v>
      </c>
      <c r="N115" s="8">
        <v>0</v>
      </c>
      <c r="O115" s="8">
        <v>0</v>
      </c>
      <c r="P115" s="8">
        <v>0</v>
      </c>
      <c r="Q115" s="8">
        <v>0</v>
      </c>
      <c r="R115" s="8">
        <f t="shared" si="18"/>
        <v>315.67721399999999</v>
      </c>
      <c r="S115" s="8">
        <v>0</v>
      </c>
      <c r="T115" s="8">
        <v>0</v>
      </c>
      <c r="U115" s="8">
        <v>500</v>
      </c>
      <c r="V115" s="8">
        <v>0</v>
      </c>
      <c r="W115" s="8">
        <v>0</v>
      </c>
      <c r="X115" s="8">
        <v>0</v>
      </c>
      <c r="Y115" s="8">
        <v>0</v>
      </c>
      <c r="Z115" s="8">
        <v>485.84748400000001</v>
      </c>
      <c r="AA115" s="7">
        <v>0</v>
      </c>
      <c r="AB115" s="8">
        <v>499.37655899999999</v>
      </c>
      <c r="AC115" s="7">
        <v>3</v>
      </c>
      <c r="AD115" s="7" t="s">
        <v>1226</v>
      </c>
      <c r="AE115" s="8">
        <v>0</v>
      </c>
      <c r="AF115" s="8">
        <v>0</v>
      </c>
      <c r="AG115" s="8">
        <v>0</v>
      </c>
      <c r="AH115" s="8">
        <v>0</v>
      </c>
      <c r="AI115" s="7" t="s">
        <v>1730</v>
      </c>
      <c r="AJ115" s="7">
        <f t="shared" ca="1" si="19"/>
        <v>1</v>
      </c>
      <c r="AK115" s="96">
        <f t="shared" si="30"/>
        <v>0</v>
      </c>
      <c r="AL115" s="97">
        <f t="shared" si="31"/>
        <v>0</v>
      </c>
    </row>
    <row r="116" spans="1:38" x14ac:dyDescent="0.3">
      <c r="A116" s="7" t="s">
        <v>1810</v>
      </c>
      <c r="B116" s="7" t="s">
        <v>194</v>
      </c>
      <c r="C116" s="7" t="s">
        <v>1323</v>
      </c>
      <c r="D116" s="7" t="s">
        <v>1780</v>
      </c>
      <c r="E116" s="7" t="s">
        <v>1695</v>
      </c>
      <c r="F116" s="36">
        <v>44256</v>
      </c>
      <c r="G116" s="36">
        <v>45351</v>
      </c>
      <c r="H116" s="36">
        <v>44805</v>
      </c>
      <c r="I116" s="36">
        <v>44805</v>
      </c>
      <c r="J116" s="7" t="s">
        <v>1696</v>
      </c>
      <c r="K116" s="8">
        <v>0</v>
      </c>
      <c r="L116" s="8">
        <v>0</v>
      </c>
      <c r="M116" s="8">
        <v>3703.676551</v>
      </c>
      <c r="N116" s="8">
        <v>0</v>
      </c>
      <c r="O116" s="8">
        <v>0</v>
      </c>
      <c r="P116" s="8">
        <v>0</v>
      </c>
      <c r="Q116" s="8">
        <v>0</v>
      </c>
      <c r="R116" s="8">
        <f t="shared" si="18"/>
        <v>3703.676551</v>
      </c>
      <c r="S116" s="8">
        <v>0</v>
      </c>
      <c r="T116" s="8">
        <v>0</v>
      </c>
      <c r="U116" s="8">
        <v>3703.68</v>
      </c>
      <c r="V116" s="8">
        <v>0</v>
      </c>
      <c r="W116" s="8">
        <v>0</v>
      </c>
      <c r="X116" s="8">
        <v>0</v>
      </c>
      <c r="Y116" s="8">
        <v>0</v>
      </c>
      <c r="Z116" s="8">
        <v>-8158.9669190000004</v>
      </c>
      <c r="AA116" s="7">
        <v>0</v>
      </c>
      <c r="AB116" s="8">
        <v>0</v>
      </c>
      <c r="AC116" s="7">
        <v>3</v>
      </c>
      <c r="AD116" s="7" t="s">
        <v>1226</v>
      </c>
      <c r="AE116" s="8">
        <v>0</v>
      </c>
      <c r="AF116" s="8">
        <v>0</v>
      </c>
      <c r="AG116" s="8">
        <v>0</v>
      </c>
      <c r="AH116" s="8">
        <v>0</v>
      </c>
      <c r="AI116" s="7" t="s">
        <v>1730</v>
      </c>
      <c r="AJ116" s="7">
        <f t="shared" ca="1" si="19"/>
        <v>1</v>
      </c>
      <c r="AK116" s="96">
        <f t="shared" si="30"/>
        <v>0</v>
      </c>
      <c r="AL116" s="97">
        <f t="shared" si="31"/>
        <v>0</v>
      </c>
    </row>
    <row r="117" spans="1:38" x14ac:dyDescent="0.3">
      <c r="A117" s="7" t="s">
        <v>1811</v>
      </c>
      <c r="B117" s="7" t="s">
        <v>194</v>
      </c>
      <c r="C117" s="7" t="s">
        <v>1323</v>
      </c>
      <c r="D117" s="7" t="s">
        <v>1780</v>
      </c>
      <c r="E117" s="7" t="s">
        <v>1322</v>
      </c>
      <c r="F117" s="36">
        <v>44805</v>
      </c>
      <c r="G117" s="36">
        <v>45900</v>
      </c>
      <c r="H117" s="36">
        <v>45900</v>
      </c>
      <c r="I117" s="36">
        <v>45900</v>
      </c>
      <c r="J117" s="7" t="s">
        <v>1696</v>
      </c>
      <c r="K117" s="8">
        <v>0</v>
      </c>
      <c r="L117" s="8">
        <v>0</v>
      </c>
      <c r="M117" s="8">
        <v>1851.8400710000001</v>
      </c>
      <c r="N117" s="8">
        <v>0</v>
      </c>
      <c r="O117" s="8">
        <v>0</v>
      </c>
      <c r="P117" s="8">
        <v>0</v>
      </c>
      <c r="Q117" s="8">
        <v>0</v>
      </c>
      <c r="R117" s="8">
        <f t="shared" si="18"/>
        <v>1851.8400710000001</v>
      </c>
      <c r="S117" s="8">
        <v>0</v>
      </c>
      <c r="T117" s="8">
        <v>0</v>
      </c>
      <c r="U117" s="8">
        <v>1851.84</v>
      </c>
      <c r="V117" s="8">
        <v>0</v>
      </c>
      <c r="W117" s="8">
        <v>0</v>
      </c>
      <c r="X117" s="8">
        <v>0</v>
      </c>
      <c r="Y117" s="8">
        <v>0</v>
      </c>
      <c r="Z117" s="8">
        <v>15959.356777000001</v>
      </c>
      <c r="AA117" s="7">
        <v>2.6684929999999998</v>
      </c>
      <c r="AB117" s="8">
        <v>14256.106847999999</v>
      </c>
      <c r="AC117" s="7">
        <v>3</v>
      </c>
      <c r="AD117" s="7" t="s">
        <v>1226</v>
      </c>
      <c r="AE117" s="8">
        <v>14814.72</v>
      </c>
      <c r="AF117" s="8">
        <v>0</v>
      </c>
      <c r="AG117" s="8">
        <v>14814.72</v>
      </c>
      <c r="AH117" s="8">
        <v>0</v>
      </c>
      <c r="AI117" s="7" t="s">
        <v>1730</v>
      </c>
      <c r="AJ117" s="7">
        <f t="shared" ca="1" si="19"/>
        <v>1</v>
      </c>
      <c r="AK117" s="96">
        <f t="shared" si="30"/>
        <v>3.3341203671836305E-5</v>
      </c>
      <c r="AL117" s="97">
        <f t="shared" si="31"/>
        <v>3.8029128962777927E-5</v>
      </c>
    </row>
    <row r="118" spans="1:38" x14ac:dyDescent="0.3">
      <c r="A118" s="7" t="s">
        <v>1812</v>
      </c>
      <c r="B118" s="7" t="s">
        <v>194</v>
      </c>
      <c r="C118" s="7" t="s">
        <v>1323</v>
      </c>
      <c r="D118" s="7" t="s">
        <v>1780</v>
      </c>
      <c r="E118" s="7" t="s">
        <v>1322</v>
      </c>
      <c r="F118" s="36">
        <v>44256</v>
      </c>
      <c r="G118" s="36">
        <v>45351</v>
      </c>
      <c r="H118" s="36">
        <v>45351</v>
      </c>
      <c r="I118" s="36">
        <v>45351</v>
      </c>
      <c r="J118" s="7" t="s">
        <v>1696</v>
      </c>
      <c r="K118" s="8">
        <v>0</v>
      </c>
      <c r="L118" s="8">
        <v>0</v>
      </c>
      <c r="M118" s="8">
        <v>5407.3728000000001</v>
      </c>
      <c r="N118" s="8">
        <v>0</v>
      </c>
      <c r="O118" s="8">
        <v>0</v>
      </c>
      <c r="P118" s="8">
        <v>0</v>
      </c>
      <c r="Q118" s="8">
        <v>0</v>
      </c>
      <c r="R118" s="8">
        <f t="shared" si="18"/>
        <v>5407.3728000000001</v>
      </c>
      <c r="S118" s="8">
        <v>0</v>
      </c>
      <c r="T118" s="8">
        <v>0</v>
      </c>
      <c r="U118" s="8">
        <v>5407.3728000000001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7">
        <v>1.1643840000000001</v>
      </c>
      <c r="AB118" s="8">
        <v>6207.3555560000004</v>
      </c>
      <c r="AC118" s="7">
        <v>3</v>
      </c>
      <c r="AD118" s="7" t="s">
        <v>1226</v>
      </c>
      <c r="AE118" s="8">
        <v>6308.6016</v>
      </c>
      <c r="AF118" s="8">
        <v>0</v>
      </c>
      <c r="AG118" s="8">
        <v>6308.6016</v>
      </c>
      <c r="AH118" s="8">
        <v>0</v>
      </c>
      <c r="AI118" s="7" t="s">
        <v>1730</v>
      </c>
      <c r="AJ118" s="7">
        <f t="shared" ca="1" si="19"/>
        <v>1</v>
      </c>
      <c r="AK118" s="96">
        <f t="shared" si="30"/>
        <v>6.3345696607186557E-6</v>
      </c>
      <c r="AL118" s="97">
        <f t="shared" si="31"/>
        <v>1.6194070749982937E-5</v>
      </c>
    </row>
    <row r="119" spans="1:38" x14ac:dyDescent="0.3">
      <c r="A119" s="7" t="s">
        <v>1813</v>
      </c>
      <c r="B119" s="7" t="s">
        <v>194</v>
      </c>
      <c r="C119" s="7" t="s">
        <v>1323</v>
      </c>
      <c r="D119" s="7" t="s">
        <v>1780</v>
      </c>
      <c r="E119" s="7" t="s">
        <v>1750</v>
      </c>
      <c r="F119" s="36">
        <v>44256</v>
      </c>
      <c r="G119" s="36">
        <v>45351</v>
      </c>
      <c r="H119" s="36">
        <v>45016</v>
      </c>
      <c r="I119" s="36">
        <v>45351</v>
      </c>
      <c r="J119" s="7" t="s">
        <v>1696</v>
      </c>
      <c r="K119" s="8">
        <v>0</v>
      </c>
      <c r="L119" s="8">
        <v>0</v>
      </c>
      <c r="M119" s="8">
        <v>4962.96</v>
      </c>
      <c r="N119" s="8">
        <v>0</v>
      </c>
      <c r="O119" s="8">
        <v>0</v>
      </c>
      <c r="P119" s="8">
        <v>0</v>
      </c>
      <c r="Q119" s="8">
        <v>0</v>
      </c>
      <c r="R119" s="8">
        <f t="shared" si="18"/>
        <v>4962.96</v>
      </c>
      <c r="S119" s="8">
        <v>0</v>
      </c>
      <c r="T119" s="8">
        <v>0</v>
      </c>
      <c r="U119" s="8">
        <v>4800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7">
        <v>1.1643840000000001</v>
      </c>
      <c r="AB119" s="8">
        <v>5949.4171120000001</v>
      </c>
      <c r="AC119" s="7">
        <v>3</v>
      </c>
      <c r="AD119" s="7" t="s">
        <v>1697</v>
      </c>
      <c r="AE119" s="8">
        <v>6048.14</v>
      </c>
      <c r="AF119" s="8">
        <v>0</v>
      </c>
      <c r="AG119" s="8">
        <v>6048.14</v>
      </c>
      <c r="AH119" s="8">
        <v>0</v>
      </c>
      <c r="AI119" s="7" t="s">
        <v>1730</v>
      </c>
      <c r="AJ119" s="7">
        <f t="shared" ca="1" si="19"/>
        <v>1</v>
      </c>
      <c r="AK119" s="96">
        <f t="shared" si="30"/>
        <v>6.0713450029791728E-6</v>
      </c>
      <c r="AL119" s="97">
        <f t="shared" si="31"/>
        <v>1.5525470346043378E-5</v>
      </c>
    </row>
    <row r="120" spans="1:38" x14ac:dyDescent="0.3">
      <c r="A120" s="7" t="s">
        <v>1814</v>
      </c>
      <c r="B120" s="7" t="s">
        <v>1735</v>
      </c>
      <c r="C120" s="7" t="s">
        <v>1805</v>
      </c>
      <c r="D120" s="7" t="s">
        <v>1780</v>
      </c>
      <c r="E120" s="7" t="s">
        <v>1322</v>
      </c>
      <c r="F120" s="36">
        <v>44286</v>
      </c>
      <c r="G120" s="36">
        <v>45381</v>
      </c>
      <c r="H120" s="36">
        <v>45381</v>
      </c>
      <c r="I120" s="36">
        <v>45381</v>
      </c>
      <c r="J120" s="7" t="s">
        <v>1696</v>
      </c>
      <c r="K120" s="8">
        <v>0</v>
      </c>
      <c r="L120" s="8">
        <v>0</v>
      </c>
      <c r="M120" s="8">
        <v>10415.16</v>
      </c>
      <c r="N120" s="8">
        <v>0</v>
      </c>
      <c r="O120" s="8">
        <v>0</v>
      </c>
      <c r="P120" s="8">
        <v>0</v>
      </c>
      <c r="Q120" s="8">
        <v>0</v>
      </c>
      <c r="R120" s="8">
        <f t="shared" si="18"/>
        <v>10415.16</v>
      </c>
      <c r="S120" s="8">
        <v>0</v>
      </c>
      <c r="T120" s="8">
        <v>0</v>
      </c>
      <c r="U120" s="8">
        <v>10415.16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7">
        <v>1.246575</v>
      </c>
      <c r="AB120" s="8">
        <v>11927.155932</v>
      </c>
      <c r="AC120" s="7">
        <v>3</v>
      </c>
      <c r="AD120" s="7" t="s">
        <v>1226</v>
      </c>
      <c r="AE120" s="8">
        <v>12151.02</v>
      </c>
      <c r="AF120" s="8">
        <v>0</v>
      </c>
      <c r="AG120" s="8">
        <v>12151.02</v>
      </c>
      <c r="AH120" s="8">
        <v>0</v>
      </c>
      <c r="AI120" s="7" t="s">
        <v>1730</v>
      </c>
      <c r="AJ120" s="7">
        <f t="shared" ca="1" si="19"/>
        <v>1</v>
      </c>
      <c r="AK120" s="96">
        <f t="shared" si="30"/>
        <v>1.3030754866016033E-5</v>
      </c>
      <c r="AL120" s="97">
        <f t="shared" si="31"/>
        <v>3.1191457321454198E-5</v>
      </c>
    </row>
    <row r="121" spans="1:38" x14ac:dyDescent="0.3">
      <c r="A121" s="7" t="s">
        <v>1815</v>
      </c>
      <c r="B121" s="7" t="s">
        <v>1320</v>
      </c>
      <c r="C121" s="7" t="s">
        <v>1756</v>
      </c>
      <c r="D121" s="7" t="s">
        <v>1780</v>
      </c>
      <c r="E121" s="7" t="s">
        <v>1773</v>
      </c>
      <c r="F121" s="36">
        <v>44713</v>
      </c>
      <c r="G121" s="36">
        <v>45808</v>
      </c>
      <c r="H121" s="36">
        <v>45808</v>
      </c>
      <c r="I121" s="36">
        <v>45808</v>
      </c>
      <c r="J121" s="7" t="s">
        <v>1696</v>
      </c>
      <c r="K121" s="8">
        <v>0</v>
      </c>
      <c r="L121" s="8">
        <v>0</v>
      </c>
      <c r="M121" s="8">
        <v>3499.9999269999998</v>
      </c>
      <c r="N121" s="8">
        <v>0</v>
      </c>
      <c r="O121" s="8">
        <v>0</v>
      </c>
      <c r="P121" s="8">
        <v>0</v>
      </c>
      <c r="Q121" s="8">
        <v>0</v>
      </c>
      <c r="R121" s="8">
        <f t="shared" si="18"/>
        <v>3499.9999269999998</v>
      </c>
      <c r="S121" s="8">
        <v>0</v>
      </c>
      <c r="T121" s="8">
        <v>0</v>
      </c>
      <c r="U121" s="8">
        <v>3500</v>
      </c>
      <c r="V121" s="8">
        <v>0</v>
      </c>
      <c r="W121" s="8">
        <v>0</v>
      </c>
      <c r="X121" s="8">
        <v>0</v>
      </c>
      <c r="Y121" s="8">
        <v>17236.215630999999</v>
      </c>
      <c r="Z121" s="8">
        <v>0</v>
      </c>
      <c r="AA121" s="7">
        <v>2.4164379999999999</v>
      </c>
      <c r="AB121" s="8">
        <v>14004.945557999999</v>
      </c>
      <c r="AC121" s="7">
        <v>3</v>
      </c>
      <c r="AD121" s="7" t="s">
        <v>1226</v>
      </c>
      <c r="AE121" s="8">
        <v>14500</v>
      </c>
      <c r="AF121" s="8">
        <v>0</v>
      </c>
      <c r="AG121" s="8">
        <v>14500</v>
      </c>
      <c r="AH121" s="8">
        <v>0</v>
      </c>
      <c r="AI121" s="7" t="s">
        <v>1730</v>
      </c>
      <c r="AJ121" s="7">
        <f t="shared" ca="1" si="19"/>
        <v>1</v>
      </c>
      <c r="AK121" s="96">
        <f t="shared" si="30"/>
        <v>2.9660013645516145E-5</v>
      </c>
      <c r="AL121" s="97">
        <f t="shared" si="31"/>
        <v>3.7221248188307303E-5</v>
      </c>
    </row>
    <row r="122" spans="1:38" x14ac:dyDescent="0.3">
      <c r="A122" s="7" t="s">
        <v>1816</v>
      </c>
      <c r="B122" s="7" t="s">
        <v>1735</v>
      </c>
      <c r="C122" s="7" t="s">
        <v>1323</v>
      </c>
      <c r="D122" s="7" t="s">
        <v>1780</v>
      </c>
      <c r="E122" s="7" t="s">
        <v>1322</v>
      </c>
      <c r="F122" s="36">
        <v>44393</v>
      </c>
      <c r="G122" s="36">
        <v>45122</v>
      </c>
      <c r="H122" s="36">
        <v>45122</v>
      </c>
      <c r="I122" s="36">
        <v>45122</v>
      </c>
      <c r="J122" s="7" t="s">
        <v>1696</v>
      </c>
      <c r="K122" s="8">
        <v>0</v>
      </c>
      <c r="L122" s="8">
        <v>0</v>
      </c>
      <c r="M122" s="8">
        <v>5185.2</v>
      </c>
      <c r="N122" s="8">
        <v>0</v>
      </c>
      <c r="O122" s="8">
        <v>0</v>
      </c>
      <c r="P122" s="8">
        <v>0</v>
      </c>
      <c r="Q122" s="8">
        <v>0</v>
      </c>
      <c r="R122" s="8">
        <f t="shared" si="18"/>
        <v>5185.2</v>
      </c>
      <c r="S122" s="8">
        <v>0</v>
      </c>
      <c r="T122" s="8">
        <v>0</v>
      </c>
      <c r="U122" s="8">
        <v>5185.2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7">
        <v>0.53698599999999996</v>
      </c>
      <c r="AB122" s="8">
        <v>2577.9207110000002</v>
      </c>
      <c r="AC122" s="7">
        <v>2.2879999999999998</v>
      </c>
      <c r="AD122" s="7" t="s">
        <v>1226</v>
      </c>
      <c r="AE122" s="8">
        <v>2592.6</v>
      </c>
      <c r="AF122" s="8">
        <v>0</v>
      </c>
      <c r="AG122" s="8">
        <v>2592.6</v>
      </c>
      <c r="AH122" s="8">
        <v>0</v>
      </c>
      <c r="AI122" s="7" t="s">
        <v>1730</v>
      </c>
      <c r="AJ122" s="7">
        <f t="shared" ca="1" si="19"/>
        <v>1</v>
      </c>
      <c r="AK122" s="96">
        <f t="shared" si="30"/>
        <v>1.2132401769799722E-6</v>
      </c>
      <c r="AL122" s="97">
        <f t="shared" si="31"/>
        <v>5.0756680649488875E-6</v>
      </c>
    </row>
    <row r="123" spans="1:38" x14ac:dyDescent="0.3">
      <c r="A123" s="7" t="s">
        <v>1817</v>
      </c>
      <c r="B123" s="7" t="s">
        <v>1735</v>
      </c>
      <c r="C123" s="7" t="s">
        <v>1756</v>
      </c>
      <c r="D123" s="7" t="s">
        <v>1780</v>
      </c>
      <c r="E123" s="7" t="s">
        <v>1322</v>
      </c>
      <c r="F123" s="36">
        <v>44298</v>
      </c>
      <c r="G123" s="36">
        <v>45393</v>
      </c>
      <c r="H123" s="36">
        <v>45393</v>
      </c>
      <c r="I123" s="36">
        <v>45393</v>
      </c>
      <c r="J123" s="7" t="s">
        <v>1696</v>
      </c>
      <c r="K123" s="8">
        <v>0</v>
      </c>
      <c r="L123" s="8">
        <v>0</v>
      </c>
      <c r="M123" s="8">
        <v>622.40158799999995</v>
      </c>
      <c r="N123" s="8">
        <v>0</v>
      </c>
      <c r="O123" s="8">
        <v>0</v>
      </c>
      <c r="P123" s="8">
        <v>0</v>
      </c>
      <c r="Q123" s="8">
        <v>0</v>
      </c>
      <c r="R123" s="8">
        <f t="shared" si="18"/>
        <v>622.40158799999995</v>
      </c>
      <c r="S123" s="8">
        <v>0</v>
      </c>
      <c r="T123" s="8">
        <v>0</v>
      </c>
      <c r="U123" s="8">
        <v>622.21824000000004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7">
        <v>1.279452</v>
      </c>
      <c r="AB123" s="8">
        <v>763.664985</v>
      </c>
      <c r="AC123" s="7">
        <v>3</v>
      </c>
      <c r="AD123" s="7" t="s">
        <v>1226</v>
      </c>
      <c r="AE123" s="8">
        <v>777.77279999999996</v>
      </c>
      <c r="AF123" s="8">
        <v>0</v>
      </c>
      <c r="AG123" s="8">
        <v>777.77279999999996</v>
      </c>
      <c r="AH123" s="8">
        <v>0</v>
      </c>
      <c r="AI123" s="7" t="s">
        <v>1781</v>
      </c>
      <c r="AJ123" s="7">
        <f t="shared" ca="1" si="19"/>
        <v>1</v>
      </c>
      <c r="AK123" s="96">
        <f t="shared" si="30"/>
        <v>8.5632996355663873E-7</v>
      </c>
      <c r="AL123" s="97">
        <f t="shared" si="31"/>
        <v>1.9965292705458411E-6</v>
      </c>
    </row>
    <row r="124" spans="1:38" x14ac:dyDescent="0.3">
      <c r="A124" s="7" t="s">
        <v>1818</v>
      </c>
      <c r="B124" s="7" t="s">
        <v>1735</v>
      </c>
      <c r="C124" s="7" t="s">
        <v>1756</v>
      </c>
      <c r="D124" s="7" t="s">
        <v>1780</v>
      </c>
      <c r="E124" s="7" t="s">
        <v>1322</v>
      </c>
      <c r="F124" s="36">
        <v>44298</v>
      </c>
      <c r="G124" s="36">
        <v>45393</v>
      </c>
      <c r="H124" s="36">
        <v>45393</v>
      </c>
      <c r="I124" s="36">
        <v>45393</v>
      </c>
      <c r="J124" s="7" t="s">
        <v>1696</v>
      </c>
      <c r="K124" s="8">
        <v>0</v>
      </c>
      <c r="L124" s="8">
        <v>0</v>
      </c>
      <c r="M124" s="8">
        <v>587.93695200000002</v>
      </c>
      <c r="N124" s="8">
        <v>0</v>
      </c>
      <c r="O124" s="8">
        <v>0</v>
      </c>
      <c r="P124" s="8">
        <v>0</v>
      </c>
      <c r="Q124" s="8">
        <v>0</v>
      </c>
      <c r="R124" s="8">
        <f t="shared" si="18"/>
        <v>587.93695200000002</v>
      </c>
      <c r="S124" s="8">
        <v>0</v>
      </c>
      <c r="T124" s="8">
        <v>0</v>
      </c>
      <c r="U124" s="8">
        <v>577.77408000000003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7">
        <v>1.279452</v>
      </c>
      <c r="AB124" s="8">
        <v>709.11749399999997</v>
      </c>
      <c r="AC124" s="7">
        <v>3</v>
      </c>
      <c r="AD124" s="7" t="s">
        <v>1226</v>
      </c>
      <c r="AE124" s="8">
        <v>722.21759999999995</v>
      </c>
      <c r="AF124" s="8">
        <v>0</v>
      </c>
      <c r="AG124" s="8">
        <v>722.21759999999995</v>
      </c>
      <c r="AH124" s="8">
        <v>0</v>
      </c>
      <c r="AI124" s="7" t="s">
        <v>1781</v>
      </c>
      <c r="AJ124" s="7">
        <f t="shared" ca="1" si="19"/>
        <v>1</v>
      </c>
      <c r="AK124" s="96">
        <f t="shared" si="30"/>
        <v>7.95163546478951E-7</v>
      </c>
      <c r="AL124" s="97">
        <f t="shared" si="31"/>
        <v>1.853920036935424E-6</v>
      </c>
    </row>
    <row r="125" spans="1:38" x14ac:dyDescent="0.3">
      <c r="A125" s="7" t="s">
        <v>1819</v>
      </c>
      <c r="B125" s="7" t="s">
        <v>1735</v>
      </c>
      <c r="C125" s="7" t="s">
        <v>1756</v>
      </c>
      <c r="D125" s="7" t="s">
        <v>1780</v>
      </c>
      <c r="E125" s="7" t="s">
        <v>1322</v>
      </c>
      <c r="F125" s="36">
        <v>44298</v>
      </c>
      <c r="G125" s="36">
        <v>45027</v>
      </c>
      <c r="H125" s="36">
        <v>45027</v>
      </c>
      <c r="I125" s="36">
        <v>45027</v>
      </c>
      <c r="J125" s="7" t="s">
        <v>1696</v>
      </c>
      <c r="K125" s="8">
        <v>0</v>
      </c>
      <c r="L125" s="8">
        <v>0</v>
      </c>
      <c r="M125" s="8">
        <v>547.40624400000002</v>
      </c>
      <c r="N125" s="8">
        <v>0</v>
      </c>
      <c r="O125" s="8">
        <v>0</v>
      </c>
      <c r="P125" s="8">
        <v>0</v>
      </c>
      <c r="Q125" s="8">
        <v>0</v>
      </c>
      <c r="R125" s="8">
        <f t="shared" si="18"/>
        <v>547.40624400000002</v>
      </c>
      <c r="S125" s="8">
        <v>0</v>
      </c>
      <c r="T125" s="8">
        <v>0</v>
      </c>
      <c r="U125" s="8">
        <v>533.32992000000002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7">
        <v>0.27671200000000001</v>
      </c>
      <c r="AB125" s="8">
        <v>132.989046</v>
      </c>
      <c r="AC125" s="7">
        <v>2.2879999999999998</v>
      </c>
      <c r="AD125" s="7" t="s">
        <v>1226</v>
      </c>
      <c r="AE125" s="8">
        <v>133.33248</v>
      </c>
      <c r="AF125" s="8">
        <v>0</v>
      </c>
      <c r="AG125" s="8">
        <v>133.33248</v>
      </c>
      <c r="AH125" s="8">
        <v>0</v>
      </c>
      <c r="AI125" s="7" t="s">
        <v>1781</v>
      </c>
      <c r="AJ125" s="7">
        <f t="shared" ca="1" si="19"/>
        <v>1</v>
      </c>
      <c r="AK125" s="96">
        <f t="shared" si="30"/>
        <v>3.2252109741095127E-8</v>
      </c>
      <c r="AL125" s="97">
        <f t="shared" si="31"/>
        <v>2.6103194120050774E-7</v>
      </c>
    </row>
    <row r="126" spans="1:38" x14ac:dyDescent="0.3">
      <c r="A126" s="7" t="s">
        <v>1820</v>
      </c>
      <c r="B126" s="7" t="s">
        <v>1735</v>
      </c>
      <c r="C126" s="7" t="s">
        <v>1756</v>
      </c>
      <c r="D126" s="7" t="s">
        <v>1780</v>
      </c>
      <c r="E126" s="7" t="s">
        <v>1322</v>
      </c>
      <c r="F126" s="36">
        <v>44298</v>
      </c>
      <c r="G126" s="36">
        <v>45758</v>
      </c>
      <c r="H126" s="36">
        <v>45758</v>
      </c>
      <c r="I126" s="36">
        <v>45758</v>
      </c>
      <c r="J126" s="7" t="s">
        <v>1239</v>
      </c>
      <c r="K126" s="8">
        <v>425.44450799999998</v>
      </c>
      <c r="L126" s="8">
        <v>23.185562999999998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f t="shared" si="18"/>
        <v>448.63007099999999</v>
      </c>
      <c r="S126" s="8">
        <v>0</v>
      </c>
      <c r="T126" s="8">
        <v>23.628543000000001</v>
      </c>
      <c r="U126" s="8">
        <v>0</v>
      </c>
      <c r="V126" s="8">
        <v>411.97145699999999</v>
      </c>
      <c r="W126" s="8">
        <v>0</v>
      </c>
      <c r="X126" s="8">
        <v>0</v>
      </c>
      <c r="Y126" s="8">
        <v>0</v>
      </c>
      <c r="Z126" s="8">
        <v>0</v>
      </c>
      <c r="AA126" s="7">
        <v>2.279452</v>
      </c>
      <c r="AB126" s="8">
        <v>957.59488199999998</v>
      </c>
      <c r="AC126" s="7">
        <v>2</v>
      </c>
      <c r="AD126" s="7" t="s">
        <v>1226</v>
      </c>
      <c r="AE126" s="8">
        <v>980.1</v>
      </c>
      <c r="AF126" s="8">
        <v>0</v>
      </c>
      <c r="AG126" s="8">
        <v>980.1</v>
      </c>
      <c r="AH126" s="8">
        <v>0</v>
      </c>
      <c r="AI126" s="7" t="s">
        <v>1781</v>
      </c>
      <c r="AJ126" s="7">
        <f t="shared" ca="1" si="19"/>
        <v>1</v>
      </c>
      <c r="AK126" s="96">
        <f t="shared" si="22"/>
        <v>1.4622609061300414E-5</v>
      </c>
      <c r="AL126" s="97">
        <f t="shared" si="23"/>
        <v>1.2461059744309868E-5</v>
      </c>
    </row>
    <row r="127" spans="1:38" x14ac:dyDescent="0.3">
      <c r="A127" s="7" t="s">
        <v>1821</v>
      </c>
      <c r="B127" s="7" t="s">
        <v>1320</v>
      </c>
      <c r="C127" s="7" t="s">
        <v>1323</v>
      </c>
      <c r="D127" s="7" t="s">
        <v>1780</v>
      </c>
      <c r="E127" s="7" t="s">
        <v>1322</v>
      </c>
      <c r="F127" s="36">
        <v>44440</v>
      </c>
      <c r="G127" s="36">
        <v>46265</v>
      </c>
      <c r="H127" s="36">
        <v>46265</v>
      </c>
      <c r="I127" s="36">
        <v>46265</v>
      </c>
      <c r="J127" s="7" t="s">
        <v>1696</v>
      </c>
      <c r="K127" s="8">
        <v>0</v>
      </c>
      <c r="L127" s="8">
        <v>0</v>
      </c>
      <c r="M127" s="8">
        <v>69924.728507000007</v>
      </c>
      <c r="N127" s="8">
        <v>0</v>
      </c>
      <c r="O127" s="8">
        <v>0</v>
      </c>
      <c r="P127" s="8">
        <v>0</v>
      </c>
      <c r="Q127" s="8">
        <v>0</v>
      </c>
      <c r="R127" s="8">
        <f t="shared" si="18"/>
        <v>69924.728507000007</v>
      </c>
      <c r="S127" s="8">
        <v>0</v>
      </c>
      <c r="T127" s="8">
        <v>0</v>
      </c>
      <c r="U127" s="8">
        <v>74074.080000000002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7">
        <v>3.6684929999999998</v>
      </c>
      <c r="AB127" s="8">
        <v>267885.33224199997</v>
      </c>
      <c r="AC127" s="7">
        <v>2.181667</v>
      </c>
      <c r="AD127" s="7" t="s">
        <v>1226</v>
      </c>
      <c r="AE127" s="8">
        <v>278582.71999999997</v>
      </c>
      <c r="AF127" s="8">
        <v>0</v>
      </c>
      <c r="AG127" s="8">
        <v>278582.71999999997</v>
      </c>
      <c r="AH127" s="8">
        <v>0</v>
      </c>
      <c r="AI127" s="7" t="s">
        <v>1758</v>
      </c>
      <c r="AJ127" s="7">
        <f t="shared" ca="1" si="19"/>
        <v>1</v>
      </c>
      <c r="AK127" s="96">
        <f t="shared" ref="AK127:AK156" si="32">(+AA127*AB127)/$AB$1102</f>
        <v>8.6129295440860309E-4</v>
      </c>
      <c r="AL127" s="97">
        <f t="shared" ref="AL127:AL156" si="33">AC127/$AE$1102*AE127</f>
        <v>5.2004905646053608E-4</v>
      </c>
    </row>
    <row r="128" spans="1:38" x14ac:dyDescent="0.3">
      <c r="A128" s="7" t="s">
        <v>1822</v>
      </c>
      <c r="B128" s="7" t="s">
        <v>1735</v>
      </c>
      <c r="C128" s="7" t="s">
        <v>1323</v>
      </c>
      <c r="D128" s="7" t="s">
        <v>1780</v>
      </c>
      <c r="E128" s="7" t="s">
        <v>1322</v>
      </c>
      <c r="F128" s="36">
        <v>44287</v>
      </c>
      <c r="G128" s="36">
        <v>46112</v>
      </c>
      <c r="H128" s="36">
        <v>46112</v>
      </c>
      <c r="I128" s="36">
        <v>46112</v>
      </c>
      <c r="J128" s="7" t="s">
        <v>1696</v>
      </c>
      <c r="K128" s="8">
        <v>0</v>
      </c>
      <c r="L128" s="8">
        <v>0</v>
      </c>
      <c r="M128" s="8">
        <v>75469.631999999998</v>
      </c>
      <c r="N128" s="8">
        <v>0</v>
      </c>
      <c r="O128" s="8">
        <v>0</v>
      </c>
      <c r="P128" s="8">
        <v>0</v>
      </c>
      <c r="Q128" s="8">
        <v>0</v>
      </c>
      <c r="R128" s="8">
        <f t="shared" si="18"/>
        <v>75469.631999999998</v>
      </c>
      <c r="S128" s="8">
        <v>0</v>
      </c>
      <c r="T128" s="8">
        <v>0</v>
      </c>
      <c r="U128" s="8">
        <v>74074.080000000002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7">
        <v>3.2493150000000002</v>
      </c>
      <c r="AB128" s="8">
        <v>239296.408157</v>
      </c>
      <c r="AC128" s="7">
        <v>2.181667</v>
      </c>
      <c r="AD128" s="7" t="s">
        <v>1226</v>
      </c>
      <c r="AE128" s="8">
        <v>247718.52</v>
      </c>
      <c r="AF128" s="8">
        <v>0</v>
      </c>
      <c r="AG128" s="8">
        <v>247718.52</v>
      </c>
      <c r="AH128" s="8">
        <v>0</v>
      </c>
      <c r="AI128" s="7" t="s">
        <v>1758</v>
      </c>
      <c r="AJ128" s="7">
        <f t="shared" ca="1" si="19"/>
        <v>1</v>
      </c>
      <c r="AK128" s="96">
        <f t="shared" si="32"/>
        <v>6.8146296770579568E-4</v>
      </c>
      <c r="AL128" s="97">
        <f t="shared" si="33"/>
        <v>4.6243278331764597E-4</v>
      </c>
    </row>
    <row r="129" spans="1:38" x14ac:dyDescent="0.3">
      <c r="A129" s="7" t="s">
        <v>1823</v>
      </c>
      <c r="B129" s="7" t="s">
        <v>1320</v>
      </c>
      <c r="C129" s="7" t="s">
        <v>1323</v>
      </c>
      <c r="D129" s="7" t="s">
        <v>1324</v>
      </c>
      <c r="E129" s="7" t="s">
        <v>1322</v>
      </c>
      <c r="F129" s="36">
        <v>44075</v>
      </c>
      <c r="G129" s="36">
        <v>46265</v>
      </c>
      <c r="H129" s="36">
        <v>46265</v>
      </c>
      <c r="I129" s="36">
        <v>46265</v>
      </c>
      <c r="J129" s="7" t="s">
        <v>1696</v>
      </c>
      <c r="K129" s="8">
        <v>0</v>
      </c>
      <c r="L129" s="8">
        <v>0</v>
      </c>
      <c r="M129" s="8">
        <v>42312.325796999998</v>
      </c>
      <c r="N129" s="8">
        <v>0</v>
      </c>
      <c r="O129" s="8">
        <v>0</v>
      </c>
      <c r="P129" s="8">
        <v>0</v>
      </c>
      <c r="Q129" s="8">
        <v>0</v>
      </c>
      <c r="R129" s="8">
        <f t="shared" si="18"/>
        <v>42312.325796999998</v>
      </c>
      <c r="S129" s="8">
        <v>0</v>
      </c>
      <c r="T129" s="8">
        <v>0</v>
      </c>
      <c r="U129" s="8">
        <v>42900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7">
        <v>3.6684929999999998</v>
      </c>
      <c r="AB129" s="8">
        <v>150951.47224100001</v>
      </c>
      <c r="AC129" s="7">
        <v>2.318333</v>
      </c>
      <c r="AD129" s="7" t="s">
        <v>1226</v>
      </c>
      <c r="AE129" s="8">
        <v>157300</v>
      </c>
      <c r="AF129" s="8">
        <v>0</v>
      </c>
      <c r="AG129" s="8">
        <v>157300</v>
      </c>
      <c r="AH129" s="8">
        <v>0</v>
      </c>
      <c r="AI129" s="7" t="s">
        <v>1758</v>
      </c>
      <c r="AJ129" s="7">
        <f t="shared" ca="1" si="19"/>
        <v>1</v>
      </c>
      <c r="AK129" s="96">
        <f t="shared" si="32"/>
        <v>4.8533243089744353E-4</v>
      </c>
      <c r="AL129" s="97">
        <f t="shared" si="33"/>
        <v>3.1203708750913333E-4</v>
      </c>
    </row>
    <row r="130" spans="1:38" x14ac:dyDescent="0.3">
      <c r="A130" s="7" t="s">
        <v>1824</v>
      </c>
      <c r="B130" s="7" t="s">
        <v>1320</v>
      </c>
      <c r="C130" s="7" t="s">
        <v>1323</v>
      </c>
      <c r="D130" s="7" t="s">
        <v>1324</v>
      </c>
      <c r="E130" s="7" t="s">
        <v>1322</v>
      </c>
      <c r="F130" s="36">
        <v>44075</v>
      </c>
      <c r="G130" s="36">
        <v>46265</v>
      </c>
      <c r="H130" s="36">
        <v>46265</v>
      </c>
      <c r="I130" s="36">
        <v>46265</v>
      </c>
      <c r="J130" s="7" t="s">
        <v>1696</v>
      </c>
      <c r="K130" s="8">
        <v>0</v>
      </c>
      <c r="L130" s="8">
        <v>0</v>
      </c>
      <c r="M130" s="8">
        <v>42312.325796999998</v>
      </c>
      <c r="N130" s="8">
        <v>0</v>
      </c>
      <c r="O130" s="8">
        <v>0</v>
      </c>
      <c r="P130" s="8">
        <v>0</v>
      </c>
      <c r="Q130" s="8">
        <v>0</v>
      </c>
      <c r="R130" s="8">
        <f t="shared" si="18"/>
        <v>42312.325796999998</v>
      </c>
      <c r="S130" s="8">
        <v>0</v>
      </c>
      <c r="T130" s="8">
        <v>0</v>
      </c>
      <c r="U130" s="8">
        <v>42900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7">
        <v>3.6684929999999998</v>
      </c>
      <c r="AB130" s="8">
        <v>150951.47224100001</v>
      </c>
      <c r="AC130" s="7">
        <v>2.318333</v>
      </c>
      <c r="AD130" s="7" t="s">
        <v>1226</v>
      </c>
      <c r="AE130" s="8">
        <v>157300</v>
      </c>
      <c r="AF130" s="8">
        <v>0</v>
      </c>
      <c r="AG130" s="8">
        <v>157300</v>
      </c>
      <c r="AH130" s="8">
        <v>0</v>
      </c>
      <c r="AI130" s="7" t="s">
        <v>1758</v>
      </c>
      <c r="AJ130" s="7">
        <f t="shared" ca="1" si="19"/>
        <v>1</v>
      </c>
      <c r="AK130" s="96">
        <f t="shared" si="32"/>
        <v>4.8533243089744353E-4</v>
      </c>
      <c r="AL130" s="97">
        <f t="shared" si="33"/>
        <v>3.1203708750913333E-4</v>
      </c>
    </row>
    <row r="131" spans="1:38" x14ac:dyDescent="0.3">
      <c r="A131" s="7" t="s">
        <v>1825</v>
      </c>
      <c r="B131" s="7" t="s">
        <v>1320</v>
      </c>
      <c r="C131" s="7" t="s">
        <v>1323</v>
      </c>
      <c r="D131" s="7" t="s">
        <v>1324</v>
      </c>
      <c r="E131" s="7" t="s">
        <v>1322</v>
      </c>
      <c r="F131" s="36">
        <v>44075</v>
      </c>
      <c r="G131" s="36">
        <v>46265</v>
      </c>
      <c r="H131" s="36">
        <v>46265</v>
      </c>
      <c r="I131" s="36">
        <v>46265</v>
      </c>
      <c r="J131" s="7" t="s">
        <v>1696</v>
      </c>
      <c r="K131" s="8">
        <v>0</v>
      </c>
      <c r="L131" s="8">
        <v>0</v>
      </c>
      <c r="M131" s="8">
        <v>42312.325796999998</v>
      </c>
      <c r="N131" s="8">
        <v>0</v>
      </c>
      <c r="O131" s="8">
        <v>0</v>
      </c>
      <c r="P131" s="8">
        <v>0</v>
      </c>
      <c r="Q131" s="8">
        <v>0</v>
      </c>
      <c r="R131" s="8">
        <f t="shared" ref="R131:R194" si="34">K131+L131+M131+N131+O131+P131+Q131</f>
        <v>42312.325796999998</v>
      </c>
      <c r="S131" s="8">
        <v>0</v>
      </c>
      <c r="T131" s="8">
        <v>0</v>
      </c>
      <c r="U131" s="8">
        <v>42900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7">
        <v>3.6684929999999998</v>
      </c>
      <c r="AB131" s="8">
        <v>150951.47224100001</v>
      </c>
      <c r="AC131" s="7">
        <v>2.318333</v>
      </c>
      <c r="AD131" s="7" t="s">
        <v>1226</v>
      </c>
      <c r="AE131" s="8">
        <v>157300</v>
      </c>
      <c r="AF131" s="8">
        <v>0</v>
      </c>
      <c r="AG131" s="8">
        <v>157300</v>
      </c>
      <c r="AH131" s="8">
        <v>0</v>
      </c>
      <c r="AI131" s="7" t="s">
        <v>1758</v>
      </c>
      <c r="AJ131" s="7">
        <f t="shared" ref="AJ131:AJ194" ca="1" si="35">IF(A131=OFFSET(A131,-1,0),OFFSET(AJ131,-1,0)+1,1)</f>
        <v>1</v>
      </c>
      <c r="AK131" s="96">
        <f t="shared" si="32"/>
        <v>4.8533243089744353E-4</v>
      </c>
      <c r="AL131" s="97">
        <f t="shared" si="33"/>
        <v>3.1203708750913333E-4</v>
      </c>
    </row>
    <row r="132" spans="1:38" x14ac:dyDescent="0.3">
      <c r="A132" s="7" t="s">
        <v>1826</v>
      </c>
      <c r="B132" s="7" t="s">
        <v>194</v>
      </c>
      <c r="C132" s="7" t="s">
        <v>1323</v>
      </c>
      <c r="D132" s="7" t="s">
        <v>1324</v>
      </c>
      <c r="E132" s="7" t="s">
        <v>1750</v>
      </c>
      <c r="F132" s="36">
        <v>43831</v>
      </c>
      <c r="G132" s="36">
        <v>44926</v>
      </c>
      <c r="H132" s="36">
        <v>46387</v>
      </c>
      <c r="I132" s="36">
        <v>46387</v>
      </c>
      <c r="J132" s="7" t="s">
        <v>1696</v>
      </c>
      <c r="K132" s="8">
        <v>0</v>
      </c>
      <c r="L132" s="8">
        <v>0</v>
      </c>
      <c r="M132" s="8">
        <v>179999.997856</v>
      </c>
      <c r="N132" s="8">
        <v>0</v>
      </c>
      <c r="O132" s="8">
        <v>0</v>
      </c>
      <c r="P132" s="8">
        <v>0</v>
      </c>
      <c r="Q132" s="8">
        <v>0</v>
      </c>
      <c r="R132" s="8">
        <f t="shared" si="34"/>
        <v>179999.997856</v>
      </c>
      <c r="S132" s="8">
        <v>0</v>
      </c>
      <c r="T132" s="8">
        <v>0</v>
      </c>
      <c r="U132" s="8">
        <v>180000</v>
      </c>
      <c r="V132" s="8">
        <v>0</v>
      </c>
      <c r="W132" s="8">
        <v>0</v>
      </c>
      <c r="X132" s="8">
        <v>0</v>
      </c>
      <c r="Y132" s="8">
        <v>386320.32653800002</v>
      </c>
      <c r="Z132" s="8">
        <v>0</v>
      </c>
      <c r="AA132" s="7">
        <v>4.0027400000000002</v>
      </c>
      <c r="AB132" s="8">
        <v>228837.40439400001</v>
      </c>
      <c r="AC132" s="7">
        <v>2.4550000000000001</v>
      </c>
      <c r="AD132" s="7" t="s">
        <v>1226</v>
      </c>
      <c r="AE132" s="8">
        <v>240000</v>
      </c>
      <c r="AF132" s="8">
        <v>0</v>
      </c>
      <c r="AG132" s="8">
        <v>240000</v>
      </c>
      <c r="AH132" s="8">
        <v>0</v>
      </c>
      <c r="AI132" s="7" t="s">
        <v>1758</v>
      </c>
      <c r="AJ132" s="7">
        <f t="shared" ca="1" si="35"/>
        <v>1</v>
      </c>
      <c r="AK132" s="96">
        <f t="shared" si="32"/>
        <v>8.0278390959520856E-4</v>
      </c>
      <c r="AL132" s="97">
        <f t="shared" si="33"/>
        <v>5.0415538925403824E-4</v>
      </c>
    </row>
    <row r="133" spans="1:38" x14ac:dyDescent="0.3">
      <c r="A133" s="7" t="s">
        <v>1827</v>
      </c>
      <c r="B133" s="7" t="s">
        <v>194</v>
      </c>
      <c r="C133" s="7" t="s">
        <v>1323</v>
      </c>
      <c r="D133" s="7" t="s">
        <v>1324</v>
      </c>
      <c r="E133" s="7" t="s">
        <v>1750</v>
      </c>
      <c r="F133" s="36">
        <v>43466</v>
      </c>
      <c r="G133" s="36">
        <v>44926</v>
      </c>
      <c r="H133" s="36">
        <v>46022</v>
      </c>
      <c r="I133" s="36">
        <v>46022</v>
      </c>
      <c r="J133" s="7" t="s">
        <v>1696</v>
      </c>
      <c r="K133" s="8">
        <v>0</v>
      </c>
      <c r="L133" s="8">
        <v>0</v>
      </c>
      <c r="M133" s="8">
        <v>277714.29070100002</v>
      </c>
      <c r="N133" s="8">
        <v>0</v>
      </c>
      <c r="O133" s="8">
        <v>0</v>
      </c>
      <c r="P133" s="8">
        <v>0</v>
      </c>
      <c r="Q133" s="8">
        <v>0</v>
      </c>
      <c r="R133" s="8">
        <f t="shared" si="34"/>
        <v>277714.29070100002</v>
      </c>
      <c r="S133" s="8">
        <v>0</v>
      </c>
      <c r="T133" s="8">
        <v>0</v>
      </c>
      <c r="U133" s="8">
        <v>216000</v>
      </c>
      <c r="V133" s="8">
        <v>0</v>
      </c>
      <c r="W133" s="8">
        <v>0</v>
      </c>
      <c r="X133" s="8">
        <v>0</v>
      </c>
      <c r="Y133" s="8">
        <v>442178.04717199999</v>
      </c>
      <c r="Z133" s="8">
        <v>0</v>
      </c>
      <c r="AA133" s="7">
        <v>3.0027400000000002</v>
      </c>
      <c r="AB133" s="8">
        <v>260572.67787300001</v>
      </c>
      <c r="AC133" s="7">
        <v>2.4550000000000001</v>
      </c>
      <c r="AD133" s="7" t="s">
        <v>1226</v>
      </c>
      <c r="AE133" s="8">
        <v>270000</v>
      </c>
      <c r="AF133" s="8">
        <v>0</v>
      </c>
      <c r="AG133" s="8">
        <v>270000</v>
      </c>
      <c r="AH133" s="8">
        <v>0</v>
      </c>
      <c r="AI133" s="7" t="s">
        <v>1758</v>
      </c>
      <c r="AJ133" s="7">
        <f t="shared" ca="1" si="35"/>
        <v>1</v>
      </c>
      <c r="AK133" s="96">
        <f t="shared" si="32"/>
        <v>6.8574219055105175E-4</v>
      </c>
      <c r="AL133" s="97">
        <f t="shared" si="33"/>
        <v>5.6717481291079308E-4</v>
      </c>
    </row>
    <row r="134" spans="1:38" x14ac:dyDescent="0.3">
      <c r="A134" s="7" t="s">
        <v>1828</v>
      </c>
      <c r="B134" s="7" t="s">
        <v>194</v>
      </c>
      <c r="C134" s="7" t="s">
        <v>1323</v>
      </c>
      <c r="D134" s="7" t="s">
        <v>1324</v>
      </c>
      <c r="E134" s="7" t="s">
        <v>1322</v>
      </c>
      <c r="F134" s="36">
        <v>43101</v>
      </c>
      <c r="G134" s="36">
        <v>45657</v>
      </c>
      <c r="H134" s="36">
        <v>45657</v>
      </c>
      <c r="I134" s="36">
        <v>45657</v>
      </c>
      <c r="J134" s="7" t="s">
        <v>1696</v>
      </c>
      <c r="K134" s="8">
        <v>0</v>
      </c>
      <c r="L134" s="8">
        <v>0</v>
      </c>
      <c r="M134" s="8">
        <v>239999.998314</v>
      </c>
      <c r="N134" s="8">
        <v>0</v>
      </c>
      <c r="O134" s="8">
        <v>0</v>
      </c>
      <c r="P134" s="8">
        <v>0</v>
      </c>
      <c r="Q134" s="8">
        <v>0</v>
      </c>
      <c r="R134" s="8">
        <f t="shared" si="34"/>
        <v>239999.998314</v>
      </c>
      <c r="S134" s="8">
        <v>0</v>
      </c>
      <c r="T134" s="8">
        <v>0</v>
      </c>
      <c r="U134" s="8">
        <v>240000</v>
      </c>
      <c r="V134" s="8">
        <v>0</v>
      </c>
      <c r="W134" s="8">
        <v>0</v>
      </c>
      <c r="X134" s="8">
        <v>0</v>
      </c>
      <c r="Y134" s="8">
        <v>309056.26123100001</v>
      </c>
      <c r="Z134" s="8">
        <v>0</v>
      </c>
      <c r="AA134" s="7">
        <v>2.0027400000000002</v>
      </c>
      <c r="AB134" s="8">
        <v>93779.399544999993</v>
      </c>
      <c r="AC134" s="7">
        <v>2.4550000000000001</v>
      </c>
      <c r="AD134" s="7" t="s">
        <v>1226</v>
      </c>
      <c r="AE134" s="8">
        <v>96000</v>
      </c>
      <c r="AF134" s="8">
        <v>0</v>
      </c>
      <c r="AG134" s="8">
        <v>96000</v>
      </c>
      <c r="AH134" s="8">
        <v>0</v>
      </c>
      <c r="AI134" s="7" t="s">
        <v>1758</v>
      </c>
      <c r="AJ134" s="7">
        <f t="shared" ca="1" si="35"/>
        <v>1</v>
      </c>
      <c r="AK134" s="96">
        <f t="shared" si="32"/>
        <v>1.6460623614112914E-4</v>
      </c>
      <c r="AL134" s="97">
        <f t="shared" si="33"/>
        <v>2.0166215570161531E-4</v>
      </c>
    </row>
    <row r="135" spans="1:38" x14ac:dyDescent="0.3">
      <c r="A135" s="7" t="s">
        <v>1829</v>
      </c>
      <c r="B135" s="7" t="s">
        <v>194</v>
      </c>
      <c r="C135" s="7" t="s">
        <v>1323</v>
      </c>
      <c r="D135" s="7" t="s">
        <v>1324</v>
      </c>
      <c r="E135" s="7" t="s">
        <v>1750</v>
      </c>
      <c r="F135" s="36">
        <v>43831</v>
      </c>
      <c r="G135" s="36">
        <v>44926</v>
      </c>
      <c r="H135" s="36">
        <v>46387</v>
      </c>
      <c r="I135" s="36">
        <v>46387</v>
      </c>
      <c r="J135" s="7" t="s">
        <v>1696</v>
      </c>
      <c r="K135" s="8">
        <v>0</v>
      </c>
      <c r="L135" s="8">
        <v>0</v>
      </c>
      <c r="M135" s="8">
        <v>128344.901746</v>
      </c>
      <c r="N135" s="8">
        <v>0</v>
      </c>
      <c r="O135" s="8">
        <v>0</v>
      </c>
      <c r="P135" s="8">
        <v>0</v>
      </c>
      <c r="Q135" s="8">
        <v>0</v>
      </c>
      <c r="R135" s="8">
        <f t="shared" si="34"/>
        <v>128344.901746</v>
      </c>
      <c r="S135" s="8">
        <v>0</v>
      </c>
      <c r="T135" s="8">
        <v>0</v>
      </c>
      <c r="U135" s="8">
        <v>126900</v>
      </c>
      <c r="V135" s="8">
        <v>0</v>
      </c>
      <c r="W135" s="8">
        <v>0</v>
      </c>
      <c r="X135" s="8">
        <v>0</v>
      </c>
      <c r="Y135" s="8">
        <v>272355.83020899998</v>
      </c>
      <c r="Z135" s="8">
        <v>69204.316401999997</v>
      </c>
      <c r="AA135" s="7">
        <v>4.0027400000000002</v>
      </c>
      <c r="AB135" s="8">
        <v>230599.79835699999</v>
      </c>
      <c r="AC135" s="7">
        <v>2.0563889999999998</v>
      </c>
      <c r="AD135" s="7" t="s">
        <v>1697</v>
      </c>
      <c r="AE135" s="8">
        <v>240000</v>
      </c>
      <c r="AF135" s="8">
        <v>0</v>
      </c>
      <c r="AG135" s="8">
        <v>240000</v>
      </c>
      <c r="AH135" s="8">
        <v>0</v>
      </c>
      <c r="AI135" s="7" t="s">
        <v>1758</v>
      </c>
      <c r="AJ135" s="7">
        <f t="shared" ca="1" si="35"/>
        <v>1</v>
      </c>
      <c r="AK135" s="96">
        <f t="shared" si="32"/>
        <v>8.0896655932247142E-4</v>
      </c>
      <c r="AL135" s="97">
        <f t="shared" si="33"/>
        <v>4.222971880866486E-4</v>
      </c>
    </row>
    <row r="136" spans="1:38" x14ac:dyDescent="0.3">
      <c r="A136" s="7" t="s">
        <v>1830</v>
      </c>
      <c r="B136" s="7" t="s">
        <v>194</v>
      </c>
      <c r="C136" s="7" t="s">
        <v>1323</v>
      </c>
      <c r="D136" s="7" t="s">
        <v>1324</v>
      </c>
      <c r="E136" s="7" t="s">
        <v>1750</v>
      </c>
      <c r="F136" s="36">
        <v>44197</v>
      </c>
      <c r="G136" s="36">
        <v>44926</v>
      </c>
      <c r="H136" s="36">
        <v>46022</v>
      </c>
      <c r="I136" s="36">
        <v>46022</v>
      </c>
      <c r="J136" s="7" t="s">
        <v>1696</v>
      </c>
      <c r="K136" s="8">
        <v>0</v>
      </c>
      <c r="L136" s="8">
        <v>0</v>
      </c>
      <c r="M136" s="8">
        <v>73922.919076000006</v>
      </c>
      <c r="N136" s="8">
        <v>0</v>
      </c>
      <c r="O136" s="8">
        <v>0</v>
      </c>
      <c r="P136" s="8">
        <v>0</v>
      </c>
      <c r="Q136" s="8">
        <v>0</v>
      </c>
      <c r="R136" s="8">
        <f t="shared" si="34"/>
        <v>73922.919076000006</v>
      </c>
      <c r="S136" s="8">
        <v>0</v>
      </c>
      <c r="T136" s="8">
        <v>0</v>
      </c>
      <c r="U136" s="8">
        <v>71976</v>
      </c>
      <c r="V136" s="8">
        <v>0</v>
      </c>
      <c r="W136" s="8">
        <v>0</v>
      </c>
      <c r="X136" s="8">
        <v>0</v>
      </c>
      <c r="Y136" s="8">
        <v>70422.574385</v>
      </c>
      <c r="Z136" s="8">
        <v>172139.85223399999</v>
      </c>
      <c r="AA136" s="7">
        <v>3.0027400000000002</v>
      </c>
      <c r="AB136" s="8">
        <v>172558.785695</v>
      </c>
      <c r="AC136" s="7">
        <v>2.920417</v>
      </c>
      <c r="AD136" s="7" t="s">
        <v>1697</v>
      </c>
      <c r="AE136" s="8">
        <v>180000</v>
      </c>
      <c r="AF136" s="8">
        <v>0</v>
      </c>
      <c r="AG136" s="8">
        <v>180000</v>
      </c>
      <c r="AH136" s="8">
        <v>0</v>
      </c>
      <c r="AI136" s="7" t="s">
        <v>1758</v>
      </c>
      <c r="AJ136" s="7">
        <f t="shared" ca="1" si="35"/>
        <v>1</v>
      </c>
      <c r="AK136" s="96">
        <f t="shared" si="32"/>
        <v>4.5411836984302642E-4</v>
      </c>
      <c r="AL136" s="97">
        <f t="shared" si="33"/>
        <v>4.4979958332559396E-4</v>
      </c>
    </row>
    <row r="137" spans="1:38" x14ac:dyDescent="0.3">
      <c r="A137" s="7" t="s">
        <v>1831</v>
      </c>
      <c r="B137" s="7" t="s">
        <v>194</v>
      </c>
      <c r="C137" s="7" t="s">
        <v>1323</v>
      </c>
      <c r="D137" s="7" t="s">
        <v>1324</v>
      </c>
      <c r="E137" s="7" t="s">
        <v>1322</v>
      </c>
      <c r="F137" s="36">
        <v>43862</v>
      </c>
      <c r="G137" s="36">
        <v>44957</v>
      </c>
      <c r="H137" s="36">
        <v>44957</v>
      </c>
      <c r="I137" s="36">
        <v>46053</v>
      </c>
      <c r="J137" s="7" t="s">
        <v>1696</v>
      </c>
      <c r="K137" s="8">
        <v>0</v>
      </c>
      <c r="L137" s="8">
        <v>0</v>
      </c>
      <c r="M137" s="8">
        <v>87499.996048000001</v>
      </c>
      <c r="N137" s="8">
        <v>0</v>
      </c>
      <c r="O137" s="8">
        <v>0</v>
      </c>
      <c r="P137" s="8">
        <v>0</v>
      </c>
      <c r="Q137" s="8">
        <v>0</v>
      </c>
      <c r="R137" s="8">
        <f t="shared" si="34"/>
        <v>87499.996048000001</v>
      </c>
      <c r="S137" s="8">
        <v>0</v>
      </c>
      <c r="T137" s="8">
        <v>0</v>
      </c>
      <c r="U137" s="8">
        <v>87500</v>
      </c>
      <c r="V137" s="8">
        <v>0</v>
      </c>
      <c r="W137" s="8">
        <v>0</v>
      </c>
      <c r="X137" s="8">
        <v>0</v>
      </c>
      <c r="Y137" s="8">
        <v>168215.07328099999</v>
      </c>
      <c r="Z137" s="8">
        <v>0</v>
      </c>
      <c r="AA137" s="7">
        <v>3.0876709999999998</v>
      </c>
      <c r="AB137" s="8">
        <v>89360.569329000005</v>
      </c>
      <c r="AC137" s="7">
        <v>2.318333</v>
      </c>
      <c r="AD137" s="7" t="s">
        <v>1226</v>
      </c>
      <c r="AE137" s="8">
        <v>92500</v>
      </c>
      <c r="AF137" s="8">
        <v>0</v>
      </c>
      <c r="AG137" s="8">
        <v>92500</v>
      </c>
      <c r="AH137" s="8">
        <v>0</v>
      </c>
      <c r="AI137" s="7" t="s">
        <v>1758</v>
      </c>
      <c r="AJ137" s="7">
        <f t="shared" ca="1" si="35"/>
        <v>1</v>
      </c>
      <c r="AK137" s="96">
        <f t="shared" si="32"/>
        <v>2.4181943984349444E-4</v>
      </c>
      <c r="AL137" s="97">
        <f t="shared" si="33"/>
        <v>1.8349288362743061E-4</v>
      </c>
    </row>
    <row r="138" spans="1:38" x14ac:dyDescent="0.3">
      <c r="A138" s="7" t="s">
        <v>1832</v>
      </c>
      <c r="B138" s="7" t="s">
        <v>1320</v>
      </c>
      <c r="C138" s="7" t="s">
        <v>1323</v>
      </c>
      <c r="D138" s="7" t="s">
        <v>1324</v>
      </c>
      <c r="E138" s="7" t="s">
        <v>1695</v>
      </c>
      <c r="F138" s="36">
        <v>44105</v>
      </c>
      <c r="G138" s="36">
        <v>45199</v>
      </c>
      <c r="H138" s="36">
        <v>44804</v>
      </c>
      <c r="I138" s="36">
        <v>44804</v>
      </c>
      <c r="J138" s="7" t="s">
        <v>1696</v>
      </c>
      <c r="K138" s="8">
        <v>0</v>
      </c>
      <c r="L138" s="8">
        <v>0</v>
      </c>
      <c r="M138" s="8">
        <v>2567.9885359999998</v>
      </c>
      <c r="N138" s="8">
        <v>0</v>
      </c>
      <c r="O138" s="8">
        <v>0</v>
      </c>
      <c r="P138" s="8">
        <v>0</v>
      </c>
      <c r="Q138" s="8">
        <v>0</v>
      </c>
      <c r="R138" s="8">
        <f t="shared" si="34"/>
        <v>2567.9885359999998</v>
      </c>
      <c r="S138" s="8">
        <v>0</v>
      </c>
      <c r="T138" s="8">
        <v>0</v>
      </c>
      <c r="U138" s="8">
        <v>2567.9859999999999</v>
      </c>
      <c r="V138" s="8">
        <v>0</v>
      </c>
      <c r="W138" s="8">
        <v>0</v>
      </c>
      <c r="X138" s="8">
        <v>0</v>
      </c>
      <c r="Y138" s="8">
        <v>0</v>
      </c>
      <c r="Z138" s="8">
        <v>-4140.8232980000002</v>
      </c>
      <c r="AA138" s="7">
        <v>0</v>
      </c>
      <c r="AB138" s="8">
        <v>0</v>
      </c>
      <c r="AC138" s="7">
        <v>2.0299999999999998</v>
      </c>
      <c r="AD138" s="7" t="s">
        <v>1226</v>
      </c>
      <c r="AE138" s="8">
        <v>0</v>
      </c>
      <c r="AF138" s="8">
        <v>0</v>
      </c>
      <c r="AG138" s="8">
        <v>0</v>
      </c>
      <c r="AH138" s="8">
        <v>0</v>
      </c>
      <c r="AI138" s="7" t="s">
        <v>1781</v>
      </c>
      <c r="AJ138" s="7">
        <f t="shared" ca="1" si="35"/>
        <v>1</v>
      </c>
      <c r="AK138" s="96">
        <f t="shared" si="32"/>
        <v>0</v>
      </c>
      <c r="AL138" s="97">
        <f t="shared" si="33"/>
        <v>0</v>
      </c>
    </row>
    <row r="139" spans="1:38" x14ac:dyDescent="0.3">
      <c r="A139" s="7" t="s">
        <v>1833</v>
      </c>
      <c r="B139" s="7" t="s">
        <v>1320</v>
      </c>
      <c r="C139" s="7" t="s">
        <v>1323</v>
      </c>
      <c r="D139" s="7" t="s">
        <v>1324</v>
      </c>
      <c r="E139" s="7" t="s">
        <v>1322</v>
      </c>
      <c r="F139" s="36">
        <v>44804</v>
      </c>
      <c r="G139" s="36">
        <v>45198</v>
      </c>
      <c r="H139" s="36">
        <v>45198</v>
      </c>
      <c r="I139" s="36">
        <v>45715</v>
      </c>
      <c r="J139" s="7" t="s">
        <v>1696</v>
      </c>
      <c r="K139" s="8">
        <v>0</v>
      </c>
      <c r="L139" s="8">
        <v>0</v>
      </c>
      <c r="M139" s="8">
        <v>1285.2767819999999</v>
      </c>
      <c r="N139" s="8">
        <v>0</v>
      </c>
      <c r="O139" s="8">
        <v>0</v>
      </c>
      <c r="P139" s="8">
        <v>0</v>
      </c>
      <c r="Q139" s="8">
        <v>0</v>
      </c>
      <c r="R139" s="8">
        <f t="shared" si="34"/>
        <v>1285.2767819999999</v>
      </c>
      <c r="S139" s="8">
        <v>0</v>
      </c>
      <c r="T139" s="8">
        <v>0</v>
      </c>
      <c r="U139" s="8">
        <v>1604.95</v>
      </c>
      <c r="V139" s="8">
        <v>0</v>
      </c>
      <c r="W139" s="8">
        <v>0</v>
      </c>
      <c r="X139" s="8">
        <v>0</v>
      </c>
      <c r="Y139" s="8">
        <v>0</v>
      </c>
      <c r="Z139" s="8">
        <v>9452.0054689999997</v>
      </c>
      <c r="AA139" s="7">
        <v>2.1616439999999999</v>
      </c>
      <c r="AB139" s="8">
        <v>7884.6564449999996</v>
      </c>
      <c r="AC139" s="7">
        <v>1.6353329999999999</v>
      </c>
      <c r="AD139" s="7" t="s">
        <v>1226</v>
      </c>
      <c r="AE139" s="8">
        <v>8024.75</v>
      </c>
      <c r="AF139" s="8">
        <v>0</v>
      </c>
      <c r="AG139" s="8">
        <v>8024.75</v>
      </c>
      <c r="AH139" s="8">
        <v>0</v>
      </c>
      <c r="AI139" s="7" t="s">
        <v>1781</v>
      </c>
      <c r="AJ139" s="7">
        <f t="shared" ca="1" si="35"/>
        <v>1</v>
      </c>
      <c r="AK139" s="96">
        <f t="shared" si="32"/>
        <v>1.4937613267651577E-5</v>
      </c>
      <c r="AL139" s="97">
        <f t="shared" si="33"/>
        <v>1.1228956202550702E-5</v>
      </c>
    </row>
    <row r="140" spans="1:38" x14ac:dyDescent="0.3">
      <c r="A140" s="7" t="s">
        <v>1834</v>
      </c>
      <c r="B140" s="7" t="s">
        <v>1320</v>
      </c>
      <c r="C140" s="7" t="s">
        <v>1323</v>
      </c>
      <c r="D140" s="7" t="s">
        <v>1324</v>
      </c>
      <c r="E140" s="7" t="s">
        <v>1322</v>
      </c>
      <c r="F140" s="36">
        <v>44105</v>
      </c>
      <c r="G140" s="36">
        <v>45199</v>
      </c>
      <c r="H140" s="36">
        <v>45199</v>
      </c>
      <c r="I140" s="36">
        <v>45199</v>
      </c>
      <c r="J140" s="7" t="s">
        <v>1696</v>
      </c>
      <c r="K140" s="8">
        <v>0</v>
      </c>
      <c r="L140" s="8">
        <v>0</v>
      </c>
      <c r="M140" s="8">
        <v>3851.8272000000002</v>
      </c>
      <c r="N140" s="8">
        <v>0</v>
      </c>
      <c r="O140" s="8">
        <v>0</v>
      </c>
      <c r="P140" s="8">
        <v>0</v>
      </c>
      <c r="Q140" s="8">
        <v>0</v>
      </c>
      <c r="R140" s="8">
        <f t="shared" si="34"/>
        <v>3851.8272000000002</v>
      </c>
      <c r="S140" s="8">
        <v>0</v>
      </c>
      <c r="T140" s="8">
        <v>0</v>
      </c>
      <c r="U140" s="8">
        <v>3851.8272000000002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7">
        <v>0.74794499999999997</v>
      </c>
      <c r="AB140" s="8">
        <v>2860.2207800000001</v>
      </c>
      <c r="AC140" s="7">
        <v>3</v>
      </c>
      <c r="AD140" s="7" t="s">
        <v>1226</v>
      </c>
      <c r="AE140" s="8">
        <v>2888.8703999999998</v>
      </c>
      <c r="AF140" s="8">
        <v>0</v>
      </c>
      <c r="AG140" s="8">
        <v>2888.8703999999998</v>
      </c>
      <c r="AH140" s="8">
        <v>0</v>
      </c>
      <c r="AI140" s="7" t="s">
        <v>1781</v>
      </c>
      <c r="AJ140" s="7">
        <f t="shared" ca="1" si="35"/>
        <v>1</v>
      </c>
      <c r="AK140" s="96">
        <f t="shared" si="32"/>
        <v>1.8749232118380847E-6</v>
      </c>
      <c r="AL140" s="97">
        <f t="shared" si="33"/>
        <v>7.415680147741696E-6</v>
      </c>
    </row>
    <row r="141" spans="1:38" x14ac:dyDescent="0.3">
      <c r="A141" s="7" t="s">
        <v>1835</v>
      </c>
      <c r="B141" s="7" t="s">
        <v>1320</v>
      </c>
      <c r="C141" s="7" t="s">
        <v>1323</v>
      </c>
      <c r="D141" s="7" t="s">
        <v>1324</v>
      </c>
      <c r="E141" s="7" t="s">
        <v>1322</v>
      </c>
      <c r="F141" s="36">
        <v>44105</v>
      </c>
      <c r="G141" s="36">
        <v>45199</v>
      </c>
      <c r="H141" s="36">
        <v>45199</v>
      </c>
      <c r="I141" s="36">
        <v>45199</v>
      </c>
      <c r="J141" s="7" t="s">
        <v>1696</v>
      </c>
      <c r="K141" s="8">
        <v>0</v>
      </c>
      <c r="L141" s="8">
        <v>0</v>
      </c>
      <c r="M141" s="8">
        <v>3851.8272000000002</v>
      </c>
      <c r="N141" s="8">
        <v>0</v>
      </c>
      <c r="O141" s="8">
        <v>0</v>
      </c>
      <c r="P141" s="8">
        <v>0</v>
      </c>
      <c r="Q141" s="8">
        <v>0</v>
      </c>
      <c r="R141" s="8">
        <f t="shared" si="34"/>
        <v>3851.8272000000002</v>
      </c>
      <c r="S141" s="8">
        <v>0</v>
      </c>
      <c r="T141" s="8">
        <v>0</v>
      </c>
      <c r="U141" s="8">
        <v>3851.8272000000002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7">
        <v>0.74794499999999997</v>
      </c>
      <c r="AB141" s="8">
        <v>2860.2207800000001</v>
      </c>
      <c r="AC141" s="7">
        <v>3</v>
      </c>
      <c r="AD141" s="7" t="s">
        <v>1226</v>
      </c>
      <c r="AE141" s="8">
        <v>2888.8703999999998</v>
      </c>
      <c r="AF141" s="8">
        <v>0</v>
      </c>
      <c r="AG141" s="8">
        <v>2888.8703999999998</v>
      </c>
      <c r="AH141" s="8">
        <v>0</v>
      </c>
      <c r="AI141" s="7" t="s">
        <v>1781</v>
      </c>
      <c r="AJ141" s="7">
        <f t="shared" ca="1" si="35"/>
        <v>1</v>
      </c>
      <c r="AK141" s="96">
        <f t="shared" si="32"/>
        <v>1.8749232118380847E-6</v>
      </c>
      <c r="AL141" s="97">
        <f t="shared" si="33"/>
        <v>7.415680147741696E-6</v>
      </c>
    </row>
    <row r="142" spans="1:38" x14ac:dyDescent="0.3">
      <c r="A142" s="7" t="s">
        <v>1836</v>
      </c>
      <c r="B142" s="7" t="s">
        <v>1320</v>
      </c>
      <c r="C142" s="7" t="s">
        <v>1323</v>
      </c>
      <c r="D142" s="7" t="s">
        <v>1324</v>
      </c>
      <c r="E142" s="7" t="s">
        <v>1322</v>
      </c>
      <c r="F142" s="36">
        <v>44105</v>
      </c>
      <c r="G142" s="36">
        <v>45199</v>
      </c>
      <c r="H142" s="36">
        <v>45199</v>
      </c>
      <c r="I142" s="36">
        <v>45199</v>
      </c>
      <c r="J142" s="7" t="s">
        <v>1696</v>
      </c>
      <c r="K142" s="8">
        <v>0</v>
      </c>
      <c r="L142" s="8">
        <v>0</v>
      </c>
      <c r="M142" s="8">
        <v>3851.9345480000002</v>
      </c>
      <c r="N142" s="8">
        <v>0</v>
      </c>
      <c r="O142" s="8">
        <v>0</v>
      </c>
      <c r="P142" s="8">
        <v>0</v>
      </c>
      <c r="Q142" s="8">
        <v>0</v>
      </c>
      <c r="R142" s="8">
        <f t="shared" si="34"/>
        <v>3851.9345480000002</v>
      </c>
      <c r="S142" s="8">
        <v>0</v>
      </c>
      <c r="T142" s="8">
        <v>0</v>
      </c>
      <c r="U142" s="8">
        <v>3851.9459999999999</v>
      </c>
      <c r="V142" s="8">
        <v>0</v>
      </c>
      <c r="W142" s="8">
        <v>0</v>
      </c>
      <c r="X142" s="8">
        <v>0</v>
      </c>
      <c r="Y142" s="8">
        <v>0</v>
      </c>
      <c r="Z142" s="8">
        <v>0.15168100000000001</v>
      </c>
      <c r="AA142" s="7">
        <v>0.74794499999999997</v>
      </c>
      <c r="AB142" s="8">
        <v>2860.2539870000001</v>
      </c>
      <c r="AC142" s="7">
        <v>3</v>
      </c>
      <c r="AD142" s="7" t="s">
        <v>1226</v>
      </c>
      <c r="AE142" s="8">
        <v>2888.91</v>
      </c>
      <c r="AF142" s="8">
        <v>0</v>
      </c>
      <c r="AG142" s="8">
        <v>2888.91</v>
      </c>
      <c r="AH142" s="8">
        <v>0</v>
      </c>
      <c r="AI142" s="7" t="s">
        <v>1781</v>
      </c>
      <c r="AJ142" s="7">
        <f t="shared" ca="1" si="35"/>
        <v>1</v>
      </c>
      <c r="AK142" s="96">
        <f t="shared" si="32"/>
        <v>1.874944979589557E-6</v>
      </c>
      <c r="AL142" s="97">
        <f t="shared" si="33"/>
        <v>7.4157818002539899E-6</v>
      </c>
    </row>
    <row r="143" spans="1:38" x14ac:dyDescent="0.3">
      <c r="A143" s="7" t="s">
        <v>1837</v>
      </c>
      <c r="B143" s="7" t="s">
        <v>1320</v>
      </c>
      <c r="C143" s="7" t="s">
        <v>1323</v>
      </c>
      <c r="D143" s="7" t="s">
        <v>1324</v>
      </c>
      <c r="E143" s="7" t="s">
        <v>1322</v>
      </c>
      <c r="F143" s="36">
        <v>44105</v>
      </c>
      <c r="G143" s="36">
        <v>45199</v>
      </c>
      <c r="H143" s="36">
        <v>45199</v>
      </c>
      <c r="I143" s="36">
        <v>45199</v>
      </c>
      <c r="J143" s="7" t="s">
        <v>1696</v>
      </c>
      <c r="K143" s="8">
        <v>0</v>
      </c>
      <c r="L143" s="8">
        <v>0</v>
      </c>
      <c r="M143" s="8">
        <v>3851.8272000000002</v>
      </c>
      <c r="N143" s="8">
        <v>0</v>
      </c>
      <c r="O143" s="8">
        <v>0</v>
      </c>
      <c r="P143" s="8">
        <v>0</v>
      </c>
      <c r="Q143" s="8">
        <v>0</v>
      </c>
      <c r="R143" s="8">
        <f t="shared" si="34"/>
        <v>3851.8272000000002</v>
      </c>
      <c r="S143" s="8">
        <v>0</v>
      </c>
      <c r="T143" s="8">
        <v>0</v>
      </c>
      <c r="U143" s="8">
        <v>3851.8272000000002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7">
        <v>0.74794499999999997</v>
      </c>
      <c r="AB143" s="8">
        <v>2860.2207800000001</v>
      </c>
      <c r="AC143" s="7">
        <v>3</v>
      </c>
      <c r="AD143" s="7" t="s">
        <v>1226</v>
      </c>
      <c r="AE143" s="8">
        <v>2888.8703999999998</v>
      </c>
      <c r="AF143" s="8">
        <v>0</v>
      </c>
      <c r="AG143" s="8">
        <v>2888.8703999999998</v>
      </c>
      <c r="AH143" s="8">
        <v>0</v>
      </c>
      <c r="AI143" s="7" t="s">
        <v>1781</v>
      </c>
      <c r="AJ143" s="7">
        <f t="shared" ca="1" si="35"/>
        <v>1</v>
      </c>
      <c r="AK143" s="96">
        <f t="shared" si="32"/>
        <v>1.8749232118380847E-6</v>
      </c>
      <c r="AL143" s="97">
        <f t="shared" si="33"/>
        <v>7.415680147741696E-6</v>
      </c>
    </row>
    <row r="144" spans="1:38" x14ac:dyDescent="0.3">
      <c r="A144" s="7" t="s">
        <v>1838</v>
      </c>
      <c r="B144" s="7" t="s">
        <v>1320</v>
      </c>
      <c r="C144" s="7" t="s">
        <v>1323</v>
      </c>
      <c r="D144" s="7" t="s">
        <v>1324</v>
      </c>
      <c r="E144" s="7" t="s">
        <v>1322</v>
      </c>
      <c r="F144" s="36">
        <v>44105</v>
      </c>
      <c r="G144" s="36">
        <v>45199</v>
      </c>
      <c r="H144" s="36">
        <v>45199</v>
      </c>
      <c r="I144" s="36">
        <v>45199</v>
      </c>
      <c r="J144" s="7" t="s">
        <v>1696</v>
      </c>
      <c r="K144" s="8">
        <v>0</v>
      </c>
      <c r="L144" s="8">
        <v>0</v>
      </c>
      <c r="M144" s="8">
        <v>3851.8272000000002</v>
      </c>
      <c r="N144" s="8">
        <v>0</v>
      </c>
      <c r="O144" s="8">
        <v>0</v>
      </c>
      <c r="P144" s="8">
        <v>0</v>
      </c>
      <c r="Q144" s="8">
        <v>0</v>
      </c>
      <c r="R144" s="8">
        <f t="shared" si="34"/>
        <v>3851.8272000000002</v>
      </c>
      <c r="S144" s="8">
        <v>0</v>
      </c>
      <c r="T144" s="8">
        <v>0</v>
      </c>
      <c r="U144" s="8">
        <v>3851.8272000000002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7">
        <v>0.74794499999999997</v>
      </c>
      <c r="AB144" s="8">
        <v>2860.2207800000001</v>
      </c>
      <c r="AC144" s="7">
        <v>3</v>
      </c>
      <c r="AD144" s="7" t="s">
        <v>1226</v>
      </c>
      <c r="AE144" s="8">
        <v>2888.8703999999998</v>
      </c>
      <c r="AF144" s="8">
        <v>0</v>
      </c>
      <c r="AG144" s="8">
        <v>2888.8703999999998</v>
      </c>
      <c r="AH144" s="8">
        <v>0</v>
      </c>
      <c r="AI144" s="7" t="s">
        <v>1781</v>
      </c>
      <c r="AJ144" s="7">
        <f t="shared" ca="1" si="35"/>
        <v>1</v>
      </c>
      <c r="AK144" s="96">
        <f t="shared" si="32"/>
        <v>1.8749232118380847E-6</v>
      </c>
      <c r="AL144" s="97">
        <f t="shared" si="33"/>
        <v>7.415680147741696E-6</v>
      </c>
    </row>
    <row r="145" spans="1:38" x14ac:dyDescent="0.3">
      <c r="A145" s="7" t="s">
        <v>1839</v>
      </c>
      <c r="B145" s="7" t="s">
        <v>1320</v>
      </c>
      <c r="C145" s="7" t="s">
        <v>1323</v>
      </c>
      <c r="D145" s="7" t="s">
        <v>1324</v>
      </c>
      <c r="E145" s="7" t="s">
        <v>1322</v>
      </c>
      <c r="F145" s="36">
        <v>44105</v>
      </c>
      <c r="G145" s="36">
        <v>45199</v>
      </c>
      <c r="H145" s="36">
        <v>45199</v>
      </c>
      <c r="I145" s="36">
        <v>45199</v>
      </c>
      <c r="J145" s="7" t="s">
        <v>1696</v>
      </c>
      <c r="K145" s="8">
        <v>0</v>
      </c>
      <c r="L145" s="8">
        <v>0</v>
      </c>
      <c r="M145" s="8">
        <v>3851.8272000000002</v>
      </c>
      <c r="N145" s="8">
        <v>0</v>
      </c>
      <c r="O145" s="8">
        <v>0</v>
      </c>
      <c r="P145" s="8">
        <v>0</v>
      </c>
      <c r="Q145" s="8">
        <v>0</v>
      </c>
      <c r="R145" s="8">
        <f t="shared" si="34"/>
        <v>3851.8272000000002</v>
      </c>
      <c r="S145" s="8">
        <v>0</v>
      </c>
      <c r="T145" s="8">
        <v>0</v>
      </c>
      <c r="U145" s="8">
        <v>3851.8272000000002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7">
        <v>0.74794499999999997</v>
      </c>
      <c r="AB145" s="8">
        <v>2860.2207800000001</v>
      </c>
      <c r="AC145" s="7">
        <v>3</v>
      </c>
      <c r="AD145" s="7" t="s">
        <v>1226</v>
      </c>
      <c r="AE145" s="8">
        <v>2888.8703999999998</v>
      </c>
      <c r="AF145" s="8">
        <v>0</v>
      </c>
      <c r="AG145" s="8">
        <v>2888.8703999999998</v>
      </c>
      <c r="AH145" s="8">
        <v>0</v>
      </c>
      <c r="AI145" s="7" t="s">
        <v>1781</v>
      </c>
      <c r="AJ145" s="7">
        <f t="shared" ca="1" si="35"/>
        <v>1</v>
      </c>
      <c r="AK145" s="96">
        <f t="shared" si="32"/>
        <v>1.8749232118380847E-6</v>
      </c>
      <c r="AL145" s="97">
        <f t="shared" si="33"/>
        <v>7.415680147741696E-6</v>
      </c>
    </row>
    <row r="146" spans="1:38" x14ac:dyDescent="0.3">
      <c r="A146" s="7" t="s">
        <v>1840</v>
      </c>
      <c r="B146" s="7" t="s">
        <v>1320</v>
      </c>
      <c r="C146" s="7" t="s">
        <v>1323</v>
      </c>
      <c r="D146" s="7" t="s">
        <v>1324</v>
      </c>
      <c r="E146" s="7" t="s">
        <v>1322</v>
      </c>
      <c r="F146" s="36">
        <v>44105</v>
      </c>
      <c r="G146" s="36">
        <v>45199</v>
      </c>
      <c r="H146" s="36">
        <v>45199</v>
      </c>
      <c r="I146" s="36">
        <v>45199</v>
      </c>
      <c r="J146" s="7" t="s">
        <v>1696</v>
      </c>
      <c r="K146" s="8">
        <v>0</v>
      </c>
      <c r="L146" s="8">
        <v>0</v>
      </c>
      <c r="M146" s="8">
        <v>3851.8272000000002</v>
      </c>
      <c r="N146" s="8">
        <v>0</v>
      </c>
      <c r="O146" s="8">
        <v>0</v>
      </c>
      <c r="P146" s="8">
        <v>0</v>
      </c>
      <c r="Q146" s="8">
        <v>0</v>
      </c>
      <c r="R146" s="8">
        <f t="shared" si="34"/>
        <v>3851.8272000000002</v>
      </c>
      <c r="S146" s="8">
        <v>0</v>
      </c>
      <c r="T146" s="8">
        <v>0</v>
      </c>
      <c r="U146" s="8">
        <v>3851.8272000000002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7">
        <v>0.74794499999999997</v>
      </c>
      <c r="AB146" s="8">
        <v>2860.2207800000001</v>
      </c>
      <c r="AC146" s="7">
        <v>3</v>
      </c>
      <c r="AD146" s="7" t="s">
        <v>1226</v>
      </c>
      <c r="AE146" s="8">
        <v>2888.8703999999998</v>
      </c>
      <c r="AF146" s="8">
        <v>0</v>
      </c>
      <c r="AG146" s="8">
        <v>2888.8703999999998</v>
      </c>
      <c r="AH146" s="8">
        <v>0</v>
      </c>
      <c r="AI146" s="7" t="s">
        <v>1781</v>
      </c>
      <c r="AJ146" s="7">
        <f t="shared" ca="1" si="35"/>
        <v>1</v>
      </c>
      <c r="AK146" s="96">
        <f t="shared" si="32"/>
        <v>1.8749232118380847E-6</v>
      </c>
      <c r="AL146" s="97">
        <f t="shared" si="33"/>
        <v>7.415680147741696E-6</v>
      </c>
    </row>
    <row r="147" spans="1:38" x14ac:dyDescent="0.3">
      <c r="A147" s="7" t="s">
        <v>1841</v>
      </c>
      <c r="B147" s="7" t="s">
        <v>1320</v>
      </c>
      <c r="C147" s="7" t="s">
        <v>1323</v>
      </c>
      <c r="D147" s="7" t="s">
        <v>1324</v>
      </c>
      <c r="E147" s="7" t="s">
        <v>1322</v>
      </c>
      <c r="F147" s="36">
        <v>44105</v>
      </c>
      <c r="G147" s="36">
        <v>45199</v>
      </c>
      <c r="H147" s="36">
        <v>45199</v>
      </c>
      <c r="I147" s="36">
        <v>45199</v>
      </c>
      <c r="J147" s="7" t="s">
        <v>1696</v>
      </c>
      <c r="K147" s="8">
        <v>0</v>
      </c>
      <c r="L147" s="8">
        <v>0</v>
      </c>
      <c r="M147" s="8">
        <v>3851.8272000000002</v>
      </c>
      <c r="N147" s="8">
        <v>0</v>
      </c>
      <c r="O147" s="8">
        <v>0</v>
      </c>
      <c r="P147" s="8">
        <v>0</v>
      </c>
      <c r="Q147" s="8">
        <v>0</v>
      </c>
      <c r="R147" s="8">
        <f t="shared" si="34"/>
        <v>3851.8272000000002</v>
      </c>
      <c r="S147" s="8">
        <v>0</v>
      </c>
      <c r="T147" s="8">
        <v>0</v>
      </c>
      <c r="U147" s="8">
        <v>3851.8272000000002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7">
        <v>0.74794499999999997</v>
      </c>
      <c r="AB147" s="8">
        <v>2860.2207800000001</v>
      </c>
      <c r="AC147" s="7">
        <v>3</v>
      </c>
      <c r="AD147" s="7" t="s">
        <v>1226</v>
      </c>
      <c r="AE147" s="8">
        <v>2888.8703999999998</v>
      </c>
      <c r="AF147" s="8">
        <v>0</v>
      </c>
      <c r="AG147" s="8">
        <v>2888.8703999999998</v>
      </c>
      <c r="AH147" s="8">
        <v>0</v>
      </c>
      <c r="AI147" s="7" t="s">
        <v>1781</v>
      </c>
      <c r="AJ147" s="7">
        <f t="shared" ca="1" si="35"/>
        <v>1</v>
      </c>
      <c r="AK147" s="96">
        <f t="shared" si="32"/>
        <v>1.8749232118380847E-6</v>
      </c>
      <c r="AL147" s="97">
        <f t="shared" si="33"/>
        <v>7.415680147741696E-6</v>
      </c>
    </row>
    <row r="148" spans="1:38" x14ac:dyDescent="0.3">
      <c r="A148" s="7" t="s">
        <v>1842</v>
      </c>
      <c r="B148" s="7" t="s">
        <v>1320</v>
      </c>
      <c r="C148" s="7" t="s">
        <v>1323</v>
      </c>
      <c r="D148" s="7" t="s">
        <v>1324</v>
      </c>
      <c r="E148" s="7" t="s">
        <v>1322</v>
      </c>
      <c r="F148" s="36">
        <v>44105</v>
      </c>
      <c r="G148" s="36">
        <v>45199</v>
      </c>
      <c r="H148" s="36">
        <v>45199</v>
      </c>
      <c r="I148" s="36">
        <v>45199</v>
      </c>
      <c r="J148" s="7" t="s">
        <v>1696</v>
      </c>
      <c r="K148" s="8">
        <v>0</v>
      </c>
      <c r="L148" s="8">
        <v>0</v>
      </c>
      <c r="M148" s="8">
        <v>11111.051664000001</v>
      </c>
      <c r="N148" s="8">
        <v>0</v>
      </c>
      <c r="O148" s="8">
        <v>0</v>
      </c>
      <c r="P148" s="8">
        <v>0</v>
      </c>
      <c r="Q148" s="8">
        <v>0</v>
      </c>
      <c r="R148" s="8">
        <f t="shared" si="34"/>
        <v>11111.051664000001</v>
      </c>
      <c r="S148" s="8">
        <v>0</v>
      </c>
      <c r="T148" s="8">
        <v>0</v>
      </c>
      <c r="U148" s="8">
        <v>11111.04</v>
      </c>
      <c r="V148" s="8">
        <v>0</v>
      </c>
      <c r="W148" s="8">
        <v>0</v>
      </c>
      <c r="X148" s="8">
        <v>0</v>
      </c>
      <c r="Y148" s="8">
        <v>0</v>
      </c>
      <c r="Z148" s="8">
        <v>12767.485424</v>
      </c>
      <c r="AA148" s="7">
        <v>0.74794499999999997</v>
      </c>
      <c r="AB148" s="8">
        <v>4125.3184430000001</v>
      </c>
      <c r="AC148" s="7">
        <v>3</v>
      </c>
      <c r="AD148" s="7" t="s">
        <v>1226</v>
      </c>
      <c r="AE148" s="8">
        <v>4166.6400000000003</v>
      </c>
      <c r="AF148" s="8">
        <v>0</v>
      </c>
      <c r="AG148" s="8">
        <v>4166.6400000000003</v>
      </c>
      <c r="AH148" s="8">
        <v>0</v>
      </c>
      <c r="AI148" s="7" t="s">
        <v>1781</v>
      </c>
      <c r="AJ148" s="7">
        <f t="shared" ca="1" si="35"/>
        <v>1</v>
      </c>
      <c r="AK148" s="96">
        <f t="shared" si="32"/>
        <v>2.7042161776771812E-6</v>
      </c>
      <c r="AL148" s="97">
        <f t="shared" si="33"/>
        <v>1.0695692520781294E-5</v>
      </c>
    </row>
    <row r="149" spans="1:38" x14ac:dyDescent="0.3">
      <c r="A149" s="7" t="s">
        <v>1843</v>
      </c>
      <c r="B149" s="7" t="s">
        <v>1320</v>
      </c>
      <c r="C149" s="7" t="s">
        <v>1323</v>
      </c>
      <c r="D149" s="7" t="s">
        <v>1324</v>
      </c>
      <c r="E149" s="7" t="s">
        <v>1322</v>
      </c>
      <c r="F149" s="36">
        <v>44774</v>
      </c>
      <c r="G149" s="36">
        <v>45869</v>
      </c>
      <c r="H149" s="36">
        <v>45869</v>
      </c>
      <c r="I149" s="36">
        <v>46234</v>
      </c>
      <c r="J149" s="7" t="s">
        <v>1696</v>
      </c>
      <c r="K149" s="8">
        <v>0</v>
      </c>
      <c r="L149" s="8">
        <v>0</v>
      </c>
      <c r="M149" s="8">
        <v>1374.9975700002251</v>
      </c>
      <c r="N149" s="8">
        <v>0</v>
      </c>
      <c r="O149" s="8">
        <v>0</v>
      </c>
      <c r="P149" s="8">
        <v>0</v>
      </c>
      <c r="Q149" s="8">
        <v>0</v>
      </c>
      <c r="R149" s="8">
        <f t="shared" si="34"/>
        <v>1374.9975700002251</v>
      </c>
      <c r="S149" s="8">
        <v>0</v>
      </c>
      <c r="T149" s="8">
        <v>0</v>
      </c>
      <c r="U149" s="8">
        <v>1500.0000000002451</v>
      </c>
      <c r="V149" s="8">
        <v>0</v>
      </c>
      <c r="W149" s="8">
        <v>0</v>
      </c>
      <c r="X149" s="8">
        <v>0</v>
      </c>
      <c r="Y149" s="8">
        <v>12747.157650002098</v>
      </c>
      <c r="Z149" s="8">
        <v>0</v>
      </c>
      <c r="AA149" s="7">
        <v>3.5835620000000001</v>
      </c>
      <c r="AB149" s="8">
        <v>11342.743280001869</v>
      </c>
      <c r="AC149" s="7">
        <v>1.93</v>
      </c>
      <c r="AD149" s="7" t="s">
        <v>1226</v>
      </c>
      <c r="AE149" s="8">
        <v>11700.000000004564</v>
      </c>
      <c r="AF149" s="8">
        <v>0</v>
      </c>
      <c r="AG149" s="8">
        <v>11700.000000004564</v>
      </c>
      <c r="AH149" s="8">
        <v>0</v>
      </c>
      <c r="AI149" s="7" t="s">
        <v>1781</v>
      </c>
      <c r="AJ149" s="7">
        <f t="shared" ca="1" si="35"/>
        <v>1</v>
      </c>
      <c r="AK149" s="96">
        <f t="shared" si="32"/>
        <v>3.5624378009258223E-5</v>
      </c>
      <c r="AL149" s="97">
        <f t="shared" si="33"/>
        <v>1.9321678283689543E-5</v>
      </c>
    </row>
    <row r="150" spans="1:38" x14ac:dyDescent="0.3">
      <c r="A150" s="7" t="s">
        <v>1844</v>
      </c>
      <c r="B150" s="7" t="s">
        <v>194</v>
      </c>
      <c r="C150" s="7" t="s">
        <v>1756</v>
      </c>
      <c r="D150" s="7" t="s">
        <v>1324</v>
      </c>
      <c r="E150" s="7" t="s">
        <v>1322</v>
      </c>
      <c r="F150" s="36">
        <v>44682</v>
      </c>
      <c r="G150" s="36">
        <v>45777</v>
      </c>
      <c r="H150" s="36">
        <v>45777</v>
      </c>
      <c r="I150" s="36">
        <v>45777</v>
      </c>
      <c r="J150" s="7" t="s">
        <v>1696</v>
      </c>
      <c r="K150" s="8">
        <v>0</v>
      </c>
      <c r="L150" s="8">
        <v>0</v>
      </c>
      <c r="M150" s="8">
        <v>2469.1244630004062</v>
      </c>
      <c r="N150" s="8">
        <v>0</v>
      </c>
      <c r="O150" s="8">
        <v>0</v>
      </c>
      <c r="P150" s="8">
        <v>13.5</v>
      </c>
      <c r="Q150" s="8">
        <v>0</v>
      </c>
      <c r="R150" s="8">
        <f t="shared" si="34"/>
        <v>2482.6244630004062</v>
      </c>
      <c r="S150" s="8">
        <v>0</v>
      </c>
      <c r="T150" s="8">
        <v>0</v>
      </c>
      <c r="U150" s="8">
        <v>2469.1200000004078</v>
      </c>
      <c r="V150" s="8">
        <v>0</v>
      </c>
      <c r="W150" s="8">
        <v>13.5</v>
      </c>
      <c r="X150" s="8">
        <v>0</v>
      </c>
      <c r="Y150" s="8">
        <v>10804.420251001779</v>
      </c>
      <c r="Z150" s="8">
        <v>0</v>
      </c>
      <c r="AA150" s="7">
        <v>2.3315070000000002</v>
      </c>
      <c r="AB150" s="8">
        <v>8457.164714001392</v>
      </c>
      <c r="AC150" s="7">
        <v>1.93</v>
      </c>
      <c r="AD150" s="7" t="s">
        <v>1226</v>
      </c>
      <c r="AE150" s="8">
        <v>8641.9200000033597</v>
      </c>
      <c r="AF150" s="8">
        <v>0</v>
      </c>
      <c r="AG150" s="8">
        <v>8641.9200000033597</v>
      </c>
      <c r="AH150" s="8">
        <v>0</v>
      </c>
      <c r="AI150" s="7" t="s">
        <v>1730</v>
      </c>
      <c r="AJ150" s="7">
        <f t="shared" ca="1" si="35"/>
        <v>1</v>
      </c>
      <c r="AK150" s="96">
        <f t="shared" si="32"/>
        <v>1.7281274859424198E-5</v>
      </c>
      <c r="AL150" s="97">
        <f t="shared" si="33"/>
        <v>1.4271487007981378E-5</v>
      </c>
    </row>
    <row r="151" spans="1:38" x14ac:dyDescent="0.3">
      <c r="A151" s="7" t="s">
        <v>1845</v>
      </c>
      <c r="B151" s="7" t="s">
        <v>194</v>
      </c>
      <c r="C151" s="7" t="s">
        <v>1323</v>
      </c>
      <c r="D151" s="7" t="s">
        <v>1846</v>
      </c>
      <c r="E151" s="7" t="s">
        <v>1322</v>
      </c>
      <c r="F151" s="36">
        <v>44348</v>
      </c>
      <c r="G151" s="36">
        <v>46173</v>
      </c>
      <c r="H151" s="36">
        <v>46173</v>
      </c>
      <c r="I151" s="36">
        <v>46173</v>
      </c>
      <c r="J151" s="7" t="s">
        <v>1696</v>
      </c>
      <c r="K151" s="8">
        <v>0</v>
      </c>
      <c r="L151" s="8">
        <v>0</v>
      </c>
      <c r="M151" s="8">
        <v>51795.287379000001</v>
      </c>
      <c r="N151" s="8">
        <v>0</v>
      </c>
      <c r="O151" s="8">
        <v>0</v>
      </c>
      <c r="P151" s="8">
        <v>0</v>
      </c>
      <c r="Q151" s="8">
        <v>0</v>
      </c>
      <c r="R151" s="8">
        <f t="shared" si="34"/>
        <v>51795.287379000001</v>
      </c>
      <c r="S151" s="8">
        <v>0</v>
      </c>
      <c r="T151" s="8">
        <v>0</v>
      </c>
      <c r="U151" s="8">
        <v>49355</v>
      </c>
      <c r="V151" s="8">
        <v>0</v>
      </c>
      <c r="W151" s="8">
        <v>0</v>
      </c>
      <c r="X151" s="8">
        <v>0</v>
      </c>
      <c r="Y151" s="8">
        <v>154908.692029</v>
      </c>
      <c r="Z151" s="8">
        <v>0</v>
      </c>
      <c r="AA151" s="7">
        <v>3.4164379999999999</v>
      </c>
      <c r="AB151" s="8">
        <v>110091.82940800001</v>
      </c>
      <c r="AC151" s="7">
        <v>2.181667</v>
      </c>
      <c r="AD151" s="7" t="s">
        <v>1226</v>
      </c>
      <c r="AE151" s="8">
        <v>114209.08</v>
      </c>
      <c r="AF151" s="8">
        <v>0</v>
      </c>
      <c r="AG151" s="8">
        <v>114209.08</v>
      </c>
      <c r="AH151" s="8">
        <v>0</v>
      </c>
      <c r="AI151" s="7" t="s">
        <v>1758</v>
      </c>
      <c r="AJ151" s="7">
        <f t="shared" ca="1" si="35"/>
        <v>1</v>
      </c>
      <c r="AK151" s="96">
        <f t="shared" si="32"/>
        <v>3.2964227078105583E-4</v>
      </c>
      <c r="AL151" s="97">
        <f t="shared" si="33"/>
        <v>2.1320175312103309E-4</v>
      </c>
    </row>
    <row r="152" spans="1:38" x14ac:dyDescent="0.3">
      <c r="A152" s="7" t="s">
        <v>1847</v>
      </c>
      <c r="B152" s="7" t="s">
        <v>1848</v>
      </c>
      <c r="C152" s="7" t="s">
        <v>1323</v>
      </c>
      <c r="D152" s="7" t="s">
        <v>1849</v>
      </c>
      <c r="E152" s="7" t="s">
        <v>1322</v>
      </c>
      <c r="F152" s="36">
        <v>44197</v>
      </c>
      <c r="G152" s="36">
        <v>45291</v>
      </c>
      <c r="H152" s="36">
        <v>45291</v>
      </c>
      <c r="I152" s="36">
        <v>45291</v>
      </c>
      <c r="J152" s="7" t="s">
        <v>1696</v>
      </c>
      <c r="K152" s="8">
        <v>0</v>
      </c>
      <c r="L152" s="8">
        <v>0</v>
      </c>
      <c r="M152" s="8">
        <v>3333.40041475</v>
      </c>
      <c r="N152" s="8">
        <v>0</v>
      </c>
      <c r="O152" s="8">
        <v>0</v>
      </c>
      <c r="P152" s="8">
        <v>0</v>
      </c>
      <c r="Q152" s="8">
        <v>0</v>
      </c>
      <c r="R152" s="8">
        <f t="shared" si="34"/>
        <v>3333.40041475</v>
      </c>
      <c r="S152" s="8">
        <v>0</v>
      </c>
      <c r="T152" s="8">
        <v>0</v>
      </c>
      <c r="U152" s="8">
        <v>3333.4079999999999</v>
      </c>
      <c r="V152" s="8">
        <v>0</v>
      </c>
      <c r="W152" s="8">
        <v>0</v>
      </c>
      <c r="X152" s="8">
        <v>0</v>
      </c>
      <c r="Y152" s="8">
        <v>0</v>
      </c>
      <c r="Z152" s="8">
        <v>0.13789199999999999</v>
      </c>
      <c r="AA152" s="7">
        <v>1</v>
      </c>
      <c r="AB152" s="8">
        <v>3288.0146719999998</v>
      </c>
      <c r="AC152" s="7">
        <v>3</v>
      </c>
      <c r="AD152" s="7" t="s">
        <v>1226</v>
      </c>
      <c r="AE152" s="8">
        <v>3333.36</v>
      </c>
      <c r="AF152" s="8">
        <v>0</v>
      </c>
      <c r="AG152" s="8">
        <v>3333.36</v>
      </c>
      <c r="AH152" s="8">
        <v>0</v>
      </c>
      <c r="AI152" s="7" t="s">
        <v>1781</v>
      </c>
      <c r="AJ152" s="7">
        <f t="shared" ca="1" si="35"/>
        <v>1</v>
      </c>
      <c r="AK152" s="96">
        <f t="shared" si="32"/>
        <v>2.8816949917670214E-6</v>
      </c>
      <c r="AL152" s="97">
        <f t="shared" si="33"/>
        <v>8.5566772317914513E-6</v>
      </c>
    </row>
    <row r="153" spans="1:38" x14ac:dyDescent="0.3">
      <c r="A153" s="7" t="s">
        <v>1850</v>
      </c>
      <c r="B153" s="7" t="s">
        <v>1320</v>
      </c>
      <c r="C153" s="7" t="s">
        <v>1323</v>
      </c>
      <c r="D153" s="7" t="s">
        <v>1849</v>
      </c>
      <c r="E153" s="7" t="s">
        <v>1322</v>
      </c>
      <c r="F153" s="36">
        <v>44228</v>
      </c>
      <c r="G153" s="36">
        <v>45291</v>
      </c>
      <c r="H153" s="36">
        <v>45291</v>
      </c>
      <c r="I153" s="36">
        <v>45291</v>
      </c>
      <c r="J153" s="7" t="s">
        <v>1696</v>
      </c>
      <c r="K153" s="8">
        <v>0</v>
      </c>
      <c r="L153" s="8">
        <v>0</v>
      </c>
      <c r="M153" s="8">
        <v>2129.6170080000002</v>
      </c>
      <c r="N153" s="8">
        <v>0</v>
      </c>
      <c r="O153" s="8">
        <v>0</v>
      </c>
      <c r="P153" s="8">
        <v>0</v>
      </c>
      <c r="Q153" s="8">
        <v>0</v>
      </c>
      <c r="R153" s="8">
        <f t="shared" si="34"/>
        <v>2129.6170080000002</v>
      </c>
      <c r="S153" s="8">
        <v>0</v>
      </c>
      <c r="T153" s="8">
        <v>0</v>
      </c>
      <c r="U153" s="8">
        <v>2129.616</v>
      </c>
      <c r="V153" s="8">
        <v>0</v>
      </c>
      <c r="W153" s="8">
        <v>0</v>
      </c>
      <c r="X153" s="8">
        <v>0</v>
      </c>
      <c r="Y153" s="8">
        <v>3109.5951420000001</v>
      </c>
      <c r="Z153" s="8">
        <v>0</v>
      </c>
      <c r="AA153" s="7">
        <v>1</v>
      </c>
      <c r="AB153" s="8">
        <v>1096.2861499999999</v>
      </c>
      <c r="AC153" s="7">
        <v>2.9406669999999999</v>
      </c>
      <c r="AD153" s="7" t="s">
        <v>1226</v>
      </c>
      <c r="AE153" s="8">
        <v>1111.104</v>
      </c>
      <c r="AF153" s="8">
        <v>0</v>
      </c>
      <c r="AG153" s="8">
        <v>1111.104</v>
      </c>
      <c r="AH153" s="8">
        <v>0</v>
      </c>
      <c r="AI153" s="7" t="s">
        <v>1781</v>
      </c>
      <c r="AJ153" s="7">
        <f t="shared" ca="1" si="35"/>
        <v>1</v>
      </c>
      <c r="AK153" s="96">
        <f t="shared" si="32"/>
        <v>9.6081149968741665E-7</v>
      </c>
      <c r="AL153" s="97">
        <f t="shared" si="33"/>
        <v>2.7957751144896326E-6</v>
      </c>
    </row>
    <row r="154" spans="1:38" x14ac:dyDescent="0.3">
      <c r="A154" s="7" t="s">
        <v>1851</v>
      </c>
      <c r="B154" s="7" t="s">
        <v>194</v>
      </c>
      <c r="C154" s="7" t="s">
        <v>1323</v>
      </c>
      <c r="D154" s="7" t="s">
        <v>1852</v>
      </c>
      <c r="E154" s="7" t="s">
        <v>1773</v>
      </c>
      <c r="F154" s="36">
        <v>44805</v>
      </c>
      <c r="G154" s="36">
        <v>45688</v>
      </c>
      <c r="H154" s="36">
        <v>45688</v>
      </c>
      <c r="I154" s="36">
        <v>45688</v>
      </c>
      <c r="J154" s="7" t="s">
        <v>1696</v>
      </c>
      <c r="K154" s="8">
        <v>0</v>
      </c>
      <c r="L154" s="8">
        <v>0</v>
      </c>
      <c r="M154" s="8">
        <v>9000.0005899999996</v>
      </c>
      <c r="N154" s="8">
        <v>0</v>
      </c>
      <c r="O154" s="8">
        <v>0</v>
      </c>
      <c r="P154" s="8">
        <v>0</v>
      </c>
      <c r="Q154" s="8">
        <v>0</v>
      </c>
      <c r="R154" s="8">
        <f t="shared" si="34"/>
        <v>9000.0005899999996</v>
      </c>
      <c r="S154" s="8">
        <v>0</v>
      </c>
      <c r="T154" s="8">
        <v>0</v>
      </c>
      <c r="U154" s="8">
        <v>9000</v>
      </c>
      <c r="V154" s="8">
        <v>0</v>
      </c>
      <c r="W154" s="8">
        <v>0</v>
      </c>
      <c r="X154" s="8">
        <v>0</v>
      </c>
      <c r="Y154" s="8">
        <v>0</v>
      </c>
      <c r="Z154" s="8">
        <v>63324.103903000003</v>
      </c>
      <c r="AA154" s="7">
        <v>2.0876709999999998</v>
      </c>
      <c r="AB154" s="8">
        <v>54822.874493000003</v>
      </c>
      <c r="AC154" s="7">
        <v>2.584667</v>
      </c>
      <c r="AD154" s="7" t="s">
        <v>1226</v>
      </c>
      <c r="AE154" s="8">
        <v>56250</v>
      </c>
      <c r="AF154" s="8">
        <v>0</v>
      </c>
      <c r="AG154" s="8">
        <v>56250</v>
      </c>
      <c r="AH154" s="8">
        <v>0</v>
      </c>
      <c r="AI154" s="7" t="s">
        <v>1730</v>
      </c>
      <c r="AJ154" s="7">
        <f t="shared" ca="1" si="35"/>
        <v>1</v>
      </c>
      <c r="AK154" s="96">
        <f t="shared" si="32"/>
        <v>1.0030859011662737E-4</v>
      </c>
      <c r="AL154" s="97">
        <f t="shared" si="33"/>
        <v>1.2440241192818234E-4</v>
      </c>
    </row>
    <row r="155" spans="1:38" x14ac:dyDescent="0.3">
      <c r="A155" s="7" t="s">
        <v>1853</v>
      </c>
      <c r="B155" s="7" t="s">
        <v>1854</v>
      </c>
      <c r="C155" s="7" t="s">
        <v>1323</v>
      </c>
      <c r="D155" s="7" t="s">
        <v>1770</v>
      </c>
      <c r="E155" s="7" t="s">
        <v>1322</v>
      </c>
      <c r="F155" s="36">
        <v>42370</v>
      </c>
      <c r="G155" s="36">
        <v>46387</v>
      </c>
      <c r="H155" s="36">
        <v>46387</v>
      </c>
      <c r="I155" s="36">
        <v>46387</v>
      </c>
      <c r="J155" s="7" t="s">
        <v>1696</v>
      </c>
      <c r="K155" s="8">
        <v>0</v>
      </c>
      <c r="L155" s="8">
        <v>0</v>
      </c>
      <c r="M155" s="8">
        <v>419999.998303</v>
      </c>
      <c r="N155" s="8">
        <v>0</v>
      </c>
      <c r="O155" s="8">
        <v>0</v>
      </c>
      <c r="P155" s="8">
        <v>0</v>
      </c>
      <c r="Q155" s="8">
        <v>0</v>
      </c>
      <c r="R155" s="8">
        <f t="shared" si="34"/>
        <v>419999.998303</v>
      </c>
      <c r="S155" s="8">
        <v>0</v>
      </c>
      <c r="T155" s="8">
        <v>0</v>
      </c>
      <c r="U155" s="8">
        <v>420000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7">
        <v>4.0027400000000002</v>
      </c>
      <c r="AB155" s="8">
        <v>1612526.441011</v>
      </c>
      <c r="AC155" s="7">
        <v>2.1101670000000001</v>
      </c>
      <c r="AD155" s="7" t="s">
        <v>1226</v>
      </c>
      <c r="AE155" s="8">
        <v>1680000</v>
      </c>
      <c r="AF155" s="8">
        <v>0</v>
      </c>
      <c r="AG155" s="8">
        <v>1680000</v>
      </c>
      <c r="AH155" s="8">
        <v>0</v>
      </c>
      <c r="AI155" s="7" t="s">
        <v>1758</v>
      </c>
      <c r="AJ155" s="7">
        <f t="shared" ca="1" si="35"/>
        <v>1</v>
      </c>
      <c r="AK155" s="96">
        <f t="shared" si="32"/>
        <v>5.6568998589567954E-3</v>
      </c>
      <c r="AL155" s="97">
        <f t="shared" si="33"/>
        <v>3.0333867441678956E-3</v>
      </c>
    </row>
    <row r="156" spans="1:38" x14ac:dyDescent="0.3">
      <c r="A156" s="7" t="s">
        <v>1855</v>
      </c>
      <c r="B156" s="7" t="s">
        <v>194</v>
      </c>
      <c r="C156" s="7" t="s">
        <v>1432</v>
      </c>
      <c r="D156" s="7" t="s">
        <v>1324</v>
      </c>
      <c r="E156" s="7" t="s">
        <v>1322</v>
      </c>
      <c r="F156" s="36">
        <v>44252</v>
      </c>
      <c r="G156" s="36">
        <v>45346</v>
      </c>
      <c r="H156" s="36">
        <v>45346</v>
      </c>
      <c r="I156" s="36">
        <v>45375</v>
      </c>
      <c r="J156" s="7" t="s">
        <v>1696</v>
      </c>
      <c r="K156" s="8">
        <v>0</v>
      </c>
      <c r="L156" s="8">
        <v>0</v>
      </c>
      <c r="M156" s="8">
        <v>9000</v>
      </c>
      <c r="N156" s="8">
        <v>0</v>
      </c>
      <c r="O156" s="8">
        <v>0</v>
      </c>
      <c r="P156" s="8">
        <v>0</v>
      </c>
      <c r="Q156" s="8">
        <v>0</v>
      </c>
      <c r="R156" s="8">
        <f t="shared" si="34"/>
        <v>9000</v>
      </c>
      <c r="S156" s="8">
        <v>0</v>
      </c>
      <c r="T156" s="8">
        <v>0</v>
      </c>
      <c r="U156" s="8">
        <v>9000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7">
        <v>1.230137</v>
      </c>
      <c r="AB156" s="8">
        <v>10316.475915000001</v>
      </c>
      <c r="AC156" s="7">
        <v>2.920417</v>
      </c>
      <c r="AD156" s="7" t="s">
        <v>1226</v>
      </c>
      <c r="AE156" s="8">
        <v>10500</v>
      </c>
      <c r="AF156" s="8">
        <v>0</v>
      </c>
      <c r="AG156" s="8">
        <v>10500</v>
      </c>
      <c r="AH156" s="8">
        <v>0</v>
      </c>
      <c r="AI156" s="7" t="s">
        <v>1760</v>
      </c>
      <c r="AJ156" s="7">
        <f t="shared" ca="1" si="35"/>
        <v>1</v>
      </c>
      <c r="AK156" s="96">
        <f t="shared" si="32"/>
        <v>1.1122415498151641E-5</v>
      </c>
      <c r="AL156" s="97">
        <f t="shared" si="33"/>
        <v>2.6238309027326313E-5</v>
      </c>
    </row>
    <row r="157" spans="1:38" x14ac:dyDescent="0.3">
      <c r="A157" s="7" t="s">
        <v>1856</v>
      </c>
      <c r="B157" s="7" t="s">
        <v>194</v>
      </c>
      <c r="C157" s="7" t="s">
        <v>1323</v>
      </c>
      <c r="D157" s="7" t="s">
        <v>1324</v>
      </c>
      <c r="E157" s="7" t="s">
        <v>1695</v>
      </c>
      <c r="F157" s="36">
        <v>43480</v>
      </c>
      <c r="G157" s="36">
        <v>44575</v>
      </c>
      <c r="H157" s="36">
        <v>44895</v>
      </c>
      <c r="I157" s="36">
        <v>44895</v>
      </c>
      <c r="J157" s="7" t="s">
        <v>1239</v>
      </c>
      <c r="K157" s="8">
        <v>20432.59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f t="shared" si="34"/>
        <v>20432.59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7">
        <v>0</v>
      </c>
      <c r="AB157" s="8">
        <v>0</v>
      </c>
      <c r="AC157" s="7">
        <v>7</v>
      </c>
      <c r="AD157" s="7" t="s">
        <v>1226</v>
      </c>
      <c r="AE157" s="8">
        <v>0</v>
      </c>
      <c r="AF157" s="8">
        <v>0</v>
      </c>
      <c r="AG157" s="8">
        <v>0</v>
      </c>
      <c r="AH157" s="8">
        <v>0</v>
      </c>
      <c r="AI157" s="7" t="s">
        <v>1781</v>
      </c>
      <c r="AJ157" s="7">
        <f t="shared" ca="1" si="35"/>
        <v>1</v>
      </c>
      <c r="AK157" s="96">
        <f t="shared" ref="AK157:AK195" si="36">(+AA157*AB157)/$AB$1101</f>
        <v>0</v>
      </c>
      <c r="AL157" s="97">
        <f t="shared" ref="AL157:AL195" si="37">AC157/$AE$1101*AE157</f>
        <v>0</v>
      </c>
    </row>
    <row r="158" spans="1:38" x14ac:dyDescent="0.3">
      <c r="A158" s="7" t="s">
        <v>1856</v>
      </c>
      <c r="B158" s="7" t="s">
        <v>194</v>
      </c>
      <c r="C158" s="7" t="s">
        <v>1323</v>
      </c>
      <c r="D158" s="7" t="s">
        <v>1324</v>
      </c>
      <c r="E158" s="7" t="s">
        <v>1695</v>
      </c>
      <c r="F158" s="36">
        <v>43480</v>
      </c>
      <c r="G158" s="36">
        <v>44575</v>
      </c>
      <c r="H158" s="36">
        <v>44895</v>
      </c>
      <c r="I158" s="36">
        <v>44895</v>
      </c>
      <c r="J158" s="7" t="s">
        <v>1699</v>
      </c>
      <c r="K158" s="8">
        <v>0</v>
      </c>
      <c r="L158" s="8">
        <v>0</v>
      </c>
      <c r="M158" s="8">
        <v>0</v>
      </c>
      <c r="N158" s="8">
        <v>550000</v>
      </c>
      <c r="O158" s="8">
        <v>0</v>
      </c>
      <c r="P158" s="8">
        <v>0</v>
      </c>
      <c r="Q158" s="8">
        <v>0</v>
      </c>
      <c r="R158" s="8">
        <f t="shared" si="34"/>
        <v>550000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7">
        <v>0</v>
      </c>
      <c r="AB158" s="8">
        <v>0</v>
      </c>
      <c r="AC158" s="7">
        <v>7</v>
      </c>
      <c r="AD158" s="7" t="s">
        <v>1226</v>
      </c>
      <c r="AE158" s="8">
        <v>0</v>
      </c>
      <c r="AF158" s="8">
        <v>0</v>
      </c>
      <c r="AG158" s="8">
        <v>0</v>
      </c>
      <c r="AH158" s="8">
        <v>0</v>
      </c>
      <c r="AI158" s="7" t="s">
        <v>1781</v>
      </c>
      <c r="AJ158" s="7">
        <f t="shared" ca="1" si="35"/>
        <v>2</v>
      </c>
      <c r="AK158" s="100">
        <f>(+AA158*AB158)/$AB$1103</f>
        <v>0</v>
      </c>
      <c r="AL158" s="97">
        <f>AC158/$AE$1103*AE158</f>
        <v>0</v>
      </c>
    </row>
    <row r="159" spans="1:38" x14ac:dyDescent="0.3">
      <c r="A159" s="7" t="s">
        <v>1857</v>
      </c>
      <c r="B159" s="7" t="s">
        <v>194</v>
      </c>
      <c r="C159" s="7" t="s">
        <v>1323</v>
      </c>
      <c r="D159" s="7" t="s">
        <v>1324</v>
      </c>
      <c r="E159" s="7" t="s">
        <v>1695</v>
      </c>
      <c r="F159" s="36">
        <v>44378</v>
      </c>
      <c r="G159" s="36">
        <v>45473</v>
      </c>
      <c r="H159" s="36">
        <v>44835</v>
      </c>
      <c r="I159" s="36">
        <v>44835</v>
      </c>
      <c r="J159" s="7" t="s">
        <v>1239</v>
      </c>
      <c r="K159" s="8">
        <v>151307.474434</v>
      </c>
      <c r="L159" s="8">
        <v>56502.772122000002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f t="shared" si="34"/>
        <v>207810.246556</v>
      </c>
      <c r="S159" s="8">
        <v>0</v>
      </c>
      <c r="T159" s="8">
        <v>58120.068569000003</v>
      </c>
      <c r="U159" s="8">
        <v>0</v>
      </c>
      <c r="V159" s="8">
        <v>91879.931431000005</v>
      </c>
      <c r="W159" s="8">
        <v>0</v>
      </c>
      <c r="X159" s="8">
        <v>0</v>
      </c>
      <c r="Y159" s="8">
        <v>0</v>
      </c>
      <c r="Z159" s="8">
        <v>-958280.69752499997</v>
      </c>
      <c r="AA159" s="7">
        <v>0</v>
      </c>
      <c r="AB159" s="8">
        <v>0</v>
      </c>
      <c r="AC159" s="7">
        <v>7</v>
      </c>
      <c r="AD159" s="7" t="s">
        <v>1226</v>
      </c>
      <c r="AE159" s="8">
        <v>0</v>
      </c>
      <c r="AF159" s="8">
        <v>0</v>
      </c>
      <c r="AG159" s="8">
        <v>0</v>
      </c>
      <c r="AH159" s="8">
        <v>0</v>
      </c>
      <c r="AI159" s="7" t="s">
        <v>1758</v>
      </c>
      <c r="AJ159" s="7">
        <f t="shared" ca="1" si="35"/>
        <v>1</v>
      </c>
      <c r="AK159" s="96">
        <f t="shared" si="36"/>
        <v>0</v>
      </c>
      <c r="AL159" s="97">
        <f t="shared" si="37"/>
        <v>0</v>
      </c>
    </row>
    <row r="160" spans="1:38" x14ac:dyDescent="0.3">
      <c r="A160" s="7" t="s">
        <v>1858</v>
      </c>
      <c r="B160" s="7" t="s">
        <v>194</v>
      </c>
      <c r="C160" s="7" t="s">
        <v>1323</v>
      </c>
      <c r="D160" s="7" t="s">
        <v>1324</v>
      </c>
      <c r="E160" s="7" t="s">
        <v>1322</v>
      </c>
      <c r="F160" s="36">
        <v>44835</v>
      </c>
      <c r="G160" s="36">
        <v>45199</v>
      </c>
      <c r="H160" s="36">
        <v>45199</v>
      </c>
      <c r="I160" s="36">
        <v>45199</v>
      </c>
      <c r="J160" s="7" t="s">
        <v>1699</v>
      </c>
      <c r="K160" s="8">
        <v>0</v>
      </c>
      <c r="L160" s="8">
        <v>0</v>
      </c>
      <c r="M160" s="8">
        <v>0</v>
      </c>
      <c r="N160" s="8">
        <v>98000.000000999993</v>
      </c>
      <c r="O160" s="8">
        <v>0</v>
      </c>
      <c r="P160" s="8">
        <v>0</v>
      </c>
      <c r="Q160" s="8">
        <v>0</v>
      </c>
      <c r="R160" s="8">
        <f t="shared" si="34"/>
        <v>98000.000000999993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7">
        <v>0.74794499999999997</v>
      </c>
      <c r="AB160" s="8">
        <v>0</v>
      </c>
      <c r="AC160" s="7">
        <v>1.8843639999999999</v>
      </c>
      <c r="AD160" s="7" t="s">
        <v>1226</v>
      </c>
      <c r="AE160" s="8">
        <v>294000</v>
      </c>
      <c r="AF160" s="8">
        <v>0</v>
      </c>
      <c r="AG160" s="8">
        <v>294000</v>
      </c>
      <c r="AH160" s="8">
        <v>0</v>
      </c>
      <c r="AI160" s="7" t="s">
        <v>1758</v>
      </c>
      <c r="AJ160" s="7">
        <f t="shared" ca="1" si="35"/>
        <v>1</v>
      </c>
      <c r="AK160" s="100">
        <f>(+AA160*AB160)/$AB$1103</f>
        <v>0</v>
      </c>
      <c r="AL160" s="97">
        <f>AC160/$AE$1103*AE160</f>
        <v>6.6507374584250573E-2</v>
      </c>
    </row>
    <row r="161" spans="1:38" x14ac:dyDescent="0.3">
      <c r="A161" s="7" t="s">
        <v>1859</v>
      </c>
      <c r="B161" s="7" t="s">
        <v>1320</v>
      </c>
      <c r="C161" s="7" t="s">
        <v>1769</v>
      </c>
      <c r="D161" s="7" t="s">
        <v>1324</v>
      </c>
      <c r="E161" s="7" t="s">
        <v>1695</v>
      </c>
      <c r="F161" s="36">
        <v>44455</v>
      </c>
      <c r="G161" s="36">
        <v>45550</v>
      </c>
      <c r="H161" s="36">
        <v>44835</v>
      </c>
      <c r="I161" s="36">
        <v>44835</v>
      </c>
      <c r="J161" s="7" t="s">
        <v>1239</v>
      </c>
      <c r="K161" s="8">
        <v>4924.7370099999998</v>
      </c>
      <c r="L161" s="8">
        <v>572.57815400000004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f t="shared" si="34"/>
        <v>5497.3151639999996</v>
      </c>
      <c r="S161" s="8">
        <v>0</v>
      </c>
      <c r="T161" s="8">
        <v>562.51971400000002</v>
      </c>
      <c r="U161" s="8">
        <v>0</v>
      </c>
      <c r="V161" s="8">
        <v>7770.4452860000001</v>
      </c>
      <c r="W161" s="8">
        <v>0</v>
      </c>
      <c r="X161" s="8">
        <v>0</v>
      </c>
      <c r="Y161" s="8">
        <v>0</v>
      </c>
      <c r="Z161" s="8">
        <v>-25991.643746999998</v>
      </c>
      <c r="AA161" s="7">
        <v>0</v>
      </c>
      <c r="AB161" s="8">
        <v>0</v>
      </c>
      <c r="AC161" s="7">
        <v>3</v>
      </c>
      <c r="AD161" s="7" t="s">
        <v>1226</v>
      </c>
      <c r="AE161" s="8">
        <v>0</v>
      </c>
      <c r="AF161" s="8">
        <v>0</v>
      </c>
      <c r="AG161" s="8">
        <v>0</v>
      </c>
      <c r="AH161" s="8">
        <v>0</v>
      </c>
      <c r="AI161" s="7" t="s">
        <v>1194</v>
      </c>
      <c r="AJ161" s="7">
        <f t="shared" ca="1" si="35"/>
        <v>1</v>
      </c>
      <c r="AK161" s="96">
        <f t="shared" si="36"/>
        <v>0</v>
      </c>
      <c r="AL161" s="97">
        <f t="shared" si="37"/>
        <v>0</v>
      </c>
    </row>
    <row r="162" spans="1:38" x14ac:dyDescent="0.3">
      <c r="A162" s="7" t="s">
        <v>1860</v>
      </c>
      <c r="B162" s="7" t="s">
        <v>194</v>
      </c>
      <c r="C162" s="7" t="s">
        <v>1769</v>
      </c>
      <c r="D162" s="7" t="s">
        <v>1324</v>
      </c>
      <c r="E162" s="7" t="s">
        <v>1773</v>
      </c>
      <c r="F162" s="36">
        <v>44835</v>
      </c>
      <c r="G162" s="36">
        <v>45199</v>
      </c>
      <c r="H162" s="36">
        <v>45199</v>
      </c>
      <c r="I162" s="36">
        <v>45199</v>
      </c>
      <c r="J162" s="7" t="s">
        <v>1699</v>
      </c>
      <c r="K162" s="8">
        <v>0</v>
      </c>
      <c r="L162" s="8">
        <v>0</v>
      </c>
      <c r="M162" s="8">
        <v>0</v>
      </c>
      <c r="N162" s="8">
        <v>5625</v>
      </c>
      <c r="O162" s="8">
        <v>0</v>
      </c>
      <c r="P162" s="8">
        <v>0</v>
      </c>
      <c r="Q162" s="8">
        <v>0</v>
      </c>
      <c r="R162" s="8">
        <f t="shared" si="34"/>
        <v>5625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7">
        <v>0.74794499999999997</v>
      </c>
      <c r="AB162" s="8">
        <v>0</v>
      </c>
      <c r="AC162" s="7">
        <v>1.5760000000000001</v>
      </c>
      <c r="AD162" s="7" t="s">
        <v>1226</v>
      </c>
      <c r="AE162" s="8">
        <v>16875</v>
      </c>
      <c r="AF162" s="8">
        <v>1000</v>
      </c>
      <c r="AG162" s="8">
        <v>17875</v>
      </c>
      <c r="AH162" s="8">
        <v>0</v>
      </c>
      <c r="AI162" s="7" t="s">
        <v>1194</v>
      </c>
      <c r="AJ162" s="7">
        <f t="shared" ca="1" si="35"/>
        <v>1</v>
      </c>
      <c r="AK162" s="100">
        <f>(+AA162*AB162)/$AB$1103</f>
        <v>0</v>
      </c>
      <c r="AL162" s="97">
        <f>AC162/$AE$1103*AE162</f>
        <v>3.192696747102446E-3</v>
      </c>
    </row>
    <row r="163" spans="1:38" x14ac:dyDescent="0.3">
      <c r="A163" s="7" t="s">
        <v>1861</v>
      </c>
      <c r="B163" s="7" t="s">
        <v>1320</v>
      </c>
      <c r="C163" s="7" t="s">
        <v>1323</v>
      </c>
      <c r="D163" s="7" t="s">
        <v>1792</v>
      </c>
      <c r="E163" s="7" t="s">
        <v>1695</v>
      </c>
      <c r="F163" s="36">
        <v>43221</v>
      </c>
      <c r="G163" s="36">
        <v>44681</v>
      </c>
      <c r="H163" s="36">
        <v>44895</v>
      </c>
      <c r="I163" s="36">
        <v>44895</v>
      </c>
      <c r="J163" s="7" t="s">
        <v>1696</v>
      </c>
      <c r="K163" s="8">
        <v>0</v>
      </c>
      <c r="L163" s="8">
        <v>0</v>
      </c>
      <c r="M163" s="8">
        <v>1345.3699529999999</v>
      </c>
      <c r="N163" s="8">
        <v>0</v>
      </c>
      <c r="O163" s="8">
        <v>0</v>
      </c>
      <c r="P163" s="8">
        <v>0</v>
      </c>
      <c r="Q163" s="8">
        <v>0</v>
      </c>
      <c r="R163" s="8">
        <f t="shared" si="34"/>
        <v>1345.3699529999999</v>
      </c>
      <c r="S163" s="8">
        <v>0</v>
      </c>
      <c r="T163" s="8">
        <v>0</v>
      </c>
      <c r="U163" s="8">
        <v>1199.999988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7">
        <v>0</v>
      </c>
      <c r="AB163" s="8">
        <v>0</v>
      </c>
      <c r="AC163" s="7">
        <v>2.0449999999999999</v>
      </c>
      <c r="AD163" s="7" t="s">
        <v>1226</v>
      </c>
      <c r="AE163" s="8">
        <v>0</v>
      </c>
      <c r="AF163" s="8">
        <v>0</v>
      </c>
      <c r="AG163" s="8">
        <v>0</v>
      </c>
      <c r="AH163" s="8">
        <v>0</v>
      </c>
      <c r="AI163" s="7" t="s">
        <v>1736</v>
      </c>
      <c r="AJ163" s="7">
        <f t="shared" ca="1" si="35"/>
        <v>1</v>
      </c>
      <c r="AK163" s="96">
        <f>(+AA163*AB163)/$AB$1102</f>
        <v>0</v>
      </c>
      <c r="AL163" s="97">
        <f>AC163/$AE$1102*AE163</f>
        <v>0</v>
      </c>
    </row>
    <row r="164" spans="1:38" x14ac:dyDescent="0.3">
      <c r="A164" s="7" t="s">
        <v>1861</v>
      </c>
      <c r="B164" s="7" t="s">
        <v>1320</v>
      </c>
      <c r="C164" s="7" t="s">
        <v>1323</v>
      </c>
      <c r="D164" s="7" t="s">
        <v>1792</v>
      </c>
      <c r="E164" s="7" t="s">
        <v>1695</v>
      </c>
      <c r="F164" s="36">
        <v>43221</v>
      </c>
      <c r="G164" s="36">
        <v>44681</v>
      </c>
      <c r="H164" s="36">
        <v>44895</v>
      </c>
      <c r="I164" s="36">
        <v>44895</v>
      </c>
      <c r="J164" s="7" t="s">
        <v>1699</v>
      </c>
      <c r="K164" s="8">
        <v>0</v>
      </c>
      <c r="L164" s="8">
        <v>0</v>
      </c>
      <c r="M164" s="8">
        <v>0</v>
      </c>
      <c r="N164" s="8">
        <v>2100</v>
      </c>
      <c r="O164" s="8">
        <v>0</v>
      </c>
      <c r="P164" s="8">
        <v>0</v>
      </c>
      <c r="Q164" s="8">
        <v>0</v>
      </c>
      <c r="R164" s="8">
        <f t="shared" si="34"/>
        <v>2100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7">
        <v>0</v>
      </c>
      <c r="AB164" s="8">
        <v>0</v>
      </c>
      <c r="AC164" s="7">
        <v>2.0449999999999999</v>
      </c>
      <c r="AD164" s="7" t="s">
        <v>1226</v>
      </c>
      <c r="AE164" s="8">
        <v>0</v>
      </c>
      <c r="AF164" s="8">
        <v>0</v>
      </c>
      <c r="AG164" s="8">
        <v>0</v>
      </c>
      <c r="AH164" s="8">
        <v>0</v>
      </c>
      <c r="AI164" s="7" t="s">
        <v>1736</v>
      </c>
      <c r="AJ164" s="7">
        <f t="shared" ca="1" si="35"/>
        <v>2</v>
      </c>
      <c r="AK164" s="100">
        <f>(+AA164*AB164)/$AB$1103</f>
        <v>0</v>
      </c>
      <c r="AL164" s="97">
        <f>AC164/$AE$1103*AE164</f>
        <v>0</v>
      </c>
    </row>
    <row r="165" spans="1:38" x14ac:dyDescent="0.3">
      <c r="A165" s="7" t="s">
        <v>1862</v>
      </c>
      <c r="B165" s="7" t="s">
        <v>1320</v>
      </c>
      <c r="C165" s="7" t="s">
        <v>1323</v>
      </c>
      <c r="D165" s="7" t="s">
        <v>1792</v>
      </c>
      <c r="E165" s="7" t="s">
        <v>1695</v>
      </c>
      <c r="F165" s="36">
        <v>43230</v>
      </c>
      <c r="G165" s="36">
        <v>44690</v>
      </c>
      <c r="H165" s="36">
        <v>44895</v>
      </c>
      <c r="I165" s="36">
        <v>44895</v>
      </c>
      <c r="J165" s="7" t="s">
        <v>1696</v>
      </c>
      <c r="K165" s="8">
        <v>0</v>
      </c>
      <c r="L165" s="8">
        <v>0</v>
      </c>
      <c r="M165" s="8">
        <v>1589.0894189999999</v>
      </c>
      <c r="N165" s="8">
        <v>0</v>
      </c>
      <c r="O165" s="8">
        <v>0</v>
      </c>
      <c r="P165" s="8">
        <v>0</v>
      </c>
      <c r="Q165" s="8">
        <v>0</v>
      </c>
      <c r="R165" s="8">
        <f t="shared" si="34"/>
        <v>1589.0894189999999</v>
      </c>
      <c r="S165" s="8">
        <v>0</v>
      </c>
      <c r="T165" s="8">
        <v>0</v>
      </c>
      <c r="U165" s="8">
        <v>1481.568</v>
      </c>
      <c r="V165" s="8">
        <v>0</v>
      </c>
      <c r="W165" s="8">
        <v>0</v>
      </c>
      <c r="X165" s="8">
        <v>0</v>
      </c>
      <c r="Y165" s="8">
        <v>0</v>
      </c>
      <c r="Z165" s="8">
        <v>9.2268000000000003E-2</v>
      </c>
      <c r="AA165" s="7">
        <v>0</v>
      </c>
      <c r="AB165" s="8">
        <v>0</v>
      </c>
      <c r="AC165" s="7">
        <v>2.0449999999999999</v>
      </c>
      <c r="AD165" s="7" t="s">
        <v>1226</v>
      </c>
      <c r="AE165" s="8">
        <v>0</v>
      </c>
      <c r="AF165" s="8">
        <v>0</v>
      </c>
      <c r="AG165" s="8">
        <v>0</v>
      </c>
      <c r="AH165" s="8">
        <v>0</v>
      </c>
      <c r="AI165" s="7" t="s">
        <v>1736</v>
      </c>
      <c r="AJ165" s="7">
        <f t="shared" ca="1" si="35"/>
        <v>1</v>
      </c>
      <c r="AK165" s="96">
        <f>(+AA165*AB165)/$AB$1102</f>
        <v>0</v>
      </c>
      <c r="AL165" s="97">
        <f>AC165/$AE$1102*AE165</f>
        <v>0</v>
      </c>
    </row>
    <row r="166" spans="1:38" x14ac:dyDescent="0.3">
      <c r="A166" s="7" t="s">
        <v>1862</v>
      </c>
      <c r="B166" s="7" t="s">
        <v>1320</v>
      </c>
      <c r="C166" s="7" t="s">
        <v>1323</v>
      </c>
      <c r="D166" s="7" t="s">
        <v>1792</v>
      </c>
      <c r="E166" s="7" t="s">
        <v>1695</v>
      </c>
      <c r="F166" s="36">
        <v>43230</v>
      </c>
      <c r="G166" s="36">
        <v>44690</v>
      </c>
      <c r="H166" s="36">
        <v>44895</v>
      </c>
      <c r="I166" s="36">
        <v>44895</v>
      </c>
      <c r="J166" s="7" t="s">
        <v>1699</v>
      </c>
      <c r="K166" s="8">
        <v>0</v>
      </c>
      <c r="L166" s="8">
        <v>0</v>
      </c>
      <c r="M166" s="8">
        <v>0</v>
      </c>
      <c r="N166" s="8">
        <v>2592.59</v>
      </c>
      <c r="O166" s="8">
        <v>0</v>
      </c>
      <c r="P166" s="8">
        <v>0</v>
      </c>
      <c r="Q166" s="8">
        <v>0</v>
      </c>
      <c r="R166" s="8">
        <f t="shared" si="34"/>
        <v>2592.59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7">
        <v>0</v>
      </c>
      <c r="AB166" s="8">
        <v>0</v>
      </c>
      <c r="AC166" s="7">
        <v>2.0449999999999999</v>
      </c>
      <c r="AD166" s="7" t="s">
        <v>1226</v>
      </c>
      <c r="AE166" s="8">
        <v>0</v>
      </c>
      <c r="AF166" s="8">
        <v>0</v>
      </c>
      <c r="AG166" s="8">
        <v>0</v>
      </c>
      <c r="AH166" s="8">
        <v>0</v>
      </c>
      <c r="AI166" s="7" t="s">
        <v>1736</v>
      </c>
      <c r="AJ166" s="7">
        <f t="shared" ca="1" si="35"/>
        <v>2</v>
      </c>
      <c r="AK166" s="100">
        <f>(+AA166*AB166)/$AB$1103</f>
        <v>0</v>
      </c>
      <c r="AL166" s="97">
        <f>AC166/$AE$1103*AE166</f>
        <v>0</v>
      </c>
    </row>
    <row r="167" spans="1:38" x14ac:dyDescent="0.3">
      <c r="A167" s="7" t="s">
        <v>1863</v>
      </c>
      <c r="B167" s="7" t="s">
        <v>1320</v>
      </c>
      <c r="C167" s="7" t="s">
        <v>1323</v>
      </c>
      <c r="D167" s="7" t="s">
        <v>1792</v>
      </c>
      <c r="E167" s="7" t="s">
        <v>1695</v>
      </c>
      <c r="F167" s="36">
        <v>43230</v>
      </c>
      <c r="G167" s="36">
        <v>44690</v>
      </c>
      <c r="J167" s="7" t="s">
        <v>1696</v>
      </c>
      <c r="K167" s="8">
        <v>0</v>
      </c>
      <c r="L167" s="8">
        <v>0</v>
      </c>
      <c r="M167" s="8">
        <v>1589.0894189999999</v>
      </c>
      <c r="N167" s="8">
        <v>0</v>
      </c>
      <c r="O167" s="8">
        <v>0</v>
      </c>
      <c r="P167" s="8">
        <v>0</v>
      </c>
      <c r="Q167" s="8">
        <v>0</v>
      </c>
      <c r="R167" s="8">
        <f t="shared" si="34"/>
        <v>1589.0894189999999</v>
      </c>
      <c r="S167" s="8">
        <v>0</v>
      </c>
      <c r="T167" s="8">
        <v>0</v>
      </c>
      <c r="U167" s="8">
        <v>1481.568</v>
      </c>
      <c r="V167" s="8">
        <v>0</v>
      </c>
      <c r="W167" s="8">
        <v>0</v>
      </c>
      <c r="X167" s="8">
        <v>0</v>
      </c>
      <c r="Y167" s="8">
        <v>0</v>
      </c>
      <c r="Z167" s="8">
        <v>9.2268000000000003E-2</v>
      </c>
      <c r="AA167" s="7">
        <v>0</v>
      </c>
      <c r="AB167" s="8">
        <v>0</v>
      </c>
      <c r="AC167" s="7">
        <v>2.0449999999999999</v>
      </c>
      <c r="AD167" s="7" t="s">
        <v>1226</v>
      </c>
      <c r="AE167" s="8">
        <v>0</v>
      </c>
      <c r="AF167" s="8">
        <v>0</v>
      </c>
      <c r="AG167" s="8">
        <v>0</v>
      </c>
      <c r="AH167" s="8">
        <v>0</v>
      </c>
      <c r="AI167" s="7" t="s">
        <v>1736</v>
      </c>
      <c r="AJ167" s="7">
        <f t="shared" ca="1" si="35"/>
        <v>1</v>
      </c>
      <c r="AK167" s="96">
        <f>(+AA167*AB167)/$AB$1102</f>
        <v>0</v>
      </c>
      <c r="AL167" s="97">
        <f>AC167/$AE$1102*AE167</f>
        <v>0</v>
      </c>
    </row>
    <row r="168" spans="1:38" x14ac:dyDescent="0.3">
      <c r="A168" s="7" t="s">
        <v>1863</v>
      </c>
      <c r="B168" s="7" t="s">
        <v>1320</v>
      </c>
      <c r="C168" s="7" t="s">
        <v>1323</v>
      </c>
      <c r="D168" s="7" t="s">
        <v>1792</v>
      </c>
      <c r="E168" s="7" t="s">
        <v>1695</v>
      </c>
      <c r="F168" s="36">
        <v>43230</v>
      </c>
      <c r="G168" s="36">
        <v>44690</v>
      </c>
      <c r="J168" s="7" t="s">
        <v>1699</v>
      </c>
      <c r="K168" s="8">
        <v>0</v>
      </c>
      <c r="L168" s="8">
        <v>0</v>
      </c>
      <c r="M168" s="8">
        <v>0</v>
      </c>
      <c r="N168" s="8">
        <v>370.36999900000001</v>
      </c>
      <c r="O168" s="8">
        <v>0</v>
      </c>
      <c r="P168" s="8">
        <v>0</v>
      </c>
      <c r="Q168" s="8">
        <v>0</v>
      </c>
      <c r="R168" s="8">
        <f t="shared" si="34"/>
        <v>370.36999900000001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7">
        <v>0</v>
      </c>
      <c r="AB168" s="8">
        <v>0</v>
      </c>
      <c r="AC168" s="7">
        <v>2.0449999999999999</v>
      </c>
      <c r="AD168" s="7" t="s">
        <v>1226</v>
      </c>
      <c r="AE168" s="8">
        <v>0</v>
      </c>
      <c r="AF168" s="8">
        <v>0</v>
      </c>
      <c r="AG168" s="8">
        <v>0</v>
      </c>
      <c r="AH168" s="8">
        <v>0</v>
      </c>
      <c r="AI168" s="7" t="s">
        <v>1736</v>
      </c>
      <c r="AJ168" s="7">
        <f t="shared" ca="1" si="35"/>
        <v>2</v>
      </c>
      <c r="AK168" s="100">
        <f>(+AA168*AB168)/$AB$1103</f>
        <v>0</v>
      </c>
      <c r="AL168" s="97">
        <f>AC168/$AE$1103*AE168</f>
        <v>0</v>
      </c>
    </row>
    <row r="169" spans="1:38" x14ac:dyDescent="0.3">
      <c r="A169" s="7" t="s">
        <v>1864</v>
      </c>
      <c r="B169" s="7" t="s">
        <v>1320</v>
      </c>
      <c r="C169" s="7" t="s">
        <v>1323</v>
      </c>
      <c r="D169" s="7" t="s">
        <v>1792</v>
      </c>
      <c r="E169" s="7" t="s">
        <v>1322</v>
      </c>
      <c r="F169" s="36">
        <v>44715</v>
      </c>
      <c r="G169" s="36">
        <v>46175</v>
      </c>
      <c r="H169" s="36">
        <v>46175</v>
      </c>
      <c r="I169" s="36">
        <v>45445</v>
      </c>
      <c r="J169" s="7" t="s">
        <v>1696</v>
      </c>
      <c r="K169" s="8">
        <v>0</v>
      </c>
      <c r="L169" s="8">
        <v>0</v>
      </c>
      <c r="M169" s="8">
        <v>4355.3962330000004</v>
      </c>
      <c r="N169" s="8">
        <v>0</v>
      </c>
      <c r="O169" s="8">
        <v>0</v>
      </c>
      <c r="P169" s="8">
        <v>0</v>
      </c>
      <c r="Q169" s="8">
        <v>0</v>
      </c>
      <c r="R169" s="8">
        <f t="shared" si="34"/>
        <v>4355.3962330000004</v>
      </c>
      <c r="S169" s="8">
        <v>0</v>
      </c>
      <c r="T169" s="8">
        <v>0</v>
      </c>
      <c r="U169" s="8">
        <v>2592.59</v>
      </c>
      <c r="V169" s="8">
        <v>0</v>
      </c>
      <c r="W169" s="8">
        <v>0</v>
      </c>
      <c r="X169" s="8">
        <v>0</v>
      </c>
      <c r="Y169" s="8">
        <v>0</v>
      </c>
      <c r="Z169" s="8">
        <v>15052.811174</v>
      </c>
      <c r="AA169" s="7">
        <v>1.421918</v>
      </c>
      <c r="AB169" s="8">
        <v>12621.597406999999</v>
      </c>
      <c r="AC169" s="7">
        <v>2.0449999999999999</v>
      </c>
      <c r="AD169" s="7" t="s">
        <v>1226</v>
      </c>
      <c r="AE169" s="8">
        <v>6296.29</v>
      </c>
      <c r="AF169" s="8">
        <v>0</v>
      </c>
      <c r="AG169" s="8">
        <v>6296.29</v>
      </c>
      <c r="AH169" s="8">
        <v>0</v>
      </c>
      <c r="AI169" s="7" t="s">
        <v>1736</v>
      </c>
      <c r="AJ169" s="7">
        <f t="shared" ca="1" si="35"/>
        <v>1</v>
      </c>
      <c r="AK169" s="96">
        <f t="shared" ref="AK169:AK170" si="38">(+AA169*AB169)/$AB$1102</f>
        <v>1.5729073440177741E-5</v>
      </c>
      <c r="AL169" s="97">
        <f t="shared" ref="AL169:AL170" si="39">AC169/$AE$1102*AE169</f>
        <v>1.101741506402563E-5</v>
      </c>
    </row>
    <row r="170" spans="1:38" x14ac:dyDescent="0.3">
      <c r="A170" s="7" t="s">
        <v>1865</v>
      </c>
      <c r="B170" s="7" t="s">
        <v>1320</v>
      </c>
      <c r="C170" s="7" t="s">
        <v>1323</v>
      </c>
      <c r="D170" s="7" t="s">
        <v>1792</v>
      </c>
      <c r="E170" s="7" t="s">
        <v>1695</v>
      </c>
      <c r="F170" s="36">
        <v>43230</v>
      </c>
      <c r="G170" s="36">
        <v>44690</v>
      </c>
      <c r="H170" s="36">
        <v>44895</v>
      </c>
      <c r="I170" s="36">
        <v>44895</v>
      </c>
      <c r="J170" s="7" t="s">
        <v>1696</v>
      </c>
      <c r="K170" s="8">
        <v>0</v>
      </c>
      <c r="L170" s="8">
        <v>0</v>
      </c>
      <c r="M170" s="8">
        <v>1589.0894189999999</v>
      </c>
      <c r="N170" s="8">
        <v>0</v>
      </c>
      <c r="O170" s="8">
        <v>0</v>
      </c>
      <c r="P170" s="8">
        <v>0</v>
      </c>
      <c r="Q170" s="8">
        <v>0</v>
      </c>
      <c r="R170" s="8">
        <f t="shared" si="34"/>
        <v>1589.0894189999999</v>
      </c>
      <c r="S170" s="8">
        <v>0</v>
      </c>
      <c r="T170" s="8">
        <v>0</v>
      </c>
      <c r="U170" s="8">
        <v>1481.568</v>
      </c>
      <c r="V170" s="8">
        <v>0</v>
      </c>
      <c r="W170" s="8">
        <v>0</v>
      </c>
      <c r="X170" s="8">
        <v>0</v>
      </c>
      <c r="Y170" s="8">
        <v>0</v>
      </c>
      <c r="Z170" s="8">
        <v>9.2268000000000003E-2</v>
      </c>
      <c r="AA170" s="7">
        <v>0</v>
      </c>
      <c r="AB170" s="8">
        <v>0</v>
      </c>
      <c r="AC170" s="7">
        <v>2.0449999999999999</v>
      </c>
      <c r="AD170" s="7" t="s">
        <v>1226</v>
      </c>
      <c r="AE170" s="8">
        <v>0</v>
      </c>
      <c r="AF170" s="8">
        <v>0</v>
      </c>
      <c r="AG170" s="8">
        <v>0</v>
      </c>
      <c r="AH170" s="8">
        <v>0</v>
      </c>
      <c r="AI170" s="7" t="s">
        <v>1736</v>
      </c>
      <c r="AJ170" s="7">
        <f t="shared" ca="1" si="35"/>
        <v>1</v>
      </c>
      <c r="AK170" s="96">
        <f t="shared" si="38"/>
        <v>0</v>
      </c>
      <c r="AL170" s="97">
        <f t="shared" si="39"/>
        <v>0</v>
      </c>
    </row>
    <row r="171" spans="1:38" x14ac:dyDescent="0.3">
      <c r="A171" s="7" t="s">
        <v>1865</v>
      </c>
      <c r="B171" s="7" t="s">
        <v>1320</v>
      </c>
      <c r="C171" s="7" t="s">
        <v>1323</v>
      </c>
      <c r="D171" s="7" t="s">
        <v>1792</v>
      </c>
      <c r="E171" s="7" t="s">
        <v>1695</v>
      </c>
      <c r="F171" s="36">
        <v>43230</v>
      </c>
      <c r="G171" s="36">
        <v>44690</v>
      </c>
      <c r="H171" s="36">
        <v>44895</v>
      </c>
      <c r="I171" s="36">
        <v>44895</v>
      </c>
      <c r="J171" s="7" t="s">
        <v>1699</v>
      </c>
      <c r="K171" s="8">
        <v>0</v>
      </c>
      <c r="L171" s="8">
        <v>0</v>
      </c>
      <c r="M171" s="8">
        <v>0</v>
      </c>
      <c r="N171" s="8">
        <v>2592.59</v>
      </c>
      <c r="O171" s="8">
        <v>0</v>
      </c>
      <c r="P171" s="8">
        <v>0</v>
      </c>
      <c r="Q171" s="8">
        <v>0</v>
      </c>
      <c r="R171" s="8">
        <f t="shared" si="34"/>
        <v>2592.59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7">
        <v>0</v>
      </c>
      <c r="AB171" s="8">
        <v>0</v>
      </c>
      <c r="AC171" s="7">
        <v>2.0449999999999999</v>
      </c>
      <c r="AD171" s="7" t="s">
        <v>1226</v>
      </c>
      <c r="AE171" s="8">
        <v>0</v>
      </c>
      <c r="AF171" s="8">
        <v>0</v>
      </c>
      <c r="AG171" s="8">
        <v>0</v>
      </c>
      <c r="AH171" s="8">
        <v>0</v>
      </c>
      <c r="AI171" s="7" t="s">
        <v>1736</v>
      </c>
      <c r="AJ171" s="7">
        <f t="shared" ca="1" si="35"/>
        <v>2</v>
      </c>
      <c r="AK171" s="100">
        <f>(+AA171*AB171)/$AB$1103</f>
        <v>0</v>
      </c>
      <c r="AL171" s="97">
        <f>AC171/$AE$1103*AE171</f>
        <v>0</v>
      </c>
    </row>
    <row r="172" spans="1:38" x14ac:dyDescent="0.3">
      <c r="A172" s="7" t="s">
        <v>1866</v>
      </c>
      <c r="B172" s="7" t="s">
        <v>1320</v>
      </c>
      <c r="C172" s="7" t="s">
        <v>1323</v>
      </c>
      <c r="D172" s="7" t="s">
        <v>1324</v>
      </c>
      <c r="E172" s="7" t="s">
        <v>1695</v>
      </c>
      <c r="F172" s="36">
        <v>43862</v>
      </c>
      <c r="G172" s="36">
        <v>44561</v>
      </c>
      <c r="H172" s="36">
        <v>44895</v>
      </c>
      <c r="I172" s="36">
        <v>44895</v>
      </c>
      <c r="J172" s="7" t="s">
        <v>1696</v>
      </c>
      <c r="K172" s="8">
        <v>0</v>
      </c>
      <c r="L172" s="8">
        <v>0</v>
      </c>
      <c r="M172" s="8">
        <v>-40758932.829039998</v>
      </c>
      <c r="N172" s="8">
        <v>0</v>
      </c>
      <c r="O172" s="8">
        <v>0</v>
      </c>
      <c r="P172" s="8">
        <v>0</v>
      </c>
      <c r="Q172" s="8">
        <v>0</v>
      </c>
      <c r="R172" s="8">
        <f t="shared" si="34"/>
        <v>-40758932.829039998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7">
        <v>0</v>
      </c>
      <c r="AB172" s="8">
        <v>0</v>
      </c>
      <c r="AC172" s="7">
        <v>1.7840830000000001</v>
      </c>
      <c r="AD172" s="7" t="s">
        <v>1226</v>
      </c>
      <c r="AE172" s="8">
        <v>0</v>
      </c>
      <c r="AF172" s="8">
        <v>0</v>
      </c>
      <c r="AG172" s="8">
        <v>0</v>
      </c>
      <c r="AH172" s="8">
        <v>0</v>
      </c>
      <c r="AI172" s="7" t="s">
        <v>1194</v>
      </c>
      <c r="AJ172" s="7">
        <f t="shared" ca="1" si="35"/>
        <v>1</v>
      </c>
      <c r="AK172" s="96">
        <f>(+AA172*AB172)/$AB$1102</f>
        <v>0</v>
      </c>
      <c r="AL172" s="97">
        <f>AC172/$AE$1102*AE172</f>
        <v>0</v>
      </c>
    </row>
    <row r="173" spans="1:38" x14ac:dyDescent="0.3">
      <c r="A173" s="7" t="s">
        <v>1866</v>
      </c>
      <c r="B173" s="7" t="s">
        <v>1320</v>
      </c>
      <c r="C173" s="7" t="s">
        <v>1323</v>
      </c>
      <c r="D173" s="7" t="s">
        <v>1324</v>
      </c>
      <c r="E173" s="7" t="s">
        <v>1695</v>
      </c>
      <c r="F173" s="36">
        <v>43862</v>
      </c>
      <c r="G173" s="36">
        <v>44561</v>
      </c>
      <c r="H173" s="36">
        <v>44895</v>
      </c>
      <c r="I173" s="36">
        <v>44895</v>
      </c>
      <c r="J173" s="7" t="s">
        <v>1699</v>
      </c>
      <c r="K173" s="8">
        <v>0</v>
      </c>
      <c r="L173" s="8">
        <v>0</v>
      </c>
      <c r="M173" s="8">
        <v>0</v>
      </c>
      <c r="N173" s="8">
        <v>6790.08</v>
      </c>
      <c r="O173" s="8">
        <v>0</v>
      </c>
      <c r="P173" s="8">
        <v>0</v>
      </c>
      <c r="Q173" s="8">
        <v>0</v>
      </c>
      <c r="R173" s="8">
        <f t="shared" si="34"/>
        <v>6790.08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7">
        <v>0</v>
      </c>
      <c r="AB173" s="8">
        <v>0</v>
      </c>
      <c r="AC173" s="7">
        <v>1.7840830000000001</v>
      </c>
      <c r="AD173" s="7" t="s">
        <v>1226</v>
      </c>
      <c r="AE173" s="8">
        <v>0</v>
      </c>
      <c r="AF173" s="8">
        <v>0</v>
      </c>
      <c r="AG173" s="8">
        <v>0</v>
      </c>
      <c r="AH173" s="8">
        <v>0</v>
      </c>
      <c r="AI173" s="7" t="s">
        <v>1194</v>
      </c>
      <c r="AJ173" s="7">
        <f t="shared" ca="1" si="35"/>
        <v>2</v>
      </c>
      <c r="AK173" s="100">
        <f>(+AA173*AB173)/$AB$1103</f>
        <v>0</v>
      </c>
      <c r="AL173" s="97">
        <f>AC173/$AE$1103*AE173</f>
        <v>0</v>
      </c>
    </row>
    <row r="174" spans="1:38" x14ac:dyDescent="0.3">
      <c r="A174" s="7" t="s">
        <v>1867</v>
      </c>
      <c r="B174" s="7" t="s">
        <v>1320</v>
      </c>
      <c r="C174" s="7" t="s">
        <v>1323</v>
      </c>
      <c r="D174" s="7" t="s">
        <v>1694</v>
      </c>
      <c r="E174" s="7" t="s">
        <v>1695</v>
      </c>
      <c r="F174" s="36">
        <v>43466</v>
      </c>
      <c r="G174" s="36">
        <v>44561</v>
      </c>
      <c r="H174" s="36">
        <v>44895</v>
      </c>
      <c r="I174" s="36">
        <v>44895</v>
      </c>
      <c r="J174" s="7" t="s">
        <v>1696</v>
      </c>
      <c r="K174" s="8">
        <v>0</v>
      </c>
      <c r="L174" s="8">
        <v>0</v>
      </c>
      <c r="M174" s="8">
        <v>47238.664309</v>
      </c>
      <c r="N174" s="8">
        <v>0</v>
      </c>
      <c r="O174" s="8">
        <v>0</v>
      </c>
      <c r="P174" s="8">
        <v>0</v>
      </c>
      <c r="Q174" s="8">
        <v>0</v>
      </c>
      <c r="R174" s="8">
        <f t="shared" si="34"/>
        <v>47238.664309</v>
      </c>
      <c r="S174" s="8">
        <v>0</v>
      </c>
      <c r="T174" s="8">
        <v>0</v>
      </c>
      <c r="U174" s="8">
        <v>200000</v>
      </c>
      <c r="V174" s="8">
        <v>0</v>
      </c>
      <c r="W174" s="8">
        <v>0</v>
      </c>
      <c r="X174" s="8">
        <v>0</v>
      </c>
      <c r="Y174" s="8">
        <v>0</v>
      </c>
      <c r="Z174" s="8">
        <v>199339.73866900001</v>
      </c>
      <c r="AA174" s="7">
        <v>0</v>
      </c>
      <c r="AB174" s="8">
        <v>0</v>
      </c>
      <c r="AC174" s="7">
        <v>2.920417</v>
      </c>
      <c r="AD174" s="7" t="s">
        <v>1697</v>
      </c>
      <c r="AE174" s="8">
        <v>0</v>
      </c>
      <c r="AF174" s="8">
        <v>0</v>
      </c>
      <c r="AG174" s="8">
        <v>0</v>
      </c>
      <c r="AH174" s="8">
        <v>0</v>
      </c>
      <c r="AI174" s="7" t="s">
        <v>1194</v>
      </c>
      <c r="AJ174" s="7">
        <f t="shared" ca="1" si="35"/>
        <v>1</v>
      </c>
      <c r="AK174" s="96">
        <f t="shared" ref="AK174:AK175" si="40">(+AA174*AB174)/$AB$1102</f>
        <v>0</v>
      </c>
      <c r="AL174" s="97">
        <f t="shared" ref="AL174:AL175" si="41">AC174/$AE$1102*AE174</f>
        <v>0</v>
      </c>
    </row>
    <row r="175" spans="1:38" x14ac:dyDescent="0.3">
      <c r="A175" s="7" t="s">
        <v>1868</v>
      </c>
      <c r="B175" s="7" t="s">
        <v>1320</v>
      </c>
      <c r="C175" s="7" t="s">
        <v>1323</v>
      </c>
      <c r="D175" s="7" t="s">
        <v>1694</v>
      </c>
      <c r="E175" s="7" t="s">
        <v>1695</v>
      </c>
      <c r="F175" s="36">
        <v>43466</v>
      </c>
      <c r="G175" s="36">
        <v>44561</v>
      </c>
      <c r="H175" s="36">
        <v>44895</v>
      </c>
      <c r="I175" s="36">
        <v>44895</v>
      </c>
      <c r="J175" s="7" t="s">
        <v>1696</v>
      </c>
      <c r="K175" s="8">
        <v>0</v>
      </c>
      <c r="L175" s="8">
        <v>0</v>
      </c>
      <c r="M175" s="8">
        <v>8254.5052880000003</v>
      </c>
      <c r="N175" s="8">
        <v>0</v>
      </c>
      <c r="O175" s="8">
        <v>0</v>
      </c>
      <c r="P175" s="8">
        <v>0</v>
      </c>
      <c r="Q175" s="8">
        <v>0</v>
      </c>
      <c r="R175" s="8">
        <f t="shared" si="34"/>
        <v>8254.5052880000003</v>
      </c>
      <c r="S175" s="8">
        <v>0</v>
      </c>
      <c r="T175" s="8">
        <v>0</v>
      </c>
      <c r="U175" s="8">
        <v>50000</v>
      </c>
      <c r="V175" s="8">
        <v>0</v>
      </c>
      <c r="W175" s="8">
        <v>0</v>
      </c>
      <c r="X175" s="8">
        <v>0</v>
      </c>
      <c r="Y175" s="8">
        <v>0</v>
      </c>
      <c r="Z175" s="8">
        <v>24108.231087</v>
      </c>
      <c r="AA175" s="7">
        <v>0</v>
      </c>
      <c r="AB175" s="8">
        <v>0</v>
      </c>
      <c r="AC175" s="7">
        <v>2.920417</v>
      </c>
      <c r="AD175" s="7" t="s">
        <v>1697</v>
      </c>
      <c r="AE175" s="8">
        <v>0</v>
      </c>
      <c r="AF175" s="8">
        <v>0</v>
      </c>
      <c r="AG175" s="8">
        <v>0</v>
      </c>
      <c r="AH175" s="8">
        <v>0</v>
      </c>
      <c r="AI175" s="7" t="s">
        <v>1194</v>
      </c>
      <c r="AJ175" s="7">
        <f t="shared" ca="1" si="35"/>
        <v>1</v>
      </c>
      <c r="AK175" s="96">
        <f t="shared" si="40"/>
        <v>0</v>
      </c>
      <c r="AL175" s="97">
        <f t="shared" si="41"/>
        <v>0</v>
      </c>
    </row>
    <row r="176" spans="1:38" x14ac:dyDescent="0.3">
      <c r="A176" s="7" t="s">
        <v>1869</v>
      </c>
      <c r="B176" s="7" t="s">
        <v>194</v>
      </c>
      <c r="C176" s="7" t="s">
        <v>1323</v>
      </c>
      <c r="D176" s="7" t="s">
        <v>1852</v>
      </c>
      <c r="E176" s="7" t="s">
        <v>1322</v>
      </c>
      <c r="F176" s="36">
        <v>44287</v>
      </c>
      <c r="G176" s="36">
        <v>45382</v>
      </c>
      <c r="H176" s="36">
        <v>45382</v>
      </c>
      <c r="I176" s="36">
        <v>45382</v>
      </c>
      <c r="J176" s="7" t="s">
        <v>1239</v>
      </c>
      <c r="K176" s="8">
        <v>542923.09156800003</v>
      </c>
      <c r="L176" s="8">
        <v>67333.608901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f t="shared" si="34"/>
        <v>610256.70046900003</v>
      </c>
      <c r="S176" s="8">
        <v>0</v>
      </c>
      <c r="T176" s="8">
        <v>70422.809181000004</v>
      </c>
      <c r="U176" s="8">
        <v>0</v>
      </c>
      <c r="V176" s="8">
        <v>529577.19081900001</v>
      </c>
      <c r="W176" s="8">
        <v>0</v>
      </c>
      <c r="X176" s="8">
        <v>0</v>
      </c>
      <c r="Y176" s="8">
        <v>0</v>
      </c>
      <c r="Z176" s="8">
        <v>0</v>
      </c>
      <c r="AA176" s="7">
        <v>1.249315</v>
      </c>
      <c r="AB176" s="8">
        <v>716127.23498399998</v>
      </c>
      <c r="AC176" s="7">
        <v>7</v>
      </c>
      <c r="AD176" s="7" t="s">
        <v>1226</v>
      </c>
      <c r="AE176" s="8">
        <v>750000</v>
      </c>
      <c r="AF176" s="8">
        <v>0</v>
      </c>
      <c r="AG176" s="8">
        <v>750000</v>
      </c>
      <c r="AH176" s="8">
        <v>0</v>
      </c>
      <c r="AI176" s="7" t="s">
        <v>1781</v>
      </c>
      <c r="AJ176" s="7">
        <f t="shared" ca="1" si="35"/>
        <v>1</v>
      </c>
      <c r="AK176" s="96">
        <f t="shared" si="36"/>
        <v>5.993420467107961E-3</v>
      </c>
      <c r="AL176" s="97">
        <f t="shared" si="37"/>
        <v>3.3374433046437509E-2</v>
      </c>
    </row>
    <row r="177" spans="1:38" x14ac:dyDescent="0.3">
      <c r="A177" s="7" t="s">
        <v>1870</v>
      </c>
      <c r="B177" s="7" t="s">
        <v>194</v>
      </c>
      <c r="C177" s="7" t="s">
        <v>1323</v>
      </c>
      <c r="D177" s="7" t="s">
        <v>1852</v>
      </c>
      <c r="E177" s="7" t="s">
        <v>1322</v>
      </c>
      <c r="F177" s="36">
        <v>44378</v>
      </c>
      <c r="G177" s="36">
        <v>45473</v>
      </c>
      <c r="H177" s="36">
        <v>45473</v>
      </c>
      <c r="I177" s="36">
        <v>45473</v>
      </c>
      <c r="J177" s="7" t="s">
        <v>1239</v>
      </c>
      <c r="K177" s="8">
        <v>596995.02203999995</v>
      </c>
      <c r="L177" s="8">
        <v>88690.621790000005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f t="shared" si="34"/>
        <v>685685.64382999996</v>
      </c>
      <c r="S177" s="8">
        <v>0</v>
      </c>
      <c r="T177" s="8">
        <v>79583.330069999996</v>
      </c>
      <c r="U177" s="8">
        <v>0</v>
      </c>
      <c r="V177" s="8">
        <v>520416.66992999997</v>
      </c>
      <c r="W177" s="8">
        <v>0</v>
      </c>
      <c r="X177" s="8">
        <v>0</v>
      </c>
      <c r="Y177" s="8">
        <v>0</v>
      </c>
      <c r="Z177" s="8">
        <v>0</v>
      </c>
      <c r="AA177" s="7">
        <v>1.4986299999999999</v>
      </c>
      <c r="AB177" s="8">
        <v>1032126.519015</v>
      </c>
      <c r="AC177" s="7">
        <v>7</v>
      </c>
      <c r="AD177" s="7" t="s">
        <v>1226</v>
      </c>
      <c r="AE177" s="8">
        <v>900000</v>
      </c>
      <c r="AF177" s="8">
        <v>200000</v>
      </c>
      <c r="AG177" s="8">
        <v>1100000</v>
      </c>
      <c r="AH177" s="8">
        <v>0</v>
      </c>
      <c r="AI177" s="7" t="s">
        <v>1781</v>
      </c>
      <c r="AJ177" s="7">
        <f t="shared" ca="1" si="35"/>
        <v>1</v>
      </c>
      <c r="AK177" s="96">
        <f t="shared" si="36"/>
        <v>1.0361913451322534E-2</v>
      </c>
      <c r="AL177" s="97">
        <f t="shared" si="37"/>
        <v>4.0049319655725009E-2</v>
      </c>
    </row>
    <row r="178" spans="1:38" x14ac:dyDescent="0.3">
      <c r="A178" s="7" t="s">
        <v>1871</v>
      </c>
      <c r="B178" s="7" t="s">
        <v>1320</v>
      </c>
      <c r="C178" s="7" t="s">
        <v>1323</v>
      </c>
      <c r="D178" s="7" t="s">
        <v>1792</v>
      </c>
      <c r="E178" s="7" t="s">
        <v>1695</v>
      </c>
      <c r="F178" s="36">
        <v>43221</v>
      </c>
      <c r="G178" s="36">
        <v>44681</v>
      </c>
      <c r="H178" s="36">
        <v>44895</v>
      </c>
      <c r="I178" s="36">
        <v>44895</v>
      </c>
      <c r="J178" s="7" t="s">
        <v>1696</v>
      </c>
      <c r="K178" s="8">
        <v>0</v>
      </c>
      <c r="L178" s="8">
        <v>0</v>
      </c>
      <c r="M178" s="8">
        <v>1481.5663460000001</v>
      </c>
      <c r="N178" s="8">
        <v>0</v>
      </c>
      <c r="O178" s="8">
        <v>0</v>
      </c>
      <c r="P178" s="8">
        <v>0</v>
      </c>
      <c r="Q178" s="8">
        <v>0</v>
      </c>
      <c r="R178" s="8">
        <f t="shared" si="34"/>
        <v>1481.5663460000001</v>
      </c>
      <c r="S178" s="8">
        <v>0</v>
      </c>
      <c r="T178" s="8">
        <v>0</v>
      </c>
      <c r="U178" s="8">
        <v>1481.568</v>
      </c>
      <c r="V178" s="8">
        <v>0</v>
      </c>
      <c r="W178" s="8">
        <v>0</v>
      </c>
      <c r="X178" s="8">
        <v>0</v>
      </c>
      <c r="Y178" s="8">
        <v>0</v>
      </c>
      <c r="Z178" s="8">
        <v>9.2261999999999997E-2</v>
      </c>
      <c r="AA178" s="7">
        <v>0</v>
      </c>
      <c r="AB178" s="8">
        <v>0</v>
      </c>
      <c r="AC178" s="7">
        <v>2.0449999999999999</v>
      </c>
      <c r="AD178" s="7" t="s">
        <v>1226</v>
      </c>
      <c r="AE178" s="8">
        <v>0</v>
      </c>
      <c r="AF178" s="8">
        <v>0</v>
      </c>
      <c r="AG178" s="8">
        <v>0</v>
      </c>
      <c r="AH178" s="8">
        <v>0</v>
      </c>
      <c r="AI178" s="7" t="s">
        <v>1736</v>
      </c>
      <c r="AJ178" s="7">
        <f t="shared" ca="1" si="35"/>
        <v>1</v>
      </c>
      <c r="AK178" s="96">
        <f>(+AA178*AB178)/$AB$1102</f>
        <v>0</v>
      </c>
      <c r="AL178" s="97">
        <f>AC178/$AE$1102*AE178</f>
        <v>0</v>
      </c>
    </row>
    <row r="179" spans="1:38" x14ac:dyDescent="0.3">
      <c r="A179" s="7" t="s">
        <v>1871</v>
      </c>
      <c r="B179" s="7" t="s">
        <v>1320</v>
      </c>
      <c r="C179" s="7" t="s">
        <v>1323</v>
      </c>
      <c r="D179" s="7" t="s">
        <v>1792</v>
      </c>
      <c r="E179" s="7" t="s">
        <v>1695</v>
      </c>
      <c r="F179" s="36">
        <v>43221</v>
      </c>
      <c r="G179" s="36">
        <v>44681</v>
      </c>
      <c r="H179" s="36">
        <v>44895</v>
      </c>
      <c r="I179" s="36">
        <v>44895</v>
      </c>
      <c r="J179" s="7" t="s">
        <v>1699</v>
      </c>
      <c r="K179" s="8">
        <v>0</v>
      </c>
      <c r="L179" s="8">
        <v>0</v>
      </c>
      <c r="M179" s="8">
        <v>0</v>
      </c>
      <c r="N179" s="8">
        <v>2592.59</v>
      </c>
      <c r="O179" s="8">
        <v>0</v>
      </c>
      <c r="P179" s="8">
        <v>0</v>
      </c>
      <c r="Q179" s="8">
        <v>0</v>
      </c>
      <c r="R179" s="8">
        <f t="shared" si="34"/>
        <v>2592.59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7">
        <v>0</v>
      </c>
      <c r="AB179" s="8">
        <v>0</v>
      </c>
      <c r="AC179" s="7">
        <v>2.0449999999999999</v>
      </c>
      <c r="AD179" s="7" t="s">
        <v>1226</v>
      </c>
      <c r="AE179" s="8">
        <v>0</v>
      </c>
      <c r="AF179" s="8">
        <v>0</v>
      </c>
      <c r="AG179" s="8">
        <v>0</v>
      </c>
      <c r="AH179" s="8">
        <v>0</v>
      </c>
      <c r="AI179" s="7" t="s">
        <v>1736</v>
      </c>
      <c r="AJ179" s="7">
        <f t="shared" ca="1" si="35"/>
        <v>2</v>
      </c>
      <c r="AK179" s="100">
        <f>(+AA179*AB179)/$AB$1103</f>
        <v>0</v>
      </c>
      <c r="AL179" s="97">
        <f>AC179/$AE$1103*AE179</f>
        <v>0</v>
      </c>
    </row>
    <row r="180" spans="1:38" x14ac:dyDescent="0.3">
      <c r="A180" s="7" t="s">
        <v>1872</v>
      </c>
      <c r="B180" s="7" t="s">
        <v>1320</v>
      </c>
      <c r="C180" s="7" t="s">
        <v>1323</v>
      </c>
      <c r="D180" s="7" t="s">
        <v>1792</v>
      </c>
      <c r="E180" s="7" t="s">
        <v>1695</v>
      </c>
      <c r="F180" s="36">
        <v>43221</v>
      </c>
      <c r="G180" s="36">
        <v>44681</v>
      </c>
      <c r="H180" s="36">
        <v>44895</v>
      </c>
      <c r="I180" s="36">
        <v>44895</v>
      </c>
      <c r="J180" s="7" t="s">
        <v>1696</v>
      </c>
      <c r="K180" s="8">
        <v>0</v>
      </c>
      <c r="L180" s="8">
        <v>0</v>
      </c>
      <c r="M180" s="8">
        <v>1481.5663460000001</v>
      </c>
      <c r="N180" s="8">
        <v>0</v>
      </c>
      <c r="O180" s="8">
        <v>0</v>
      </c>
      <c r="P180" s="8">
        <v>0</v>
      </c>
      <c r="Q180" s="8">
        <v>0</v>
      </c>
      <c r="R180" s="8">
        <f t="shared" si="34"/>
        <v>1481.5663460000001</v>
      </c>
      <c r="S180" s="8">
        <v>0</v>
      </c>
      <c r="T180" s="8">
        <v>0</v>
      </c>
      <c r="U180" s="8">
        <v>1481.568</v>
      </c>
      <c r="V180" s="8">
        <v>0</v>
      </c>
      <c r="W180" s="8">
        <v>0</v>
      </c>
      <c r="X180" s="8">
        <v>0</v>
      </c>
      <c r="Y180" s="8">
        <v>0</v>
      </c>
      <c r="Z180" s="8">
        <v>9.2261999999999997E-2</v>
      </c>
      <c r="AA180" s="7">
        <v>0</v>
      </c>
      <c r="AB180" s="8">
        <v>0</v>
      </c>
      <c r="AC180" s="7">
        <v>2.0449999999999999</v>
      </c>
      <c r="AD180" s="7" t="s">
        <v>1226</v>
      </c>
      <c r="AE180" s="8">
        <v>0</v>
      </c>
      <c r="AF180" s="8">
        <v>0</v>
      </c>
      <c r="AG180" s="8">
        <v>0</v>
      </c>
      <c r="AH180" s="8">
        <v>0</v>
      </c>
      <c r="AI180" s="7" t="s">
        <v>1736</v>
      </c>
      <c r="AJ180" s="7">
        <f t="shared" ca="1" si="35"/>
        <v>1</v>
      </c>
      <c r="AK180" s="96">
        <f>(+AA180*AB180)/$AB$1102</f>
        <v>0</v>
      </c>
      <c r="AL180" s="97">
        <f>AC180/$AE$1102*AE180</f>
        <v>0</v>
      </c>
    </row>
    <row r="181" spans="1:38" x14ac:dyDescent="0.3">
      <c r="A181" s="7" t="s">
        <v>1872</v>
      </c>
      <c r="B181" s="7" t="s">
        <v>1320</v>
      </c>
      <c r="C181" s="7" t="s">
        <v>1323</v>
      </c>
      <c r="D181" s="7" t="s">
        <v>1792</v>
      </c>
      <c r="E181" s="7" t="s">
        <v>1695</v>
      </c>
      <c r="F181" s="36">
        <v>43221</v>
      </c>
      <c r="G181" s="36">
        <v>44681</v>
      </c>
      <c r="H181" s="36">
        <v>44895</v>
      </c>
      <c r="I181" s="36">
        <v>44895</v>
      </c>
      <c r="J181" s="7" t="s">
        <v>1699</v>
      </c>
      <c r="K181" s="8">
        <v>0</v>
      </c>
      <c r="L181" s="8">
        <v>0</v>
      </c>
      <c r="M181" s="8">
        <v>0</v>
      </c>
      <c r="N181" s="8">
        <v>2592.59</v>
      </c>
      <c r="O181" s="8">
        <v>0</v>
      </c>
      <c r="P181" s="8">
        <v>0</v>
      </c>
      <c r="Q181" s="8">
        <v>0</v>
      </c>
      <c r="R181" s="8">
        <f t="shared" si="34"/>
        <v>2592.59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7">
        <v>0</v>
      </c>
      <c r="AB181" s="8">
        <v>0</v>
      </c>
      <c r="AC181" s="7">
        <v>2.0449999999999999</v>
      </c>
      <c r="AD181" s="7" t="s">
        <v>1226</v>
      </c>
      <c r="AE181" s="8">
        <v>0</v>
      </c>
      <c r="AF181" s="8">
        <v>0</v>
      </c>
      <c r="AG181" s="8">
        <v>0</v>
      </c>
      <c r="AH181" s="8">
        <v>0</v>
      </c>
      <c r="AI181" s="7" t="s">
        <v>1736</v>
      </c>
      <c r="AJ181" s="7">
        <f t="shared" ca="1" si="35"/>
        <v>2</v>
      </c>
      <c r="AK181" s="100">
        <f>(+AA181*AB181)/$AB$1103</f>
        <v>0</v>
      </c>
      <c r="AL181" s="97">
        <f>AC181/$AE$1103*AE181</f>
        <v>0</v>
      </c>
    </row>
    <row r="182" spans="1:38" x14ac:dyDescent="0.3">
      <c r="A182" s="7" t="s">
        <v>1873</v>
      </c>
      <c r="B182" s="7" t="s">
        <v>1320</v>
      </c>
      <c r="C182" s="7" t="s">
        <v>1323</v>
      </c>
      <c r="D182" s="7" t="s">
        <v>1792</v>
      </c>
      <c r="E182" s="7" t="s">
        <v>1695</v>
      </c>
      <c r="F182" s="36">
        <v>43221</v>
      </c>
      <c r="G182" s="36">
        <v>44681</v>
      </c>
      <c r="H182" s="36">
        <v>44895</v>
      </c>
      <c r="I182" s="36">
        <v>44895</v>
      </c>
      <c r="J182" s="7" t="s">
        <v>1696</v>
      </c>
      <c r="K182" s="8">
        <v>0</v>
      </c>
      <c r="L182" s="8">
        <v>0</v>
      </c>
      <c r="M182" s="8">
        <v>1481.5663460000001</v>
      </c>
      <c r="N182" s="8">
        <v>0</v>
      </c>
      <c r="O182" s="8">
        <v>0</v>
      </c>
      <c r="P182" s="8">
        <v>0</v>
      </c>
      <c r="Q182" s="8">
        <v>0</v>
      </c>
      <c r="R182" s="8">
        <f t="shared" si="34"/>
        <v>1481.5663460000001</v>
      </c>
      <c r="S182" s="8">
        <v>0</v>
      </c>
      <c r="T182" s="8">
        <v>0</v>
      </c>
      <c r="U182" s="8">
        <v>1481.568</v>
      </c>
      <c r="V182" s="8">
        <v>0</v>
      </c>
      <c r="W182" s="8">
        <v>0</v>
      </c>
      <c r="X182" s="8">
        <v>0</v>
      </c>
      <c r="Y182" s="8">
        <v>0</v>
      </c>
      <c r="Z182" s="8">
        <v>9.2261999999999997E-2</v>
      </c>
      <c r="AA182" s="7">
        <v>0</v>
      </c>
      <c r="AB182" s="8">
        <v>0</v>
      </c>
      <c r="AC182" s="7">
        <v>2.0449999999999999</v>
      </c>
      <c r="AD182" s="7" t="s">
        <v>1226</v>
      </c>
      <c r="AE182" s="8">
        <v>0</v>
      </c>
      <c r="AF182" s="8">
        <v>0</v>
      </c>
      <c r="AG182" s="8">
        <v>0</v>
      </c>
      <c r="AH182" s="8">
        <v>0</v>
      </c>
      <c r="AI182" s="7" t="s">
        <v>1736</v>
      </c>
      <c r="AJ182" s="7">
        <f t="shared" ca="1" si="35"/>
        <v>1</v>
      </c>
      <c r="AK182" s="96">
        <f>(+AA182*AB182)/$AB$1102</f>
        <v>0</v>
      </c>
      <c r="AL182" s="97">
        <f>AC182/$AE$1102*AE182</f>
        <v>0</v>
      </c>
    </row>
    <row r="183" spans="1:38" x14ac:dyDescent="0.3">
      <c r="A183" s="7" t="s">
        <v>1873</v>
      </c>
      <c r="B183" s="7" t="s">
        <v>1320</v>
      </c>
      <c r="C183" s="7" t="s">
        <v>1323</v>
      </c>
      <c r="D183" s="7" t="s">
        <v>1792</v>
      </c>
      <c r="E183" s="7" t="s">
        <v>1695</v>
      </c>
      <c r="F183" s="36">
        <v>43221</v>
      </c>
      <c r="G183" s="36">
        <v>44681</v>
      </c>
      <c r="H183" s="36">
        <v>44895</v>
      </c>
      <c r="I183" s="36">
        <v>44895</v>
      </c>
      <c r="J183" s="7" t="s">
        <v>1699</v>
      </c>
      <c r="K183" s="8">
        <v>0</v>
      </c>
      <c r="L183" s="8">
        <v>0</v>
      </c>
      <c r="M183" s="8">
        <v>0</v>
      </c>
      <c r="N183" s="8">
        <v>2592.59</v>
      </c>
      <c r="O183" s="8">
        <v>0</v>
      </c>
      <c r="P183" s="8">
        <v>0</v>
      </c>
      <c r="Q183" s="8">
        <v>0</v>
      </c>
      <c r="R183" s="8">
        <f t="shared" si="34"/>
        <v>2592.59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7">
        <v>0</v>
      </c>
      <c r="AB183" s="8">
        <v>0</v>
      </c>
      <c r="AC183" s="7">
        <v>2.0449999999999999</v>
      </c>
      <c r="AD183" s="7" t="s">
        <v>1226</v>
      </c>
      <c r="AE183" s="8">
        <v>0</v>
      </c>
      <c r="AF183" s="8">
        <v>0</v>
      </c>
      <c r="AG183" s="8">
        <v>0</v>
      </c>
      <c r="AH183" s="8">
        <v>0</v>
      </c>
      <c r="AI183" s="7" t="s">
        <v>1736</v>
      </c>
      <c r="AJ183" s="7">
        <f t="shared" ca="1" si="35"/>
        <v>2</v>
      </c>
      <c r="AK183" s="100">
        <f>(+AA183*AB183)/$AB$1103</f>
        <v>0</v>
      </c>
      <c r="AL183" s="97">
        <f>AC183/$AE$1103*AE183</f>
        <v>0</v>
      </c>
    </row>
    <row r="184" spans="1:38" x14ac:dyDescent="0.3">
      <c r="A184" s="7" t="s">
        <v>1874</v>
      </c>
      <c r="B184" s="7" t="s">
        <v>1320</v>
      </c>
      <c r="C184" s="7" t="s">
        <v>1323</v>
      </c>
      <c r="D184" s="7" t="s">
        <v>1792</v>
      </c>
      <c r="E184" s="7" t="s">
        <v>1695</v>
      </c>
      <c r="F184" s="36">
        <v>43221</v>
      </c>
      <c r="G184" s="36">
        <v>44681</v>
      </c>
      <c r="H184" s="36">
        <v>44895</v>
      </c>
      <c r="I184" s="36">
        <v>44895</v>
      </c>
      <c r="J184" s="7" t="s">
        <v>1696</v>
      </c>
      <c r="K184" s="8">
        <v>0</v>
      </c>
      <c r="L184" s="8">
        <v>0</v>
      </c>
      <c r="M184" s="8">
        <v>1481.5663460000001</v>
      </c>
      <c r="N184" s="8">
        <v>0</v>
      </c>
      <c r="O184" s="8">
        <v>0</v>
      </c>
      <c r="P184" s="8">
        <v>0</v>
      </c>
      <c r="Q184" s="8">
        <v>0</v>
      </c>
      <c r="R184" s="8">
        <f t="shared" si="34"/>
        <v>1481.5663460000001</v>
      </c>
      <c r="S184" s="8">
        <v>0</v>
      </c>
      <c r="T184" s="8">
        <v>0</v>
      </c>
      <c r="U184" s="8">
        <v>1481.568</v>
      </c>
      <c r="V184" s="8">
        <v>0</v>
      </c>
      <c r="W184" s="8">
        <v>0</v>
      </c>
      <c r="X184" s="8">
        <v>0</v>
      </c>
      <c r="Y184" s="8">
        <v>0</v>
      </c>
      <c r="Z184" s="8">
        <v>9.2261999999999997E-2</v>
      </c>
      <c r="AA184" s="7">
        <v>0</v>
      </c>
      <c r="AB184" s="8">
        <v>0</v>
      </c>
      <c r="AC184" s="7">
        <v>2.0449999999999999</v>
      </c>
      <c r="AD184" s="7" t="s">
        <v>1226</v>
      </c>
      <c r="AE184" s="8">
        <v>0</v>
      </c>
      <c r="AF184" s="8">
        <v>0</v>
      </c>
      <c r="AG184" s="8">
        <v>0</v>
      </c>
      <c r="AH184" s="8">
        <v>0</v>
      </c>
      <c r="AI184" s="7" t="s">
        <v>1736</v>
      </c>
      <c r="AJ184" s="7">
        <f t="shared" ca="1" si="35"/>
        <v>1</v>
      </c>
      <c r="AK184" s="96">
        <f>(+AA184*AB184)/$AB$1102</f>
        <v>0</v>
      </c>
      <c r="AL184" s="97">
        <f>AC184/$AE$1102*AE184</f>
        <v>0</v>
      </c>
    </row>
    <row r="185" spans="1:38" x14ac:dyDescent="0.3">
      <c r="A185" s="7" t="s">
        <v>1874</v>
      </c>
      <c r="B185" s="7" t="s">
        <v>1320</v>
      </c>
      <c r="C185" s="7" t="s">
        <v>1323</v>
      </c>
      <c r="D185" s="7" t="s">
        <v>1792</v>
      </c>
      <c r="E185" s="7" t="s">
        <v>1695</v>
      </c>
      <c r="F185" s="36">
        <v>43221</v>
      </c>
      <c r="G185" s="36">
        <v>44681</v>
      </c>
      <c r="H185" s="36">
        <v>44895</v>
      </c>
      <c r="I185" s="36">
        <v>44895</v>
      </c>
      <c r="J185" s="7" t="s">
        <v>1699</v>
      </c>
      <c r="K185" s="8">
        <v>0</v>
      </c>
      <c r="L185" s="8">
        <v>0</v>
      </c>
      <c r="M185" s="8">
        <v>0</v>
      </c>
      <c r="N185" s="8">
        <v>2592.59</v>
      </c>
      <c r="O185" s="8">
        <v>0</v>
      </c>
      <c r="P185" s="8">
        <v>0</v>
      </c>
      <c r="Q185" s="8">
        <v>0</v>
      </c>
      <c r="R185" s="8">
        <f t="shared" si="34"/>
        <v>2592.59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7">
        <v>0</v>
      </c>
      <c r="AB185" s="8">
        <v>0</v>
      </c>
      <c r="AC185" s="7">
        <v>2.0449999999999999</v>
      </c>
      <c r="AD185" s="7" t="s">
        <v>1226</v>
      </c>
      <c r="AE185" s="8">
        <v>0</v>
      </c>
      <c r="AF185" s="8">
        <v>0</v>
      </c>
      <c r="AG185" s="8">
        <v>0</v>
      </c>
      <c r="AH185" s="8">
        <v>0</v>
      </c>
      <c r="AI185" s="7" t="s">
        <v>1736</v>
      </c>
      <c r="AJ185" s="7">
        <f t="shared" ca="1" si="35"/>
        <v>2</v>
      </c>
      <c r="AK185" s="100">
        <f>(+AA185*AB185)/$AB$1103</f>
        <v>0</v>
      </c>
      <c r="AL185" s="97">
        <f>AC185/$AE$1103*AE185</f>
        <v>0</v>
      </c>
    </row>
    <row r="186" spans="1:38" x14ac:dyDescent="0.3">
      <c r="A186" s="7" t="s">
        <v>1875</v>
      </c>
      <c r="B186" s="7" t="s">
        <v>1320</v>
      </c>
      <c r="C186" s="7" t="s">
        <v>1323</v>
      </c>
      <c r="D186" s="7" t="s">
        <v>1792</v>
      </c>
      <c r="E186" s="7" t="s">
        <v>1695</v>
      </c>
      <c r="F186" s="36">
        <v>43983</v>
      </c>
      <c r="G186" s="36">
        <v>44681</v>
      </c>
      <c r="H186" s="36">
        <v>44895</v>
      </c>
      <c r="I186" s="36">
        <v>44895</v>
      </c>
      <c r="J186" s="7" t="s">
        <v>1696</v>
      </c>
      <c r="K186" s="8">
        <v>0</v>
      </c>
      <c r="L186" s="8">
        <v>0</v>
      </c>
      <c r="M186" s="8">
        <v>1986.760745</v>
      </c>
      <c r="N186" s="8">
        <v>0</v>
      </c>
      <c r="O186" s="8">
        <v>0</v>
      </c>
      <c r="P186" s="8">
        <v>0</v>
      </c>
      <c r="Q186" s="8">
        <v>0</v>
      </c>
      <c r="R186" s="8">
        <f t="shared" si="34"/>
        <v>1986.760745</v>
      </c>
      <c r="S186" s="8">
        <v>0</v>
      </c>
      <c r="T186" s="8">
        <v>0</v>
      </c>
      <c r="U186" s="8">
        <v>4074.1080000000002</v>
      </c>
      <c r="V186" s="8">
        <v>0</v>
      </c>
      <c r="W186" s="8">
        <v>0</v>
      </c>
      <c r="X186" s="8">
        <v>0</v>
      </c>
      <c r="Y186" s="8">
        <v>0</v>
      </c>
      <c r="Z186" s="8">
        <v>170.10880399999999</v>
      </c>
      <c r="AA186" s="7">
        <v>0</v>
      </c>
      <c r="AB186" s="8">
        <v>0</v>
      </c>
      <c r="AC186" s="7">
        <v>1.9614549999999999</v>
      </c>
      <c r="AD186" s="7" t="s">
        <v>1697</v>
      </c>
      <c r="AE186" s="8">
        <v>0</v>
      </c>
      <c r="AF186" s="8">
        <v>0</v>
      </c>
      <c r="AG186" s="8">
        <v>0</v>
      </c>
      <c r="AH186" s="8">
        <v>0</v>
      </c>
      <c r="AI186" s="7" t="s">
        <v>1736</v>
      </c>
      <c r="AJ186" s="7">
        <f t="shared" ca="1" si="35"/>
        <v>1</v>
      </c>
      <c r="AK186" s="96">
        <f>(+AA186*AB186)/$AB$1102</f>
        <v>0</v>
      </c>
      <c r="AL186" s="97">
        <f>AC186/$AE$1102*AE186</f>
        <v>0</v>
      </c>
    </row>
    <row r="187" spans="1:38" x14ac:dyDescent="0.3">
      <c r="A187" s="7" t="s">
        <v>1876</v>
      </c>
      <c r="B187" s="7" t="s">
        <v>1320</v>
      </c>
      <c r="C187" s="7" t="s">
        <v>1323</v>
      </c>
      <c r="D187" s="7" t="s">
        <v>1792</v>
      </c>
      <c r="E187" s="7" t="s">
        <v>1695</v>
      </c>
      <c r="F187" s="36">
        <v>43221</v>
      </c>
      <c r="G187" s="36">
        <v>44681</v>
      </c>
      <c r="H187" s="36">
        <v>44895</v>
      </c>
      <c r="I187" s="36">
        <v>44895</v>
      </c>
      <c r="J187" s="7" t="s">
        <v>1239</v>
      </c>
      <c r="K187" s="8">
        <v>384417.38672000001</v>
      </c>
      <c r="L187" s="8">
        <v>1019.60322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f t="shared" si="34"/>
        <v>385436.98994</v>
      </c>
      <c r="S187" s="8">
        <v>0</v>
      </c>
      <c r="T187" s="8">
        <v>1698.3755699999999</v>
      </c>
      <c r="U187" s="8">
        <v>0</v>
      </c>
      <c r="V187" s="8">
        <v>398301.62443000003</v>
      </c>
      <c r="W187" s="8">
        <v>0</v>
      </c>
      <c r="X187" s="8">
        <v>0</v>
      </c>
      <c r="Y187" s="8">
        <v>0</v>
      </c>
      <c r="Z187" s="8">
        <v>0</v>
      </c>
      <c r="AA187" s="7">
        <v>0</v>
      </c>
      <c r="AB187" s="8">
        <v>0</v>
      </c>
      <c r="AC187" s="7">
        <v>2.0449999999999999</v>
      </c>
      <c r="AD187" s="7" t="s">
        <v>1226</v>
      </c>
      <c r="AE187" s="8">
        <v>0</v>
      </c>
      <c r="AF187" s="8">
        <v>0</v>
      </c>
      <c r="AG187" s="8">
        <v>0</v>
      </c>
      <c r="AH187" s="8">
        <v>0</v>
      </c>
      <c r="AI187" s="7" t="s">
        <v>1877</v>
      </c>
      <c r="AJ187" s="7">
        <f t="shared" ca="1" si="35"/>
        <v>1</v>
      </c>
      <c r="AK187" s="96">
        <f t="shared" si="36"/>
        <v>0</v>
      </c>
      <c r="AL187" s="97">
        <f t="shared" si="37"/>
        <v>0</v>
      </c>
    </row>
    <row r="188" spans="1:38" x14ac:dyDescent="0.3">
      <c r="A188" s="7" t="s">
        <v>1876</v>
      </c>
      <c r="B188" s="7" t="s">
        <v>1320</v>
      </c>
      <c r="C188" s="7" t="s">
        <v>1323</v>
      </c>
      <c r="D188" s="7" t="s">
        <v>1792</v>
      </c>
      <c r="E188" s="7" t="s">
        <v>1695</v>
      </c>
      <c r="F188" s="36">
        <v>43221</v>
      </c>
      <c r="G188" s="36">
        <v>44681</v>
      </c>
      <c r="H188" s="36">
        <v>44895</v>
      </c>
      <c r="I188" s="36">
        <v>44895</v>
      </c>
      <c r="J188" s="7" t="s">
        <v>1699</v>
      </c>
      <c r="K188" s="8">
        <v>0</v>
      </c>
      <c r="L188" s="8">
        <v>0</v>
      </c>
      <c r="M188" s="8">
        <v>0</v>
      </c>
      <c r="N188" s="8">
        <v>700000</v>
      </c>
      <c r="O188" s="8">
        <v>0</v>
      </c>
      <c r="P188" s="8">
        <v>0</v>
      </c>
      <c r="Q188" s="8">
        <v>0</v>
      </c>
      <c r="R188" s="8">
        <f t="shared" si="34"/>
        <v>700000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7">
        <v>0</v>
      </c>
      <c r="AB188" s="8">
        <v>0</v>
      </c>
      <c r="AC188" s="7">
        <v>2.0449999999999999</v>
      </c>
      <c r="AD188" s="7" t="s">
        <v>1226</v>
      </c>
      <c r="AE188" s="8">
        <v>0</v>
      </c>
      <c r="AF188" s="8">
        <v>0</v>
      </c>
      <c r="AG188" s="8">
        <v>0</v>
      </c>
      <c r="AH188" s="8">
        <v>0</v>
      </c>
      <c r="AI188" s="7" t="s">
        <v>1877</v>
      </c>
      <c r="AJ188" s="7">
        <f t="shared" ca="1" si="35"/>
        <v>2</v>
      </c>
      <c r="AK188" s="100">
        <f>(+AA188*AB188)/$AB$1103</f>
        <v>0</v>
      </c>
      <c r="AL188" s="97">
        <f>AC188/$AE$1103*AE188</f>
        <v>0</v>
      </c>
    </row>
    <row r="189" spans="1:38" x14ac:dyDescent="0.3">
      <c r="A189" s="7" t="s">
        <v>1878</v>
      </c>
      <c r="B189" s="7" t="s">
        <v>1320</v>
      </c>
      <c r="C189" s="7" t="s">
        <v>1323</v>
      </c>
      <c r="D189" s="7" t="s">
        <v>1792</v>
      </c>
      <c r="E189" s="7" t="s">
        <v>1695</v>
      </c>
      <c r="F189" s="36">
        <v>43221</v>
      </c>
      <c r="G189" s="36">
        <v>44681</v>
      </c>
      <c r="H189" s="36">
        <v>44835</v>
      </c>
      <c r="I189" s="36">
        <v>44835</v>
      </c>
      <c r="J189" s="7" t="s">
        <v>1239</v>
      </c>
      <c r="K189" s="8">
        <v>384417.38672000001</v>
      </c>
      <c r="L189" s="8">
        <v>1019.60322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f t="shared" si="34"/>
        <v>385436.98994</v>
      </c>
      <c r="S189" s="8">
        <v>0</v>
      </c>
      <c r="T189" s="8">
        <v>1698.3755699999999</v>
      </c>
      <c r="U189" s="8">
        <v>0</v>
      </c>
      <c r="V189" s="8">
        <v>398301.62443000003</v>
      </c>
      <c r="W189" s="8">
        <v>0</v>
      </c>
      <c r="X189" s="8">
        <v>0</v>
      </c>
      <c r="Y189" s="8">
        <v>0</v>
      </c>
      <c r="Z189" s="8">
        <v>0</v>
      </c>
      <c r="AA189" s="7">
        <v>0</v>
      </c>
      <c r="AB189" s="8">
        <v>0</v>
      </c>
      <c r="AC189" s="7">
        <v>2.0449999999999999</v>
      </c>
      <c r="AD189" s="7" t="s">
        <v>1226</v>
      </c>
      <c r="AE189" s="8">
        <v>0</v>
      </c>
      <c r="AF189" s="8">
        <v>0</v>
      </c>
      <c r="AG189" s="8">
        <v>0</v>
      </c>
      <c r="AH189" s="8">
        <v>0</v>
      </c>
      <c r="AI189" s="7" t="s">
        <v>1877</v>
      </c>
      <c r="AJ189" s="7">
        <f t="shared" ca="1" si="35"/>
        <v>1</v>
      </c>
      <c r="AK189" s="96">
        <f t="shared" si="36"/>
        <v>0</v>
      </c>
      <c r="AL189" s="97">
        <f t="shared" si="37"/>
        <v>0</v>
      </c>
    </row>
    <row r="190" spans="1:38" x14ac:dyDescent="0.3">
      <c r="A190" s="7" t="s">
        <v>1878</v>
      </c>
      <c r="B190" s="7" t="s">
        <v>1320</v>
      </c>
      <c r="C190" s="7" t="s">
        <v>1323</v>
      </c>
      <c r="D190" s="7" t="s">
        <v>1792</v>
      </c>
      <c r="E190" s="7" t="s">
        <v>1695</v>
      </c>
      <c r="F190" s="36">
        <v>43221</v>
      </c>
      <c r="G190" s="36">
        <v>44681</v>
      </c>
      <c r="H190" s="36">
        <v>44835</v>
      </c>
      <c r="I190" s="36">
        <v>44835</v>
      </c>
      <c r="J190" s="7" t="s">
        <v>1699</v>
      </c>
      <c r="K190" s="8">
        <v>0</v>
      </c>
      <c r="L190" s="8">
        <v>0</v>
      </c>
      <c r="M190" s="8">
        <v>0</v>
      </c>
      <c r="N190" s="8">
        <v>500000</v>
      </c>
      <c r="O190" s="8">
        <v>0</v>
      </c>
      <c r="P190" s="8">
        <v>0</v>
      </c>
      <c r="Q190" s="8">
        <v>0</v>
      </c>
      <c r="R190" s="8">
        <f t="shared" si="34"/>
        <v>500000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7">
        <v>0</v>
      </c>
      <c r="AB190" s="8">
        <v>0</v>
      </c>
      <c r="AC190" s="7">
        <v>2.0449999999999999</v>
      </c>
      <c r="AD190" s="7" t="s">
        <v>1226</v>
      </c>
      <c r="AE190" s="8">
        <v>0</v>
      </c>
      <c r="AF190" s="8">
        <v>0</v>
      </c>
      <c r="AG190" s="8">
        <v>0</v>
      </c>
      <c r="AH190" s="8">
        <v>0</v>
      </c>
      <c r="AI190" s="7" t="s">
        <v>1877</v>
      </c>
      <c r="AJ190" s="7">
        <f t="shared" ca="1" si="35"/>
        <v>2</v>
      </c>
      <c r="AK190" s="100">
        <f>(+AA190*AB190)/$AB$1103</f>
        <v>0</v>
      </c>
      <c r="AL190" s="97">
        <f>AC190/$AE$1103*AE190</f>
        <v>0</v>
      </c>
    </row>
    <row r="191" spans="1:38" x14ac:dyDescent="0.3">
      <c r="A191" s="7" t="s">
        <v>1879</v>
      </c>
      <c r="B191" s="7" t="s">
        <v>1320</v>
      </c>
      <c r="C191" s="7" t="s">
        <v>1323</v>
      </c>
      <c r="D191" s="7" t="s">
        <v>1792</v>
      </c>
      <c r="E191" s="7" t="s">
        <v>1695</v>
      </c>
      <c r="F191" s="36">
        <v>43221</v>
      </c>
      <c r="G191" s="36">
        <v>44681</v>
      </c>
      <c r="H191" s="36">
        <v>44895</v>
      </c>
      <c r="I191" s="36">
        <v>44895</v>
      </c>
      <c r="J191" s="7" t="s">
        <v>1239</v>
      </c>
      <c r="K191" s="8">
        <v>384417.38672000001</v>
      </c>
      <c r="L191" s="8">
        <v>1019.60322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f t="shared" si="34"/>
        <v>385436.98994</v>
      </c>
      <c r="S191" s="8">
        <v>0</v>
      </c>
      <c r="T191" s="8">
        <v>1698.3755699999999</v>
      </c>
      <c r="U191" s="8">
        <v>0</v>
      </c>
      <c r="V191" s="8">
        <v>398301.62443000003</v>
      </c>
      <c r="W191" s="8">
        <v>0</v>
      </c>
      <c r="X191" s="8">
        <v>0</v>
      </c>
      <c r="Y191" s="8">
        <v>0</v>
      </c>
      <c r="Z191" s="8">
        <v>0</v>
      </c>
      <c r="AA191" s="7">
        <v>0</v>
      </c>
      <c r="AB191" s="8">
        <v>0</v>
      </c>
      <c r="AC191" s="7">
        <v>2.0449999999999999</v>
      </c>
      <c r="AD191" s="7" t="s">
        <v>1226</v>
      </c>
      <c r="AE191" s="8">
        <v>0</v>
      </c>
      <c r="AF191" s="8">
        <v>0</v>
      </c>
      <c r="AG191" s="8">
        <v>0</v>
      </c>
      <c r="AH191" s="8">
        <v>0</v>
      </c>
      <c r="AI191" s="7" t="s">
        <v>1877</v>
      </c>
      <c r="AJ191" s="7">
        <f t="shared" ca="1" si="35"/>
        <v>1</v>
      </c>
      <c r="AK191" s="96">
        <f t="shared" si="36"/>
        <v>0</v>
      </c>
      <c r="AL191" s="97">
        <f t="shared" si="37"/>
        <v>0</v>
      </c>
    </row>
    <row r="192" spans="1:38" x14ac:dyDescent="0.3">
      <c r="A192" s="7" t="s">
        <v>1879</v>
      </c>
      <c r="B192" s="7" t="s">
        <v>1320</v>
      </c>
      <c r="C192" s="7" t="s">
        <v>1323</v>
      </c>
      <c r="D192" s="7" t="s">
        <v>1792</v>
      </c>
      <c r="E192" s="7" t="s">
        <v>1695</v>
      </c>
      <c r="F192" s="36">
        <v>43221</v>
      </c>
      <c r="G192" s="36">
        <v>44681</v>
      </c>
      <c r="H192" s="36">
        <v>44895</v>
      </c>
      <c r="I192" s="36">
        <v>44895</v>
      </c>
      <c r="J192" s="7" t="s">
        <v>1699</v>
      </c>
      <c r="K192" s="8">
        <v>0</v>
      </c>
      <c r="L192" s="8">
        <v>0</v>
      </c>
      <c r="M192" s="8">
        <v>0</v>
      </c>
      <c r="N192" s="8">
        <v>700000</v>
      </c>
      <c r="O192" s="8">
        <v>0</v>
      </c>
      <c r="P192" s="8">
        <v>0</v>
      </c>
      <c r="Q192" s="8">
        <v>0</v>
      </c>
      <c r="R192" s="8">
        <f t="shared" si="34"/>
        <v>700000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7">
        <v>0</v>
      </c>
      <c r="AB192" s="8">
        <v>0</v>
      </c>
      <c r="AC192" s="7">
        <v>2.0449999999999999</v>
      </c>
      <c r="AD192" s="7" t="s">
        <v>1226</v>
      </c>
      <c r="AE192" s="8">
        <v>0</v>
      </c>
      <c r="AF192" s="8">
        <v>0</v>
      </c>
      <c r="AG192" s="8">
        <v>0</v>
      </c>
      <c r="AH192" s="8">
        <v>0</v>
      </c>
      <c r="AI192" s="7" t="s">
        <v>1877</v>
      </c>
      <c r="AJ192" s="7">
        <f t="shared" ca="1" si="35"/>
        <v>2</v>
      </c>
      <c r="AK192" s="100">
        <f>(+AA192*AB192)/$AB$1103</f>
        <v>0</v>
      </c>
      <c r="AL192" s="97">
        <f>AC192/$AE$1103*AE192</f>
        <v>0</v>
      </c>
    </row>
    <row r="193" spans="1:38" x14ac:dyDescent="0.3">
      <c r="A193" s="7" t="s">
        <v>1880</v>
      </c>
      <c r="B193" s="7" t="s">
        <v>1320</v>
      </c>
      <c r="C193" s="7" t="s">
        <v>1323</v>
      </c>
      <c r="D193" s="7" t="s">
        <v>1792</v>
      </c>
      <c r="E193" s="7" t="s">
        <v>1750</v>
      </c>
      <c r="F193" s="36">
        <v>43221</v>
      </c>
      <c r="G193" s="36">
        <v>44681</v>
      </c>
      <c r="H193" s="36">
        <v>45199</v>
      </c>
      <c r="I193" s="36">
        <v>45199</v>
      </c>
      <c r="J193" s="7" t="s">
        <v>1239</v>
      </c>
      <c r="K193" s="8">
        <v>400886.53671999997</v>
      </c>
      <c r="L193" s="8">
        <v>1275.1407349999999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f t="shared" si="34"/>
        <v>402161.677455</v>
      </c>
      <c r="S193" s="8">
        <v>0</v>
      </c>
      <c r="T193" s="8">
        <v>1899.0948000000001</v>
      </c>
      <c r="U193" s="8">
        <v>0</v>
      </c>
      <c r="V193" s="8">
        <v>411600.90519999998</v>
      </c>
      <c r="W193" s="8">
        <v>0</v>
      </c>
      <c r="X193" s="8">
        <v>0</v>
      </c>
      <c r="Y193" s="8">
        <v>0</v>
      </c>
      <c r="Z193" s="8">
        <v>53524.691659999997</v>
      </c>
      <c r="AA193" s="7">
        <v>0.74794499999999997</v>
      </c>
      <c r="AB193" s="8">
        <v>40225.410860000004</v>
      </c>
      <c r="AC193" s="7">
        <v>1.6353329999999999</v>
      </c>
      <c r="AD193" s="7" t="s">
        <v>1697</v>
      </c>
      <c r="AE193" s="8">
        <v>40500</v>
      </c>
      <c r="AF193" s="8">
        <v>0</v>
      </c>
      <c r="AG193" s="8">
        <v>40500</v>
      </c>
      <c r="AH193" s="8">
        <v>0</v>
      </c>
      <c r="AI193" s="7" t="s">
        <v>1877</v>
      </c>
      <c r="AJ193" s="7">
        <f t="shared" ca="1" si="35"/>
        <v>1</v>
      </c>
      <c r="AK193" s="96">
        <f t="shared" si="36"/>
        <v>2.0154997724808999E-4</v>
      </c>
      <c r="AL193" s="97">
        <f t="shared" si="37"/>
        <v>4.2103269038928692E-4</v>
      </c>
    </row>
    <row r="194" spans="1:38" x14ac:dyDescent="0.3">
      <c r="A194" s="7" t="s">
        <v>1880</v>
      </c>
      <c r="B194" s="7" t="s">
        <v>1320</v>
      </c>
      <c r="C194" s="7" t="s">
        <v>1323</v>
      </c>
      <c r="D194" s="7" t="s">
        <v>1792</v>
      </c>
      <c r="E194" s="7" t="s">
        <v>1750</v>
      </c>
      <c r="F194" s="36">
        <v>43221</v>
      </c>
      <c r="G194" s="36">
        <v>44681</v>
      </c>
      <c r="H194" s="36">
        <v>45199</v>
      </c>
      <c r="I194" s="36">
        <v>45199</v>
      </c>
      <c r="J194" s="7" t="s">
        <v>1699</v>
      </c>
      <c r="K194" s="8">
        <v>0</v>
      </c>
      <c r="L194" s="8">
        <v>0</v>
      </c>
      <c r="M194" s="8">
        <v>0</v>
      </c>
      <c r="N194" s="8">
        <v>250000</v>
      </c>
      <c r="O194" s="8">
        <v>0</v>
      </c>
      <c r="P194" s="8">
        <v>0</v>
      </c>
      <c r="Q194" s="8">
        <v>0</v>
      </c>
      <c r="R194" s="8">
        <f t="shared" si="34"/>
        <v>250000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7">
        <v>0</v>
      </c>
      <c r="AB194" s="8">
        <v>0</v>
      </c>
      <c r="AC194" s="7">
        <v>1.6353329999999999</v>
      </c>
      <c r="AD194" s="7" t="s">
        <v>1697</v>
      </c>
      <c r="AE194" s="8">
        <v>0</v>
      </c>
      <c r="AF194" s="8">
        <v>0</v>
      </c>
      <c r="AG194" s="8">
        <v>0</v>
      </c>
      <c r="AH194" s="8">
        <v>0</v>
      </c>
      <c r="AI194" s="7" t="s">
        <v>1877</v>
      </c>
      <c r="AJ194" s="7">
        <f t="shared" ca="1" si="35"/>
        <v>2</v>
      </c>
      <c r="AK194" s="100">
        <f>(+AA194*AB194)/$AB$1103</f>
        <v>0</v>
      </c>
      <c r="AL194" s="97">
        <f>AC194/$AE$1103*AE194</f>
        <v>0</v>
      </c>
    </row>
    <row r="195" spans="1:38" x14ac:dyDescent="0.3">
      <c r="A195" s="7" t="s">
        <v>1881</v>
      </c>
      <c r="B195" s="7" t="s">
        <v>1320</v>
      </c>
      <c r="C195" s="7" t="s">
        <v>1323</v>
      </c>
      <c r="D195" s="7" t="s">
        <v>1792</v>
      </c>
      <c r="E195" s="7" t="s">
        <v>1695</v>
      </c>
      <c r="F195" s="36">
        <v>43221</v>
      </c>
      <c r="G195" s="36">
        <v>44681</v>
      </c>
      <c r="H195" s="36">
        <v>44895</v>
      </c>
      <c r="I195" s="36">
        <v>44895</v>
      </c>
      <c r="J195" s="7" t="s">
        <v>1239</v>
      </c>
      <c r="K195" s="8">
        <v>384417.38672000001</v>
      </c>
      <c r="L195" s="8">
        <v>1019.60322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f t="shared" ref="R195:R258" si="42">K195+L195+M195+N195+O195+P195+Q195</f>
        <v>385436.98994</v>
      </c>
      <c r="S195" s="8">
        <v>0</v>
      </c>
      <c r="T195" s="8">
        <v>1698.3755699999999</v>
      </c>
      <c r="U195" s="8">
        <v>0</v>
      </c>
      <c r="V195" s="8">
        <v>398301.62443000003</v>
      </c>
      <c r="W195" s="8">
        <v>0</v>
      </c>
      <c r="X195" s="8">
        <v>0</v>
      </c>
      <c r="Y195" s="8">
        <v>0</v>
      </c>
      <c r="Z195" s="8">
        <v>0</v>
      </c>
      <c r="AA195" s="7">
        <v>0</v>
      </c>
      <c r="AB195" s="8">
        <v>0</v>
      </c>
      <c r="AC195" s="7">
        <v>2.0449999999999999</v>
      </c>
      <c r="AD195" s="7" t="s">
        <v>1226</v>
      </c>
      <c r="AE195" s="8">
        <v>0</v>
      </c>
      <c r="AF195" s="8">
        <v>0</v>
      </c>
      <c r="AG195" s="8">
        <v>0</v>
      </c>
      <c r="AH195" s="8">
        <v>0</v>
      </c>
      <c r="AI195" s="7" t="s">
        <v>1877</v>
      </c>
      <c r="AJ195" s="7">
        <f t="shared" ref="AJ195:AJ258" ca="1" si="43">IF(A195=OFFSET(A195,-1,0),OFFSET(AJ195,-1,0)+1,1)</f>
        <v>1</v>
      </c>
      <c r="AK195" s="96">
        <f t="shared" si="36"/>
        <v>0</v>
      </c>
      <c r="AL195" s="97">
        <f t="shared" si="37"/>
        <v>0</v>
      </c>
    </row>
    <row r="196" spans="1:38" x14ac:dyDescent="0.3">
      <c r="A196" s="7" t="s">
        <v>1881</v>
      </c>
      <c r="B196" s="7" t="s">
        <v>1320</v>
      </c>
      <c r="C196" s="7" t="s">
        <v>1323</v>
      </c>
      <c r="D196" s="7" t="s">
        <v>1792</v>
      </c>
      <c r="E196" s="7" t="s">
        <v>1695</v>
      </c>
      <c r="F196" s="36">
        <v>43221</v>
      </c>
      <c r="G196" s="36">
        <v>44681</v>
      </c>
      <c r="H196" s="36">
        <v>44895</v>
      </c>
      <c r="I196" s="36">
        <v>44895</v>
      </c>
      <c r="J196" s="7" t="s">
        <v>1699</v>
      </c>
      <c r="K196" s="8">
        <v>0</v>
      </c>
      <c r="L196" s="8">
        <v>0</v>
      </c>
      <c r="M196" s="8">
        <v>0</v>
      </c>
      <c r="N196" s="8">
        <v>700000</v>
      </c>
      <c r="O196" s="8">
        <v>0</v>
      </c>
      <c r="P196" s="8">
        <v>0</v>
      </c>
      <c r="Q196" s="8">
        <v>0</v>
      </c>
      <c r="R196" s="8">
        <f t="shared" si="42"/>
        <v>700000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7">
        <v>0</v>
      </c>
      <c r="AB196" s="8">
        <v>0</v>
      </c>
      <c r="AC196" s="7">
        <v>2.0449999999999999</v>
      </c>
      <c r="AD196" s="7" t="s">
        <v>1226</v>
      </c>
      <c r="AE196" s="8">
        <v>0</v>
      </c>
      <c r="AF196" s="8">
        <v>0</v>
      </c>
      <c r="AG196" s="8">
        <v>0</v>
      </c>
      <c r="AH196" s="8">
        <v>0</v>
      </c>
      <c r="AI196" s="7" t="s">
        <v>1877</v>
      </c>
      <c r="AJ196" s="7">
        <f t="shared" ca="1" si="43"/>
        <v>2</v>
      </c>
      <c r="AK196" s="100">
        <f>(+AA196*AB196)/$AB$1103</f>
        <v>0</v>
      </c>
      <c r="AL196" s="97">
        <f>AC196/$AE$1103*AE196</f>
        <v>0</v>
      </c>
    </row>
    <row r="197" spans="1:38" x14ac:dyDescent="0.3">
      <c r="A197" s="7" t="s">
        <v>1882</v>
      </c>
      <c r="B197" s="7" t="s">
        <v>1320</v>
      </c>
      <c r="C197" s="7" t="s">
        <v>1323</v>
      </c>
      <c r="D197" s="7" t="s">
        <v>1792</v>
      </c>
      <c r="E197" s="7" t="s">
        <v>1695</v>
      </c>
      <c r="F197" s="36">
        <v>43221</v>
      </c>
      <c r="G197" s="36">
        <v>44681</v>
      </c>
      <c r="H197" s="36">
        <v>44895</v>
      </c>
      <c r="I197" s="36">
        <v>44895</v>
      </c>
      <c r="J197" s="7" t="s">
        <v>1239</v>
      </c>
      <c r="K197" s="8">
        <v>384417.38672000001</v>
      </c>
      <c r="L197" s="8">
        <v>1019.60322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f t="shared" si="42"/>
        <v>385436.98994</v>
      </c>
      <c r="S197" s="8">
        <v>0</v>
      </c>
      <c r="T197" s="8">
        <v>1698.3755699999999</v>
      </c>
      <c r="U197" s="8">
        <v>0</v>
      </c>
      <c r="V197" s="8">
        <v>398301.62443000003</v>
      </c>
      <c r="W197" s="8">
        <v>0</v>
      </c>
      <c r="X197" s="8">
        <v>0</v>
      </c>
      <c r="Y197" s="8">
        <v>0</v>
      </c>
      <c r="Z197" s="8">
        <v>0</v>
      </c>
      <c r="AA197" s="7">
        <v>0</v>
      </c>
      <c r="AB197" s="8">
        <v>0</v>
      </c>
      <c r="AC197" s="7">
        <v>2.0449999999999999</v>
      </c>
      <c r="AD197" s="7" t="s">
        <v>1226</v>
      </c>
      <c r="AE197" s="8">
        <v>0</v>
      </c>
      <c r="AF197" s="8">
        <v>0</v>
      </c>
      <c r="AG197" s="8">
        <v>0</v>
      </c>
      <c r="AH197" s="8">
        <v>0</v>
      </c>
      <c r="AI197" s="7" t="s">
        <v>1877</v>
      </c>
      <c r="AJ197" s="7">
        <f t="shared" ca="1" si="43"/>
        <v>1</v>
      </c>
      <c r="AK197" s="96">
        <f t="shared" ref="AK197:AK233" si="44">(+AA197*AB197)/$AB$1101</f>
        <v>0</v>
      </c>
      <c r="AL197" s="97">
        <f t="shared" ref="AL197:AL233" si="45">AC197/$AE$1101*AE197</f>
        <v>0</v>
      </c>
    </row>
    <row r="198" spans="1:38" x14ac:dyDescent="0.3">
      <c r="A198" s="7" t="s">
        <v>1882</v>
      </c>
      <c r="B198" s="7" t="s">
        <v>1320</v>
      </c>
      <c r="C198" s="7" t="s">
        <v>1323</v>
      </c>
      <c r="D198" s="7" t="s">
        <v>1792</v>
      </c>
      <c r="E198" s="7" t="s">
        <v>1695</v>
      </c>
      <c r="F198" s="36">
        <v>43221</v>
      </c>
      <c r="G198" s="36">
        <v>44681</v>
      </c>
      <c r="H198" s="36">
        <v>44895</v>
      </c>
      <c r="I198" s="36">
        <v>44895</v>
      </c>
      <c r="J198" s="7" t="s">
        <v>1699</v>
      </c>
      <c r="K198" s="8">
        <v>0</v>
      </c>
      <c r="L198" s="8">
        <v>0</v>
      </c>
      <c r="M198" s="8">
        <v>0</v>
      </c>
      <c r="N198" s="8">
        <v>700000</v>
      </c>
      <c r="O198" s="8">
        <v>0</v>
      </c>
      <c r="P198" s="8">
        <v>0</v>
      </c>
      <c r="Q198" s="8">
        <v>0</v>
      </c>
      <c r="R198" s="8">
        <f t="shared" si="42"/>
        <v>700000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7">
        <v>0</v>
      </c>
      <c r="AB198" s="8">
        <v>0</v>
      </c>
      <c r="AC198" s="7">
        <v>2.0449999999999999</v>
      </c>
      <c r="AD198" s="7" t="s">
        <v>1226</v>
      </c>
      <c r="AE198" s="8">
        <v>0</v>
      </c>
      <c r="AF198" s="8">
        <v>0</v>
      </c>
      <c r="AG198" s="8">
        <v>0</v>
      </c>
      <c r="AH198" s="8">
        <v>0</v>
      </c>
      <c r="AI198" s="7" t="s">
        <v>1877</v>
      </c>
      <c r="AJ198" s="7">
        <f t="shared" ca="1" si="43"/>
        <v>2</v>
      </c>
      <c r="AK198" s="100">
        <f>(+AA198*AB198)/$AB$1103</f>
        <v>0</v>
      </c>
      <c r="AL198" s="97">
        <f>AC198/$AE$1103*AE198</f>
        <v>0</v>
      </c>
    </row>
    <row r="199" spans="1:38" x14ac:dyDescent="0.3">
      <c r="A199" s="7" t="s">
        <v>1883</v>
      </c>
      <c r="B199" s="7" t="s">
        <v>1320</v>
      </c>
      <c r="C199" s="7" t="s">
        <v>1323</v>
      </c>
      <c r="D199" s="7" t="s">
        <v>1694</v>
      </c>
      <c r="E199" s="7" t="s">
        <v>1695</v>
      </c>
      <c r="F199" s="36">
        <v>43480</v>
      </c>
      <c r="G199" s="36">
        <v>44575</v>
      </c>
      <c r="H199" s="36">
        <v>44895</v>
      </c>
      <c r="I199" s="36">
        <v>44895</v>
      </c>
      <c r="J199" s="7" t="s">
        <v>1696</v>
      </c>
      <c r="K199" s="8">
        <v>0</v>
      </c>
      <c r="L199" s="8">
        <v>0</v>
      </c>
      <c r="M199" s="8">
        <v>172580.648973</v>
      </c>
      <c r="N199" s="8">
        <v>0</v>
      </c>
      <c r="O199" s="8">
        <v>0</v>
      </c>
      <c r="P199" s="8">
        <v>0</v>
      </c>
      <c r="Q199" s="8">
        <v>0</v>
      </c>
      <c r="R199" s="8">
        <f t="shared" si="42"/>
        <v>172580.648973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7">
        <v>0</v>
      </c>
      <c r="AB199" s="8">
        <v>0</v>
      </c>
      <c r="AC199" s="7">
        <v>7</v>
      </c>
      <c r="AD199" s="7" t="s">
        <v>1226</v>
      </c>
      <c r="AE199" s="8">
        <v>0</v>
      </c>
      <c r="AF199" s="8">
        <v>0</v>
      </c>
      <c r="AG199" s="8">
        <v>0</v>
      </c>
      <c r="AH199" s="8">
        <v>0</v>
      </c>
      <c r="AI199" s="7" t="s">
        <v>1194</v>
      </c>
      <c r="AJ199" s="7">
        <f t="shared" ca="1" si="43"/>
        <v>1</v>
      </c>
      <c r="AK199" s="96">
        <f>(+AA199*AB199)/$AB$1102</f>
        <v>0</v>
      </c>
      <c r="AL199" s="97">
        <f>AC199/$AE$1102*AE199</f>
        <v>0</v>
      </c>
    </row>
    <row r="200" spans="1:38" x14ac:dyDescent="0.3">
      <c r="A200" s="7" t="s">
        <v>1883</v>
      </c>
      <c r="B200" s="7" t="s">
        <v>1320</v>
      </c>
      <c r="C200" s="7" t="s">
        <v>1323</v>
      </c>
      <c r="D200" s="7" t="s">
        <v>1694</v>
      </c>
      <c r="E200" s="7" t="s">
        <v>1695</v>
      </c>
      <c r="F200" s="36">
        <v>43480</v>
      </c>
      <c r="G200" s="36">
        <v>44575</v>
      </c>
      <c r="H200" s="36">
        <v>44895</v>
      </c>
      <c r="I200" s="36">
        <v>44895</v>
      </c>
      <c r="J200" s="7" t="s">
        <v>1699</v>
      </c>
      <c r="K200" s="8">
        <v>0</v>
      </c>
      <c r="L200" s="8">
        <v>0</v>
      </c>
      <c r="M200" s="8">
        <v>0</v>
      </c>
      <c r="N200" s="8">
        <v>550000</v>
      </c>
      <c r="O200" s="8">
        <v>0</v>
      </c>
      <c r="P200" s="8">
        <v>0</v>
      </c>
      <c r="Q200" s="8">
        <v>0</v>
      </c>
      <c r="R200" s="8">
        <f t="shared" si="42"/>
        <v>550000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7">
        <v>0</v>
      </c>
      <c r="AB200" s="8">
        <v>0</v>
      </c>
      <c r="AC200" s="7">
        <v>7</v>
      </c>
      <c r="AD200" s="7" t="s">
        <v>1226</v>
      </c>
      <c r="AE200" s="8">
        <v>0</v>
      </c>
      <c r="AF200" s="8">
        <v>0</v>
      </c>
      <c r="AG200" s="8">
        <v>0</v>
      </c>
      <c r="AH200" s="8">
        <v>0</v>
      </c>
      <c r="AI200" s="7" t="s">
        <v>1194</v>
      </c>
      <c r="AJ200" s="7">
        <f t="shared" ca="1" si="43"/>
        <v>2</v>
      </c>
      <c r="AK200" s="100">
        <f>(+AA200*AB200)/$AB$1103</f>
        <v>0</v>
      </c>
      <c r="AL200" s="97">
        <f>AC200/$AE$1103*AE200</f>
        <v>0</v>
      </c>
    </row>
    <row r="201" spans="1:38" x14ac:dyDescent="0.3">
      <c r="A201" s="7" t="s">
        <v>1884</v>
      </c>
      <c r="B201" s="7" t="s">
        <v>194</v>
      </c>
      <c r="C201" s="7" t="s">
        <v>1323</v>
      </c>
      <c r="D201" s="7" t="s">
        <v>1852</v>
      </c>
      <c r="E201" s="7" t="s">
        <v>1322</v>
      </c>
      <c r="F201" s="36">
        <v>44287</v>
      </c>
      <c r="G201" s="36">
        <v>45382</v>
      </c>
      <c r="H201" s="36">
        <v>45382</v>
      </c>
      <c r="I201" s="36">
        <v>45382</v>
      </c>
      <c r="J201" s="7" t="s">
        <v>1239</v>
      </c>
      <c r="K201" s="8">
        <v>271461.54578400002</v>
      </c>
      <c r="L201" s="8">
        <v>33666.804451999997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f t="shared" si="42"/>
        <v>305128.35023600003</v>
      </c>
      <c r="S201" s="8">
        <v>0</v>
      </c>
      <c r="T201" s="8">
        <v>35211.404591999999</v>
      </c>
      <c r="U201" s="8">
        <v>0</v>
      </c>
      <c r="V201" s="8">
        <v>264788.59540799999</v>
      </c>
      <c r="W201" s="8">
        <v>0</v>
      </c>
      <c r="X201" s="8">
        <v>0</v>
      </c>
      <c r="Y201" s="8">
        <v>0</v>
      </c>
      <c r="Z201" s="8">
        <v>0</v>
      </c>
      <c r="AA201" s="7">
        <v>1.249315</v>
      </c>
      <c r="AB201" s="8">
        <v>358063.61749400001</v>
      </c>
      <c r="AC201" s="7">
        <v>7</v>
      </c>
      <c r="AD201" s="7" t="s">
        <v>1226</v>
      </c>
      <c r="AE201" s="8">
        <v>375000</v>
      </c>
      <c r="AF201" s="8">
        <v>0</v>
      </c>
      <c r="AG201" s="8">
        <v>375000</v>
      </c>
      <c r="AH201" s="8">
        <v>0</v>
      </c>
      <c r="AI201" s="7" t="s">
        <v>1781</v>
      </c>
      <c r="AJ201" s="7">
        <f t="shared" ca="1" si="43"/>
        <v>1</v>
      </c>
      <c r="AK201" s="96">
        <f t="shared" si="44"/>
        <v>2.9967102335707193E-3</v>
      </c>
      <c r="AL201" s="97">
        <f t="shared" si="45"/>
        <v>1.6687216523218754E-2</v>
      </c>
    </row>
    <row r="202" spans="1:38" x14ac:dyDescent="0.3">
      <c r="A202" s="7" t="s">
        <v>1885</v>
      </c>
      <c r="B202" s="7" t="s">
        <v>194</v>
      </c>
      <c r="C202" s="7" t="s">
        <v>1323</v>
      </c>
      <c r="D202" s="7" t="s">
        <v>1852</v>
      </c>
      <c r="E202" s="7" t="s">
        <v>1322</v>
      </c>
      <c r="F202" s="36">
        <v>44378</v>
      </c>
      <c r="G202" s="36">
        <v>45473</v>
      </c>
      <c r="H202" s="36">
        <v>45473</v>
      </c>
      <c r="I202" s="36">
        <v>45473</v>
      </c>
      <c r="J202" s="7" t="s">
        <v>1239</v>
      </c>
      <c r="K202" s="8">
        <v>547923.091716</v>
      </c>
      <c r="L202" s="8">
        <v>76547.566200000001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f t="shared" si="42"/>
        <v>624470.657916</v>
      </c>
      <c r="S202" s="8">
        <v>0</v>
      </c>
      <c r="T202" s="8">
        <v>79583.330105999994</v>
      </c>
      <c r="U202" s="8">
        <v>0</v>
      </c>
      <c r="V202" s="8">
        <v>520416.67007400002</v>
      </c>
      <c r="W202" s="8">
        <v>0</v>
      </c>
      <c r="X202" s="8">
        <v>0</v>
      </c>
      <c r="Y202" s="8">
        <v>0</v>
      </c>
      <c r="Z202" s="8">
        <v>0</v>
      </c>
      <c r="AA202" s="7">
        <v>1.4986299999999999</v>
      </c>
      <c r="AB202" s="8">
        <v>852006.67503699998</v>
      </c>
      <c r="AC202" s="7">
        <v>7</v>
      </c>
      <c r="AD202" s="7" t="s">
        <v>1226</v>
      </c>
      <c r="AE202" s="8">
        <v>900000.00026999996</v>
      </c>
      <c r="AF202" s="8">
        <v>0</v>
      </c>
      <c r="AG202" s="8">
        <v>900000.00026999996</v>
      </c>
      <c r="AH202" s="8">
        <v>0</v>
      </c>
      <c r="AI202" s="7" t="s">
        <v>1781</v>
      </c>
      <c r="AJ202" s="7">
        <f t="shared" ca="1" si="43"/>
        <v>1</v>
      </c>
      <c r="AK202" s="96">
        <f t="shared" si="44"/>
        <v>8.553621347805105E-3</v>
      </c>
      <c r="AL202" s="97">
        <f t="shared" si="45"/>
        <v>4.0049319667739801E-2</v>
      </c>
    </row>
    <row r="203" spans="1:38" x14ac:dyDescent="0.3">
      <c r="A203" s="7" t="s">
        <v>1886</v>
      </c>
      <c r="B203" s="7" t="s">
        <v>1320</v>
      </c>
      <c r="C203" s="7" t="s">
        <v>1323</v>
      </c>
      <c r="D203" s="7" t="s">
        <v>1792</v>
      </c>
      <c r="E203" s="7" t="s">
        <v>1695</v>
      </c>
      <c r="F203" s="36">
        <v>43221</v>
      </c>
      <c r="G203" s="36">
        <v>44681</v>
      </c>
      <c r="H203" s="36">
        <v>44895</v>
      </c>
      <c r="I203" s="36">
        <v>44895</v>
      </c>
      <c r="J203" s="7" t="s">
        <v>1696</v>
      </c>
      <c r="K203" s="8">
        <v>0</v>
      </c>
      <c r="L203" s="8">
        <v>0</v>
      </c>
      <c r="M203" s="8">
        <v>1481.5663460000001</v>
      </c>
      <c r="N203" s="8">
        <v>0</v>
      </c>
      <c r="O203" s="8">
        <v>0</v>
      </c>
      <c r="P203" s="8">
        <v>0</v>
      </c>
      <c r="Q203" s="8">
        <v>0</v>
      </c>
      <c r="R203" s="8">
        <f t="shared" si="42"/>
        <v>1481.5663460000001</v>
      </c>
      <c r="S203" s="8">
        <v>0</v>
      </c>
      <c r="T203" s="8">
        <v>0</v>
      </c>
      <c r="U203" s="8">
        <v>1481.568</v>
      </c>
      <c r="V203" s="8">
        <v>0</v>
      </c>
      <c r="W203" s="8">
        <v>0</v>
      </c>
      <c r="X203" s="8">
        <v>0</v>
      </c>
      <c r="Y203" s="8">
        <v>0</v>
      </c>
      <c r="Z203" s="8">
        <v>9.2261999999999997E-2</v>
      </c>
      <c r="AA203" s="7">
        <v>0</v>
      </c>
      <c r="AB203" s="8">
        <v>0</v>
      </c>
      <c r="AC203" s="7">
        <v>2.0449999999999999</v>
      </c>
      <c r="AD203" s="7" t="s">
        <v>1226</v>
      </c>
      <c r="AE203" s="8">
        <v>0</v>
      </c>
      <c r="AF203" s="8">
        <v>0</v>
      </c>
      <c r="AG203" s="8">
        <v>0</v>
      </c>
      <c r="AH203" s="8">
        <v>0</v>
      </c>
      <c r="AI203" s="7" t="s">
        <v>1736</v>
      </c>
      <c r="AJ203" s="7">
        <f t="shared" ca="1" si="43"/>
        <v>1</v>
      </c>
      <c r="AK203" s="96">
        <f>(+AA203*AB203)/$AB$1102</f>
        <v>0</v>
      </c>
      <c r="AL203" s="97">
        <f>AC203/$AE$1102*AE203</f>
        <v>0</v>
      </c>
    </row>
    <row r="204" spans="1:38" x14ac:dyDescent="0.3">
      <c r="A204" s="7" t="s">
        <v>1886</v>
      </c>
      <c r="B204" s="7" t="s">
        <v>1320</v>
      </c>
      <c r="C204" s="7" t="s">
        <v>1323</v>
      </c>
      <c r="D204" s="7" t="s">
        <v>1792</v>
      </c>
      <c r="E204" s="7" t="s">
        <v>1695</v>
      </c>
      <c r="F204" s="36">
        <v>43221</v>
      </c>
      <c r="G204" s="36">
        <v>44681</v>
      </c>
      <c r="H204" s="36">
        <v>44895</v>
      </c>
      <c r="I204" s="36">
        <v>44895</v>
      </c>
      <c r="J204" s="7" t="s">
        <v>1699</v>
      </c>
      <c r="K204" s="8">
        <v>0</v>
      </c>
      <c r="L204" s="8">
        <v>0</v>
      </c>
      <c r="M204" s="8">
        <v>0</v>
      </c>
      <c r="N204" s="8">
        <v>2592.59</v>
      </c>
      <c r="O204" s="8">
        <v>0</v>
      </c>
      <c r="P204" s="8">
        <v>0</v>
      </c>
      <c r="Q204" s="8">
        <v>0</v>
      </c>
      <c r="R204" s="8">
        <f t="shared" si="42"/>
        <v>2592.59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7">
        <v>0</v>
      </c>
      <c r="AB204" s="8">
        <v>0</v>
      </c>
      <c r="AC204" s="7">
        <v>2.0449999999999999</v>
      </c>
      <c r="AD204" s="7" t="s">
        <v>1226</v>
      </c>
      <c r="AE204" s="8">
        <v>0</v>
      </c>
      <c r="AF204" s="8">
        <v>0</v>
      </c>
      <c r="AG204" s="8">
        <v>0</v>
      </c>
      <c r="AH204" s="8">
        <v>0</v>
      </c>
      <c r="AI204" s="7" t="s">
        <v>1736</v>
      </c>
      <c r="AJ204" s="7">
        <f t="shared" ca="1" si="43"/>
        <v>2</v>
      </c>
      <c r="AK204" s="100">
        <f>(+AA204*AB204)/$AB$1103</f>
        <v>0</v>
      </c>
      <c r="AL204" s="97">
        <f>AC204/$AE$1103*AE204</f>
        <v>0</v>
      </c>
    </row>
    <row r="205" spans="1:38" x14ac:dyDescent="0.3">
      <c r="A205" s="7" t="s">
        <v>1887</v>
      </c>
      <c r="B205" s="7" t="s">
        <v>1320</v>
      </c>
      <c r="C205" s="7" t="s">
        <v>1323</v>
      </c>
      <c r="D205" s="7" t="s">
        <v>1792</v>
      </c>
      <c r="E205" s="7" t="s">
        <v>1695</v>
      </c>
      <c r="F205" s="36">
        <v>43221</v>
      </c>
      <c r="G205" s="36">
        <v>44681</v>
      </c>
      <c r="H205" s="36">
        <v>44895</v>
      </c>
      <c r="I205" s="36">
        <v>44895</v>
      </c>
      <c r="J205" s="7" t="s">
        <v>1696</v>
      </c>
      <c r="K205" s="8">
        <v>0</v>
      </c>
      <c r="L205" s="8">
        <v>0</v>
      </c>
      <c r="M205" s="8">
        <v>1481.5663460000001</v>
      </c>
      <c r="N205" s="8">
        <v>0</v>
      </c>
      <c r="O205" s="8">
        <v>0</v>
      </c>
      <c r="P205" s="8">
        <v>0</v>
      </c>
      <c r="Q205" s="8">
        <v>0</v>
      </c>
      <c r="R205" s="8">
        <f t="shared" si="42"/>
        <v>1481.5663460000001</v>
      </c>
      <c r="S205" s="8">
        <v>0</v>
      </c>
      <c r="T205" s="8">
        <v>0</v>
      </c>
      <c r="U205" s="8">
        <v>1481.568</v>
      </c>
      <c r="V205" s="8">
        <v>0</v>
      </c>
      <c r="W205" s="8">
        <v>0</v>
      </c>
      <c r="X205" s="8">
        <v>0</v>
      </c>
      <c r="Y205" s="8">
        <v>0</v>
      </c>
      <c r="Z205" s="8">
        <v>9.2261999999999997E-2</v>
      </c>
      <c r="AA205" s="7">
        <v>0</v>
      </c>
      <c r="AB205" s="8">
        <v>0</v>
      </c>
      <c r="AC205" s="7">
        <v>2.0449999999999999</v>
      </c>
      <c r="AD205" s="7" t="s">
        <v>1226</v>
      </c>
      <c r="AE205" s="8">
        <v>0</v>
      </c>
      <c r="AF205" s="8">
        <v>0</v>
      </c>
      <c r="AG205" s="8">
        <v>0</v>
      </c>
      <c r="AH205" s="8">
        <v>0</v>
      </c>
      <c r="AI205" s="7" t="s">
        <v>1736</v>
      </c>
      <c r="AJ205" s="7">
        <f t="shared" ca="1" si="43"/>
        <v>1</v>
      </c>
      <c r="AK205" s="96">
        <f>(+AA205*AB205)/$AB$1102</f>
        <v>0</v>
      </c>
      <c r="AL205" s="97">
        <f>AC205/$AE$1102*AE205</f>
        <v>0</v>
      </c>
    </row>
    <row r="206" spans="1:38" x14ac:dyDescent="0.3">
      <c r="A206" s="7" t="s">
        <v>1887</v>
      </c>
      <c r="B206" s="7" t="s">
        <v>1320</v>
      </c>
      <c r="C206" s="7" t="s">
        <v>1323</v>
      </c>
      <c r="D206" s="7" t="s">
        <v>1792</v>
      </c>
      <c r="E206" s="7" t="s">
        <v>1695</v>
      </c>
      <c r="F206" s="36">
        <v>43221</v>
      </c>
      <c r="G206" s="36">
        <v>44681</v>
      </c>
      <c r="H206" s="36">
        <v>44895</v>
      </c>
      <c r="I206" s="36">
        <v>44895</v>
      </c>
      <c r="J206" s="7" t="s">
        <v>1699</v>
      </c>
      <c r="K206" s="8">
        <v>0</v>
      </c>
      <c r="L206" s="8">
        <v>0</v>
      </c>
      <c r="M206" s="8">
        <v>0</v>
      </c>
      <c r="N206" s="8">
        <v>2592.59</v>
      </c>
      <c r="O206" s="8">
        <v>0</v>
      </c>
      <c r="P206" s="8">
        <v>0</v>
      </c>
      <c r="Q206" s="8">
        <v>0</v>
      </c>
      <c r="R206" s="8">
        <f t="shared" si="42"/>
        <v>2592.59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7">
        <v>0</v>
      </c>
      <c r="AB206" s="8">
        <v>0</v>
      </c>
      <c r="AC206" s="7">
        <v>2.0449999999999999</v>
      </c>
      <c r="AD206" s="7" t="s">
        <v>1226</v>
      </c>
      <c r="AE206" s="8">
        <v>0</v>
      </c>
      <c r="AF206" s="8">
        <v>0</v>
      </c>
      <c r="AG206" s="8">
        <v>0</v>
      </c>
      <c r="AH206" s="8">
        <v>0</v>
      </c>
      <c r="AI206" s="7" t="s">
        <v>1736</v>
      </c>
      <c r="AJ206" s="7">
        <f t="shared" ca="1" si="43"/>
        <v>2</v>
      </c>
      <c r="AK206" s="100">
        <f>(+AA206*AB206)/$AB$1103</f>
        <v>0</v>
      </c>
      <c r="AL206" s="97">
        <f>AC206/$AE$1103*AE206</f>
        <v>0</v>
      </c>
    </row>
    <row r="207" spans="1:38" x14ac:dyDescent="0.3">
      <c r="A207" s="7" t="s">
        <v>1888</v>
      </c>
      <c r="B207" s="7" t="s">
        <v>1320</v>
      </c>
      <c r="C207" s="7" t="s">
        <v>1323</v>
      </c>
      <c r="D207" s="7" t="s">
        <v>1792</v>
      </c>
      <c r="E207" s="7" t="s">
        <v>1695</v>
      </c>
      <c r="F207" s="36">
        <v>43221</v>
      </c>
      <c r="G207" s="36">
        <v>44681</v>
      </c>
      <c r="H207" s="36">
        <v>44895</v>
      </c>
      <c r="I207" s="36">
        <v>44895</v>
      </c>
      <c r="J207" s="7" t="s">
        <v>1696</v>
      </c>
      <c r="K207" s="8">
        <v>0</v>
      </c>
      <c r="L207" s="8">
        <v>0</v>
      </c>
      <c r="M207" s="8">
        <v>1481.5663460000001</v>
      </c>
      <c r="N207" s="8">
        <v>0</v>
      </c>
      <c r="O207" s="8">
        <v>0</v>
      </c>
      <c r="P207" s="8">
        <v>0</v>
      </c>
      <c r="Q207" s="8">
        <v>0</v>
      </c>
      <c r="R207" s="8">
        <f t="shared" si="42"/>
        <v>1481.5663460000001</v>
      </c>
      <c r="S207" s="8">
        <v>0</v>
      </c>
      <c r="T207" s="8">
        <v>0</v>
      </c>
      <c r="U207" s="8">
        <v>1481.568</v>
      </c>
      <c r="V207" s="8">
        <v>0</v>
      </c>
      <c r="W207" s="8">
        <v>0</v>
      </c>
      <c r="X207" s="8">
        <v>0</v>
      </c>
      <c r="Y207" s="8">
        <v>0</v>
      </c>
      <c r="Z207" s="8">
        <v>9.2261999999999997E-2</v>
      </c>
      <c r="AA207" s="7">
        <v>0</v>
      </c>
      <c r="AB207" s="8">
        <v>0</v>
      </c>
      <c r="AC207" s="7">
        <v>2.0449999999999999</v>
      </c>
      <c r="AD207" s="7" t="s">
        <v>1226</v>
      </c>
      <c r="AE207" s="8">
        <v>0</v>
      </c>
      <c r="AF207" s="8">
        <v>0</v>
      </c>
      <c r="AG207" s="8">
        <v>0</v>
      </c>
      <c r="AH207" s="8">
        <v>0</v>
      </c>
      <c r="AI207" s="7" t="s">
        <v>1736</v>
      </c>
      <c r="AJ207" s="7">
        <f t="shared" ca="1" si="43"/>
        <v>1</v>
      </c>
      <c r="AK207" s="96">
        <f>(+AA207*AB207)/$AB$1102</f>
        <v>0</v>
      </c>
      <c r="AL207" s="97">
        <f>AC207/$AE$1102*AE207</f>
        <v>0</v>
      </c>
    </row>
    <row r="208" spans="1:38" x14ac:dyDescent="0.3">
      <c r="A208" s="7" t="s">
        <v>1888</v>
      </c>
      <c r="B208" s="7" t="s">
        <v>1320</v>
      </c>
      <c r="C208" s="7" t="s">
        <v>1323</v>
      </c>
      <c r="D208" s="7" t="s">
        <v>1792</v>
      </c>
      <c r="E208" s="7" t="s">
        <v>1695</v>
      </c>
      <c r="F208" s="36">
        <v>43221</v>
      </c>
      <c r="G208" s="36">
        <v>44681</v>
      </c>
      <c r="H208" s="36">
        <v>44895</v>
      </c>
      <c r="I208" s="36">
        <v>44895</v>
      </c>
      <c r="J208" s="7" t="s">
        <v>1699</v>
      </c>
      <c r="K208" s="8">
        <v>0</v>
      </c>
      <c r="L208" s="8">
        <v>0</v>
      </c>
      <c r="M208" s="8">
        <v>0</v>
      </c>
      <c r="N208" s="8">
        <v>2592.59</v>
      </c>
      <c r="O208" s="8">
        <v>0</v>
      </c>
      <c r="P208" s="8">
        <v>0</v>
      </c>
      <c r="Q208" s="8">
        <v>0</v>
      </c>
      <c r="R208" s="8">
        <f t="shared" si="42"/>
        <v>2592.59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7">
        <v>0</v>
      </c>
      <c r="AB208" s="8">
        <v>0</v>
      </c>
      <c r="AC208" s="7">
        <v>2.0449999999999999</v>
      </c>
      <c r="AD208" s="7" t="s">
        <v>1226</v>
      </c>
      <c r="AE208" s="8">
        <v>0</v>
      </c>
      <c r="AF208" s="8">
        <v>0</v>
      </c>
      <c r="AG208" s="8">
        <v>0</v>
      </c>
      <c r="AH208" s="8">
        <v>0</v>
      </c>
      <c r="AI208" s="7" t="s">
        <v>1736</v>
      </c>
      <c r="AJ208" s="7">
        <f t="shared" ca="1" si="43"/>
        <v>2</v>
      </c>
      <c r="AK208" s="100">
        <f>(+AA208*AB208)/$AB$1103</f>
        <v>0</v>
      </c>
      <c r="AL208" s="97">
        <f>AC208/$AE$1103*AE208</f>
        <v>0</v>
      </c>
    </row>
    <row r="209" spans="1:38" x14ac:dyDescent="0.3">
      <c r="A209" s="7" t="s">
        <v>1889</v>
      </c>
      <c r="B209" s="7" t="s">
        <v>1320</v>
      </c>
      <c r="C209" s="7" t="s">
        <v>1323</v>
      </c>
      <c r="D209" s="7" t="s">
        <v>1792</v>
      </c>
      <c r="E209" s="7" t="s">
        <v>1695</v>
      </c>
      <c r="F209" s="36">
        <v>43221</v>
      </c>
      <c r="G209" s="36">
        <v>44681</v>
      </c>
      <c r="H209" s="36">
        <v>44895</v>
      </c>
      <c r="I209" s="36">
        <v>44895</v>
      </c>
      <c r="J209" s="7" t="s">
        <v>1696</v>
      </c>
      <c r="K209" s="8">
        <v>0</v>
      </c>
      <c r="L209" s="8">
        <v>0</v>
      </c>
      <c r="M209" s="8">
        <v>1481.5663460000001</v>
      </c>
      <c r="N209" s="8">
        <v>0</v>
      </c>
      <c r="O209" s="8">
        <v>0</v>
      </c>
      <c r="P209" s="8">
        <v>0</v>
      </c>
      <c r="Q209" s="8">
        <v>0</v>
      </c>
      <c r="R209" s="8">
        <f t="shared" si="42"/>
        <v>1481.5663460000001</v>
      </c>
      <c r="S209" s="8">
        <v>0</v>
      </c>
      <c r="T209" s="8">
        <v>0</v>
      </c>
      <c r="U209" s="8">
        <v>1481.568</v>
      </c>
      <c r="V209" s="8">
        <v>0</v>
      </c>
      <c r="W209" s="8">
        <v>0</v>
      </c>
      <c r="X209" s="8">
        <v>0</v>
      </c>
      <c r="Y209" s="8">
        <v>0</v>
      </c>
      <c r="Z209" s="8">
        <v>9.2261999999999997E-2</v>
      </c>
      <c r="AA209" s="7">
        <v>0</v>
      </c>
      <c r="AB209" s="8">
        <v>0</v>
      </c>
      <c r="AC209" s="7">
        <v>2.0449999999999999</v>
      </c>
      <c r="AD209" s="7" t="s">
        <v>1226</v>
      </c>
      <c r="AE209" s="8">
        <v>0</v>
      </c>
      <c r="AF209" s="8">
        <v>0</v>
      </c>
      <c r="AG209" s="8">
        <v>0</v>
      </c>
      <c r="AH209" s="8">
        <v>0</v>
      </c>
      <c r="AI209" s="7" t="s">
        <v>1736</v>
      </c>
      <c r="AJ209" s="7">
        <f t="shared" ca="1" si="43"/>
        <v>1</v>
      </c>
      <c r="AK209" s="96">
        <f>(+AA209*AB209)/$AB$1102</f>
        <v>0</v>
      </c>
      <c r="AL209" s="97">
        <f>AC209/$AE$1102*AE209</f>
        <v>0</v>
      </c>
    </row>
    <row r="210" spans="1:38" x14ac:dyDescent="0.3">
      <c r="A210" s="7" t="s">
        <v>1889</v>
      </c>
      <c r="B210" s="7" t="s">
        <v>1320</v>
      </c>
      <c r="C210" s="7" t="s">
        <v>1323</v>
      </c>
      <c r="D210" s="7" t="s">
        <v>1792</v>
      </c>
      <c r="E210" s="7" t="s">
        <v>1695</v>
      </c>
      <c r="F210" s="36">
        <v>43221</v>
      </c>
      <c r="G210" s="36">
        <v>44681</v>
      </c>
      <c r="H210" s="36">
        <v>44895</v>
      </c>
      <c r="I210" s="36">
        <v>44895</v>
      </c>
      <c r="J210" s="7" t="s">
        <v>1699</v>
      </c>
      <c r="K210" s="8">
        <v>0</v>
      </c>
      <c r="L210" s="8">
        <v>0</v>
      </c>
      <c r="M210" s="8">
        <v>0</v>
      </c>
      <c r="N210" s="8">
        <v>2592.59</v>
      </c>
      <c r="O210" s="8">
        <v>0</v>
      </c>
      <c r="P210" s="8">
        <v>0</v>
      </c>
      <c r="Q210" s="8">
        <v>0</v>
      </c>
      <c r="R210" s="8">
        <f t="shared" si="42"/>
        <v>2592.59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7">
        <v>0</v>
      </c>
      <c r="AB210" s="8">
        <v>0</v>
      </c>
      <c r="AC210" s="7">
        <v>2.0449999999999999</v>
      </c>
      <c r="AD210" s="7" t="s">
        <v>1226</v>
      </c>
      <c r="AE210" s="8">
        <v>0</v>
      </c>
      <c r="AF210" s="8">
        <v>0</v>
      </c>
      <c r="AG210" s="8">
        <v>0</v>
      </c>
      <c r="AH210" s="8">
        <v>0</v>
      </c>
      <c r="AI210" s="7" t="s">
        <v>1736</v>
      </c>
      <c r="AJ210" s="7">
        <f t="shared" ca="1" si="43"/>
        <v>2</v>
      </c>
      <c r="AK210" s="100">
        <f>(+AA210*AB210)/$AB$1103</f>
        <v>0</v>
      </c>
      <c r="AL210" s="97">
        <f>AC210/$AE$1103*AE210</f>
        <v>0</v>
      </c>
    </row>
    <row r="211" spans="1:38" x14ac:dyDescent="0.3">
      <c r="A211" s="7" t="s">
        <v>1890</v>
      </c>
      <c r="B211" s="7" t="s">
        <v>1320</v>
      </c>
      <c r="C211" s="7" t="s">
        <v>1323</v>
      </c>
      <c r="D211" s="7" t="s">
        <v>1694</v>
      </c>
      <c r="E211" s="7" t="s">
        <v>1695</v>
      </c>
      <c r="F211" s="36">
        <v>42826</v>
      </c>
      <c r="G211" s="36">
        <v>43921</v>
      </c>
      <c r="H211" s="36">
        <v>44895</v>
      </c>
      <c r="I211" s="36">
        <v>44895</v>
      </c>
      <c r="J211" s="7" t="s">
        <v>1696</v>
      </c>
      <c r="K211" s="8">
        <v>0</v>
      </c>
      <c r="L211" s="8">
        <v>0</v>
      </c>
      <c r="M211" s="8">
        <v>214301.805766</v>
      </c>
      <c r="N211" s="8">
        <v>0</v>
      </c>
      <c r="O211" s="8">
        <v>0</v>
      </c>
      <c r="P211" s="8">
        <v>0</v>
      </c>
      <c r="Q211" s="8">
        <v>0</v>
      </c>
      <c r="R211" s="8">
        <f t="shared" si="42"/>
        <v>214301.805766</v>
      </c>
      <c r="S211" s="8">
        <v>0</v>
      </c>
      <c r="T211" s="8">
        <v>0</v>
      </c>
      <c r="U211" s="8">
        <v>200000</v>
      </c>
      <c r="V211" s="8">
        <v>0</v>
      </c>
      <c r="W211" s="8">
        <v>0</v>
      </c>
      <c r="X211" s="8">
        <v>0</v>
      </c>
      <c r="Y211" s="8">
        <v>0</v>
      </c>
      <c r="Z211" s="8">
        <v>94637.612292999998</v>
      </c>
      <c r="AA211" s="7">
        <v>0</v>
      </c>
      <c r="AB211" s="8">
        <v>0</v>
      </c>
      <c r="AC211" s="7">
        <v>2.920417</v>
      </c>
      <c r="AD211" s="7" t="s">
        <v>1697</v>
      </c>
      <c r="AE211" s="8">
        <v>0</v>
      </c>
      <c r="AF211" s="8">
        <v>0</v>
      </c>
      <c r="AG211" s="8">
        <v>0</v>
      </c>
      <c r="AH211" s="8">
        <v>0</v>
      </c>
      <c r="AI211" s="7" t="s">
        <v>1194</v>
      </c>
      <c r="AJ211" s="7">
        <f t="shared" ca="1" si="43"/>
        <v>1</v>
      </c>
      <c r="AK211" s="96">
        <f t="shared" ref="AK211:AK212" si="46">(+AA211*AB211)/$AB$1102</f>
        <v>0</v>
      </c>
      <c r="AL211" s="97">
        <f t="shared" ref="AL211:AL212" si="47">AC211/$AE$1102*AE211</f>
        <v>0</v>
      </c>
    </row>
    <row r="212" spans="1:38" x14ac:dyDescent="0.3">
      <c r="A212" s="7" t="s">
        <v>1891</v>
      </c>
      <c r="B212" s="7" t="s">
        <v>1320</v>
      </c>
      <c r="C212" s="7" t="s">
        <v>1323</v>
      </c>
      <c r="D212" s="7" t="s">
        <v>1694</v>
      </c>
      <c r="E212" s="7" t="s">
        <v>1695</v>
      </c>
      <c r="F212" s="36">
        <v>42826</v>
      </c>
      <c r="G212" s="36">
        <v>43921</v>
      </c>
      <c r="H212" s="36">
        <v>44895</v>
      </c>
      <c r="I212" s="36">
        <v>44895</v>
      </c>
      <c r="J212" s="7" t="s">
        <v>1696</v>
      </c>
      <c r="K212" s="8">
        <v>0</v>
      </c>
      <c r="L212" s="8">
        <v>0</v>
      </c>
      <c r="M212" s="8">
        <v>71354.567148000002</v>
      </c>
      <c r="N212" s="8">
        <v>0</v>
      </c>
      <c r="O212" s="8">
        <v>0</v>
      </c>
      <c r="P212" s="8">
        <v>0</v>
      </c>
      <c r="Q212" s="8">
        <v>0</v>
      </c>
      <c r="R212" s="8">
        <f t="shared" si="42"/>
        <v>71354.567148000002</v>
      </c>
      <c r="S212" s="8">
        <v>0</v>
      </c>
      <c r="T212" s="8">
        <v>0</v>
      </c>
      <c r="U212" s="8">
        <v>50000</v>
      </c>
      <c r="V212" s="8">
        <v>0</v>
      </c>
      <c r="W212" s="8">
        <v>0</v>
      </c>
      <c r="X212" s="8">
        <v>0</v>
      </c>
      <c r="Y212" s="8">
        <v>0</v>
      </c>
      <c r="Z212" s="8">
        <v>31931.171227999999</v>
      </c>
      <c r="AA212" s="7">
        <v>0</v>
      </c>
      <c r="AB212" s="8">
        <v>0</v>
      </c>
      <c r="AC212" s="7">
        <v>2.920417</v>
      </c>
      <c r="AD212" s="7" t="s">
        <v>1697</v>
      </c>
      <c r="AE212" s="8">
        <v>0</v>
      </c>
      <c r="AF212" s="8">
        <v>0</v>
      </c>
      <c r="AG212" s="8">
        <v>0</v>
      </c>
      <c r="AH212" s="8">
        <v>0</v>
      </c>
      <c r="AI212" s="7" t="s">
        <v>1194</v>
      </c>
      <c r="AJ212" s="7">
        <f t="shared" ca="1" si="43"/>
        <v>1</v>
      </c>
      <c r="AK212" s="96">
        <f t="shared" si="46"/>
        <v>0</v>
      </c>
      <c r="AL212" s="97">
        <f t="shared" si="47"/>
        <v>0</v>
      </c>
    </row>
    <row r="213" spans="1:38" x14ac:dyDescent="0.3">
      <c r="A213" s="7" t="s">
        <v>1892</v>
      </c>
      <c r="B213" s="7" t="s">
        <v>194</v>
      </c>
      <c r="C213" s="7" t="s">
        <v>1323</v>
      </c>
      <c r="D213" s="7" t="s">
        <v>1324</v>
      </c>
      <c r="E213" s="7" t="s">
        <v>1322</v>
      </c>
      <c r="F213" s="36">
        <v>44287</v>
      </c>
      <c r="G213" s="36">
        <v>45382</v>
      </c>
      <c r="H213" s="36">
        <v>45382</v>
      </c>
      <c r="I213" s="36">
        <v>45382</v>
      </c>
      <c r="J213" s="7" t="s">
        <v>1239</v>
      </c>
      <c r="K213" s="8">
        <v>539774.40752400004</v>
      </c>
      <c r="L213" s="8">
        <v>70422.809181000004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f t="shared" si="42"/>
        <v>610197.21670500003</v>
      </c>
      <c r="S213" s="8">
        <v>0</v>
      </c>
      <c r="T213" s="8">
        <v>70422.809181000004</v>
      </c>
      <c r="U213" s="8">
        <v>0</v>
      </c>
      <c r="V213" s="8">
        <v>529577.19081900001</v>
      </c>
      <c r="W213" s="8">
        <v>0</v>
      </c>
      <c r="X213" s="8">
        <v>0</v>
      </c>
      <c r="Y213" s="8">
        <v>0</v>
      </c>
      <c r="Z213" s="8">
        <v>0</v>
      </c>
      <c r="AA213" s="7">
        <v>1.249315</v>
      </c>
      <c r="AB213" s="8">
        <v>716127.23498499999</v>
      </c>
      <c r="AC213" s="7">
        <v>7</v>
      </c>
      <c r="AD213" s="7" t="s">
        <v>1226</v>
      </c>
      <c r="AE213" s="8">
        <v>750000</v>
      </c>
      <c r="AF213" s="8">
        <v>0</v>
      </c>
      <c r="AG213" s="8">
        <v>750000</v>
      </c>
      <c r="AH213" s="8">
        <v>0</v>
      </c>
      <c r="AI213" s="7" t="s">
        <v>1758</v>
      </c>
      <c r="AJ213" s="7">
        <f t="shared" ca="1" si="43"/>
        <v>1</v>
      </c>
      <c r="AK213" s="96">
        <f t="shared" si="44"/>
        <v>5.9934204671163302E-3</v>
      </c>
      <c r="AL213" s="97">
        <f t="shared" si="45"/>
        <v>3.3374433046437509E-2</v>
      </c>
    </row>
    <row r="214" spans="1:38" x14ac:dyDescent="0.3">
      <c r="A214" s="7" t="s">
        <v>1893</v>
      </c>
      <c r="B214" s="7" t="s">
        <v>194</v>
      </c>
      <c r="C214" s="7" t="s">
        <v>1323</v>
      </c>
      <c r="D214" s="7" t="s">
        <v>1324</v>
      </c>
      <c r="E214" s="7" t="s">
        <v>1322</v>
      </c>
      <c r="F214" s="36">
        <v>44378</v>
      </c>
      <c r="G214" s="36">
        <v>45473</v>
      </c>
      <c r="H214" s="36">
        <v>45473</v>
      </c>
      <c r="I214" s="36">
        <v>45473</v>
      </c>
      <c r="J214" s="7" t="s">
        <v>1239</v>
      </c>
      <c r="K214" s="8">
        <v>542923.09156800003</v>
      </c>
      <c r="L214" s="8">
        <v>76547.566166000004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f t="shared" si="42"/>
        <v>619470.65773400001</v>
      </c>
      <c r="S214" s="8">
        <v>0</v>
      </c>
      <c r="T214" s="8">
        <v>79583.330073999998</v>
      </c>
      <c r="U214" s="8">
        <v>0</v>
      </c>
      <c r="V214" s="8">
        <v>520416.669926</v>
      </c>
      <c r="W214" s="8">
        <v>0</v>
      </c>
      <c r="X214" s="8">
        <v>0</v>
      </c>
      <c r="Y214" s="8">
        <v>0</v>
      </c>
      <c r="Z214" s="8">
        <v>0</v>
      </c>
      <c r="AA214" s="7">
        <v>1.4986299999999999</v>
      </c>
      <c r="AB214" s="8">
        <v>852006.674764</v>
      </c>
      <c r="AC214" s="7">
        <v>7</v>
      </c>
      <c r="AD214" s="7" t="s">
        <v>1226</v>
      </c>
      <c r="AE214" s="8">
        <v>900000</v>
      </c>
      <c r="AF214" s="8">
        <v>0</v>
      </c>
      <c r="AG214" s="8">
        <v>900000</v>
      </c>
      <c r="AH214" s="8">
        <v>0</v>
      </c>
      <c r="AI214" s="7" t="s">
        <v>1758</v>
      </c>
      <c r="AJ214" s="7">
        <f t="shared" ca="1" si="43"/>
        <v>1</v>
      </c>
      <c r="AK214" s="96">
        <f t="shared" si="44"/>
        <v>8.5536213450643547E-3</v>
      </c>
      <c r="AL214" s="97">
        <f t="shared" si="45"/>
        <v>4.0049319655725009E-2</v>
      </c>
    </row>
    <row r="215" spans="1:38" x14ac:dyDescent="0.3">
      <c r="A215" s="7" t="s">
        <v>1894</v>
      </c>
      <c r="B215" s="7" t="s">
        <v>1320</v>
      </c>
      <c r="C215" s="7" t="s">
        <v>1323</v>
      </c>
      <c r="D215" s="7" t="s">
        <v>1792</v>
      </c>
      <c r="E215" s="7" t="s">
        <v>1695</v>
      </c>
      <c r="F215" s="36">
        <v>43221</v>
      </c>
      <c r="G215" s="36">
        <v>44681</v>
      </c>
      <c r="H215" s="36">
        <v>44895</v>
      </c>
      <c r="I215" s="36">
        <v>44895</v>
      </c>
      <c r="J215" s="7" t="s">
        <v>1696</v>
      </c>
      <c r="K215" s="8">
        <v>0</v>
      </c>
      <c r="L215" s="8">
        <v>0</v>
      </c>
      <c r="M215" s="8">
        <v>4045.7716439999999</v>
      </c>
      <c r="N215" s="8">
        <v>0</v>
      </c>
      <c r="O215" s="8">
        <v>0</v>
      </c>
      <c r="P215" s="8">
        <v>0</v>
      </c>
      <c r="Q215" s="8">
        <v>0</v>
      </c>
      <c r="R215" s="8">
        <f t="shared" si="42"/>
        <v>4045.7716439999999</v>
      </c>
      <c r="S215" s="8">
        <v>0</v>
      </c>
      <c r="T215" s="8">
        <v>0</v>
      </c>
      <c r="U215" s="8">
        <v>4074.1579999999999</v>
      </c>
      <c r="V215" s="8">
        <v>0</v>
      </c>
      <c r="W215" s="8">
        <v>0</v>
      </c>
      <c r="X215" s="8">
        <v>0</v>
      </c>
      <c r="Y215" s="8">
        <v>0</v>
      </c>
      <c r="Z215" s="8">
        <v>-1326.6521809999999</v>
      </c>
      <c r="AA215" s="7">
        <v>0</v>
      </c>
      <c r="AB215" s="8">
        <v>0</v>
      </c>
      <c r="AC215" s="7">
        <v>1.6353329999999999</v>
      </c>
      <c r="AD215" s="7" t="s">
        <v>1697</v>
      </c>
      <c r="AE215" s="8">
        <v>0</v>
      </c>
      <c r="AF215" s="8">
        <v>0</v>
      </c>
      <c r="AG215" s="8">
        <v>0</v>
      </c>
      <c r="AH215" s="8">
        <v>0</v>
      </c>
      <c r="AI215" s="7" t="s">
        <v>1736</v>
      </c>
      <c r="AJ215" s="7">
        <f t="shared" ca="1" si="43"/>
        <v>1</v>
      </c>
      <c r="AK215" s="96">
        <f t="shared" ref="AK215:AK218" si="48">(+AA215*AB215)/$AB$1102</f>
        <v>0</v>
      </c>
      <c r="AL215" s="97">
        <f t="shared" ref="AL215:AL218" si="49">AC215/$AE$1102*AE215</f>
        <v>0</v>
      </c>
    </row>
    <row r="216" spans="1:38" x14ac:dyDescent="0.3">
      <c r="A216" s="7" t="s">
        <v>1895</v>
      </c>
      <c r="B216" s="7" t="s">
        <v>1320</v>
      </c>
      <c r="C216" s="7" t="s">
        <v>1323</v>
      </c>
      <c r="D216" s="7" t="s">
        <v>1792</v>
      </c>
      <c r="E216" s="7" t="s">
        <v>1695</v>
      </c>
      <c r="F216" s="36">
        <v>43221</v>
      </c>
      <c r="G216" s="36">
        <v>44681</v>
      </c>
      <c r="H216" s="36">
        <v>44895</v>
      </c>
      <c r="I216" s="36">
        <v>44895</v>
      </c>
      <c r="J216" s="7" t="s">
        <v>1696</v>
      </c>
      <c r="K216" s="8">
        <v>0</v>
      </c>
      <c r="L216" s="8">
        <v>0</v>
      </c>
      <c r="M216" s="8">
        <v>4045.7716439999999</v>
      </c>
      <c r="N216" s="8">
        <v>0</v>
      </c>
      <c r="O216" s="8">
        <v>0</v>
      </c>
      <c r="P216" s="8">
        <v>0</v>
      </c>
      <c r="Q216" s="8">
        <v>0</v>
      </c>
      <c r="R216" s="8">
        <f t="shared" si="42"/>
        <v>4045.7716439999999</v>
      </c>
      <c r="S216" s="8">
        <v>0</v>
      </c>
      <c r="T216" s="8">
        <v>0</v>
      </c>
      <c r="U216" s="8">
        <v>4074.1579999999999</v>
      </c>
      <c r="V216" s="8">
        <v>0</v>
      </c>
      <c r="W216" s="8">
        <v>0</v>
      </c>
      <c r="X216" s="8">
        <v>0</v>
      </c>
      <c r="Y216" s="8">
        <v>0</v>
      </c>
      <c r="Z216" s="8">
        <v>-1326.6521809999999</v>
      </c>
      <c r="AA216" s="7">
        <v>0</v>
      </c>
      <c r="AB216" s="8">
        <v>0</v>
      </c>
      <c r="AC216" s="7">
        <v>1.6353329999999999</v>
      </c>
      <c r="AD216" s="7" t="s">
        <v>1697</v>
      </c>
      <c r="AE216" s="8">
        <v>0</v>
      </c>
      <c r="AF216" s="8">
        <v>0</v>
      </c>
      <c r="AG216" s="8">
        <v>0</v>
      </c>
      <c r="AH216" s="8">
        <v>0</v>
      </c>
      <c r="AI216" s="7" t="s">
        <v>1736</v>
      </c>
      <c r="AJ216" s="7">
        <f t="shared" ca="1" si="43"/>
        <v>1</v>
      </c>
      <c r="AK216" s="96">
        <f t="shared" si="48"/>
        <v>0</v>
      </c>
      <c r="AL216" s="97">
        <f t="shared" si="49"/>
        <v>0</v>
      </c>
    </row>
    <row r="217" spans="1:38" x14ac:dyDescent="0.3">
      <c r="A217" s="7" t="s">
        <v>1896</v>
      </c>
      <c r="B217" s="7" t="s">
        <v>1320</v>
      </c>
      <c r="C217" s="7" t="s">
        <v>1323</v>
      </c>
      <c r="D217" s="7" t="s">
        <v>1792</v>
      </c>
      <c r="E217" s="7" t="s">
        <v>1695</v>
      </c>
      <c r="F217" s="36">
        <v>43221</v>
      </c>
      <c r="G217" s="36">
        <v>44681</v>
      </c>
      <c r="H217" s="36">
        <v>44895</v>
      </c>
      <c r="I217" s="36">
        <v>44895</v>
      </c>
      <c r="J217" s="7" t="s">
        <v>1696</v>
      </c>
      <c r="K217" s="8">
        <v>0</v>
      </c>
      <c r="L217" s="8">
        <v>0</v>
      </c>
      <c r="M217" s="8">
        <v>4045.7716439999999</v>
      </c>
      <c r="N217" s="8">
        <v>0</v>
      </c>
      <c r="O217" s="8">
        <v>0</v>
      </c>
      <c r="P217" s="8">
        <v>0</v>
      </c>
      <c r="Q217" s="8">
        <v>0</v>
      </c>
      <c r="R217" s="8">
        <f t="shared" si="42"/>
        <v>4045.7716439999999</v>
      </c>
      <c r="S217" s="8">
        <v>0</v>
      </c>
      <c r="T217" s="8">
        <v>0</v>
      </c>
      <c r="U217" s="8">
        <v>4074.1579999999999</v>
      </c>
      <c r="V217" s="8">
        <v>0</v>
      </c>
      <c r="W217" s="8">
        <v>0</v>
      </c>
      <c r="X217" s="8">
        <v>0</v>
      </c>
      <c r="Y217" s="8">
        <v>0</v>
      </c>
      <c r="Z217" s="8">
        <v>-1326.6521809999999</v>
      </c>
      <c r="AA217" s="7">
        <v>0</v>
      </c>
      <c r="AB217" s="8">
        <v>0</v>
      </c>
      <c r="AC217" s="7">
        <v>1.6353329999999999</v>
      </c>
      <c r="AD217" s="7" t="s">
        <v>1697</v>
      </c>
      <c r="AE217" s="8">
        <v>0</v>
      </c>
      <c r="AF217" s="8">
        <v>0</v>
      </c>
      <c r="AG217" s="8">
        <v>0</v>
      </c>
      <c r="AH217" s="8">
        <v>0</v>
      </c>
      <c r="AI217" s="7" t="s">
        <v>1736</v>
      </c>
      <c r="AJ217" s="7">
        <f t="shared" ca="1" si="43"/>
        <v>1</v>
      </c>
      <c r="AK217" s="96">
        <f t="shared" si="48"/>
        <v>0</v>
      </c>
      <c r="AL217" s="97">
        <f t="shared" si="49"/>
        <v>0</v>
      </c>
    </row>
    <row r="218" spans="1:38" x14ac:dyDescent="0.3">
      <c r="A218" s="7" t="s">
        <v>1897</v>
      </c>
      <c r="B218" s="7" t="s">
        <v>1320</v>
      </c>
      <c r="C218" s="7" t="s">
        <v>1323</v>
      </c>
      <c r="D218" s="7" t="s">
        <v>1792</v>
      </c>
      <c r="E218" s="7" t="s">
        <v>1695</v>
      </c>
      <c r="F218" s="36">
        <v>43221</v>
      </c>
      <c r="G218" s="36">
        <v>44681</v>
      </c>
      <c r="H218" s="36">
        <v>44895</v>
      </c>
      <c r="I218" s="36">
        <v>44895</v>
      </c>
      <c r="J218" s="7" t="s">
        <v>1696</v>
      </c>
      <c r="K218" s="8">
        <v>0</v>
      </c>
      <c r="L218" s="8">
        <v>0</v>
      </c>
      <c r="M218" s="8">
        <v>4045.7716439999999</v>
      </c>
      <c r="N218" s="8">
        <v>0</v>
      </c>
      <c r="O218" s="8">
        <v>0</v>
      </c>
      <c r="P218" s="8">
        <v>0</v>
      </c>
      <c r="Q218" s="8">
        <v>0</v>
      </c>
      <c r="R218" s="8">
        <f t="shared" si="42"/>
        <v>4045.7716439999999</v>
      </c>
      <c r="S218" s="8">
        <v>0</v>
      </c>
      <c r="T218" s="8">
        <v>0</v>
      </c>
      <c r="U218" s="8">
        <v>4074.1579999999999</v>
      </c>
      <c r="V218" s="8">
        <v>0</v>
      </c>
      <c r="W218" s="8">
        <v>0</v>
      </c>
      <c r="X218" s="8">
        <v>0</v>
      </c>
      <c r="Y218" s="8">
        <v>0</v>
      </c>
      <c r="Z218" s="8">
        <v>-1326.6521809999999</v>
      </c>
      <c r="AA218" s="7">
        <v>0</v>
      </c>
      <c r="AB218" s="8">
        <v>0</v>
      </c>
      <c r="AC218" s="7">
        <v>1.6353329999999999</v>
      </c>
      <c r="AD218" s="7" t="s">
        <v>1697</v>
      </c>
      <c r="AE218" s="8">
        <v>0</v>
      </c>
      <c r="AF218" s="8">
        <v>0</v>
      </c>
      <c r="AG218" s="8">
        <v>0</v>
      </c>
      <c r="AH218" s="8">
        <v>0</v>
      </c>
      <c r="AI218" s="7" t="s">
        <v>1736</v>
      </c>
      <c r="AJ218" s="7">
        <f t="shared" ca="1" si="43"/>
        <v>1</v>
      </c>
      <c r="AK218" s="96">
        <f t="shared" si="48"/>
        <v>0</v>
      </c>
      <c r="AL218" s="97">
        <f t="shared" si="49"/>
        <v>0</v>
      </c>
    </row>
    <row r="219" spans="1:38" x14ac:dyDescent="0.3">
      <c r="A219" s="7" t="s">
        <v>1898</v>
      </c>
      <c r="B219" s="7" t="s">
        <v>194</v>
      </c>
      <c r="C219" s="7" t="s">
        <v>1323</v>
      </c>
      <c r="D219" s="7" t="s">
        <v>1852</v>
      </c>
      <c r="E219" s="7" t="s">
        <v>1322</v>
      </c>
      <c r="F219" s="36">
        <v>44287</v>
      </c>
      <c r="G219" s="36">
        <v>45382</v>
      </c>
      <c r="H219" s="36">
        <v>45382</v>
      </c>
      <c r="I219" s="36">
        <v>45382</v>
      </c>
      <c r="J219" s="7" t="s">
        <v>1239</v>
      </c>
      <c r="K219" s="8">
        <v>542561.95980240637</v>
      </c>
      <c r="L219" s="8">
        <v>67333.608901011088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f t="shared" si="42"/>
        <v>609895.56870341743</v>
      </c>
      <c r="S219" s="8">
        <v>0</v>
      </c>
      <c r="T219" s="8">
        <v>70422.809181011602</v>
      </c>
      <c r="U219" s="8">
        <v>0</v>
      </c>
      <c r="V219" s="8">
        <v>529577.19081908721</v>
      </c>
      <c r="W219" s="8">
        <v>0</v>
      </c>
      <c r="X219" s="8">
        <v>0</v>
      </c>
      <c r="Y219" s="8">
        <v>0</v>
      </c>
      <c r="Z219" s="8">
        <v>0</v>
      </c>
      <c r="AA219" s="7">
        <v>1.249315</v>
      </c>
      <c r="AB219" s="8">
        <v>716127.23498411791</v>
      </c>
      <c r="AC219" s="7">
        <v>7</v>
      </c>
      <c r="AD219" s="7" t="s">
        <v>1226</v>
      </c>
      <c r="AE219" s="8">
        <v>750000.00000029162</v>
      </c>
      <c r="AF219" s="8">
        <v>0</v>
      </c>
      <c r="AG219" s="8">
        <v>750000.00000029162</v>
      </c>
      <c r="AH219" s="8">
        <v>0</v>
      </c>
      <c r="AI219" s="7" t="s">
        <v>1781</v>
      </c>
      <c r="AJ219" s="7">
        <f t="shared" ca="1" si="43"/>
        <v>1</v>
      </c>
      <c r="AK219" s="96">
        <f t="shared" si="44"/>
        <v>5.993420467108948E-3</v>
      </c>
      <c r="AL219" s="97">
        <f t="shared" si="45"/>
        <v>3.3374433046450484E-2</v>
      </c>
    </row>
    <row r="220" spans="1:38" x14ac:dyDescent="0.3">
      <c r="A220" s="7" t="s">
        <v>1899</v>
      </c>
      <c r="B220" s="7" t="s">
        <v>194</v>
      </c>
      <c r="C220" s="7" t="s">
        <v>1323</v>
      </c>
      <c r="D220" s="7" t="s">
        <v>1324</v>
      </c>
      <c r="E220" s="7" t="s">
        <v>1322</v>
      </c>
      <c r="F220" s="36">
        <v>44378</v>
      </c>
      <c r="G220" s="36">
        <v>45473</v>
      </c>
      <c r="H220" s="36">
        <v>45473</v>
      </c>
      <c r="I220" s="36">
        <v>45473</v>
      </c>
      <c r="J220" s="7" t="s">
        <v>1239</v>
      </c>
      <c r="K220" s="8">
        <v>248023.05508799999</v>
      </c>
      <c r="L220" s="8">
        <v>76547.566166000004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f t="shared" si="42"/>
        <v>324570.621254</v>
      </c>
      <c r="S220" s="8">
        <v>0</v>
      </c>
      <c r="T220" s="8">
        <v>87879.871799999994</v>
      </c>
      <c r="U220" s="8">
        <v>0</v>
      </c>
      <c r="V220" s="8">
        <v>512120.12819999998</v>
      </c>
      <c r="W220" s="8">
        <v>0</v>
      </c>
      <c r="X220" s="8">
        <v>0</v>
      </c>
      <c r="Y220" s="8">
        <v>0</v>
      </c>
      <c r="Z220" s="8">
        <v>0</v>
      </c>
      <c r="AA220" s="7">
        <v>1.4986299999999999</v>
      </c>
      <c r="AB220" s="8">
        <v>852006.67476600001</v>
      </c>
      <c r="AC220" s="7">
        <v>7</v>
      </c>
      <c r="AD220" s="7" t="s">
        <v>1226</v>
      </c>
      <c r="AE220" s="8">
        <v>900000</v>
      </c>
      <c r="AF220" s="8">
        <v>0</v>
      </c>
      <c r="AG220" s="8">
        <v>900000</v>
      </c>
      <c r="AH220" s="8">
        <v>0</v>
      </c>
      <c r="AI220" s="7" t="s">
        <v>1758</v>
      </c>
      <c r="AJ220" s="7">
        <f t="shared" ca="1" si="43"/>
        <v>1</v>
      </c>
      <c r="AK220" s="96">
        <f t="shared" si="44"/>
        <v>8.5536213450844341E-3</v>
      </c>
      <c r="AL220" s="97">
        <f t="shared" si="45"/>
        <v>4.0049319655725009E-2</v>
      </c>
    </row>
    <row r="221" spans="1:38" x14ac:dyDescent="0.3">
      <c r="A221" s="7" t="s">
        <v>1900</v>
      </c>
      <c r="B221" s="7" t="s">
        <v>1320</v>
      </c>
      <c r="C221" s="7" t="s">
        <v>1323</v>
      </c>
      <c r="D221" s="7" t="s">
        <v>1792</v>
      </c>
      <c r="E221" s="7" t="s">
        <v>1695</v>
      </c>
      <c r="F221" s="36">
        <v>43221</v>
      </c>
      <c r="G221" s="36">
        <v>44681</v>
      </c>
      <c r="H221" s="36">
        <v>44895</v>
      </c>
      <c r="I221" s="36">
        <v>44895</v>
      </c>
      <c r="J221" s="7" t="s">
        <v>1696</v>
      </c>
      <c r="K221" s="8">
        <v>0</v>
      </c>
      <c r="L221" s="8">
        <v>0</v>
      </c>
      <c r="M221" s="8">
        <v>1481.5663460000001</v>
      </c>
      <c r="N221" s="8">
        <v>0</v>
      </c>
      <c r="O221" s="8">
        <v>0</v>
      </c>
      <c r="P221" s="8">
        <v>0</v>
      </c>
      <c r="Q221" s="8">
        <v>0</v>
      </c>
      <c r="R221" s="8">
        <f t="shared" si="42"/>
        <v>1481.5663460000001</v>
      </c>
      <c r="S221" s="8">
        <v>0</v>
      </c>
      <c r="T221" s="8">
        <v>0</v>
      </c>
      <c r="U221" s="8">
        <v>1481.568</v>
      </c>
      <c r="V221" s="8">
        <v>0</v>
      </c>
      <c r="W221" s="8">
        <v>0</v>
      </c>
      <c r="X221" s="8">
        <v>0</v>
      </c>
      <c r="Y221" s="8">
        <v>0</v>
      </c>
      <c r="Z221" s="8">
        <v>9.2261999999999997E-2</v>
      </c>
      <c r="AA221" s="7">
        <v>0</v>
      </c>
      <c r="AB221" s="8">
        <v>0</v>
      </c>
      <c r="AC221" s="7">
        <v>2.0449999999999999</v>
      </c>
      <c r="AD221" s="7" t="s">
        <v>1226</v>
      </c>
      <c r="AE221" s="8">
        <v>0</v>
      </c>
      <c r="AF221" s="8">
        <v>0</v>
      </c>
      <c r="AG221" s="8">
        <v>0</v>
      </c>
      <c r="AH221" s="8">
        <v>0</v>
      </c>
      <c r="AI221" s="7" t="s">
        <v>1736</v>
      </c>
      <c r="AJ221" s="7">
        <f t="shared" ca="1" si="43"/>
        <v>1</v>
      </c>
      <c r="AK221" s="96">
        <f>(+AA221*AB221)/$AB$1102</f>
        <v>0</v>
      </c>
      <c r="AL221" s="97">
        <f>AC221/$AE$1102*AE221</f>
        <v>0</v>
      </c>
    </row>
    <row r="222" spans="1:38" x14ac:dyDescent="0.3">
      <c r="A222" s="7" t="s">
        <v>1900</v>
      </c>
      <c r="B222" s="7" t="s">
        <v>1320</v>
      </c>
      <c r="C222" s="7" t="s">
        <v>1323</v>
      </c>
      <c r="D222" s="7" t="s">
        <v>1792</v>
      </c>
      <c r="E222" s="7" t="s">
        <v>1695</v>
      </c>
      <c r="F222" s="36">
        <v>43221</v>
      </c>
      <c r="G222" s="36">
        <v>44681</v>
      </c>
      <c r="H222" s="36">
        <v>44895</v>
      </c>
      <c r="I222" s="36">
        <v>44895</v>
      </c>
      <c r="J222" s="7" t="s">
        <v>1699</v>
      </c>
      <c r="K222" s="8">
        <v>0</v>
      </c>
      <c r="L222" s="8">
        <v>0</v>
      </c>
      <c r="M222" s="8">
        <v>0</v>
      </c>
      <c r="N222" s="8">
        <v>2592.59</v>
      </c>
      <c r="O222" s="8">
        <v>0</v>
      </c>
      <c r="P222" s="8">
        <v>0</v>
      </c>
      <c r="Q222" s="8">
        <v>0</v>
      </c>
      <c r="R222" s="8">
        <f t="shared" si="42"/>
        <v>2592.59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7">
        <v>0</v>
      </c>
      <c r="AB222" s="8">
        <v>0</v>
      </c>
      <c r="AC222" s="7">
        <v>2.0449999999999999</v>
      </c>
      <c r="AD222" s="7" t="s">
        <v>1226</v>
      </c>
      <c r="AE222" s="8">
        <v>0</v>
      </c>
      <c r="AF222" s="8">
        <v>0</v>
      </c>
      <c r="AG222" s="8">
        <v>0</v>
      </c>
      <c r="AH222" s="8">
        <v>0</v>
      </c>
      <c r="AI222" s="7" t="s">
        <v>1736</v>
      </c>
      <c r="AJ222" s="7">
        <f t="shared" ca="1" si="43"/>
        <v>2</v>
      </c>
      <c r="AK222" s="100">
        <f>(+AA222*AB222)/$AB$1103</f>
        <v>0</v>
      </c>
      <c r="AL222" s="97">
        <f>AC222/$AE$1103*AE222</f>
        <v>0</v>
      </c>
    </row>
    <row r="223" spans="1:38" x14ac:dyDescent="0.3">
      <c r="A223" s="7" t="s">
        <v>1901</v>
      </c>
      <c r="B223" s="7" t="s">
        <v>1320</v>
      </c>
      <c r="C223" s="7" t="s">
        <v>1323</v>
      </c>
      <c r="D223" s="7" t="s">
        <v>1792</v>
      </c>
      <c r="E223" s="7" t="s">
        <v>1695</v>
      </c>
      <c r="F223" s="36">
        <v>43221</v>
      </c>
      <c r="G223" s="36">
        <v>44681</v>
      </c>
      <c r="H223" s="36">
        <v>44895</v>
      </c>
      <c r="I223" s="36">
        <v>44895</v>
      </c>
      <c r="J223" s="7" t="s">
        <v>1696</v>
      </c>
      <c r="K223" s="8">
        <v>0</v>
      </c>
      <c r="L223" s="8">
        <v>0</v>
      </c>
      <c r="M223" s="8">
        <v>1481.5663460000001</v>
      </c>
      <c r="N223" s="8">
        <v>0</v>
      </c>
      <c r="O223" s="8">
        <v>0</v>
      </c>
      <c r="P223" s="8">
        <v>0</v>
      </c>
      <c r="Q223" s="8">
        <v>0</v>
      </c>
      <c r="R223" s="8">
        <f t="shared" si="42"/>
        <v>1481.5663460000001</v>
      </c>
      <c r="S223" s="8">
        <v>0</v>
      </c>
      <c r="T223" s="8">
        <v>0</v>
      </c>
      <c r="U223" s="8">
        <v>1481.568</v>
      </c>
      <c r="V223" s="8">
        <v>0</v>
      </c>
      <c r="W223" s="8">
        <v>0</v>
      </c>
      <c r="X223" s="8">
        <v>0</v>
      </c>
      <c r="Y223" s="8">
        <v>0</v>
      </c>
      <c r="Z223" s="8">
        <v>9.2261999999999997E-2</v>
      </c>
      <c r="AA223" s="7">
        <v>0</v>
      </c>
      <c r="AB223" s="8">
        <v>0</v>
      </c>
      <c r="AC223" s="7">
        <v>2.0449999999999999</v>
      </c>
      <c r="AD223" s="7" t="s">
        <v>1226</v>
      </c>
      <c r="AE223" s="8">
        <v>0</v>
      </c>
      <c r="AF223" s="8">
        <v>0</v>
      </c>
      <c r="AG223" s="8">
        <v>0</v>
      </c>
      <c r="AH223" s="8">
        <v>0</v>
      </c>
      <c r="AI223" s="7" t="s">
        <v>1736</v>
      </c>
      <c r="AJ223" s="7">
        <f t="shared" ca="1" si="43"/>
        <v>1</v>
      </c>
      <c r="AK223" s="96">
        <f>(+AA223*AB223)/$AB$1102</f>
        <v>0</v>
      </c>
      <c r="AL223" s="97">
        <f>AC223/$AE$1102*AE223</f>
        <v>0</v>
      </c>
    </row>
    <row r="224" spans="1:38" x14ac:dyDescent="0.3">
      <c r="A224" s="7" t="s">
        <v>1901</v>
      </c>
      <c r="B224" s="7" t="s">
        <v>1320</v>
      </c>
      <c r="C224" s="7" t="s">
        <v>1323</v>
      </c>
      <c r="D224" s="7" t="s">
        <v>1792</v>
      </c>
      <c r="E224" s="7" t="s">
        <v>1695</v>
      </c>
      <c r="F224" s="36">
        <v>43221</v>
      </c>
      <c r="G224" s="36">
        <v>44681</v>
      </c>
      <c r="H224" s="36">
        <v>44895</v>
      </c>
      <c r="I224" s="36">
        <v>44895</v>
      </c>
      <c r="J224" s="7" t="s">
        <v>1699</v>
      </c>
      <c r="K224" s="8">
        <v>0</v>
      </c>
      <c r="L224" s="8">
        <v>0</v>
      </c>
      <c r="M224" s="8">
        <v>0</v>
      </c>
      <c r="N224" s="8">
        <v>2592.59</v>
      </c>
      <c r="O224" s="8">
        <v>0</v>
      </c>
      <c r="P224" s="8">
        <v>0</v>
      </c>
      <c r="Q224" s="8">
        <v>0</v>
      </c>
      <c r="R224" s="8">
        <f t="shared" si="42"/>
        <v>2592.59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7">
        <v>0</v>
      </c>
      <c r="AB224" s="8">
        <v>0</v>
      </c>
      <c r="AC224" s="7">
        <v>2.0449999999999999</v>
      </c>
      <c r="AD224" s="7" t="s">
        <v>1226</v>
      </c>
      <c r="AE224" s="8">
        <v>0</v>
      </c>
      <c r="AF224" s="8">
        <v>0</v>
      </c>
      <c r="AG224" s="8">
        <v>0</v>
      </c>
      <c r="AH224" s="8">
        <v>0</v>
      </c>
      <c r="AI224" s="7" t="s">
        <v>1736</v>
      </c>
      <c r="AJ224" s="7">
        <f t="shared" ca="1" si="43"/>
        <v>2</v>
      </c>
      <c r="AK224" s="100">
        <f>(+AA224*AB224)/$AB$1103</f>
        <v>0</v>
      </c>
      <c r="AL224" s="97">
        <f>AC224/$AE$1103*AE224</f>
        <v>0</v>
      </c>
    </row>
    <row r="225" spans="1:38" x14ac:dyDescent="0.3">
      <c r="A225" s="7" t="s">
        <v>1902</v>
      </c>
      <c r="B225" s="7" t="s">
        <v>1320</v>
      </c>
      <c r="C225" s="7" t="s">
        <v>1323</v>
      </c>
      <c r="D225" s="7" t="s">
        <v>1792</v>
      </c>
      <c r="E225" s="7" t="s">
        <v>1695</v>
      </c>
      <c r="F225" s="36">
        <v>43221</v>
      </c>
      <c r="G225" s="36">
        <v>44681</v>
      </c>
      <c r="H225" s="36">
        <v>44895</v>
      </c>
      <c r="I225" s="36">
        <v>44895</v>
      </c>
      <c r="J225" s="7" t="s">
        <v>1696</v>
      </c>
      <c r="K225" s="8">
        <v>0</v>
      </c>
      <c r="L225" s="8">
        <v>0</v>
      </c>
      <c r="M225" s="8">
        <v>1481.5663460000001</v>
      </c>
      <c r="N225" s="8">
        <v>0</v>
      </c>
      <c r="O225" s="8">
        <v>0</v>
      </c>
      <c r="P225" s="8">
        <v>0</v>
      </c>
      <c r="Q225" s="8">
        <v>0</v>
      </c>
      <c r="R225" s="8">
        <f t="shared" si="42"/>
        <v>1481.5663460000001</v>
      </c>
      <c r="S225" s="8">
        <v>0</v>
      </c>
      <c r="T225" s="8">
        <v>0</v>
      </c>
      <c r="U225" s="8">
        <v>1481.568</v>
      </c>
      <c r="V225" s="8">
        <v>0</v>
      </c>
      <c r="W225" s="8">
        <v>0</v>
      </c>
      <c r="X225" s="8">
        <v>0</v>
      </c>
      <c r="Y225" s="8">
        <v>0</v>
      </c>
      <c r="Z225" s="8">
        <v>9.2261999999999997E-2</v>
      </c>
      <c r="AA225" s="7">
        <v>0</v>
      </c>
      <c r="AB225" s="8">
        <v>0</v>
      </c>
      <c r="AC225" s="7">
        <v>2.0449999999999999</v>
      </c>
      <c r="AD225" s="7" t="s">
        <v>1226</v>
      </c>
      <c r="AE225" s="8">
        <v>0</v>
      </c>
      <c r="AF225" s="8">
        <v>0</v>
      </c>
      <c r="AG225" s="8">
        <v>0</v>
      </c>
      <c r="AH225" s="8">
        <v>0</v>
      </c>
      <c r="AI225" s="7" t="s">
        <v>1736</v>
      </c>
      <c r="AJ225" s="7">
        <f t="shared" ca="1" si="43"/>
        <v>1</v>
      </c>
      <c r="AK225" s="96">
        <f>(+AA225*AB225)/$AB$1102</f>
        <v>0</v>
      </c>
      <c r="AL225" s="97">
        <f>AC225/$AE$1102*AE225</f>
        <v>0</v>
      </c>
    </row>
    <row r="226" spans="1:38" x14ac:dyDescent="0.3">
      <c r="A226" s="7" t="s">
        <v>1902</v>
      </c>
      <c r="B226" s="7" t="s">
        <v>1320</v>
      </c>
      <c r="C226" s="7" t="s">
        <v>1323</v>
      </c>
      <c r="D226" s="7" t="s">
        <v>1792</v>
      </c>
      <c r="E226" s="7" t="s">
        <v>1695</v>
      </c>
      <c r="F226" s="36">
        <v>43221</v>
      </c>
      <c r="G226" s="36">
        <v>44681</v>
      </c>
      <c r="H226" s="36">
        <v>44895</v>
      </c>
      <c r="I226" s="36">
        <v>44895</v>
      </c>
      <c r="J226" s="7" t="s">
        <v>1699</v>
      </c>
      <c r="K226" s="8">
        <v>0</v>
      </c>
      <c r="L226" s="8">
        <v>0</v>
      </c>
      <c r="M226" s="8">
        <v>0</v>
      </c>
      <c r="N226" s="8">
        <v>2592.59</v>
      </c>
      <c r="O226" s="8">
        <v>0</v>
      </c>
      <c r="P226" s="8">
        <v>0</v>
      </c>
      <c r="Q226" s="8">
        <v>0</v>
      </c>
      <c r="R226" s="8">
        <f t="shared" si="42"/>
        <v>2592.59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7">
        <v>0</v>
      </c>
      <c r="AB226" s="8">
        <v>0</v>
      </c>
      <c r="AC226" s="7">
        <v>2.0449999999999999</v>
      </c>
      <c r="AD226" s="7" t="s">
        <v>1226</v>
      </c>
      <c r="AE226" s="8">
        <v>0</v>
      </c>
      <c r="AF226" s="8">
        <v>0</v>
      </c>
      <c r="AG226" s="8">
        <v>0</v>
      </c>
      <c r="AH226" s="8">
        <v>0</v>
      </c>
      <c r="AI226" s="7" t="s">
        <v>1736</v>
      </c>
      <c r="AJ226" s="7">
        <f t="shared" ca="1" si="43"/>
        <v>2</v>
      </c>
      <c r="AK226" s="100">
        <f>(+AA226*AB226)/$AB$1103</f>
        <v>0</v>
      </c>
      <c r="AL226" s="97">
        <f>AC226/$AE$1103*AE226</f>
        <v>0</v>
      </c>
    </row>
    <row r="227" spans="1:38" x14ac:dyDescent="0.3">
      <c r="A227" s="7" t="s">
        <v>1903</v>
      </c>
      <c r="B227" s="7" t="s">
        <v>1320</v>
      </c>
      <c r="C227" s="7" t="s">
        <v>1323</v>
      </c>
      <c r="D227" s="7" t="s">
        <v>1792</v>
      </c>
      <c r="E227" s="7" t="s">
        <v>1695</v>
      </c>
      <c r="F227" s="36">
        <v>43221</v>
      </c>
      <c r="G227" s="36">
        <v>44681</v>
      </c>
      <c r="H227" s="36">
        <v>44895</v>
      </c>
      <c r="I227" s="36">
        <v>44895</v>
      </c>
      <c r="J227" s="7" t="s">
        <v>1696</v>
      </c>
      <c r="K227" s="8">
        <v>0</v>
      </c>
      <c r="L227" s="8">
        <v>0</v>
      </c>
      <c r="M227" s="8">
        <v>1481.5663460000001</v>
      </c>
      <c r="N227" s="8">
        <v>0</v>
      </c>
      <c r="O227" s="8">
        <v>0</v>
      </c>
      <c r="P227" s="8">
        <v>0</v>
      </c>
      <c r="Q227" s="8">
        <v>0</v>
      </c>
      <c r="R227" s="8">
        <f t="shared" si="42"/>
        <v>1481.5663460000001</v>
      </c>
      <c r="S227" s="8">
        <v>0</v>
      </c>
      <c r="T227" s="8">
        <v>0</v>
      </c>
      <c r="U227" s="8">
        <v>1481.568</v>
      </c>
      <c r="V227" s="8">
        <v>0</v>
      </c>
      <c r="W227" s="8">
        <v>0</v>
      </c>
      <c r="X227" s="8">
        <v>0</v>
      </c>
      <c r="Y227" s="8">
        <v>0</v>
      </c>
      <c r="Z227" s="8">
        <v>9.2261999999999997E-2</v>
      </c>
      <c r="AA227" s="7">
        <v>0</v>
      </c>
      <c r="AB227" s="8">
        <v>0</v>
      </c>
      <c r="AC227" s="7">
        <v>2.0449999999999999</v>
      </c>
      <c r="AD227" s="7" t="s">
        <v>1226</v>
      </c>
      <c r="AE227" s="8">
        <v>0</v>
      </c>
      <c r="AF227" s="8">
        <v>0</v>
      </c>
      <c r="AG227" s="8">
        <v>0</v>
      </c>
      <c r="AH227" s="8">
        <v>0</v>
      </c>
      <c r="AI227" s="7" t="s">
        <v>1736</v>
      </c>
      <c r="AJ227" s="7">
        <f t="shared" ca="1" si="43"/>
        <v>1</v>
      </c>
      <c r="AK227" s="96">
        <f>(+AA227*AB227)/$AB$1102</f>
        <v>0</v>
      </c>
      <c r="AL227" s="97">
        <f>AC227/$AE$1102*AE227</f>
        <v>0</v>
      </c>
    </row>
    <row r="228" spans="1:38" x14ac:dyDescent="0.3">
      <c r="A228" s="7" t="s">
        <v>1903</v>
      </c>
      <c r="B228" s="7" t="s">
        <v>1320</v>
      </c>
      <c r="C228" s="7" t="s">
        <v>1323</v>
      </c>
      <c r="D228" s="7" t="s">
        <v>1792</v>
      </c>
      <c r="E228" s="7" t="s">
        <v>1695</v>
      </c>
      <c r="F228" s="36">
        <v>43221</v>
      </c>
      <c r="G228" s="36">
        <v>44681</v>
      </c>
      <c r="H228" s="36">
        <v>44895</v>
      </c>
      <c r="I228" s="36">
        <v>44895</v>
      </c>
      <c r="J228" s="7" t="s">
        <v>1699</v>
      </c>
      <c r="K228" s="8">
        <v>0</v>
      </c>
      <c r="L228" s="8">
        <v>0</v>
      </c>
      <c r="M228" s="8">
        <v>0</v>
      </c>
      <c r="N228" s="8">
        <v>2592.59</v>
      </c>
      <c r="O228" s="8">
        <v>0</v>
      </c>
      <c r="P228" s="8">
        <v>0</v>
      </c>
      <c r="Q228" s="8">
        <v>0</v>
      </c>
      <c r="R228" s="8">
        <f t="shared" si="42"/>
        <v>2592.59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7">
        <v>0</v>
      </c>
      <c r="AB228" s="8">
        <v>0</v>
      </c>
      <c r="AC228" s="7">
        <v>2.0449999999999999</v>
      </c>
      <c r="AD228" s="7" t="s">
        <v>1226</v>
      </c>
      <c r="AE228" s="8">
        <v>0</v>
      </c>
      <c r="AF228" s="8">
        <v>0</v>
      </c>
      <c r="AG228" s="8">
        <v>0</v>
      </c>
      <c r="AH228" s="8">
        <v>0</v>
      </c>
      <c r="AI228" s="7" t="s">
        <v>1736</v>
      </c>
      <c r="AJ228" s="7">
        <f t="shared" ca="1" si="43"/>
        <v>2</v>
      </c>
      <c r="AK228" s="100">
        <f>(+AA228*AB228)/$AB$1103</f>
        <v>0</v>
      </c>
      <c r="AL228" s="97">
        <f>AC228/$AE$1103*AE228</f>
        <v>0</v>
      </c>
    </row>
    <row r="229" spans="1:38" x14ac:dyDescent="0.3">
      <c r="A229" s="7" t="s">
        <v>1904</v>
      </c>
      <c r="B229" s="7" t="s">
        <v>1320</v>
      </c>
      <c r="C229" s="7" t="s">
        <v>1323</v>
      </c>
      <c r="D229" s="7" t="s">
        <v>1694</v>
      </c>
      <c r="E229" s="7" t="s">
        <v>1695</v>
      </c>
      <c r="F229" s="36">
        <v>43556</v>
      </c>
      <c r="G229" s="36">
        <v>44651</v>
      </c>
      <c r="H229" s="36">
        <v>44895</v>
      </c>
      <c r="I229" s="36">
        <v>44895</v>
      </c>
      <c r="J229" s="7" t="s">
        <v>1696</v>
      </c>
      <c r="K229" s="8">
        <v>0</v>
      </c>
      <c r="L229" s="8">
        <v>0</v>
      </c>
      <c r="M229" s="8">
        <v>46734.244446999997</v>
      </c>
      <c r="N229" s="8">
        <v>0</v>
      </c>
      <c r="O229" s="8">
        <v>0</v>
      </c>
      <c r="P229" s="8">
        <v>0</v>
      </c>
      <c r="Q229" s="8">
        <v>0</v>
      </c>
      <c r="R229" s="8">
        <f t="shared" si="42"/>
        <v>46734.244446999997</v>
      </c>
      <c r="S229" s="8">
        <v>0</v>
      </c>
      <c r="T229" s="8">
        <v>0</v>
      </c>
      <c r="U229" s="8">
        <v>200000</v>
      </c>
      <c r="V229" s="8">
        <v>0</v>
      </c>
      <c r="W229" s="8">
        <v>0</v>
      </c>
      <c r="X229" s="8">
        <v>0</v>
      </c>
      <c r="Y229" s="8">
        <v>0</v>
      </c>
      <c r="Z229" s="8">
        <v>-681589.95385399996</v>
      </c>
      <c r="AA229" s="7">
        <v>0</v>
      </c>
      <c r="AB229" s="8">
        <v>0</v>
      </c>
      <c r="AC229" s="7">
        <v>2.920417</v>
      </c>
      <c r="AD229" s="7" t="s">
        <v>1697</v>
      </c>
      <c r="AE229" s="8">
        <v>0</v>
      </c>
      <c r="AF229" s="8">
        <v>0</v>
      </c>
      <c r="AG229" s="8">
        <v>0</v>
      </c>
      <c r="AH229" s="8">
        <v>0</v>
      </c>
      <c r="AI229" s="7" t="s">
        <v>1194</v>
      </c>
      <c r="AJ229" s="7">
        <f t="shared" ca="1" si="43"/>
        <v>1</v>
      </c>
      <c r="AK229" s="96">
        <f t="shared" ref="AK229:AK230" si="50">(+AA229*AB229)/$AB$1102</f>
        <v>0</v>
      </c>
      <c r="AL229" s="97">
        <f t="shared" ref="AL229:AL230" si="51">AC229/$AE$1102*AE229</f>
        <v>0</v>
      </c>
    </row>
    <row r="230" spans="1:38" x14ac:dyDescent="0.3">
      <c r="A230" s="7" t="s">
        <v>1905</v>
      </c>
      <c r="B230" s="7" t="s">
        <v>1320</v>
      </c>
      <c r="C230" s="7" t="s">
        <v>1323</v>
      </c>
      <c r="D230" s="7" t="s">
        <v>1694</v>
      </c>
      <c r="E230" s="7" t="s">
        <v>1695</v>
      </c>
      <c r="F230" s="36">
        <v>43556</v>
      </c>
      <c r="G230" s="36">
        <v>44651</v>
      </c>
      <c r="H230" s="36">
        <v>44895</v>
      </c>
      <c r="I230" s="36">
        <v>44895</v>
      </c>
      <c r="J230" s="7" t="s">
        <v>1696</v>
      </c>
      <c r="K230" s="8">
        <v>0</v>
      </c>
      <c r="L230" s="8">
        <v>0</v>
      </c>
      <c r="M230" s="8">
        <v>18795.045107000002</v>
      </c>
      <c r="N230" s="8">
        <v>0</v>
      </c>
      <c r="O230" s="8">
        <v>0</v>
      </c>
      <c r="P230" s="8">
        <v>0</v>
      </c>
      <c r="Q230" s="8">
        <v>0</v>
      </c>
      <c r="R230" s="8">
        <f t="shared" si="42"/>
        <v>18795.045107000002</v>
      </c>
      <c r="S230" s="8">
        <v>0</v>
      </c>
      <c r="T230" s="8">
        <v>0</v>
      </c>
      <c r="U230" s="8">
        <v>50000</v>
      </c>
      <c r="V230" s="8">
        <v>0</v>
      </c>
      <c r="W230" s="8">
        <v>0</v>
      </c>
      <c r="X230" s="8">
        <v>0</v>
      </c>
      <c r="Y230" s="8">
        <v>0</v>
      </c>
      <c r="Z230" s="8">
        <v>-147238.95157</v>
      </c>
      <c r="AA230" s="7">
        <v>0</v>
      </c>
      <c r="AB230" s="8">
        <v>0</v>
      </c>
      <c r="AC230" s="7">
        <v>2.920417</v>
      </c>
      <c r="AD230" s="7" t="s">
        <v>1697</v>
      </c>
      <c r="AE230" s="8">
        <v>0</v>
      </c>
      <c r="AF230" s="8">
        <v>0</v>
      </c>
      <c r="AG230" s="8">
        <v>0</v>
      </c>
      <c r="AH230" s="8">
        <v>0</v>
      </c>
      <c r="AI230" s="7" t="s">
        <v>1194</v>
      </c>
      <c r="AJ230" s="7">
        <f t="shared" ca="1" si="43"/>
        <v>1</v>
      </c>
      <c r="AK230" s="96">
        <f t="shared" si="50"/>
        <v>0</v>
      </c>
      <c r="AL230" s="97">
        <f t="shared" si="51"/>
        <v>0</v>
      </c>
    </row>
    <row r="231" spans="1:38" x14ac:dyDescent="0.3">
      <c r="A231" s="7" t="s">
        <v>1906</v>
      </c>
      <c r="B231" s="7" t="s">
        <v>194</v>
      </c>
      <c r="C231" s="7" t="s">
        <v>1323</v>
      </c>
      <c r="D231" s="7" t="s">
        <v>1852</v>
      </c>
      <c r="E231" s="7" t="s">
        <v>1322</v>
      </c>
      <c r="F231" s="36">
        <v>44287</v>
      </c>
      <c r="G231" s="36">
        <v>45382</v>
      </c>
      <c r="H231" s="36">
        <v>45382</v>
      </c>
      <c r="I231" s="36">
        <v>45382</v>
      </c>
      <c r="J231" s="7" t="s">
        <v>1239</v>
      </c>
      <c r="K231" s="8">
        <v>549316.49747070135</v>
      </c>
      <c r="L231" s="8">
        <v>68878.214024011337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f t="shared" si="42"/>
        <v>618194.71149471262</v>
      </c>
      <c r="S231" s="8">
        <v>0</v>
      </c>
      <c r="T231" s="8">
        <v>70422.809184011596</v>
      </c>
      <c r="U231" s="8">
        <v>0</v>
      </c>
      <c r="V231" s="8">
        <v>529577.19081608718</v>
      </c>
      <c r="W231" s="8">
        <v>0</v>
      </c>
      <c r="X231" s="8">
        <v>0</v>
      </c>
      <c r="Y231" s="8">
        <v>0</v>
      </c>
      <c r="Z231" s="8">
        <v>0</v>
      </c>
      <c r="AA231" s="7">
        <v>1.249315</v>
      </c>
      <c r="AB231" s="8">
        <v>739038.53552012169</v>
      </c>
      <c r="AC231" s="7">
        <v>7</v>
      </c>
      <c r="AD231" s="7" t="s">
        <v>1226</v>
      </c>
      <c r="AE231" s="8">
        <v>750000.00000029162</v>
      </c>
      <c r="AF231" s="8">
        <v>25000.000000004118</v>
      </c>
      <c r="AG231" s="8">
        <v>775000.00000029569</v>
      </c>
      <c r="AH231" s="8">
        <v>0</v>
      </c>
      <c r="AI231" s="7" t="s">
        <v>1781</v>
      </c>
      <c r="AJ231" s="7">
        <f t="shared" ca="1" si="43"/>
        <v>1</v>
      </c>
      <c r="AK231" s="96">
        <f t="shared" si="44"/>
        <v>6.1851699926853843E-3</v>
      </c>
      <c r="AL231" s="97">
        <f t="shared" si="45"/>
        <v>3.3374433046450484E-2</v>
      </c>
    </row>
    <row r="232" spans="1:38" x14ac:dyDescent="0.3">
      <c r="A232" s="7" t="s">
        <v>1907</v>
      </c>
      <c r="B232" s="7" t="s">
        <v>194</v>
      </c>
      <c r="C232" s="7" t="s">
        <v>1323</v>
      </c>
      <c r="D232" s="7" t="s">
        <v>1852</v>
      </c>
      <c r="E232" s="7" t="s">
        <v>1322</v>
      </c>
      <c r="F232" s="36">
        <v>44378</v>
      </c>
      <c r="G232" s="36">
        <v>45473</v>
      </c>
      <c r="H232" s="36">
        <v>45473</v>
      </c>
      <c r="I232" s="36">
        <v>45473</v>
      </c>
      <c r="J232" s="7" t="s">
        <v>1239</v>
      </c>
      <c r="K232" s="8">
        <v>542923.09156800003</v>
      </c>
      <c r="L232" s="8">
        <v>76547.566166000004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f t="shared" si="42"/>
        <v>619470.65773400001</v>
      </c>
      <c r="S232" s="8">
        <v>0</v>
      </c>
      <c r="T232" s="8">
        <v>79583.330073999998</v>
      </c>
      <c r="U232" s="8">
        <v>0</v>
      </c>
      <c r="V232" s="8">
        <v>520416.669926</v>
      </c>
      <c r="W232" s="8">
        <v>0</v>
      </c>
      <c r="X232" s="8">
        <v>0</v>
      </c>
      <c r="Y232" s="8">
        <v>0</v>
      </c>
      <c r="Z232" s="8">
        <v>0</v>
      </c>
      <c r="AA232" s="7">
        <v>1.4986299999999999</v>
      </c>
      <c r="AB232" s="8">
        <v>852006.674764</v>
      </c>
      <c r="AC232" s="7">
        <v>7</v>
      </c>
      <c r="AD232" s="7" t="s">
        <v>1226</v>
      </c>
      <c r="AE232" s="8">
        <v>900000</v>
      </c>
      <c r="AF232" s="8">
        <v>0</v>
      </c>
      <c r="AG232" s="8">
        <v>900000</v>
      </c>
      <c r="AH232" s="8">
        <v>0</v>
      </c>
      <c r="AI232" s="7" t="s">
        <v>1781</v>
      </c>
      <c r="AJ232" s="7">
        <f t="shared" ca="1" si="43"/>
        <v>1</v>
      </c>
      <c r="AK232" s="96">
        <f t="shared" si="44"/>
        <v>8.5536213450643547E-3</v>
      </c>
      <c r="AL232" s="97">
        <f t="shared" si="45"/>
        <v>4.0049319655725009E-2</v>
      </c>
    </row>
    <row r="233" spans="1:38" x14ac:dyDescent="0.3">
      <c r="A233" s="7" t="s">
        <v>1908</v>
      </c>
      <c r="B233" s="7" t="s">
        <v>1320</v>
      </c>
      <c r="C233" s="7" t="s">
        <v>1323</v>
      </c>
      <c r="D233" s="7" t="s">
        <v>1694</v>
      </c>
      <c r="E233" s="7" t="s">
        <v>1695</v>
      </c>
      <c r="F233" s="36">
        <v>44044</v>
      </c>
      <c r="G233" s="36">
        <v>44651</v>
      </c>
      <c r="H233" s="36">
        <v>44895</v>
      </c>
      <c r="I233" s="36">
        <v>44895</v>
      </c>
      <c r="J233" s="7" t="s">
        <v>1239</v>
      </c>
      <c r="K233" s="8">
        <v>145942.26999999999</v>
      </c>
      <c r="L233" s="8">
        <v>215.50296900000001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f t="shared" si="42"/>
        <v>146157.77296899998</v>
      </c>
      <c r="S233" s="8">
        <v>0</v>
      </c>
      <c r="T233" s="8">
        <v>430.79948200000001</v>
      </c>
      <c r="U233" s="8">
        <v>0</v>
      </c>
      <c r="V233" s="8">
        <v>149569.200518</v>
      </c>
      <c r="W233" s="8">
        <v>0</v>
      </c>
      <c r="X233" s="8">
        <v>0</v>
      </c>
      <c r="Y233" s="8">
        <v>0</v>
      </c>
      <c r="Z233" s="8">
        <v>0</v>
      </c>
      <c r="AA233" s="7">
        <v>0</v>
      </c>
      <c r="AB233" s="8">
        <v>0</v>
      </c>
      <c r="AC233" s="7">
        <v>1.727333</v>
      </c>
      <c r="AD233" s="7" t="s">
        <v>1226</v>
      </c>
      <c r="AE233" s="8">
        <v>0</v>
      </c>
      <c r="AF233" s="8">
        <v>0</v>
      </c>
      <c r="AG233" s="8">
        <v>0</v>
      </c>
      <c r="AH233" s="8">
        <v>0</v>
      </c>
      <c r="AI233" s="7" t="s">
        <v>1194</v>
      </c>
      <c r="AJ233" s="7">
        <f t="shared" ca="1" si="43"/>
        <v>1</v>
      </c>
      <c r="AK233" s="96">
        <f t="shared" si="44"/>
        <v>0</v>
      </c>
      <c r="AL233" s="97">
        <f t="shared" si="45"/>
        <v>0</v>
      </c>
    </row>
    <row r="234" spans="1:38" x14ac:dyDescent="0.3">
      <c r="A234" s="7" t="s">
        <v>1908</v>
      </c>
      <c r="B234" s="7" t="s">
        <v>1320</v>
      </c>
      <c r="C234" s="7" t="s">
        <v>1323</v>
      </c>
      <c r="D234" s="7" t="s">
        <v>1694</v>
      </c>
      <c r="E234" s="7" t="s">
        <v>1695</v>
      </c>
      <c r="F234" s="36">
        <v>44044</v>
      </c>
      <c r="G234" s="36">
        <v>44651</v>
      </c>
      <c r="H234" s="36">
        <v>44895</v>
      </c>
      <c r="I234" s="36">
        <v>44895</v>
      </c>
      <c r="J234" s="7" t="s">
        <v>1699</v>
      </c>
      <c r="K234" s="8">
        <v>0</v>
      </c>
      <c r="L234" s="8">
        <v>0</v>
      </c>
      <c r="M234" s="8">
        <v>0</v>
      </c>
      <c r="N234" s="8">
        <v>400000</v>
      </c>
      <c r="O234" s="8">
        <v>0</v>
      </c>
      <c r="P234" s="8">
        <v>0</v>
      </c>
      <c r="Q234" s="8">
        <v>0</v>
      </c>
      <c r="R234" s="8">
        <f t="shared" si="42"/>
        <v>400000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7">
        <v>0</v>
      </c>
      <c r="AB234" s="8">
        <v>0</v>
      </c>
      <c r="AC234" s="7">
        <v>1.727333</v>
      </c>
      <c r="AD234" s="7" t="s">
        <v>1226</v>
      </c>
      <c r="AE234" s="8">
        <v>0</v>
      </c>
      <c r="AF234" s="8">
        <v>0</v>
      </c>
      <c r="AG234" s="8">
        <v>0</v>
      </c>
      <c r="AH234" s="8">
        <v>0</v>
      </c>
      <c r="AI234" s="7" t="s">
        <v>1194</v>
      </c>
      <c r="AJ234" s="7">
        <f t="shared" ca="1" si="43"/>
        <v>2</v>
      </c>
      <c r="AK234" s="100">
        <f>(+AA234*AB234)/$AB$1103</f>
        <v>0</v>
      </c>
      <c r="AL234" s="97">
        <f>AC234/$AE$1103*AE234</f>
        <v>0</v>
      </c>
    </row>
    <row r="235" spans="1:38" x14ac:dyDescent="0.3">
      <c r="A235" s="7" t="s">
        <v>1909</v>
      </c>
      <c r="B235" s="7" t="s">
        <v>1320</v>
      </c>
      <c r="C235" s="7" t="s">
        <v>1323</v>
      </c>
      <c r="D235" s="7" t="s">
        <v>1792</v>
      </c>
      <c r="E235" s="7" t="s">
        <v>1695</v>
      </c>
      <c r="F235" s="36">
        <v>43221</v>
      </c>
      <c r="G235" s="36">
        <v>44681</v>
      </c>
      <c r="H235" s="36">
        <v>44895</v>
      </c>
      <c r="I235" s="36">
        <v>44895</v>
      </c>
      <c r="J235" s="7" t="s">
        <v>1696</v>
      </c>
      <c r="K235" s="8">
        <v>0</v>
      </c>
      <c r="L235" s="8">
        <v>0</v>
      </c>
      <c r="M235" s="8">
        <v>1481.5663460000001</v>
      </c>
      <c r="N235" s="8">
        <v>0</v>
      </c>
      <c r="O235" s="8">
        <v>0</v>
      </c>
      <c r="P235" s="8">
        <v>0</v>
      </c>
      <c r="Q235" s="8">
        <v>0</v>
      </c>
      <c r="R235" s="8">
        <f t="shared" si="42"/>
        <v>1481.5663460000001</v>
      </c>
      <c r="S235" s="8">
        <v>0</v>
      </c>
      <c r="T235" s="8">
        <v>0</v>
      </c>
      <c r="U235" s="8">
        <v>1481.568</v>
      </c>
      <c r="V235" s="8">
        <v>0</v>
      </c>
      <c r="W235" s="8">
        <v>0</v>
      </c>
      <c r="X235" s="8">
        <v>0</v>
      </c>
      <c r="Y235" s="8">
        <v>0</v>
      </c>
      <c r="Z235" s="8">
        <v>9.2261999999999997E-2</v>
      </c>
      <c r="AA235" s="7">
        <v>0</v>
      </c>
      <c r="AB235" s="8">
        <v>0</v>
      </c>
      <c r="AC235" s="7">
        <v>2.0449999999999999</v>
      </c>
      <c r="AD235" s="7" t="s">
        <v>1226</v>
      </c>
      <c r="AE235" s="8">
        <v>0</v>
      </c>
      <c r="AF235" s="8">
        <v>0</v>
      </c>
      <c r="AG235" s="8">
        <v>0</v>
      </c>
      <c r="AH235" s="8">
        <v>0</v>
      </c>
      <c r="AI235" s="7" t="s">
        <v>1736</v>
      </c>
      <c r="AJ235" s="7">
        <f t="shared" ca="1" si="43"/>
        <v>1</v>
      </c>
      <c r="AK235" s="96">
        <f>(+AA235*AB235)/$AB$1102</f>
        <v>0</v>
      </c>
      <c r="AL235" s="97">
        <f>AC235/$AE$1102*AE235</f>
        <v>0</v>
      </c>
    </row>
    <row r="236" spans="1:38" x14ac:dyDescent="0.3">
      <c r="A236" s="7" t="s">
        <v>1909</v>
      </c>
      <c r="B236" s="7" t="s">
        <v>1320</v>
      </c>
      <c r="C236" s="7" t="s">
        <v>1323</v>
      </c>
      <c r="D236" s="7" t="s">
        <v>1792</v>
      </c>
      <c r="E236" s="7" t="s">
        <v>1695</v>
      </c>
      <c r="F236" s="36">
        <v>43221</v>
      </c>
      <c r="G236" s="36">
        <v>44681</v>
      </c>
      <c r="H236" s="36">
        <v>44895</v>
      </c>
      <c r="I236" s="36">
        <v>44895</v>
      </c>
      <c r="J236" s="7" t="s">
        <v>1699</v>
      </c>
      <c r="K236" s="8">
        <v>0</v>
      </c>
      <c r="L236" s="8">
        <v>0</v>
      </c>
      <c r="M236" s="8">
        <v>0</v>
      </c>
      <c r="N236" s="8">
        <v>2592.59</v>
      </c>
      <c r="O236" s="8">
        <v>0</v>
      </c>
      <c r="P236" s="8">
        <v>0</v>
      </c>
      <c r="Q236" s="8">
        <v>0</v>
      </c>
      <c r="R236" s="8">
        <f t="shared" si="42"/>
        <v>2592.59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7">
        <v>0</v>
      </c>
      <c r="AB236" s="8">
        <v>0</v>
      </c>
      <c r="AC236" s="7">
        <v>2.0449999999999999</v>
      </c>
      <c r="AD236" s="7" t="s">
        <v>1226</v>
      </c>
      <c r="AE236" s="8">
        <v>0</v>
      </c>
      <c r="AF236" s="8">
        <v>0</v>
      </c>
      <c r="AG236" s="8">
        <v>0</v>
      </c>
      <c r="AH236" s="8">
        <v>0</v>
      </c>
      <c r="AI236" s="7" t="s">
        <v>1736</v>
      </c>
      <c r="AJ236" s="7">
        <f t="shared" ca="1" si="43"/>
        <v>2</v>
      </c>
      <c r="AK236" s="100">
        <f>(+AA236*AB236)/$AB$1103</f>
        <v>0</v>
      </c>
      <c r="AL236" s="97">
        <f>AC236/$AE$1103*AE236</f>
        <v>0</v>
      </c>
    </row>
    <row r="237" spans="1:38" x14ac:dyDescent="0.3">
      <c r="A237" s="7" t="s">
        <v>1910</v>
      </c>
      <c r="B237" s="7" t="s">
        <v>1320</v>
      </c>
      <c r="C237" s="7" t="s">
        <v>1323</v>
      </c>
      <c r="D237" s="7" t="s">
        <v>1792</v>
      </c>
      <c r="E237" s="7" t="s">
        <v>1695</v>
      </c>
      <c r="F237" s="36">
        <v>43221</v>
      </c>
      <c r="G237" s="36">
        <v>44681</v>
      </c>
      <c r="H237" s="36">
        <v>44895</v>
      </c>
      <c r="I237" s="36">
        <v>44895</v>
      </c>
      <c r="J237" s="7" t="s">
        <v>1696</v>
      </c>
      <c r="K237" s="8">
        <v>0</v>
      </c>
      <c r="L237" s="8">
        <v>0</v>
      </c>
      <c r="M237" s="8">
        <v>1481.5663460000001</v>
      </c>
      <c r="N237" s="8">
        <v>0</v>
      </c>
      <c r="O237" s="8">
        <v>0</v>
      </c>
      <c r="P237" s="8">
        <v>0</v>
      </c>
      <c r="Q237" s="8">
        <v>0</v>
      </c>
      <c r="R237" s="8">
        <f t="shared" si="42"/>
        <v>1481.5663460000001</v>
      </c>
      <c r="S237" s="8">
        <v>0</v>
      </c>
      <c r="T237" s="8">
        <v>0</v>
      </c>
      <c r="U237" s="8">
        <v>1481.568</v>
      </c>
      <c r="V237" s="8">
        <v>0</v>
      </c>
      <c r="W237" s="8">
        <v>0</v>
      </c>
      <c r="X237" s="8">
        <v>0</v>
      </c>
      <c r="Y237" s="8">
        <v>0</v>
      </c>
      <c r="Z237" s="8">
        <v>9.2261999999999997E-2</v>
      </c>
      <c r="AA237" s="7">
        <v>0</v>
      </c>
      <c r="AB237" s="8">
        <v>0</v>
      </c>
      <c r="AC237" s="7">
        <v>2.0449999999999999</v>
      </c>
      <c r="AD237" s="7" t="s">
        <v>1226</v>
      </c>
      <c r="AE237" s="8">
        <v>0</v>
      </c>
      <c r="AF237" s="8">
        <v>0</v>
      </c>
      <c r="AG237" s="8">
        <v>0</v>
      </c>
      <c r="AH237" s="8">
        <v>0</v>
      </c>
      <c r="AI237" s="7" t="s">
        <v>1736</v>
      </c>
      <c r="AJ237" s="7">
        <f t="shared" ca="1" si="43"/>
        <v>1</v>
      </c>
      <c r="AK237" s="96">
        <f>(+AA237*AB237)/$AB$1102</f>
        <v>0</v>
      </c>
      <c r="AL237" s="97">
        <f>AC237/$AE$1102*AE237</f>
        <v>0</v>
      </c>
    </row>
    <row r="238" spans="1:38" x14ac:dyDescent="0.3">
      <c r="A238" s="7" t="s">
        <v>1910</v>
      </c>
      <c r="B238" s="7" t="s">
        <v>1320</v>
      </c>
      <c r="C238" s="7" t="s">
        <v>1323</v>
      </c>
      <c r="D238" s="7" t="s">
        <v>1792</v>
      </c>
      <c r="E238" s="7" t="s">
        <v>1695</v>
      </c>
      <c r="F238" s="36">
        <v>43221</v>
      </c>
      <c r="G238" s="36">
        <v>44681</v>
      </c>
      <c r="H238" s="36">
        <v>44895</v>
      </c>
      <c r="I238" s="36">
        <v>44895</v>
      </c>
      <c r="J238" s="7" t="s">
        <v>1699</v>
      </c>
      <c r="K238" s="8">
        <v>0</v>
      </c>
      <c r="L238" s="8">
        <v>0</v>
      </c>
      <c r="M238" s="8">
        <v>0</v>
      </c>
      <c r="N238" s="8">
        <v>2592.59</v>
      </c>
      <c r="O238" s="8">
        <v>0</v>
      </c>
      <c r="P238" s="8">
        <v>0</v>
      </c>
      <c r="Q238" s="8">
        <v>0</v>
      </c>
      <c r="R238" s="8">
        <f t="shared" si="42"/>
        <v>2592.59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7">
        <v>0</v>
      </c>
      <c r="AB238" s="8">
        <v>0</v>
      </c>
      <c r="AC238" s="7">
        <v>2.0449999999999999</v>
      </c>
      <c r="AD238" s="7" t="s">
        <v>1226</v>
      </c>
      <c r="AE238" s="8">
        <v>0</v>
      </c>
      <c r="AF238" s="8">
        <v>0</v>
      </c>
      <c r="AG238" s="8">
        <v>0</v>
      </c>
      <c r="AH238" s="8">
        <v>0</v>
      </c>
      <c r="AI238" s="7" t="s">
        <v>1736</v>
      </c>
      <c r="AJ238" s="7">
        <f t="shared" ca="1" si="43"/>
        <v>2</v>
      </c>
      <c r="AK238" s="100">
        <f>(+AA238*AB238)/$AB$1103</f>
        <v>0</v>
      </c>
      <c r="AL238" s="97">
        <f>AC238/$AE$1103*AE238</f>
        <v>0</v>
      </c>
    </row>
    <row r="239" spans="1:38" x14ac:dyDescent="0.3">
      <c r="A239" s="7" t="s">
        <v>1911</v>
      </c>
      <c r="B239" s="7" t="s">
        <v>1320</v>
      </c>
      <c r="C239" s="7" t="s">
        <v>1323</v>
      </c>
      <c r="D239" s="7" t="s">
        <v>1792</v>
      </c>
      <c r="E239" s="7" t="s">
        <v>1695</v>
      </c>
      <c r="F239" s="36">
        <v>43221</v>
      </c>
      <c r="G239" s="36">
        <v>44681</v>
      </c>
      <c r="H239" s="36">
        <v>44895</v>
      </c>
      <c r="I239" s="36">
        <v>44895</v>
      </c>
      <c r="J239" s="7" t="s">
        <v>1696</v>
      </c>
      <c r="K239" s="8">
        <v>0</v>
      </c>
      <c r="L239" s="8">
        <v>0</v>
      </c>
      <c r="M239" s="8">
        <v>1481.5663460000001</v>
      </c>
      <c r="N239" s="8">
        <v>0</v>
      </c>
      <c r="O239" s="8">
        <v>0</v>
      </c>
      <c r="P239" s="8">
        <v>0</v>
      </c>
      <c r="Q239" s="8">
        <v>0</v>
      </c>
      <c r="R239" s="8">
        <f t="shared" si="42"/>
        <v>1481.5663460000001</v>
      </c>
      <c r="S239" s="8">
        <v>0</v>
      </c>
      <c r="T239" s="8">
        <v>0</v>
      </c>
      <c r="U239" s="8">
        <v>1481.568</v>
      </c>
      <c r="V239" s="8">
        <v>0</v>
      </c>
      <c r="W239" s="8">
        <v>0</v>
      </c>
      <c r="X239" s="8">
        <v>0</v>
      </c>
      <c r="Y239" s="8">
        <v>0</v>
      </c>
      <c r="Z239" s="8">
        <v>9.2261999999999997E-2</v>
      </c>
      <c r="AA239" s="7">
        <v>0</v>
      </c>
      <c r="AB239" s="8">
        <v>0</v>
      </c>
      <c r="AC239" s="7">
        <v>2.0449999999999999</v>
      </c>
      <c r="AD239" s="7" t="s">
        <v>1226</v>
      </c>
      <c r="AE239" s="8">
        <v>0</v>
      </c>
      <c r="AF239" s="8">
        <v>0</v>
      </c>
      <c r="AG239" s="8">
        <v>0</v>
      </c>
      <c r="AH239" s="8">
        <v>0</v>
      </c>
      <c r="AI239" s="7" t="s">
        <v>1736</v>
      </c>
      <c r="AJ239" s="7">
        <f t="shared" ca="1" si="43"/>
        <v>1</v>
      </c>
      <c r="AK239" s="96">
        <f>(+AA239*AB239)/$AB$1102</f>
        <v>0</v>
      </c>
      <c r="AL239" s="97">
        <f>AC239/$AE$1102*AE239</f>
        <v>0</v>
      </c>
    </row>
    <row r="240" spans="1:38" x14ac:dyDescent="0.3">
      <c r="A240" s="7" t="s">
        <v>1911</v>
      </c>
      <c r="B240" s="7" t="s">
        <v>1320</v>
      </c>
      <c r="C240" s="7" t="s">
        <v>1323</v>
      </c>
      <c r="D240" s="7" t="s">
        <v>1792</v>
      </c>
      <c r="E240" s="7" t="s">
        <v>1695</v>
      </c>
      <c r="F240" s="36">
        <v>43221</v>
      </c>
      <c r="G240" s="36">
        <v>44681</v>
      </c>
      <c r="H240" s="36">
        <v>44895</v>
      </c>
      <c r="I240" s="36">
        <v>44895</v>
      </c>
      <c r="J240" s="7" t="s">
        <v>1699</v>
      </c>
      <c r="K240" s="8">
        <v>0</v>
      </c>
      <c r="L240" s="8">
        <v>0</v>
      </c>
      <c r="M240" s="8">
        <v>0</v>
      </c>
      <c r="N240" s="8">
        <v>2592.59</v>
      </c>
      <c r="O240" s="8">
        <v>0</v>
      </c>
      <c r="P240" s="8">
        <v>0</v>
      </c>
      <c r="Q240" s="8">
        <v>0</v>
      </c>
      <c r="R240" s="8">
        <f t="shared" si="42"/>
        <v>2592.59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7">
        <v>0</v>
      </c>
      <c r="AB240" s="8">
        <v>0</v>
      </c>
      <c r="AC240" s="7">
        <v>2.0449999999999999</v>
      </c>
      <c r="AD240" s="7" t="s">
        <v>1226</v>
      </c>
      <c r="AE240" s="8">
        <v>0</v>
      </c>
      <c r="AF240" s="8">
        <v>0</v>
      </c>
      <c r="AG240" s="8">
        <v>0</v>
      </c>
      <c r="AH240" s="8">
        <v>0</v>
      </c>
      <c r="AI240" s="7" t="s">
        <v>1736</v>
      </c>
      <c r="AJ240" s="7">
        <f t="shared" ca="1" si="43"/>
        <v>2</v>
      </c>
      <c r="AK240" s="100">
        <f>(+AA240*AB240)/$AB$1103</f>
        <v>0</v>
      </c>
      <c r="AL240" s="97">
        <f>AC240/$AE$1103*AE240</f>
        <v>0</v>
      </c>
    </row>
    <row r="241" spans="1:38" x14ac:dyDescent="0.3">
      <c r="A241" s="7" t="s">
        <v>1912</v>
      </c>
      <c r="B241" s="7" t="s">
        <v>1320</v>
      </c>
      <c r="C241" s="7" t="s">
        <v>1323</v>
      </c>
      <c r="D241" s="7" t="s">
        <v>1792</v>
      </c>
      <c r="E241" s="7" t="s">
        <v>1695</v>
      </c>
      <c r="F241" s="36">
        <v>43221</v>
      </c>
      <c r="G241" s="36">
        <v>44681</v>
      </c>
      <c r="H241" s="36">
        <v>44895</v>
      </c>
      <c r="I241" s="36">
        <v>44895</v>
      </c>
      <c r="J241" s="7" t="s">
        <v>1696</v>
      </c>
      <c r="K241" s="8">
        <v>0</v>
      </c>
      <c r="L241" s="8">
        <v>0</v>
      </c>
      <c r="M241" s="8">
        <v>1481.5663460000001</v>
      </c>
      <c r="N241" s="8">
        <v>0</v>
      </c>
      <c r="O241" s="8">
        <v>0</v>
      </c>
      <c r="P241" s="8">
        <v>0</v>
      </c>
      <c r="Q241" s="8">
        <v>0</v>
      </c>
      <c r="R241" s="8">
        <f t="shared" si="42"/>
        <v>1481.5663460000001</v>
      </c>
      <c r="S241" s="8">
        <v>0</v>
      </c>
      <c r="T241" s="8">
        <v>0</v>
      </c>
      <c r="U241" s="8">
        <v>1481.568</v>
      </c>
      <c r="V241" s="8">
        <v>0</v>
      </c>
      <c r="W241" s="8">
        <v>0</v>
      </c>
      <c r="X241" s="8">
        <v>0</v>
      </c>
      <c r="Y241" s="8">
        <v>0</v>
      </c>
      <c r="Z241" s="8">
        <v>9.2261999999999997E-2</v>
      </c>
      <c r="AA241" s="7">
        <v>0</v>
      </c>
      <c r="AB241" s="8">
        <v>0</v>
      </c>
      <c r="AC241" s="7">
        <v>2.0449999999999999</v>
      </c>
      <c r="AD241" s="7" t="s">
        <v>1226</v>
      </c>
      <c r="AE241" s="8">
        <v>0</v>
      </c>
      <c r="AF241" s="8">
        <v>0</v>
      </c>
      <c r="AG241" s="8">
        <v>0</v>
      </c>
      <c r="AH241" s="8">
        <v>0</v>
      </c>
      <c r="AI241" s="7" t="s">
        <v>1736</v>
      </c>
      <c r="AJ241" s="7">
        <f t="shared" ca="1" si="43"/>
        <v>1</v>
      </c>
      <c r="AK241" s="96">
        <f>(+AA241*AB241)/$AB$1102</f>
        <v>0</v>
      </c>
      <c r="AL241" s="97">
        <f>AC241/$AE$1102*AE241</f>
        <v>0</v>
      </c>
    </row>
    <row r="242" spans="1:38" x14ac:dyDescent="0.3">
      <c r="A242" s="7" t="s">
        <v>1912</v>
      </c>
      <c r="B242" s="7" t="s">
        <v>1320</v>
      </c>
      <c r="C242" s="7" t="s">
        <v>1323</v>
      </c>
      <c r="D242" s="7" t="s">
        <v>1792</v>
      </c>
      <c r="E242" s="7" t="s">
        <v>1695</v>
      </c>
      <c r="F242" s="36">
        <v>43221</v>
      </c>
      <c r="G242" s="36">
        <v>44681</v>
      </c>
      <c r="H242" s="36">
        <v>44895</v>
      </c>
      <c r="I242" s="36">
        <v>44895</v>
      </c>
      <c r="J242" s="7" t="s">
        <v>1699</v>
      </c>
      <c r="K242" s="8">
        <v>0</v>
      </c>
      <c r="L242" s="8">
        <v>0</v>
      </c>
      <c r="M242" s="8">
        <v>0</v>
      </c>
      <c r="N242" s="8">
        <v>2592.59</v>
      </c>
      <c r="O242" s="8">
        <v>0</v>
      </c>
      <c r="P242" s="8">
        <v>0</v>
      </c>
      <c r="Q242" s="8">
        <v>0</v>
      </c>
      <c r="R242" s="8">
        <f t="shared" si="42"/>
        <v>2592.59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7">
        <v>0</v>
      </c>
      <c r="AB242" s="8">
        <v>0</v>
      </c>
      <c r="AC242" s="7">
        <v>2.0449999999999999</v>
      </c>
      <c r="AD242" s="7" t="s">
        <v>1226</v>
      </c>
      <c r="AE242" s="8">
        <v>0</v>
      </c>
      <c r="AF242" s="8">
        <v>0</v>
      </c>
      <c r="AG242" s="8">
        <v>0</v>
      </c>
      <c r="AH242" s="8">
        <v>0</v>
      </c>
      <c r="AI242" s="7" t="s">
        <v>1736</v>
      </c>
      <c r="AJ242" s="7">
        <f t="shared" ca="1" si="43"/>
        <v>2</v>
      </c>
      <c r="AK242" s="100">
        <f>(+AA242*AB242)/$AB$1103</f>
        <v>0</v>
      </c>
      <c r="AL242" s="97">
        <f>AC242/$AE$1103*AE242</f>
        <v>0</v>
      </c>
    </row>
    <row r="243" spans="1:38" x14ac:dyDescent="0.3">
      <c r="A243" s="7" t="s">
        <v>1913</v>
      </c>
      <c r="B243" s="7" t="s">
        <v>194</v>
      </c>
      <c r="C243" s="7" t="s">
        <v>1323</v>
      </c>
      <c r="D243" s="7" t="s">
        <v>1324</v>
      </c>
      <c r="E243" s="7" t="s">
        <v>1322</v>
      </c>
      <c r="F243" s="36">
        <v>44287</v>
      </c>
      <c r="G243" s="36">
        <v>45382</v>
      </c>
      <c r="H243" s="36">
        <v>45382</v>
      </c>
      <c r="I243" s="36">
        <v>45382</v>
      </c>
      <c r="J243" s="7" t="s">
        <v>1696</v>
      </c>
      <c r="K243" s="8">
        <v>0</v>
      </c>
      <c r="L243" s="8">
        <v>0</v>
      </c>
      <c r="M243" s="8">
        <v>600000</v>
      </c>
      <c r="N243" s="8">
        <v>0</v>
      </c>
      <c r="O243" s="8">
        <v>0</v>
      </c>
      <c r="P243" s="8">
        <v>0</v>
      </c>
      <c r="Q243" s="8">
        <v>0</v>
      </c>
      <c r="R243" s="8">
        <f t="shared" si="42"/>
        <v>600000</v>
      </c>
      <c r="S243" s="8">
        <v>0</v>
      </c>
      <c r="T243" s="8">
        <v>0</v>
      </c>
      <c r="U243" s="8">
        <v>600000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7">
        <v>1.249315</v>
      </c>
      <c r="AB243" s="8">
        <v>720304.64385500003</v>
      </c>
      <c r="AC243" s="7">
        <v>7</v>
      </c>
      <c r="AD243" s="7" t="s">
        <v>1226</v>
      </c>
      <c r="AE243" s="8">
        <v>750000</v>
      </c>
      <c r="AF243" s="8">
        <v>0</v>
      </c>
      <c r="AG243" s="8">
        <v>750000</v>
      </c>
      <c r="AH243" s="8">
        <v>0</v>
      </c>
      <c r="AI243" s="7" t="s">
        <v>1758</v>
      </c>
      <c r="AJ243" s="7">
        <f t="shared" ca="1" si="43"/>
        <v>1</v>
      </c>
      <c r="AK243" s="96">
        <f t="shared" ref="AK243:AK244" si="52">(+AA243*AB243)/$AB$1102</f>
        <v>7.886829169855672E-4</v>
      </c>
      <c r="AL243" s="97">
        <f t="shared" ref="AL243:AL244" si="53">AC243/$AE$1102*AE243</f>
        <v>4.49221960893364E-3</v>
      </c>
    </row>
    <row r="244" spans="1:38" x14ac:dyDescent="0.3">
      <c r="A244" s="7" t="s">
        <v>1914</v>
      </c>
      <c r="B244" s="7" t="s">
        <v>1320</v>
      </c>
      <c r="C244" s="7" t="s">
        <v>1323</v>
      </c>
      <c r="D244" s="7" t="s">
        <v>1792</v>
      </c>
      <c r="E244" s="7" t="s">
        <v>1695</v>
      </c>
      <c r="F244" s="36">
        <v>43221</v>
      </c>
      <c r="G244" s="36">
        <v>44681</v>
      </c>
      <c r="H244" s="36">
        <v>44895</v>
      </c>
      <c r="I244" s="36">
        <v>44895</v>
      </c>
      <c r="J244" s="7" t="s">
        <v>1696</v>
      </c>
      <c r="K244" s="8">
        <v>0</v>
      </c>
      <c r="L244" s="8">
        <v>0</v>
      </c>
      <c r="M244" s="8">
        <v>1481.5663460000001</v>
      </c>
      <c r="N244" s="8">
        <v>0</v>
      </c>
      <c r="O244" s="8">
        <v>0</v>
      </c>
      <c r="P244" s="8">
        <v>0</v>
      </c>
      <c r="Q244" s="8">
        <v>0</v>
      </c>
      <c r="R244" s="8">
        <f t="shared" si="42"/>
        <v>1481.5663460000001</v>
      </c>
      <c r="S244" s="8">
        <v>0</v>
      </c>
      <c r="T244" s="8">
        <v>0</v>
      </c>
      <c r="U244" s="8">
        <v>1481.568</v>
      </c>
      <c r="V244" s="8">
        <v>0</v>
      </c>
      <c r="W244" s="8">
        <v>0</v>
      </c>
      <c r="X244" s="8">
        <v>0</v>
      </c>
      <c r="Y244" s="8">
        <v>0</v>
      </c>
      <c r="Z244" s="8">
        <v>9.2261999999999997E-2</v>
      </c>
      <c r="AA244" s="7">
        <v>0</v>
      </c>
      <c r="AB244" s="8">
        <v>0</v>
      </c>
      <c r="AC244" s="7">
        <v>2.0449999999999999</v>
      </c>
      <c r="AD244" s="7" t="s">
        <v>1226</v>
      </c>
      <c r="AE244" s="8">
        <v>0</v>
      </c>
      <c r="AF244" s="8">
        <v>0</v>
      </c>
      <c r="AG244" s="8">
        <v>0</v>
      </c>
      <c r="AH244" s="8">
        <v>0</v>
      </c>
      <c r="AI244" s="7" t="s">
        <v>1736</v>
      </c>
      <c r="AJ244" s="7">
        <f t="shared" ca="1" si="43"/>
        <v>1</v>
      </c>
      <c r="AK244" s="96">
        <f t="shared" si="52"/>
        <v>0</v>
      </c>
      <c r="AL244" s="97">
        <f t="shared" si="53"/>
        <v>0</v>
      </c>
    </row>
    <row r="245" spans="1:38" x14ac:dyDescent="0.3">
      <c r="A245" s="7" t="s">
        <v>1914</v>
      </c>
      <c r="B245" s="7" t="s">
        <v>1320</v>
      </c>
      <c r="C245" s="7" t="s">
        <v>1323</v>
      </c>
      <c r="D245" s="7" t="s">
        <v>1792</v>
      </c>
      <c r="E245" s="7" t="s">
        <v>1695</v>
      </c>
      <c r="F245" s="36">
        <v>43221</v>
      </c>
      <c r="G245" s="36">
        <v>44681</v>
      </c>
      <c r="H245" s="36">
        <v>44895</v>
      </c>
      <c r="I245" s="36">
        <v>44895</v>
      </c>
      <c r="J245" s="7" t="s">
        <v>1699</v>
      </c>
      <c r="K245" s="8">
        <v>0</v>
      </c>
      <c r="L245" s="8">
        <v>0</v>
      </c>
      <c r="M245" s="8">
        <v>0</v>
      </c>
      <c r="N245" s="8">
        <v>2592.59</v>
      </c>
      <c r="O245" s="8">
        <v>0</v>
      </c>
      <c r="P245" s="8">
        <v>0</v>
      </c>
      <c r="Q245" s="8">
        <v>0</v>
      </c>
      <c r="R245" s="8">
        <f t="shared" si="42"/>
        <v>2592.59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7">
        <v>0</v>
      </c>
      <c r="AB245" s="8">
        <v>0</v>
      </c>
      <c r="AC245" s="7">
        <v>2.0449999999999999</v>
      </c>
      <c r="AD245" s="7" t="s">
        <v>1226</v>
      </c>
      <c r="AE245" s="8">
        <v>0</v>
      </c>
      <c r="AF245" s="8">
        <v>0</v>
      </c>
      <c r="AG245" s="8">
        <v>0</v>
      </c>
      <c r="AH245" s="8">
        <v>0</v>
      </c>
      <c r="AI245" s="7" t="s">
        <v>1736</v>
      </c>
      <c r="AJ245" s="7">
        <f t="shared" ca="1" si="43"/>
        <v>2</v>
      </c>
      <c r="AK245" s="100">
        <f>(+AA245*AB245)/$AB$1103</f>
        <v>0</v>
      </c>
      <c r="AL245" s="97">
        <f>AC245/$AE$1103*AE245</f>
        <v>0</v>
      </c>
    </row>
    <row r="246" spans="1:38" x14ac:dyDescent="0.3">
      <c r="A246" s="7" t="s">
        <v>1915</v>
      </c>
      <c r="B246" s="7" t="s">
        <v>1320</v>
      </c>
      <c r="C246" s="7" t="s">
        <v>1323</v>
      </c>
      <c r="D246" s="7" t="s">
        <v>1792</v>
      </c>
      <c r="E246" s="7" t="s">
        <v>1695</v>
      </c>
      <c r="F246" s="36">
        <v>43221</v>
      </c>
      <c r="G246" s="36">
        <v>44681</v>
      </c>
      <c r="J246" s="7" t="s">
        <v>1696</v>
      </c>
      <c r="K246" s="8">
        <v>0</v>
      </c>
      <c r="L246" s="8">
        <v>0</v>
      </c>
      <c r="M246" s="8">
        <v>1481.5663460000001</v>
      </c>
      <c r="N246" s="8">
        <v>0</v>
      </c>
      <c r="O246" s="8">
        <v>0</v>
      </c>
      <c r="P246" s="8">
        <v>0</v>
      </c>
      <c r="Q246" s="8">
        <v>0</v>
      </c>
      <c r="R246" s="8">
        <f t="shared" si="42"/>
        <v>1481.5663460000001</v>
      </c>
      <c r="S246" s="8">
        <v>0</v>
      </c>
      <c r="T246" s="8">
        <v>0</v>
      </c>
      <c r="U246" s="8">
        <v>1481.568</v>
      </c>
      <c r="V246" s="8">
        <v>0</v>
      </c>
      <c r="W246" s="8">
        <v>0</v>
      </c>
      <c r="X246" s="8">
        <v>0</v>
      </c>
      <c r="Y246" s="8">
        <v>0</v>
      </c>
      <c r="Z246" s="8">
        <v>9.2261999999999997E-2</v>
      </c>
      <c r="AA246" s="7">
        <v>0</v>
      </c>
      <c r="AB246" s="8">
        <v>0</v>
      </c>
      <c r="AC246" s="7">
        <v>2.0449999999999999</v>
      </c>
      <c r="AD246" s="7" t="s">
        <v>1226</v>
      </c>
      <c r="AE246" s="8">
        <v>0</v>
      </c>
      <c r="AF246" s="8">
        <v>0</v>
      </c>
      <c r="AG246" s="8">
        <v>0</v>
      </c>
      <c r="AH246" s="8">
        <v>0</v>
      </c>
      <c r="AI246" s="7" t="s">
        <v>1736</v>
      </c>
      <c r="AJ246" s="7">
        <f t="shared" ca="1" si="43"/>
        <v>1</v>
      </c>
      <c r="AK246" s="96">
        <f>(+AA246*AB246)/$AB$1102</f>
        <v>0</v>
      </c>
      <c r="AL246" s="97">
        <f>AC246/$AE$1102*AE246</f>
        <v>0</v>
      </c>
    </row>
    <row r="247" spans="1:38" x14ac:dyDescent="0.3">
      <c r="A247" s="7" t="s">
        <v>1915</v>
      </c>
      <c r="B247" s="7" t="s">
        <v>1320</v>
      </c>
      <c r="C247" s="7" t="s">
        <v>1323</v>
      </c>
      <c r="D247" s="7" t="s">
        <v>1792</v>
      </c>
      <c r="E247" s="7" t="s">
        <v>1695</v>
      </c>
      <c r="F247" s="36">
        <v>43221</v>
      </c>
      <c r="G247" s="36">
        <v>44681</v>
      </c>
      <c r="J247" s="7" t="s">
        <v>1699</v>
      </c>
      <c r="K247" s="8">
        <v>0</v>
      </c>
      <c r="L247" s="8">
        <v>0</v>
      </c>
      <c r="M247" s="8">
        <v>0</v>
      </c>
      <c r="N247" s="8">
        <v>740.74</v>
      </c>
      <c r="O247" s="8">
        <v>0</v>
      </c>
      <c r="P247" s="8">
        <v>0</v>
      </c>
      <c r="Q247" s="8">
        <v>0</v>
      </c>
      <c r="R247" s="8">
        <f t="shared" si="42"/>
        <v>740.74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7">
        <v>0</v>
      </c>
      <c r="AB247" s="8">
        <v>0</v>
      </c>
      <c r="AC247" s="7">
        <v>2.0449999999999999</v>
      </c>
      <c r="AD247" s="7" t="s">
        <v>1226</v>
      </c>
      <c r="AE247" s="8">
        <v>0</v>
      </c>
      <c r="AF247" s="8">
        <v>0</v>
      </c>
      <c r="AG247" s="8">
        <v>0</v>
      </c>
      <c r="AH247" s="8">
        <v>0</v>
      </c>
      <c r="AI247" s="7" t="s">
        <v>1736</v>
      </c>
      <c r="AJ247" s="7">
        <f t="shared" ca="1" si="43"/>
        <v>2</v>
      </c>
      <c r="AK247" s="100">
        <f>(+AA247*AB247)/$AB$1103</f>
        <v>0</v>
      </c>
      <c r="AL247" s="97">
        <f>AC247/$AE$1103*AE247</f>
        <v>0</v>
      </c>
    </row>
    <row r="248" spans="1:38" x14ac:dyDescent="0.3">
      <c r="A248" s="7" t="s">
        <v>1916</v>
      </c>
      <c r="B248" s="7" t="s">
        <v>1320</v>
      </c>
      <c r="C248" s="7" t="s">
        <v>1323</v>
      </c>
      <c r="D248" s="7" t="s">
        <v>1792</v>
      </c>
      <c r="E248" s="7" t="s">
        <v>1695</v>
      </c>
      <c r="F248" s="36">
        <v>44715</v>
      </c>
      <c r="G248" s="36">
        <v>44744</v>
      </c>
      <c r="H248" s="36">
        <v>44895</v>
      </c>
      <c r="I248" s="36">
        <v>44895</v>
      </c>
      <c r="J248" s="7" t="s">
        <v>1696</v>
      </c>
      <c r="K248" s="8">
        <v>0</v>
      </c>
      <c r="L248" s="8">
        <v>0</v>
      </c>
      <c r="M248" s="8">
        <v>3449.79873</v>
      </c>
      <c r="N248" s="8">
        <v>0</v>
      </c>
      <c r="O248" s="8">
        <v>0</v>
      </c>
      <c r="P248" s="8">
        <v>0</v>
      </c>
      <c r="Q248" s="8">
        <v>0</v>
      </c>
      <c r="R248" s="8">
        <f t="shared" si="42"/>
        <v>3449.79873</v>
      </c>
      <c r="S248" s="8">
        <v>0</v>
      </c>
      <c r="T248" s="8">
        <v>0</v>
      </c>
      <c r="U248" s="8">
        <v>2222.2199999999998</v>
      </c>
      <c r="V248" s="8">
        <v>0</v>
      </c>
      <c r="W248" s="8">
        <v>0</v>
      </c>
      <c r="X248" s="8">
        <v>0</v>
      </c>
      <c r="Y248" s="8">
        <v>0</v>
      </c>
      <c r="Z248" s="8">
        <v>3658.6662719999999</v>
      </c>
      <c r="AA248" s="7">
        <v>0</v>
      </c>
      <c r="AB248" s="8">
        <v>0</v>
      </c>
      <c r="AC248" s="7">
        <v>2</v>
      </c>
      <c r="AD248" s="7" t="s">
        <v>1226</v>
      </c>
      <c r="AE248" s="8">
        <v>0</v>
      </c>
      <c r="AF248" s="8">
        <v>0</v>
      </c>
      <c r="AG248" s="8">
        <v>0</v>
      </c>
      <c r="AH248" s="8">
        <v>0</v>
      </c>
      <c r="AI248" s="7" t="s">
        <v>1736</v>
      </c>
      <c r="AJ248" s="7">
        <f t="shared" ca="1" si="43"/>
        <v>1</v>
      </c>
      <c r="AK248" s="96">
        <f t="shared" ref="AK248:AK249" si="54">(+AA248*AB248)/$AB$1102</f>
        <v>0</v>
      </c>
      <c r="AL248" s="97">
        <f t="shared" ref="AL248:AL249" si="55">AC248/$AE$1102*AE248</f>
        <v>0</v>
      </c>
    </row>
    <row r="249" spans="1:38" x14ac:dyDescent="0.3">
      <c r="A249" s="7" t="s">
        <v>1917</v>
      </c>
      <c r="B249" s="7" t="s">
        <v>1320</v>
      </c>
      <c r="C249" s="7" t="s">
        <v>1323</v>
      </c>
      <c r="D249" s="7" t="s">
        <v>1792</v>
      </c>
      <c r="E249" s="7" t="s">
        <v>1695</v>
      </c>
      <c r="F249" s="36">
        <v>43221</v>
      </c>
      <c r="G249" s="36">
        <v>44681</v>
      </c>
      <c r="H249" s="36">
        <v>44895</v>
      </c>
      <c r="I249" s="36">
        <v>44895</v>
      </c>
      <c r="J249" s="7" t="s">
        <v>1696</v>
      </c>
      <c r="K249" s="8">
        <v>0</v>
      </c>
      <c r="L249" s="8">
        <v>0</v>
      </c>
      <c r="M249" s="8">
        <v>1481.5663460000001</v>
      </c>
      <c r="N249" s="8">
        <v>0</v>
      </c>
      <c r="O249" s="8">
        <v>0</v>
      </c>
      <c r="P249" s="8">
        <v>0</v>
      </c>
      <c r="Q249" s="8">
        <v>0</v>
      </c>
      <c r="R249" s="8">
        <f t="shared" si="42"/>
        <v>1481.5663460000001</v>
      </c>
      <c r="S249" s="8">
        <v>0</v>
      </c>
      <c r="T249" s="8">
        <v>0</v>
      </c>
      <c r="U249" s="8">
        <v>1481.568</v>
      </c>
      <c r="V249" s="8">
        <v>0</v>
      </c>
      <c r="W249" s="8">
        <v>0</v>
      </c>
      <c r="X249" s="8">
        <v>0</v>
      </c>
      <c r="Y249" s="8">
        <v>0</v>
      </c>
      <c r="Z249" s="8">
        <v>9.2261999999999997E-2</v>
      </c>
      <c r="AA249" s="7">
        <v>0</v>
      </c>
      <c r="AB249" s="8">
        <v>0</v>
      </c>
      <c r="AC249" s="7">
        <v>2.0449999999999999</v>
      </c>
      <c r="AD249" s="7" t="s">
        <v>1226</v>
      </c>
      <c r="AE249" s="8">
        <v>0</v>
      </c>
      <c r="AF249" s="8">
        <v>0</v>
      </c>
      <c r="AG249" s="8">
        <v>0</v>
      </c>
      <c r="AH249" s="8">
        <v>0</v>
      </c>
      <c r="AI249" s="7" t="s">
        <v>1736</v>
      </c>
      <c r="AJ249" s="7">
        <f t="shared" ca="1" si="43"/>
        <v>1</v>
      </c>
      <c r="AK249" s="96">
        <f t="shared" si="54"/>
        <v>0</v>
      </c>
      <c r="AL249" s="97">
        <f t="shared" si="55"/>
        <v>0</v>
      </c>
    </row>
    <row r="250" spans="1:38" x14ac:dyDescent="0.3">
      <c r="A250" s="7" t="s">
        <v>1917</v>
      </c>
      <c r="B250" s="7" t="s">
        <v>1320</v>
      </c>
      <c r="C250" s="7" t="s">
        <v>1323</v>
      </c>
      <c r="D250" s="7" t="s">
        <v>1792</v>
      </c>
      <c r="E250" s="7" t="s">
        <v>1695</v>
      </c>
      <c r="F250" s="36">
        <v>43221</v>
      </c>
      <c r="G250" s="36">
        <v>44681</v>
      </c>
      <c r="H250" s="36">
        <v>44895</v>
      </c>
      <c r="I250" s="36">
        <v>44895</v>
      </c>
      <c r="J250" s="7" t="s">
        <v>1699</v>
      </c>
      <c r="K250" s="8">
        <v>0</v>
      </c>
      <c r="L250" s="8">
        <v>0</v>
      </c>
      <c r="M250" s="8">
        <v>0</v>
      </c>
      <c r="N250" s="8">
        <v>2592.59</v>
      </c>
      <c r="O250" s="8">
        <v>0</v>
      </c>
      <c r="P250" s="8">
        <v>0</v>
      </c>
      <c r="Q250" s="8">
        <v>0</v>
      </c>
      <c r="R250" s="8">
        <f t="shared" si="42"/>
        <v>2592.59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7">
        <v>0</v>
      </c>
      <c r="AB250" s="8">
        <v>0</v>
      </c>
      <c r="AC250" s="7">
        <v>2.0449999999999999</v>
      </c>
      <c r="AD250" s="7" t="s">
        <v>1226</v>
      </c>
      <c r="AE250" s="8">
        <v>0</v>
      </c>
      <c r="AF250" s="8">
        <v>0</v>
      </c>
      <c r="AG250" s="8">
        <v>0</v>
      </c>
      <c r="AH250" s="8">
        <v>0</v>
      </c>
      <c r="AI250" s="7" t="s">
        <v>1736</v>
      </c>
      <c r="AJ250" s="7">
        <f t="shared" ca="1" si="43"/>
        <v>2</v>
      </c>
      <c r="AK250" s="100">
        <f>(+AA250*AB250)/$AB$1103</f>
        <v>0</v>
      </c>
      <c r="AL250" s="97">
        <f>AC250/$AE$1103*AE250</f>
        <v>0</v>
      </c>
    </row>
    <row r="251" spans="1:38" x14ac:dyDescent="0.3">
      <c r="A251" s="7" t="s">
        <v>1918</v>
      </c>
      <c r="B251" s="7" t="s">
        <v>1320</v>
      </c>
      <c r="C251" s="7" t="s">
        <v>1323</v>
      </c>
      <c r="D251" s="7" t="s">
        <v>1792</v>
      </c>
      <c r="E251" s="7" t="s">
        <v>1695</v>
      </c>
      <c r="F251" s="36">
        <v>43221</v>
      </c>
      <c r="G251" s="36">
        <v>44681</v>
      </c>
      <c r="H251" s="36">
        <v>44895</v>
      </c>
      <c r="I251" s="36">
        <v>44895</v>
      </c>
      <c r="J251" s="7" t="s">
        <v>1696</v>
      </c>
      <c r="K251" s="8">
        <v>0</v>
      </c>
      <c r="L251" s="8">
        <v>0</v>
      </c>
      <c r="M251" s="8">
        <v>1481.5663460000001</v>
      </c>
      <c r="N251" s="8">
        <v>0</v>
      </c>
      <c r="O251" s="8">
        <v>0</v>
      </c>
      <c r="P251" s="8">
        <v>0</v>
      </c>
      <c r="Q251" s="8">
        <v>0</v>
      </c>
      <c r="R251" s="8">
        <f t="shared" si="42"/>
        <v>1481.5663460000001</v>
      </c>
      <c r="S251" s="8">
        <v>0</v>
      </c>
      <c r="T251" s="8">
        <v>0</v>
      </c>
      <c r="U251" s="8">
        <v>1481.568</v>
      </c>
      <c r="V251" s="8">
        <v>0</v>
      </c>
      <c r="W251" s="8">
        <v>0</v>
      </c>
      <c r="X251" s="8">
        <v>0</v>
      </c>
      <c r="Y251" s="8">
        <v>0</v>
      </c>
      <c r="Z251" s="8">
        <v>9.2261999999999997E-2</v>
      </c>
      <c r="AA251" s="7">
        <v>0</v>
      </c>
      <c r="AB251" s="8">
        <v>0</v>
      </c>
      <c r="AC251" s="7">
        <v>2.0449999999999999</v>
      </c>
      <c r="AD251" s="7" t="s">
        <v>1226</v>
      </c>
      <c r="AE251" s="8">
        <v>0</v>
      </c>
      <c r="AF251" s="8">
        <v>0</v>
      </c>
      <c r="AG251" s="8">
        <v>0</v>
      </c>
      <c r="AH251" s="8">
        <v>0</v>
      </c>
      <c r="AI251" s="7" t="s">
        <v>1736</v>
      </c>
      <c r="AJ251" s="7">
        <f t="shared" ca="1" si="43"/>
        <v>1</v>
      </c>
      <c r="AK251" s="96">
        <f>(+AA251*AB251)/$AB$1102</f>
        <v>0</v>
      </c>
      <c r="AL251" s="97">
        <f>AC251/$AE$1102*AE251</f>
        <v>0</v>
      </c>
    </row>
    <row r="252" spans="1:38" x14ac:dyDescent="0.3">
      <c r="A252" s="7" t="s">
        <v>1918</v>
      </c>
      <c r="B252" s="7" t="s">
        <v>1320</v>
      </c>
      <c r="C252" s="7" t="s">
        <v>1323</v>
      </c>
      <c r="D252" s="7" t="s">
        <v>1792</v>
      </c>
      <c r="E252" s="7" t="s">
        <v>1695</v>
      </c>
      <c r="F252" s="36">
        <v>43221</v>
      </c>
      <c r="G252" s="36">
        <v>44681</v>
      </c>
      <c r="H252" s="36">
        <v>44895</v>
      </c>
      <c r="I252" s="36">
        <v>44895</v>
      </c>
      <c r="J252" s="7" t="s">
        <v>1699</v>
      </c>
      <c r="K252" s="8">
        <v>0</v>
      </c>
      <c r="L252" s="8">
        <v>0</v>
      </c>
      <c r="M252" s="8">
        <v>0</v>
      </c>
      <c r="N252" s="8">
        <v>2592.59</v>
      </c>
      <c r="O252" s="8">
        <v>0</v>
      </c>
      <c r="P252" s="8">
        <v>0</v>
      </c>
      <c r="Q252" s="8">
        <v>0</v>
      </c>
      <c r="R252" s="8">
        <f t="shared" si="42"/>
        <v>2592.59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7">
        <v>0</v>
      </c>
      <c r="AB252" s="8">
        <v>0</v>
      </c>
      <c r="AC252" s="7">
        <v>2.0449999999999999</v>
      </c>
      <c r="AD252" s="7" t="s">
        <v>1226</v>
      </c>
      <c r="AE252" s="8">
        <v>0</v>
      </c>
      <c r="AF252" s="8">
        <v>0</v>
      </c>
      <c r="AG252" s="8">
        <v>0</v>
      </c>
      <c r="AH252" s="8">
        <v>0</v>
      </c>
      <c r="AI252" s="7" t="s">
        <v>1736</v>
      </c>
      <c r="AJ252" s="7">
        <f t="shared" ca="1" si="43"/>
        <v>2</v>
      </c>
      <c r="AK252" s="100">
        <f>(+AA252*AB252)/$AB$1103</f>
        <v>0</v>
      </c>
      <c r="AL252" s="97">
        <f>AC252/$AE$1103*AE252</f>
        <v>0</v>
      </c>
    </row>
    <row r="253" spans="1:38" x14ac:dyDescent="0.3">
      <c r="A253" s="7" t="s">
        <v>1919</v>
      </c>
      <c r="B253" s="7" t="s">
        <v>1320</v>
      </c>
      <c r="C253" s="7" t="s">
        <v>1323</v>
      </c>
      <c r="D253" s="7" t="s">
        <v>1792</v>
      </c>
      <c r="E253" s="7" t="s">
        <v>1695</v>
      </c>
      <c r="F253" s="36">
        <v>43983</v>
      </c>
      <c r="G253" s="36">
        <v>44530</v>
      </c>
      <c r="H253" s="36">
        <v>44895</v>
      </c>
      <c r="I253" s="36">
        <v>44895</v>
      </c>
      <c r="J253" s="7" t="s">
        <v>1696</v>
      </c>
      <c r="K253" s="8">
        <v>0</v>
      </c>
      <c r="L253" s="8">
        <v>0</v>
      </c>
      <c r="M253" s="8">
        <v>803.88701800000001</v>
      </c>
      <c r="N253" s="8">
        <v>0</v>
      </c>
      <c r="O253" s="8">
        <v>0</v>
      </c>
      <c r="P253" s="8">
        <v>0</v>
      </c>
      <c r="Q253" s="8">
        <v>0</v>
      </c>
      <c r="R253" s="8">
        <f t="shared" si="42"/>
        <v>803.88701800000001</v>
      </c>
      <c r="S253" s="8">
        <v>0</v>
      </c>
      <c r="T253" s="8">
        <v>0</v>
      </c>
      <c r="U253" s="8">
        <v>1800</v>
      </c>
      <c r="V253" s="8">
        <v>0</v>
      </c>
      <c r="W253" s="8">
        <v>0</v>
      </c>
      <c r="X253" s="8">
        <v>0</v>
      </c>
      <c r="Y253" s="8">
        <v>0</v>
      </c>
      <c r="Z253" s="8">
        <v>1046.8817650000001</v>
      </c>
      <c r="AA253" s="7">
        <v>0</v>
      </c>
      <c r="AB253" s="8">
        <v>0</v>
      </c>
      <c r="AC253" s="7">
        <v>1.845818</v>
      </c>
      <c r="AD253" s="7" t="s">
        <v>1697</v>
      </c>
      <c r="AE253" s="8">
        <v>0</v>
      </c>
      <c r="AF253" s="8">
        <v>0</v>
      </c>
      <c r="AG253" s="8">
        <v>0</v>
      </c>
      <c r="AH253" s="8">
        <v>0</v>
      </c>
      <c r="AI253" s="7" t="s">
        <v>1736</v>
      </c>
      <c r="AJ253" s="7">
        <f t="shared" ca="1" si="43"/>
        <v>1</v>
      </c>
      <c r="AK253" s="96">
        <f t="shared" ref="AK253:AK254" si="56">(+AA253*AB253)/$AB$1102</f>
        <v>0</v>
      </c>
      <c r="AL253" s="97">
        <f t="shared" ref="AL253:AL254" si="57">AC253/$AE$1102*AE253</f>
        <v>0</v>
      </c>
    </row>
    <row r="254" spans="1:38" x14ac:dyDescent="0.3">
      <c r="A254" s="7" t="s">
        <v>1920</v>
      </c>
      <c r="B254" s="7" t="s">
        <v>1320</v>
      </c>
      <c r="C254" s="7" t="s">
        <v>1323</v>
      </c>
      <c r="D254" s="7" t="s">
        <v>1792</v>
      </c>
      <c r="E254" s="7" t="s">
        <v>1695</v>
      </c>
      <c r="F254" s="36">
        <v>43221</v>
      </c>
      <c r="G254" s="36">
        <v>44681</v>
      </c>
      <c r="H254" s="36">
        <v>44895</v>
      </c>
      <c r="I254" s="36">
        <v>44895</v>
      </c>
      <c r="J254" s="7" t="s">
        <v>1696</v>
      </c>
      <c r="K254" s="8">
        <v>0</v>
      </c>
      <c r="L254" s="8">
        <v>0</v>
      </c>
      <c r="M254" s="8">
        <v>1481.5663460000001</v>
      </c>
      <c r="N254" s="8">
        <v>0</v>
      </c>
      <c r="O254" s="8">
        <v>0</v>
      </c>
      <c r="P254" s="8">
        <v>0</v>
      </c>
      <c r="Q254" s="8">
        <v>0</v>
      </c>
      <c r="R254" s="8">
        <f t="shared" si="42"/>
        <v>1481.5663460000001</v>
      </c>
      <c r="S254" s="8">
        <v>0</v>
      </c>
      <c r="T254" s="8">
        <v>0</v>
      </c>
      <c r="U254" s="8">
        <v>1481.568</v>
      </c>
      <c r="V254" s="8">
        <v>0</v>
      </c>
      <c r="W254" s="8">
        <v>0</v>
      </c>
      <c r="X254" s="8">
        <v>0</v>
      </c>
      <c r="Y254" s="8">
        <v>0</v>
      </c>
      <c r="Z254" s="8">
        <v>9.2261999999999997E-2</v>
      </c>
      <c r="AA254" s="7">
        <v>0</v>
      </c>
      <c r="AB254" s="8">
        <v>0</v>
      </c>
      <c r="AC254" s="7">
        <v>2.0449999999999999</v>
      </c>
      <c r="AD254" s="7" t="s">
        <v>1226</v>
      </c>
      <c r="AE254" s="8">
        <v>0</v>
      </c>
      <c r="AF254" s="8">
        <v>0</v>
      </c>
      <c r="AG254" s="8">
        <v>0</v>
      </c>
      <c r="AH254" s="8">
        <v>0</v>
      </c>
      <c r="AI254" s="7" t="s">
        <v>1736</v>
      </c>
      <c r="AJ254" s="7">
        <f t="shared" ca="1" si="43"/>
        <v>1</v>
      </c>
      <c r="AK254" s="96">
        <f t="shared" si="56"/>
        <v>0</v>
      </c>
      <c r="AL254" s="97">
        <f t="shared" si="57"/>
        <v>0</v>
      </c>
    </row>
    <row r="255" spans="1:38" x14ac:dyDescent="0.3">
      <c r="A255" s="7" t="s">
        <v>1920</v>
      </c>
      <c r="B255" s="7" t="s">
        <v>1320</v>
      </c>
      <c r="C255" s="7" t="s">
        <v>1323</v>
      </c>
      <c r="D255" s="7" t="s">
        <v>1792</v>
      </c>
      <c r="E255" s="7" t="s">
        <v>1695</v>
      </c>
      <c r="F255" s="36">
        <v>43221</v>
      </c>
      <c r="G255" s="36">
        <v>44681</v>
      </c>
      <c r="H255" s="36">
        <v>44895</v>
      </c>
      <c r="I255" s="36">
        <v>44895</v>
      </c>
      <c r="J255" s="7" t="s">
        <v>1699</v>
      </c>
      <c r="K255" s="8">
        <v>0</v>
      </c>
      <c r="L255" s="8">
        <v>0</v>
      </c>
      <c r="M255" s="8">
        <v>0</v>
      </c>
      <c r="N255" s="8">
        <v>2592.59</v>
      </c>
      <c r="O255" s="8">
        <v>0</v>
      </c>
      <c r="P255" s="8">
        <v>0</v>
      </c>
      <c r="Q255" s="8">
        <v>0</v>
      </c>
      <c r="R255" s="8">
        <f t="shared" si="42"/>
        <v>2592.59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7">
        <v>0</v>
      </c>
      <c r="AB255" s="8">
        <v>0</v>
      </c>
      <c r="AC255" s="7">
        <v>2.0449999999999999</v>
      </c>
      <c r="AD255" s="7" t="s">
        <v>1226</v>
      </c>
      <c r="AE255" s="8">
        <v>0</v>
      </c>
      <c r="AF255" s="8">
        <v>0</v>
      </c>
      <c r="AG255" s="8">
        <v>0</v>
      </c>
      <c r="AH255" s="8">
        <v>0</v>
      </c>
      <c r="AI255" s="7" t="s">
        <v>1736</v>
      </c>
      <c r="AJ255" s="7">
        <f t="shared" ca="1" si="43"/>
        <v>2</v>
      </c>
      <c r="AK255" s="100">
        <f>(+AA255*AB255)/$AB$1103</f>
        <v>0</v>
      </c>
      <c r="AL255" s="97">
        <f>AC255/$AE$1103*AE255</f>
        <v>0</v>
      </c>
    </row>
    <row r="256" spans="1:38" x14ac:dyDescent="0.3">
      <c r="A256" s="7" t="s">
        <v>1921</v>
      </c>
      <c r="B256" s="7" t="s">
        <v>1320</v>
      </c>
      <c r="C256" s="7" t="s">
        <v>1323</v>
      </c>
      <c r="D256" s="7" t="s">
        <v>1792</v>
      </c>
      <c r="E256" s="7" t="s">
        <v>1695</v>
      </c>
      <c r="F256" s="36">
        <v>43221</v>
      </c>
      <c r="G256" s="36">
        <v>44681</v>
      </c>
      <c r="H256" s="36">
        <v>44895</v>
      </c>
      <c r="I256" s="36">
        <v>44895</v>
      </c>
      <c r="J256" s="7" t="s">
        <v>1696</v>
      </c>
      <c r="K256" s="8">
        <v>0</v>
      </c>
      <c r="L256" s="8">
        <v>0</v>
      </c>
      <c r="M256" s="8">
        <v>1481.5663460000001</v>
      </c>
      <c r="N256" s="8">
        <v>0</v>
      </c>
      <c r="O256" s="8">
        <v>0</v>
      </c>
      <c r="P256" s="8">
        <v>0</v>
      </c>
      <c r="Q256" s="8">
        <v>0</v>
      </c>
      <c r="R256" s="8">
        <f t="shared" si="42"/>
        <v>1481.5663460000001</v>
      </c>
      <c r="S256" s="8">
        <v>0</v>
      </c>
      <c r="T256" s="8">
        <v>0</v>
      </c>
      <c r="U256" s="8">
        <v>1481.568</v>
      </c>
      <c r="V256" s="8">
        <v>0</v>
      </c>
      <c r="W256" s="8">
        <v>0</v>
      </c>
      <c r="X256" s="8">
        <v>0</v>
      </c>
      <c r="Y256" s="8">
        <v>0</v>
      </c>
      <c r="Z256" s="8">
        <v>9.2261999999999997E-2</v>
      </c>
      <c r="AA256" s="7">
        <v>0</v>
      </c>
      <c r="AB256" s="8">
        <v>0</v>
      </c>
      <c r="AC256" s="7">
        <v>2.0449999999999999</v>
      </c>
      <c r="AD256" s="7" t="s">
        <v>1226</v>
      </c>
      <c r="AE256" s="8">
        <v>0</v>
      </c>
      <c r="AF256" s="8">
        <v>0</v>
      </c>
      <c r="AG256" s="8">
        <v>0</v>
      </c>
      <c r="AH256" s="8">
        <v>0</v>
      </c>
      <c r="AI256" s="7" t="s">
        <v>1736</v>
      </c>
      <c r="AJ256" s="7">
        <f t="shared" ca="1" si="43"/>
        <v>1</v>
      </c>
      <c r="AK256" s="96">
        <f>(+AA256*AB256)/$AB$1102</f>
        <v>0</v>
      </c>
      <c r="AL256" s="97">
        <f>AC256/$AE$1102*AE256</f>
        <v>0</v>
      </c>
    </row>
    <row r="257" spans="1:38" x14ac:dyDescent="0.3">
      <c r="A257" s="7" t="s">
        <v>1921</v>
      </c>
      <c r="B257" s="7" t="s">
        <v>1320</v>
      </c>
      <c r="C257" s="7" t="s">
        <v>1323</v>
      </c>
      <c r="D257" s="7" t="s">
        <v>1792</v>
      </c>
      <c r="E257" s="7" t="s">
        <v>1695</v>
      </c>
      <c r="F257" s="36">
        <v>43221</v>
      </c>
      <c r="G257" s="36">
        <v>44681</v>
      </c>
      <c r="H257" s="36">
        <v>44895</v>
      </c>
      <c r="I257" s="36">
        <v>44895</v>
      </c>
      <c r="J257" s="7" t="s">
        <v>1699</v>
      </c>
      <c r="K257" s="8">
        <v>0</v>
      </c>
      <c r="L257" s="8">
        <v>0</v>
      </c>
      <c r="M257" s="8">
        <v>0</v>
      </c>
      <c r="N257" s="8">
        <v>2592.59</v>
      </c>
      <c r="O257" s="8">
        <v>0</v>
      </c>
      <c r="P257" s="8">
        <v>0</v>
      </c>
      <c r="Q257" s="8">
        <v>0</v>
      </c>
      <c r="R257" s="8">
        <f t="shared" si="42"/>
        <v>2592.59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7">
        <v>0</v>
      </c>
      <c r="AB257" s="8">
        <v>0</v>
      </c>
      <c r="AC257" s="7">
        <v>2.0449999999999999</v>
      </c>
      <c r="AD257" s="7" t="s">
        <v>1226</v>
      </c>
      <c r="AE257" s="8">
        <v>0</v>
      </c>
      <c r="AF257" s="8">
        <v>0</v>
      </c>
      <c r="AG257" s="8">
        <v>0</v>
      </c>
      <c r="AH257" s="8">
        <v>0</v>
      </c>
      <c r="AI257" s="7" t="s">
        <v>1736</v>
      </c>
      <c r="AJ257" s="7">
        <f t="shared" ca="1" si="43"/>
        <v>2</v>
      </c>
      <c r="AK257" s="100">
        <f>(+AA257*AB257)/$AB$1103</f>
        <v>0</v>
      </c>
      <c r="AL257" s="97">
        <f>AC257/$AE$1103*AE257</f>
        <v>0</v>
      </c>
    </row>
    <row r="258" spans="1:38" x14ac:dyDescent="0.3">
      <c r="A258" s="7" t="s">
        <v>1922</v>
      </c>
      <c r="B258" s="7" t="s">
        <v>1320</v>
      </c>
      <c r="C258" s="7" t="s">
        <v>1323</v>
      </c>
      <c r="D258" s="7" t="s">
        <v>1792</v>
      </c>
      <c r="E258" s="7" t="s">
        <v>1695</v>
      </c>
      <c r="F258" s="36">
        <v>43221</v>
      </c>
      <c r="G258" s="36">
        <v>44681</v>
      </c>
      <c r="H258" s="36">
        <v>44895</v>
      </c>
      <c r="I258" s="36">
        <v>44895</v>
      </c>
      <c r="J258" s="7" t="s">
        <v>1696</v>
      </c>
      <c r="K258" s="8">
        <v>0</v>
      </c>
      <c r="L258" s="8">
        <v>0</v>
      </c>
      <c r="M258" s="8">
        <v>1481.5663460000001</v>
      </c>
      <c r="N258" s="8">
        <v>0</v>
      </c>
      <c r="O258" s="8">
        <v>0</v>
      </c>
      <c r="P258" s="8">
        <v>0</v>
      </c>
      <c r="Q258" s="8">
        <v>0</v>
      </c>
      <c r="R258" s="8">
        <f t="shared" si="42"/>
        <v>1481.5663460000001</v>
      </c>
      <c r="S258" s="8">
        <v>0</v>
      </c>
      <c r="T258" s="8">
        <v>0</v>
      </c>
      <c r="U258" s="8">
        <v>1481.568</v>
      </c>
      <c r="V258" s="8">
        <v>0</v>
      </c>
      <c r="W258" s="8">
        <v>0</v>
      </c>
      <c r="X258" s="8">
        <v>0</v>
      </c>
      <c r="Y258" s="8">
        <v>0</v>
      </c>
      <c r="Z258" s="8">
        <v>9.2261999999999997E-2</v>
      </c>
      <c r="AA258" s="7">
        <v>0</v>
      </c>
      <c r="AB258" s="8">
        <v>0</v>
      </c>
      <c r="AC258" s="7">
        <v>2.0449999999999999</v>
      </c>
      <c r="AD258" s="7" t="s">
        <v>1226</v>
      </c>
      <c r="AE258" s="8">
        <v>0</v>
      </c>
      <c r="AF258" s="8">
        <v>0</v>
      </c>
      <c r="AG258" s="8">
        <v>0</v>
      </c>
      <c r="AH258" s="8">
        <v>0</v>
      </c>
      <c r="AI258" s="7" t="s">
        <v>1736</v>
      </c>
      <c r="AJ258" s="7">
        <f t="shared" ca="1" si="43"/>
        <v>1</v>
      </c>
      <c r="AK258" s="96">
        <f>(+AA258*AB258)/$AB$1102</f>
        <v>0</v>
      </c>
      <c r="AL258" s="97">
        <f>AC258/$AE$1102*AE258</f>
        <v>0</v>
      </c>
    </row>
    <row r="259" spans="1:38" x14ac:dyDescent="0.3">
      <c r="A259" s="7" t="s">
        <v>1922</v>
      </c>
      <c r="B259" s="7" t="s">
        <v>1320</v>
      </c>
      <c r="C259" s="7" t="s">
        <v>1323</v>
      </c>
      <c r="D259" s="7" t="s">
        <v>1792</v>
      </c>
      <c r="E259" s="7" t="s">
        <v>1695</v>
      </c>
      <c r="F259" s="36">
        <v>43221</v>
      </c>
      <c r="G259" s="36">
        <v>44681</v>
      </c>
      <c r="H259" s="36">
        <v>44895</v>
      </c>
      <c r="I259" s="36">
        <v>44895</v>
      </c>
      <c r="J259" s="7" t="s">
        <v>1699</v>
      </c>
      <c r="K259" s="8">
        <v>0</v>
      </c>
      <c r="L259" s="8">
        <v>0</v>
      </c>
      <c r="M259" s="8">
        <v>0</v>
      </c>
      <c r="N259" s="8">
        <v>2592.59</v>
      </c>
      <c r="O259" s="8">
        <v>0</v>
      </c>
      <c r="P259" s="8">
        <v>0</v>
      </c>
      <c r="Q259" s="8">
        <v>0</v>
      </c>
      <c r="R259" s="8">
        <f t="shared" ref="R259:R322" si="58">K259+L259+M259+N259+O259+P259+Q259</f>
        <v>2592.59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7">
        <v>0</v>
      </c>
      <c r="AB259" s="8">
        <v>0</v>
      </c>
      <c r="AC259" s="7">
        <v>2.0449999999999999</v>
      </c>
      <c r="AD259" s="7" t="s">
        <v>1226</v>
      </c>
      <c r="AE259" s="8">
        <v>0</v>
      </c>
      <c r="AF259" s="8">
        <v>0</v>
      </c>
      <c r="AG259" s="8">
        <v>0</v>
      </c>
      <c r="AH259" s="8">
        <v>0</v>
      </c>
      <c r="AI259" s="7" t="s">
        <v>1736</v>
      </c>
      <c r="AJ259" s="7">
        <f t="shared" ref="AJ259:AJ322" ca="1" si="59">IF(A259=OFFSET(A259,-1,0),OFFSET(AJ259,-1,0)+1,1)</f>
        <v>2</v>
      </c>
      <c r="AK259" s="100">
        <f>(+AA259*AB259)/$AB$1103</f>
        <v>0</v>
      </c>
      <c r="AL259" s="97">
        <f>AC259/$AE$1103*AE259</f>
        <v>0</v>
      </c>
    </row>
    <row r="260" spans="1:38" x14ac:dyDescent="0.3">
      <c r="A260" s="7" t="s">
        <v>1923</v>
      </c>
      <c r="B260" s="7" t="s">
        <v>1320</v>
      </c>
      <c r="C260" s="7" t="s">
        <v>1323</v>
      </c>
      <c r="D260" s="7" t="s">
        <v>1792</v>
      </c>
      <c r="E260" s="7" t="s">
        <v>1695</v>
      </c>
      <c r="F260" s="36">
        <v>43221</v>
      </c>
      <c r="G260" s="36">
        <v>44681</v>
      </c>
      <c r="H260" s="36">
        <v>44895</v>
      </c>
      <c r="I260" s="36">
        <v>44895</v>
      </c>
      <c r="J260" s="7" t="s">
        <v>1696</v>
      </c>
      <c r="K260" s="8">
        <v>0</v>
      </c>
      <c r="L260" s="8">
        <v>0</v>
      </c>
      <c r="M260" s="8">
        <v>1481.5663460000001</v>
      </c>
      <c r="N260" s="8">
        <v>0</v>
      </c>
      <c r="O260" s="8">
        <v>0</v>
      </c>
      <c r="P260" s="8">
        <v>0</v>
      </c>
      <c r="Q260" s="8">
        <v>0</v>
      </c>
      <c r="R260" s="8">
        <f t="shared" si="58"/>
        <v>1481.5663460000001</v>
      </c>
      <c r="S260" s="8">
        <v>0</v>
      </c>
      <c r="T260" s="8">
        <v>0</v>
      </c>
      <c r="U260" s="8">
        <v>1481.568</v>
      </c>
      <c r="V260" s="8">
        <v>0</v>
      </c>
      <c r="W260" s="8">
        <v>0</v>
      </c>
      <c r="X260" s="8">
        <v>0</v>
      </c>
      <c r="Y260" s="8">
        <v>0</v>
      </c>
      <c r="Z260" s="8">
        <v>9.2261999999999997E-2</v>
      </c>
      <c r="AA260" s="7">
        <v>0</v>
      </c>
      <c r="AB260" s="8">
        <v>0</v>
      </c>
      <c r="AC260" s="7">
        <v>2.0449999999999999</v>
      </c>
      <c r="AD260" s="7" t="s">
        <v>1226</v>
      </c>
      <c r="AE260" s="8">
        <v>0</v>
      </c>
      <c r="AF260" s="8">
        <v>0</v>
      </c>
      <c r="AG260" s="8">
        <v>0</v>
      </c>
      <c r="AH260" s="8">
        <v>0</v>
      </c>
      <c r="AI260" s="7" t="s">
        <v>1736</v>
      </c>
      <c r="AJ260" s="7">
        <f t="shared" ca="1" si="59"/>
        <v>1</v>
      </c>
      <c r="AK260" s="96">
        <f>(+AA260*AB260)/$AB$1102</f>
        <v>0</v>
      </c>
      <c r="AL260" s="97">
        <f>AC260/$AE$1102*AE260</f>
        <v>0</v>
      </c>
    </row>
    <row r="261" spans="1:38" x14ac:dyDescent="0.3">
      <c r="A261" s="7" t="s">
        <v>1923</v>
      </c>
      <c r="B261" s="7" t="s">
        <v>1320</v>
      </c>
      <c r="C261" s="7" t="s">
        <v>1323</v>
      </c>
      <c r="D261" s="7" t="s">
        <v>1792</v>
      </c>
      <c r="E261" s="7" t="s">
        <v>1695</v>
      </c>
      <c r="F261" s="36">
        <v>43221</v>
      </c>
      <c r="G261" s="36">
        <v>44681</v>
      </c>
      <c r="H261" s="36">
        <v>44895</v>
      </c>
      <c r="I261" s="36">
        <v>44895</v>
      </c>
      <c r="J261" s="7" t="s">
        <v>1699</v>
      </c>
      <c r="K261" s="8">
        <v>0</v>
      </c>
      <c r="L261" s="8">
        <v>0</v>
      </c>
      <c r="M261" s="8">
        <v>0</v>
      </c>
      <c r="N261" s="8">
        <v>2592.59</v>
      </c>
      <c r="O261" s="8">
        <v>0</v>
      </c>
      <c r="P261" s="8">
        <v>0</v>
      </c>
      <c r="Q261" s="8">
        <v>0</v>
      </c>
      <c r="R261" s="8">
        <f t="shared" si="58"/>
        <v>2592.59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7">
        <v>0</v>
      </c>
      <c r="AB261" s="8">
        <v>0</v>
      </c>
      <c r="AC261" s="7">
        <v>2.0449999999999999</v>
      </c>
      <c r="AD261" s="7" t="s">
        <v>1226</v>
      </c>
      <c r="AE261" s="8">
        <v>0</v>
      </c>
      <c r="AF261" s="8">
        <v>0</v>
      </c>
      <c r="AG261" s="8">
        <v>0</v>
      </c>
      <c r="AH261" s="8">
        <v>0</v>
      </c>
      <c r="AI261" s="7" t="s">
        <v>1736</v>
      </c>
      <c r="AJ261" s="7">
        <f t="shared" ca="1" si="59"/>
        <v>2</v>
      </c>
      <c r="AK261" s="100">
        <f>(+AA261*AB261)/$AB$1103</f>
        <v>0</v>
      </c>
      <c r="AL261" s="97">
        <f>AC261/$AE$1103*AE261</f>
        <v>0</v>
      </c>
    </row>
    <row r="262" spans="1:38" x14ac:dyDescent="0.3">
      <c r="A262" s="7" t="s">
        <v>1924</v>
      </c>
      <c r="B262" s="7" t="s">
        <v>1320</v>
      </c>
      <c r="C262" s="7" t="s">
        <v>1323</v>
      </c>
      <c r="D262" s="7" t="s">
        <v>1792</v>
      </c>
      <c r="E262" s="7" t="s">
        <v>1695</v>
      </c>
      <c r="F262" s="36">
        <v>43221</v>
      </c>
      <c r="G262" s="36">
        <v>44681</v>
      </c>
      <c r="H262" s="36">
        <v>44895</v>
      </c>
      <c r="I262" s="36">
        <v>44895</v>
      </c>
      <c r="J262" s="7" t="s">
        <v>1696</v>
      </c>
      <c r="K262" s="8">
        <v>0</v>
      </c>
      <c r="L262" s="8">
        <v>0</v>
      </c>
      <c r="M262" s="8">
        <v>1481.5663460000001</v>
      </c>
      <c r="N262" s="8">
        <v>0</v>
      </c>
      <c r="O262" s="8">
        <v>0</v>
      </c>
      <c r="P262" s="8">
        <v>0</v>
      </c>
      <c r="Q262" s="8">
        <v>0</v>
      </c>
      <c r="R262" s="8">
        <f t="shared" si="58"/>
        <v>1481.5663460000001</v>
      </c>
      <c r="S262" s="8">
        <v>0</v>
      </c>
      <c r="T262" s="8">
        <v>0</v>
      </c>
      <c r="U262" s="8">
        <v>1481.568</v>
      </c>
      <c r="V262" s="8">
        <v>0</v>
      </c>
      <c r="W262" s="8">
        <v>0</v>
      </c>
      <c r="X262" s="8">
        <v>0</v>
      </c>
      <c r="Y262" s="8">
        <v>0</v>
      </c>
      <c r="Z262" s="8">
        <v>9.2261999999999997E-2</v>
      </c>
      <c r="AA262" s="7">
        <v>0</v>
      </c>
      <c r="AB262" s="8">
        <v>0</v>
      </c>
      <c r="AC262" s="7">
        <v>2.0449999999999999</v>
      </c>
      <c r="AD262" s="7" t="s">
        <v>1226</v>
      </c>
      <c r="AE262" s="8">
        <v>0</v>
      </c>
      <c r="AF262" s="8">
        <v>0</v>
      </c>
      <c r="AG262" s="8">
        <v>0</v>
      </c>
      <c r="AH262" s="8">
        <v>0</v>
      </c>
      <c r="AI262" s="7" t="s">
        <v>1736</v>
      </c>
      <c r="AJ262" s="7">
        <f t="shared" ca="1" si="59"/>
        <v>1</v>
      </c>
      <c r="AK262" s="96">
        <f>(+AA262*AB262)/$AB$1102</f>
        <v>0</v>
      </c>
      <c r="AL262" s="97">
        <f>AC262/$AE$1102*AE262</f>
        <v>0</v>
      </c>
    </row>
    <row r="263" spans="1:38" x14ac:dyDescent="0.3">
      <c r="A263" s="7" t="s">
        <v>1924</v>
      </c>
      <c r="B263" s="7" t="s">
        <v>1320</v>
      </c>
      <c r="C263" s="7" t="s">
        <v>1323</v>
      </c>
      <c r="D263" s="7" t="s">
        <v>1792</v>
      </c>
      <c r="E263" s="7" t="s">
        <v>1695</v>
      </c>
      <c r="F263" s="36">
        <v>43221</v>
      </c>
      <c r="G263" s="36">
        <v>44681</v>
      </c>
      <c r="H263" s="36">
        <v>44895</v>
      </c>
      <c r="I263" s="36">
        <v>44895</v>
      </c>
      <c r="J263" s="7" t="s">
        <v>1699</v>
      </c>
      <c r="K263" s="8">
        <v>0</v>
      </c>
      <c r="L263" s="8">
        <v>0</v>
      </c>
      <c r="M263" s="8">
        <v>0</v>
      </c>
      <c r="N263" s="8">
        <v>2592.59</v>
      </c>
      <c r="O263" s="8">
        <v>0</v>
      </c>
      <c r="P263" s="8">
        <v>0</v>
      </c>
      <c r="Q263" s="8">
        <v>0</v>
      </c>
      <c r="R263" s="8">
        <f t="shared" si="58"/>
        <v>2592.59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7">
        <v>0</v>
      </c>
      <c r="AB263" s="8">
        <v>0</v>
      </c>
      <c r="AC263" s="7">
        <v>2.0449999999999999</v>
      </c>
      <c r="AD263" s="7" t="s">
        <v>1226</v>
      </c>
      <c r="AE263" s="8">
        <v>0</v>
      </c>
      <c r="AF263" s="8">
        <v>0</v>
      </c>
      <c r="AG263" s="8">
        <v>0</v>
      </c>
      <c r="AH263" s="8">
        <v>0</v>
      </c>
      <c r="AI263" s="7" t="s">
        <v>1736</v>
      </c>
      <c r="AJ263" s="7">
        <f t="shared" ca="1" si="59"/>
        <v>2</v>
      </c>
      <c r="AK263" s="100">
        <f>(+AA263*AB263)/$AB$1103</f>
        <v>0</v>
      </c>
      <c r="AL263" s="97">
        <f>AC263/$AE$1103*AE263</f>
        <v>0</v>
      </c>
    </row>
    <row r="264" spans="1:38" x14ac:dyDescent="0.3">
      <c r="A264" s="7" t="s">
        <v>1925</v>
      </c>
      <c r="B264" s="7" t="s">
        <v>1320</v>
      </c>
      <c r="C264" s="7" t="s">
        <v>1323</v>
      </c>
      <c r="D264" s="7" t="s">
        <v>1792</v>
      </c>
      <c r="E264" s="7" t="s">
        <v>1695</v>
      </c>
      <c r="F264" s="36">
        <v>43221</v>
      </c>
      <c r="G264" s="36">
        <v>44681</v>
      </c>
      <c r="J264" s="7" t="s">
        <v>1696</v>
      </c>
      <c r="K264" s="8">
        <v>0</v>
      </c>
      <c r="L264" s="8">
        <v>0</v>
      </c>
      <c r="M264" s="8">
        <v>1481.5663460000001</v>
      </c>
      <c r="N264" s="8">
        <v>0</v>
      </c>
      <c r="O264" s="8">
        <v>0</v>
      </c>
      <c r="P264" s="8">
        <v>0</v>
      </c>
      <c r="Q264" s="8">
        <v>0</v>
      </c>
      <c r="R264" s="8">
        <f t="shared" si="58"/>
        <v>1481.5663460000001</v>
      </c>
      <c r="S264" s="8">
        <v>0</v>
      </c>
      <c r="T264" s="8">
        <v>0</v>
      </c>
      <c r="U264" s="8">
        <v>1481.568</v>
      </c>
      <c r="V264" s="8">
        <v>0</v>
      </c>
      <c r="W264" s="8">
        <v>0</v>
      </c>
      <c r="X264" s="8">
        <v>0</v>
      </c>
      <c r="Y264" s="8">
        <v>0</v>
      </c>
      <c r="Z264" s="8">
        <v>9.2261999999999997E-2</v>
      </c>
      <c r="AA264" s="7">
        <v>0</v>
      </c>
      <c r="AB264" s="8">
        <v>0</v>
      </c>
      <c r="AC264" s="7">
        <v>2.0449999999999999</v>
      </c>
      <c r="AD264" s="7" t="s">
        <v>1226</v>
      </c>
      <c r="AE264" s="8">
        <v>0</v>
      </c>
      <c r="AF264" s="8">
        <v>0</v>
      </c>
      <c r="AG264" s="8">
        <v>0</v>
      </c>
      <c r="AH264" s="8">
        <v>0</v>
      </c>
      <c r="AI264" s="7" t="s">
        <v>1736</v>
      </c>
      <c r="AJ264" s="7">
        <f t="shared" ca="1" si="59"/>
        <v>1</v>
      </c>
      <c r="AK264" s="96">
        <f>(+AA264*AB264)/$AB$1102</f>
        <v>0</v>
      </c>
      <c r="AL264" s="97">
        <f>AC264/$AE$1102*AE264</f>
        <v>0</v>
      </c>
    </row>
    <row r="265" spans="1:38" x14ac:dyDescent="0.3">
      <c r="A265" s="7" t="s">
        <v>1925</v>
      </c>
      <c r="B265" s="7" t="s">
        <v>1320</v>
      </c>
      <c r="C265" s="7" t="s">
        <v>1323</v>
      </c>
      <c r="D265" s="7" t="s">
        <v>1792</v>
      </c>
      <c r="E265" s="7" t="s">
        <v>1695</v>
      </c>
      <c r="F265" s="36">
        <v>43221</v>
      </c>
      <c r="G265" s="36">
        <v>44681</v>
      </c>
      <c r="J265" s="7" t="s">
        <v>1699</v>
      </c>
      <c r="K265" s="8">
        <v>0</v>
      </c>
      <c r="L265" s="8">
        <v>0</v>
      </c>
      <c r="M265" s="8">
        <v>0</v>
      </c>
      <c r="N265" s="8">
        <v>740.74</v>
      </c>
      <c r="O265" s="8">
        <v>0</v>
      </c>
      <c r="P265" s="8">
        <v>0</v>
      </c>
      <c r="Q265" s="8">
        <v>0</v>
      </c>
      <c r="R265" s="8">
        <f t="shared" si="58"/>
        <v>740.74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7">
        <v>0</v>
      </c>
      <c r="AB265" s="8">
        <v>0</v>
      </c>
      <c r="AC265" s="7">
        <v>2.0449999999999999</v>
      </c>
      <c r="AD265" s="7" t="s">
        <v>1226</v>
      </c>
      <c r="AE265" s="8">
        <v>0</v>
      </c>
      <c r="AF265" s="8">
        <v>0</v>
      </c>
      <c r="AG265" s="8">
        <v>0</v>
      </c>
      <c r="AH265" s="8">
        <v>0</v>
      </c>
      <c r="AI265" s="7" t="s">
        <v>1736</v>
      </c>
      <c r="AJ265" s="7">
        <f t="shared" ca="1" si="59"/>
        <v>2</v>
      </c>
      <c r="AK265" s="100">
        <f>(+AA265*AB265)/$AB$1103</f>
        <v>0</v>
      </c>
      <c r="AL265" s="97">
        <f>AC265/$AE$1103*AE265</f>
        <v>0</v>
      </c>
    </row>
    <row r="266" spans="1:38" x14ac:dyDescent="0.3">
      <c r="A266" s="7" t="s">
        <v>1926</v>
      </c>
      <c r="B266" s="7" t="s">
        <v>1320</v>
      </c>
      <c r="C266" s="7" t="s">
        <v>1323</v>
      </c>
      <c r="D266" s="7" t="s">
        <v>1792</v>
      </c>
      <c r="E266" s="7" t="s">
        <v>1695</v>
      </c>
      <c r="F266" s="36">
        <v>44715</v>
      </c>
      <c r="G266" s="36">
        <v>44744</v>
      </c>
      <c r="H266" s="36">
        <v>44895</v>
      </c>
      <c r="I266" s="36">
        <v>44895</v>
      </c>
      <c r="J266" s="7" t="s">
        <v>1696</v>
      </c>
      <c r="K266" s="8">
        <v>0</v>
      </c>
      <c r="L266" s="8">
        <v>0</v>
      </c>
      <c r="M266" s="8">
        <v>1653.341334</v>
      </c>
      <c r="N266" s="8">
        <v>0</v>
      </c>
      <c r="O266" s="8">
        <v>0</v>
      </c>
      <c r="P266" s="8">
        <v>0</v>
      </c>
      <c r="Q266" s="8">
        <v>0</v>
      </c>
      <c r="R266" s="8">
        <f t="shared" si="58"/>
        <v>1653.341334</v>
      </c>
      <c r="S266" s="8">
        <v>0</v>
      </c>
      <c r="T266" s="8">
        <v>0</v>
      </c>
      <c r="U266" s="8">
        <v>1980</v>
      </c>
      <c r="V266" s="8">
        <v>0</v>
      </c>
      <c r="W266" s="8">
        <v>0</v>
      </c>
      <c r="X266" s="8">
        <v>0</v>
      </c>
      <c r="Y266" s="8">
        <v>0</v>
      </c>
      <c r="Z266" s="8">
        <v>1853.0460129999999</v>
      </c>
      <c r="AA266" s="7">
        <v>0</v>
      </c>
      <c r="AB266" s="8">
        <v>0</v>
      </c>
      <c r="AC266" s="7">
        <v>2</v>
      </c>
      <c r="AD266" s="7" t="s">
        <v>1226</v>
      </c>
      <c r="AE266" s="8">
        <v>0</v>
      </c>
      <c r="AF266" s="8">
        <v>0</v>
      </c>
      <c r="AG266" s="8">
        <v>0</v>
      </c>
      <c r="AH266" s="8">
        <v>0</v>
      </c>
      <c r="AI266" s="7" t="s">
        <v>1736</v>
      </c>
      <c r="AJ266" s="7">
        <f t="shared" ca="1" si="59"/>
        <v>1</v>
      </c>
      <c r="AK266" s="96">
        <f t="shared" ref="AK266:AK267" si="60">(+AA266*AB266)/$AB$1102</f>
        <v>0</v>
      </c>
      <c r="AL266" s="97">
        <f t="shared" ref="AL266:AL267" si="61">AC266/$AE$1102*AE266</f>
        <v>0</v>
      </c>
    </row>
    <row r="267" spans="1:38" x14ac:dyDescent="0.3">
      <c r="A267" s="7" t="s">
        <v>1927</v>
      </c>
      <c r="B267" s="7" t="s">
        <v>1320</v>
      </c>
      <c r="C267" s="7" t="s">
        <v>1323</v>
      </c>
      <c r="D267" s="7" t="s">
        <v>1792</v>
      </c>
      <c r="E267" s="7" t="s">
        <v>1695</v>
      </c>
      <c r="F267" s="36">
        <v>43221</v>
      </c>
      <c r="G267" s="36">
        <v>44681</v>
      </c>
      <c r="H267" s="36">
        <v>44895</v>
      </c>
      <c r="I267" s="36">
        <v>44895</v>
      </c>
      <c r="J267" s="7" t="s">
        <v>1696</v>
      </c>
      <c r="K267" s="8">
        <v>0</v>
      </c>
      <c r="L267" s="8">
        <v>0</v>
      </c>
      <c r="M267" s="8">
        <v>1481.5663460000001</v>
      </c>
      <c r="N267" s="8">
        <v>0</v>
      </c>
      <c r="O267" s="8">
        <v>0</v>
      </c>
      <c r="P267" s="8">
        <v>0</v>
      </c>
      <c r="Q267" s="8">
        <v>0</v>
      </c>
      <c r="R267" s="8">
        <f t="shared" si="58"/>
        <v>1481.5663460000001</v>
      </c>
      <c r="S267" s="8">
        <v>0</v>
      </c>
      <c r="T267" s="8">
        <v>0</v>
      </c>
      <c r="U267" s="8">
        <v>1481.568</v>
      </c>
      <c r="V267" s="8">
        <v>0</v>
      </c>
      <c r="W267" s="8">
        <v>0</v>
      </c>
      <c r="X267" s="8">
        <v>0</v>
      </c>
      <c r="Y267" s="8">
        <v>0</v>
      </c>
      <c r="Z267" s="8">
        <v>9.2261999999999997E-2</v>
      </c>
      <c r="AA267" s="7">
        <v>0</v>
      </c>
      <c r="AB267" s="8">
        <v>0</v>
      </c>
      <c r="AC267" s="7">
        <v>2.0449999999999999</v>
      </c>
      <c r="AD267" s="7" t="s">
        <v>1226</v>
      </c>
      <c r="AE267" s="8">
        <v>0</v>
      </c>
      <c r="AF267" s="8">
        <v>0</v>
      </c>
      <c r="AG267" s="8">
        <v>0</v>
      </c>
      <c r="AH267" s="8">
        <v>0</v>
      </c>
      <c r="AI267" s="7" t="s">
        <v>1736</v>
      </c>
      <c r="AJ267" s="7">
        <f t="shared" ca="1" si="59"/>
        <v>1</v>
      </c>
      <c r="AK267" s="96">
        <f t="shared" si="60"/>
        <v>0</v>
      </c>
      <c r="AL267" s="97">
        <f t="shared" si="61"/>
        <v>0</v>
      </c>
    </row>
    <row r="268" spans="1:38" x14ac:dyDescent="0.3">
      <c r="A268" s="7" t="s">
        <v>1927</v>
      </c>
      <c r="B268" s="7" t="s">
        <v>1320</v>
      </c>
      <c r="C268" s="7" t="s">
        <v>1323</v>
      </c>
      <c r="D268" s="7" t="s">
        <v>1792</v>
      </c>
      <c r="E268" s="7" t="s">
        <v>1695</v>
      </c>
      <c r="F268" s="36">
        <v>43221</v>
      </c>
      <c r="G268" s="36">
        <v>44681</v>
      </c>
      <c r="H268" s="36">
        <v>44895</v>
      </c>
      <c r="I268" s="36">
        <v>44895</v>
      </c>
      <c r="J268" s="7" t="s">
        <v>1699</v>
      </c>
      <c r="K268" s="8">
        <v>0</v>
      </c>
      <c r="L268" s="8">
        <v>0</v>
      </c>
      <c r="M268" s="8">
        <v>0</v>
      </c>
      <c r="N268" s="8">
        <v>2592.59</v>
      </c>
      <c r="O268" s="8">
        <v>0</v>
      </c>
      <c r="P268" s="8">
        <v>0</v>
      </c>
      <c r="Q268" s="8">
        <v>0</v>
      </c>
      <c r="R268" s="8">
        <f t="shared" si="58"/>
        <v>2592.59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7">
        <v>0</v>
      </c>
      <c r="AB268" s="8">
        <v>0</v>
      </c>
      <c r="AC268" s="7">
        <v>2.0449999999999999</v>
      </c>
      <c r="AD268" s="7" t="s">
        <v>1226</v>
      </c>
      <c r="AE268" s="8">
        <v>0</v>
      </c>
      <c r="AF268" s="8">
        <v>0</v>
      </c>
      <c r="AG268" s="8">
        <v>0</v>
      </c>
      <c r="AH268" s="8">
        <v>0</v>
      </c>
      <c r="AI268" s="7" t="s">
        <v>1736</v>
      </c>
      <c r="AJ268" s="7">
        <f t="shared" ca="1" si="59"/>
        <v>2</v>
      </c>
      <c r="AK268" s="100">
        <f>(+AA268*AB268)/$AB$1103</f>
        <v>0</v>
      </c>
      <c r="AL268" s="97">
        <f>AC268/$AE$1103*AE268</f>
        <v>0</v>
      </c>
    </row>
    <row r="269" spans="1:38" x14ac:dyDescent="0.3">
      <c r="A269" s="7" t="s">
        <v>1928</v>
      </c>
      <c r="B269" s="7" t="s">
        <v>1320</v>
      </c>
      <c r="C269" s="7" t="s">
        <v>1323</v>
      </c>
      <c r="D269" s="7" t="s">
        <v>1792</v>
      </c>
      <c r="E269" s="7" t="s">
        <v>1695</v>
      </c>
      <c r="F269" s="36">
        <v>43221</v>
      </c>
      <c r="G269" s="36">
        <v>44681</v>
      </c>
      <c r="H269" s="36">
        <v>44895</v>
      </c>
      <c r="I269" s="36">
        <v>44895</v>
      </c>
      <c r="J269" s="7" t="s">
        <v>1696</v>
      </c>
      <c r="K269" s="8">
        <v>0</v>
      </c>
      <c r="L269" s="8">
        <v>0</v>
      </c>
      <c r="M269" s="8">
        <v>1481.5663460000001</v>
      </c>
      <c r="N269" s="8">
        <v>0</v>
      </c>
      <c r="O269" s="8">
        <v>0</v>
      </c>
      <c r="P269" s="8">
        <v>0</v>
      </c>
      <c r="Q269" s="8">
        <v>0</v>
      </c>
      <c r="R269" s="8">
        <f t="shared" si="58"/>
        <v>1481.5663460000001</v>
      </c>
      <c r="S269" s="8">
        <v>0</v>
      </c>
      <c r="T269" s="8">
        <v>0</v>
      </c>
      <c r="U269" s="8">
        <v>1481.568</v>
      </c>
      <c r="V269" s="8">
        <v>0</v>
      </c>
      <c r="W269" s="8">
        <v>0</v>
      </c>
      <c r="X269" s="8">
        <v>0</v>
      </c>
      <c r="Y269" s="8">
        <v>0</v>
      </c>
      <c r="Z269" s="8">
        <v>9.2261999999999997E-2</v>
      </c>
      <c r="AA269" s="7">
        <v>0</v>
      </c>
      <c r="AB269" s="8">
        <v>0</v>
      </c>
      <c r="AC269" s="7">
        <v>2.0449999999999999</v>
      </c>
      <c r="AD269" s="7" t="s">
        <v>1226</v>
      </c>
      <c r="AE269" s="8">
        <v>0</v>
      </c>
      <c r="AF269" s="8">
        <v>0</v>
      </c>
      <c r="AG269" s="8">
        <v>0</v>
      </c>
      <c r="AH269" s="8">
        <v>0</v>
      </c>
      <c r="AI269" s="7" t="s">
        <v>1736</v>
      </c>
      <c r="AJ269" s="7">
        <f t="shared" ca="1" si="59"/>
        <v>1</v>
      </c>
      <c r="AK269" s="96">
        <f>(+AA269*AB269)/$AB$1102</f>
        <v>0</v>
      </c>
      <c r="AL269" s="97">
        <f>AC269/$AE$1102*AE269</f>
        <v>0</v>
      </c>
    </row>
    <row r="270" spans="1:38" x14ac:dyDescent="0.3">
      <c r="A270" s="7" t="s">
        <v>1928</v>
      </c>
      <c r="B270" s="7" t="s">
        <v>1320</v>
      </c>
      <c r="C270" s="7" t="s">
        <v>1323</v>
      </c>
      <c r="D270" s="7" t="s">
        <v>1792</v>
      </c>
      <c r="E270" s="7" t="s">
        <v>1695</v>
      </c>
      <c r="F270" s="36">
        <v>43221</v>
      </c>
      <c r="G270" s="36">
        <v>44681</v>
      </c>
      <c r="H270" s="36">
        <v>44895</v>
      </c>
      <c r="I270" s="36">
        <v>44895</v>
      </c>
      <c r="J270" s="7" t="s">
        <v>1699</v>
      </c>
      <c r="K270" s="8">
        <v>0</v>
      </c>
      <c r="L270" s="8">
        <v>0</v>
      </c>
      <c r="M270" s="8">
        <v>0</v>
      </c>
      <c r="N270" s="8">
        <v>2592.59</v>
      </c>
      <c r="O270" s="8">
        <v>0</v>
      </c>
      <c r="P270" s="8">
        <v>0</v>
      </c>
      <c r="Q270" s="8">
        <v>0</v>
      </c>
      <c r="R270" s="8">
        <f t="shared" si="58"/>
        <v>2592.59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7">
        <v>0</v>
      </c>
      <c r="AB270" s="8">
        <v>0</v>
      </c>
      <c r="AC270" s="7">
        <v>2.0449999999999999</v>
      </c>
      <c r="AD270" s="7" t="s">
        <v>1226</v>
      </c>
      <c r="AE270" s="8">
        <v>0</v>
      </c>
      <c r="AF270" s="8">
        <v>0</v>
      </c>
      <c r="AG270" s="8">
        <v>0</v>
      </c>
      <c r="AH270" s="8">
        <v>0</v>
      </c>
      <c r="AI270" s="7" t="s">
        <v>1736</v>
      </c>
      <c r="AJ270" s="7">
        <f t="shared" ca="1" si="59"/>
        <v>2</v>
      </c>
      <c r="AK270" s="100">
        <f>(+AA270*AB270)/$AB$1103</f>
        <v>0</v>
      </c>
      <c r="AL270" s="97">
        <f>AC270/$AE$1103*AE270</f>
        <v>0</v>
      </c>
    </row>
    <row r="271" spans="1:38" x14ac:dyDescent="0.3">
      <c r="A271" s="7" t="s">
        <v>1929</v>
      </c>
      <c r="B271" s="7" t="s">
        <v>1320</v>
      </c>
      <c r="C271" s="7" t="s">
        <v>1323</v>
      </c>
      <c r="D271" s="7" t="s">
        <v>1792</v>
      </c>
      <c r="E271" s="7" t="s">
        <v>1695</v>
      </c>
      <c r="F271" s="36">
        <v>43221</v>
      </c>
      <c r="G271" s="36">
        <v>44681</v>
      </c>
      <c r="H271" s="36">
        <v>44895</v>
      </c>
      <c r="I271" s="36">
        <v>44895</v>
      </c>
      <c r="J271" s="7" t="s">
        <v>1696</v>
      </c>
      <c r="K271" s="8">
        <v>0</v>
      </c>
      <c r="L271" s="8">
        <v>0</v>
      </c>
      <c r="M271" s="8">
        <v>1481.5663460000001</v>
      </c>
      <c r="N271" s="8">
        <v>0</v>
      </c>
      <c r="O271" s="8">
        <v>0</v>
      </c>
      <c r="P271" s="8">
        <v>0</v>
      </c>
      <c r="Q271" s="8">
        <v>0</v>
      </c>
      <c r="R271" s="8">
        <f t="shared" si="58"/>
        <v>1481.5663460000001</v>
      </c>
      <c r="S271" s="8">
        <v>0</v>
      </c>
      <c r="T271" s="8">
        <v>0</v>
      </c>
      <c r="U271" s="8">
        <v>1481.568</v>
      </c>
      <c r="V271" s="8">
        <v>0</v>
      </c>
      <c r="W271" s="8">
        <v>0</v>
      </c>
      <c r="X271" s="8">
        <v>0</v>
      </c>
      <c r="Y271" s="8">
        <v>0</v>
      </c>
      <c r="Z271" s="8">
        <v>9.2261999999999997E-2</v>
      </c>
      <c r="AA271" s="7">
        <v>0</v>
      </c>
      <c r="AB271" s="8">
        <v>0</v>
      </c>
      <c r="AC271" s="7">
        <v>2.0449999999999999</v>
      </c>
      <c r="AD271" s="7" t="s">
        <v>1226</v>
      </c>
      <c r="AE271" s="8">
        <v>0</v>
      </c>
      <c r="AF271" s="8">
        <v>0</v>
      </c>
      <c r="AG271" s="8">
        <v>0</v>
      </c>
      <c r="AH271" s="8">
        <v>0</v>
      </c>
      <c r="AI271" s="7" t="s">
        <v>1736</v>
      </c>
      <c r="AJ271" s="7">
        <f t="shared" ca="1" si="59"/>
        <v>1</v>
      </c>
      <c r="AK271" s="96">
        <f>(+AA271*AB271)/$AB$1102</f>
        <v>0</v>
      </c>
      <c r="AL271" s="97">
        <f>AC271/$AE$1102*AE271</f>
        <v>0</v>
      </c>
    </row>
    <row r="272" spans="1:38" x14ac:dyDescent="0.3">
      <c r="A272" s="7" t="s">
        <v>1929</v>
      </c>
      <c r="B272" s="7" t="s">
        <v>1320</v>
      </c>
      <c r="C272" s="7" t="s">
        <v>1323</v>
      </c>
      <c r="D272" s="7" t="s">
        <v>1792</v>
      </c>
      <c r="E272" s="7" t="s">
        <v>1695</v>
      </c>
      <c r="F272" s="36">
        <v>43221</v>
      </c>
      <c r="G272" s="36">
        <v>44681</v>
      </c>
      <c r="H272" s="36">
        <v>44895</v>
      </c>
      <c r="I272" s="36">
        <v>44895</v>
      </c>
      <c r="J272" s="7" t="s">
        <v>1699</v>
      </c>
      <c r="K272" s="8">
        <v>0</v>
      </c>
      <c r="L272" s="8">
        <v>0</v>
      </c>
      <c r="M272" s="8">
        <v>0</v>
      </c>
      <c r="N272" s="8">
        <v>2592.59</v>
      </c>
      <c r="O272" s="8">
        <v>0</v>
      </c>
      <c r="P272" s="8">
        <v>0</v>
      </c>
      <c r="Q272" s="8">
        <v>0</v>
      </c>
      <c r="R272" s="8">
        <f t="shared" si="58"/>
        <v>2592.59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7">
        <v>0</v>
      </c>
      <c r="AB272" s="8">
        <v>0</v>
      </c>
      <c r="AC272" s="7">
        <v>2.0449999999999999</v>
      </c>
      <c r="AD272" s="7" t="s">
        <v>1226</v>
      </c>
      <c r="AE272" s="8">
        <v>0</v>
      </c>
      <c r="AF272" s="8">
        <v>0</v>
      </c>
      <c r="AG272" s="8">
        <v>0</v>
      </c>
      <c r="AH272" s="8">
        <v>0</v>
      </c>
      <c r="AI272" s="7" t="s">
        <v>1736</v>
      </c>
      <c r="AJ272" s="7">
        <f t="shared" ca="1" si="59"/>
        <v>2</v>
      </c>
      <c r="AK272" s="100">
        <f>(+AA272*AB272)/$AB$1103</f>
        <v>0</v>
      </c>
      <c r="AL272" s="97">
        <f>AC272/$AE$1103*AE272</f>
        <v>0</v>
      </c>
    </row>
    <row r="273" spans="1:38" x14ac:dyDescent="0.3">
      <c r="A273" s="7" t="s">
        <v>1930</v>
      </c>
      <c r="B273" s="7" t="s">
        <v>1320</v>
      </c>
      <c r="C273" s="7" t="s">
        <v>1323</v>
      </c>
      <c r="D273" s="7" t="s">
        <v>1792</v>
      </c>
      <c r="E273" s="7" t="s">
        <v>1695</v>
      </c>
      <c r="F273" s="36">
        <v>43221</v>
      </c>
      <c r="G273" s="36">
        <v>44681</v>
      </c>
      <c r="H273" s="36">
        <v>44895</v>
      </c>
      <c r="I273" s="36">
        <v>44895</v>
      </c>
      <c r="J273" s="7" t="s">
        <v>1696</v>
      </c>
      <c r="K273" s="8">
        <v>0</v>
      </c>
      <c r="L273" s="8">
        <v>0</v>
      </c>
      <c r="M273" s="8">
        <v>1481.5663460000001</v>
      </c>
      <c r="N273" s="8">
        <v>0</v>
      </c>
      <c r="O273" s="8">
        <v>0</v>
      </c>
      <c r="P273" s="8">
        <v>0</v>
      </c>
      <c r="Q273" s="8">
        <v>0</v>
      </c>
      <c r="R273" s="8">
        <f t="shared" si="58"/>
        <v>1481.5663460000001</v>
      </c>
      <c r="S273" s="8">
        <v>0</v>
      </c>
      <c r="T273" s="8">
        <v>0</v>
      </c>
      <c r="U273" s="8">
        <v>1481.568</v>
      </c>
      <c r="V273" s="8">
        <v>0</v>
      </c>
      <c r="W273" s="8">
        <v>0</v>
      </c>
      <c r="X273" s="8">
        <v>0</v>
      </c>
      <c r="Y273" s="8">
        <v>0</v>
      </c>
      <c r="Z273" s="8">
        <v>9.2261999999999997E-2</v>
      </c>
      <c r="AA273" s="7">
        <v>0</v>
      </c>
      <c r="AB273" s="8">
        <v>0</v>
      </c>
      <c r="AC273" s="7">
        <v>2.0449999999999999</v>
      </c>
      <c r="AD273" s="7" t="s">
        <v>1226</v>
      </c>
      <c r="AE273" s="8">
        <v>0</v>
      </c>
      <c r="AF273" s="8">
        <v>0</v>
      </c>
      <c r="AG273" s="8">
        <v>0</v>
      </c>
      <c r="AH273" s="8">
        <v>0</v>
      </c>
      <c r="AI273" s="7" t="s">
        <v>1736</v>
      </c>
      <c r="AJ273" s="7">
        <f t="shared" ca="1" si="59"/>
        <v>1</v>
      </c>
      <c r="AK273" s="96">
        <f>(+AA273*AB273)/$AB$1102</f>
        <v>0</v>
      </c>
      <c r="AL273" s="97">
        <f>AC273/$AE$1102*AE273</f>
        <v>0</v>
      </c>
    </row>
    <row r="274" spans="1:38" x14ac:dyDescent="0.3">
      <c r="A274" s="7" t="s">
        <v>1930</v>
      </c>
      <c r="B274" s="7" t="s">
        <v>1320</v>
      </c>
      <c r="C274" s="7" t="s">
        <v>1323</v>
      </c>
      <c r="D274" s="7" t="s">
        <v>1792</v>
      </c>
      <c r="E274" s="7" t="s">
        <v>1695</v>
      </c>
      <c r="F274" s="36">
        <v>43221</v>
      </c>
      <c r="G274" s="36">
        <v>44681</v>
      </c>
      <c r="H274" s="36">
        <v>44895</v>
      </c>
      <c r="I274" s="36">
        <v>44895</v>
      </c>
      <c r="J274" s="7" t="s">
        <v>1699</v>
      </c>
      <c r="K274" s="8">
        <v>0</v>
      </c>
      <c r="L274" s="8">
        <v>0</v>
      </c>
      <c r="M274" s="8">
        <v>0</v>
      </c>
      <c r="N274" s="8">
        <v>2592.59</v>
      </c>
      <c r="O274" s="8">
        <v>0</v>
      </c>
      <c r="P274" s="8">
        <v>0</v>
      </c>
      <c r="Q274" s="8">
        <v>0</v>
      </c>
      <c r="R274" s="8">
        <f t="shared" si="58"/>
        <v>2592.59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7">
        <v>0</v>
      </c>
      <c r="AB274" s="8">
        <v>0</v>
      </c>
      <c r="AC274" s="7">
        <v>2.0449999999999999</v>
      </c>
      <c r="AD274" s="7" t="s">
        <v>1226</v>
      </c>
      <c r="AE274" s="8">
        <v>0</v>
      </c>
      <c r="AF274" s="8">
        <v>0</v>
      </c>
      <c r="AG274" s="8">
        <v>0</v>
      </c>
      <c r="AH274" s="8">
        <v>0</v>
      </c>
      <c r="AI274" s="7" t="s">
        <v>1736</v>
      </c>
      <c r="AJ274" s="7">
        <f t="shared" ca="1" si="59"/>
        <v>2</v>
      </c>
      <c r="AK274" s="100">
        <f>(+AA274*AB274)/$AB$1103</f>
        <v>0</v>
      </c>
      <c r="AL274" s="97">
        <f>AC274/$AE$1103*AE274</f>
        <v>0</v>
      </c>
    </row>
    <row r="275" spans="1:38" x14ac:dyDescent="0.3">
      <c r="A275" s="7" t="s">
        <v>1931</v>
      </c>
      <c r="B275" s="7" t="s">
        <v>1320</v>
      </c>
      <c r="C275" s="7" t="s">
        <v>1323</v>
      </c>
      <c r="D275" s="7" t="s">
        <v>1792</v>
      </c>
      <c r="E275" s="7" t="s">
        <v>1695</v>
      </c>
      <c r="F275" s="36">
        <v>43221</v>
      </c>
      <c r="G275" s="36">
        <v>44681</v>
      </c>
      <c r="H275" s="36">
        <v>44895</v>
      </c>
      <c r="I275" s="36">
        <v>44895</v>
      </c>
      <c r="J275" s="7" t="s">
        <v>1696</v>
      </c>
      <c r="K275" s="8">
        <v>0</v>
      </c>
      <c r="L275" s="8">
        <v>0</v>
      </c>
      <c r="M275" s="8">
        <v>1481.5663460000001</v>
      </c>
      <c r="N275" s="8">
        <v>0</v>
      </c>
      <c r="O275" s="8">
        <v>0</v>
      </c>
      <c r="P275" s="8">
        <v>0</v>
      </c>
      <c r="Q275" s="8">
        <v>0</v>
      </c>
      <c r="R275" s="8">
        <f t="shared" si="58"/>
        <v>1481.5663460000001</v>
      </c>
      <c r="S275" s="8">
        <v>0</v>
      </c>
      <c r="T275" s="8">
        <v>0</v>
      </c>
      <c r="U275" s="8">
        <v>1481.568</v>
      </c>
      <c r="V275" s="8">
        <v>0</v>
      </c>
      <c r="W275" s="8">
        <v>0</v>
      </c>
      <c r="X275" s="8">
        <v>0</v>
      </c>
      <c r="Y275" s="8">
        <v>0</v>
      </c>
      <c r="Z275" s="8">
        <v>9.2261999999999997E-2</v>
      </c>
      <c r="AA275" s="7">
        <v>0</v>
      </c>
      <c r="AB275" s="8">
        <v>0</v>
      </c>
      <c r="AC275" s="7">
        <v>2.0449999999999999</v>
      </c>
      <c r="AD275" s="7" t="s">
        <v>1226</v>
      </c>
      <c r="AE275" s="8">
        <v>0</v>
      </c>
      <c r="AF275" s="8">
        <v>0</v>
      </c>
      <c r="AG275" s="8">
        <v>0</v>
      </c>
      <c r="AH275" s="8">
        <v>0</v>
      </c>
      <c r="AI275" s="7" t="s">
        <v>1736</v>
      </c>
      <c r="AJ275" s="7">
        <f t="shared" ca="1" si="59"/>
        <v>1</v>
      </c>
      <c r="AK275" s="96">
        <f>(+AA275*AB275)/$AB$1102</f>
        <v>0</v>
      </c>
      <c r="AL275" s="97">
        <f>AC275/$AE$1102*AE275</f>
        <v>0</v>
      </c>
    </row>
    <row r="276" spans="1:38" x14ac:dyDescent="0.3">
      <c r="A276" s="7" t="s">
        <v>1931</v>
      </c>
      <c r="B276" s="7" t="s">
        <v>1320</v>
      </c>
      <c r="C276" s="7" t="s">
        <v>1323</v>
      </c>
      <c r="D276" s="7" t="s">
        <v>1792</v>
      </c>
      <c r="E276" s="7" t="s">
        <v>1695</v>
      </c>
      <c r="F276" s="36">
        <v>43221</v>
      </c>
      <c r="G276" s="36">
        <v>44681</v>
      </c>
      <c r="H276" s="36">
        <v>44895</v>
      </c>
      <c r="I276" s="36">
        <v>44895</v>
      </c>
      <c r="J276" s="7" t="s">
        <v>1699</v>
      </c>
      <c r="K276" s="8">
        <v>0</v>
      </c>
      <c r="L276" s="8">
        <v>0</v>
      </c>
      <c r="M276" s="8">
        <v>0</v>
      </c>
      <c r="N276" s="8">
        <v>2592.59</v>
      </c>
      <c r="O276" s="8">
        <v>0</v>
      </c>
      <c r="P276" s="8">
        <v>0</v>
      </c>
      <c r="Q276" s="8">
        <v>0</v>
      </c>
      <c r="R276" s="8">
        <f t="shared" si="58"/>
        <v>2592.59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7">
        <v>0</v>
      </c>
      <c r="AB276" s="8">
        <v>0</v>
      </c>
      <c r="AC276" s="7">
        <v>2.0449999999999999</v>
      </c>
      <c r="AD276" s="7" t="s">
        <v>1226</v>
      </c>
      <c r="AE276" s="8">
        <v>0</v>
      </c>
      <c r="AF276" s="8">
        <v>0</v>
      </c>
      <c r="AG276" s="8">
        <v>0</v>
      </c>
      <c r="AH276" s="8">
        <v>0</v>
      </c>
      <c r="AI276" s="7" t="s">
        <v>1736</v>
      </c>
      <c r="AJ276" s="7">
        <f t="shared" ca="1" si="59"/>
        <v>2</v>
      </c>
      <c r="AK276" s="100">
        <f>(+AA276*AB276)/$AB$1103</f>
        <v>0</v>
      </c>
      <c r="AL276" s="97">
        <f>AC276/$AE$1103*AE276</f>
        <v>0</v>
      </c>
    </row>
    <row r="277" spans="1:38" x14ac:dyDescent="0.3">
      <c r="A277" s="7" t="s">
        <v>1932</v>
      </c>
      <c r="B277" s="7" t="s">
        <v>194</v>
      </c>
      <c r="C277" s="7" t="s">
        <v>1323</v>
      </c>
      <c r="D277" s="7" t="s">
        <v>1852</v>
      </c>
      <c r="E277" s="7" t="s">
        <v>1322</v>
      </c>
      <c r="F277" s="36">
        <v>44287</v>
      </c>
      <c r="G277" s="36">
        <v>45382</v>
      </c>
      <c r="H277" s="36">
        <v>45382</v>
      </c>
      <c r="I277" s="36">
        <v>45382</v>
      </c>
      <c r="J277" s="7" t="s">
        <v>1239</v>
      </c>
      <c r="K277" s="8">
        <v>542923.09156800003</v>
      </c>
      <c r="L277" s="8">
        <v>67333.608901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f t="shared" si="58"/>
        <v>610256.70046900003</v>
      </c>
      <c r="S277" s="8">
        <v>0</v>
      </c>
      <c r="T277" s="8">
        <v>70422.809181000004</v>
      </c>
      <c r="U277" s="8">
        <v>0</v>
      </c>
      <c r="V277" s="8">
        <v>529577.19081900001</v>
      </c>
      <c r="W277" s="8">
        <v>0</v>
      </c>
      <c r="X277" s="8">
        <v>0</v>
      </c>
      <c r="Y277" s="8">
        <v>0</v>
      </c>
      <c r="Z277" s="8">
        <v>0</v>
      </c>
      <c r="AA277" s="7">
        <v>1.249315</v>
      </c>
      <c r="AB277" s="8">
        <v>716127.23498399998</v>
      </c>
      <c r="AC277" s="7">
        <v>7</v>
      </c>
      <c r="AD277" s="7" t="s">
        <v>1226</v>
      </c>
      <c r="AE277" s="8">
        <v>750000</v>
      </c>
      <c r="AF277" s="8">
        <v>0</v>
      </c>
      <c r="AG277" s="8">
        <v>750000</v>
      </c>
      <c r="AH277" s="8">
        <v>0</v>
      </c>
      <c r="AI277" s="7" t="s">
        <v>1781</v>
      </c>
      <c r="AJ277" s="7">
        <f t="shared" ca="1" si="59"/>
        <v>1</v>
      </c>
      <c r="AK277" s="96">
        <f t="shared" ref="AK277:AK292" si="62">(+AA277*AB277)/$AB$1101</f>
        <v>5.993420467107961E-3</v>
      </c>
      <c r="AL277" s="97">
        <f t="shared" ref="AL277:AL292" si="63">AC277/$AE$1101*AE277</f>
        <v>3.3374433046437509E-2</v>
      </c>
    </row>
    <row r="278" spans="1:38" x14ac:dyDescent="0.3">
      <c r="A278" s="7" t="s">
        <v>1933</v>
      </c>
      <c r="B278" s="7" t="s">
        <v>194</v>
      </c>
      <c r="C278" s="7" t="s">
        <v>1323</v>
      </c>
      <c r="D278" s="7" t="s">
        <v>1852</v>
      </c>
      <c r="E278" s="7" t="s">
        <v>1322</v>
      </c>
      <c r="F278" s="36">
        <v>44287</v>
      </c>
      <c r="G278" s="36">
        <v>45382</v>
      </c>
      <c r="H278" s="36">
        <v>45382</v>
      </c>
      <c r="I278" s="36">
        <v>45382</v>
      </c>
      <c r="J278" s="7" t="s">
        <v>1239</v>
      </c>
      <c r="K278" s="8">
        <v>542923.09156800003</v>
      </c>
      <c r="L278" s="8">
        <v>67333.608901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f t="shared" si="58"/>
        <v>610256.70046900003</v>
      </c>
      <c r="S278" s="8">
        <v>0</v>
      </c>
      <c r="T278" s="8">
        <v>70422.809181000004</v>
      </c>
      <c r="U278" s="8">
        <v>0</v>
      </c>
      <c r="V278" s="8">
        <v>529577.19081900001</v>
      </c>
      <c r="W278" s="8">
        <v>0</v>
      </c>
      <c r="X278" s="8">
        <v>0</v>
      </c>
      <c r="Y278" s="8">
        <v>0</v>
      </c>
      <c r="Z278" s="8">
        <v>0</v>
      </c>
      <c r="AA278" s="7">
        <v>1.249315</v>
      </c>
      <c r="AB278" s="8">
        <v>716127.23498399998</v>
      </c>
      <c r="AC278" s="7">
        <v>7</v>
      </c>
      <c r="AD278" s="7" t="s">
        <v>1226</v>
      </c>
      <c r="AE278" s="8">
        <v>750000</v>
      </c>
      <c r="AF278" s="8">
        <v>0</v>
      </c>
      <c r="AG278" s="8">
        <v>750000</v>
      </c>
      <c r="AH278" s="8">
        <v>0</v>
      </c>
      <c r="AI278" s="7" t="s">
        <v>1781</v>
      </c>
      <c r="AJ278" s="7">
        <f t="shared" ca="1" si="59"/>
        <v>1</v>
      </c>
      <c r="AK278" s="96">
        <f t="shared" si="62"/>
        <v>5.993420467107961E-3</v>
      </c>
      <c r="AL278" s="97">
        <f t="shared" si="63"/>
        <v>3.3374433046437509E-2</v>
      </c>
    </row>
    <row r="279" spans="1:38" x14ac:dyDescent="0.3">
      <c r="A279" s="7" t="s">
        <v>1934</v>
      </c>
      <c r="B279" s="7" t="s">
        <v>194</v>
      </c>
      <c r="C279" s="7" t="s">
        <v>1432</v>
      </c>
      <c r="D279" s="7" t="s">
        <v>1324</v>
      </c>
      <c r="E279" s="7" t="s">
        <v>1695</v>
      </c>
      <c r="F279" s="36">
        <v>43466</v>
      </c>
      <c r="G279" s="36">
        <v>44561</v>
      </c>
      <c r="H279" s="36">
        <v>44895</v>
      </c>
      <c r="I279" s="36">
        <v>44895</v>
      </c>
      <c r="J279" s="7" t="s">
        <v>1239</v>
      </c>
      <c r="K279" s="8">
        <v>6819.9475050000001</v>
      </c>
      <c r="L279" s="8">
        <v>41.764691999999997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f t="shared" si="58"/>
        <v>6861.7121969999998</v>
      </c>
      <c r="S279" s="8">
        <v>0</v>
      </c>
      <c r="T279" s="8">
        <v>52.746160000000003</v>
      </c>
      <c r="U279" s="8">
        <v>0</v>
      </c>
      <c r="V279" s="8">
        <v>8347.2538399999994</v>
      </c>
      <c r="W279" s="8">
        <v>0</v>
      </c>
      <c r="X279" s="8">
        <v>0</v>
      </c>
      <c r="Y279" s="8">
        <v>0</v>
      </c>
      <c r="Z279" s="8">
        <v>-2472.5520929999998</v>
      </c>
      <c r="AA279" s="7">
        <v>0</v>
      </c>
      <c r="AB279" s="8">
        <v>0</v>
      </c>
      <c r="AC279" s="7">
        <v>1.5760000000000001</v>
      </c>
      <c r="AD279" s="7" t="s">
        <v>1697</v>
      </c>
      <c r="AE279" s="8">
        <v>0</v>
      </c>
      <c r="AF279" s="8">
        <v>0</v>
      </c>
      <c r="AG279" s="8">
        <v>0</v>
      </c>
      <c r="AH279" s="8">
        <v>0</v>
      </c>
      <c r="AI279" s="7" t="s">
        <v>1781</v>
      </c>
      <c r="AJ279" s="7">
        <f t="shared" ca="1" si="59"/>
        <v>1</v>
      </c>
      <c r="AK279" s="96">
        <f t="shared" si="62"/>
        <v>0</v>
      </c>
      <c r="AL279" s="97">
        <f t="shared" si="63"/>
        <v>0</v>
      </c>
    </row>
    <row r="280" spans="1:38" x14ac:dyDescent="0.3">
      <c r="A280" s="7" t="s">
        <v>1934</v>
      </c>
      <c r="B280" s="7" t="s">
        <v>194</v>
      </c>
      <c r="C280" s="7" t="s">
        <v>1432</v>
      </c>
      <c r="D280" s="7" t="s">
        <v>1324</v>
      </c>
      <c r="E280" s="7" t="s">
        <v>1695</v>
      </c>
      <c r="F280" s="36">
        <v>43466</v>
      </c>
      <c r="G280" s="36">
        <v>44561</v>
      </c>
      <c r="H280" s="36">
        <v>44895</v>
      </c>
      <c r="I280" s="36">
        <v>44895</v>
      </c>
      <c r="J280" s="7" t="s">
        <v>1699</v>
      </c>
      <c r="K280" s="8">
        <v>0</v>
      </c>
      <c r="L280" s="8">
        <v>0</v>
      </c>
      <c r="M280" s="8">
        <v>0</v>
      </c>
      <c r="N280" s="8">
        <v>7000</v>
      </c>
      <c r="O280" s="8">
        <v>0</v>
      </c>
      <c r="P280" s="8">
        <v>0</v>
      </c>
      <c r="Q280" s="8">
        <v>0</v>
      </c>
      <c r="R280" s="8">
        <f t="shared" si="58"/>
        <v>7000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7">
        <v>0</v>
      </c>
      <c r="AB280" s="8">
        <v>0</v>
      </c>
      <c r="AC280" s="7">
        <v>1.5760000000000001</v>
      </c>
      <c r="AD280" s="7" t="s">
        <v>1697</v>
      </c>
      <c r="AE280" s="8">
        <v>0</v>
      </c>
      <c r="AF280" s="8">
        <v>0</v>
      </c>
      <c r="AG280" s="8">
        <v>0</v>
      </c>
      <c r="AH280" s="8">
        <v>0</v>
      </c>
      <c r="AI280" s="7" t="s">
        <v>1781</v>
      </c>
      <c r="AJ280" s="7">
        <f t="shared" ca="1" si="59"/>
        <v>2</v>
      </c>
      <c r="AK280" s="100">
        <f>(+AA280*AB280)/$AB$1103</f>
        <v>0</v>
      </c>
      <c r="AL280" s="97">
        <f>AC280/$AE$1103*AE280</f>
        <v>0</v>
      </c>
    </row>
    <row r="281" spans="1:38" x14ac:dyDescent="0.3">
      <c r="A281" s="7" t="s">
        <v>1935</v>
      </c>
      <c r="B281" s="7" t="s">
        <v>194</v>
      </c>
      <c r="C281" s="7" t="s">
        <v>1432</v>
      </c>
      <c r="D281" s="7" t="s">
        <v>1324</v>
      </c>
      <c r="E281" s="7" t="s">
        <v>1322</v>
      </c>
      <c r="F281" s="36">
        <v>44252</v>
      </c>
      <c r="G281" s="36">
        <v>45346</v>
      </c>
      <c r="H281" s="36">
        <v>45346</v>
      </c>
      <c r="I281" s="36">
        <v>46501</v>
      </c>
      <c r="J281" s="7" t="s">
        <v>1696</v>
      </c>
      <c r="K281" s="8">
        <v>0</v>
      </c>
      <c r="L281" s="8">
        <v>0</v>
      </c>
      <c r="M281" s="8">
        <v>9000</v>
      </c>
      <c r="N281" s="8">
        <v>0</v>
      </c>
      <c r="O281" s="8">
        <v>0</v>
      </c>
      <c r="P281" s="8">
        <v>-599.99999700000001</v>
      </c>
      <c r="Q281" s="8">
        <v>0</v>
      </c>
      <c r="R281" s="8">
        <f t="shared" si="58"/>
        <v>8400.0000029999992</v>
      </c>
      <c r="S281" s="8">
        <v>0</v>
      </c>
      <c r="T281" s="8">
        <v>0</v>
      </c>
      <c r="U281" s="8">
        <v>9000</v>
      </c>
      <c r="V281" s="8">
        <v>0</v>
      </c>
      <c r="W281" s="8">
        <v>-600.00001199999997</v>
      </c>
      <c r="X281" s="8">
        <v>0</v>
      </c>
      <c r="Y281" s="8">
        <v>0</v>
      </c>
      <c r="Z281" s="8">
        <v>0</v>
      </c>
      <c r="AA281" s="7">
        <v>4.3150680000000001</v>
      </c>
      <c r="AB281" s="8">
        <v>36390.975941999997</v>
      </c>
      <c r="AC281" s="7">
        <v>2.3411110000000002</v>
      </c>
      <c r="AD281" s="7" t="s">
        <v>1226</v>
      </c>
      <c r="AE281" s="8">
        <v>38250</v>
      </c>
      <c r="AF281" s="8">
        <v>0</v>
      </c>
      <c r="AG281" s="8">
        <v>38250</v>
      </c>
      <c r="AH281" s="8">
        <v>-2550.000051</v>
      </c>
      <c r="AI281" s="7" t="s">
        <v>1760</v>
      </c>
      <c r="AJ281" s="7">
        <f t="shared" ca="1" si="59"/>
        <v>1</v>
      </c>
      <c r="AK281" s="96">
        <f t="shared" ref="AK281:AK282" si="64">(+AA281*AB281)/$AB$1102</f>
        <v>1.3762445485993578E-4</v>
      </c>
      <c r="AL281" s="97">
        <f t="shared" ref="AL281:AL282" si="65">AC281/$AE$1102*AE281</f>
        <v>7.662228882648607E-5</v>
      </c>
    </row>
    <row r="282" spans="1:38" x14ac:dyDescent="0.3">
      <c r="A282" s="7" t="s">
        <v>1936</v>
      </c>
      <c r="B282" s="7" t="s">
        <v>1320</v>
      </c>
      <c r="C282" s="7" t="s">
        <v>1323</v>
      </c>
      <c r="D282" s="7" t="s">
        <v>1792</v>
      </c>
      <c r="E282" s="7" t="s">
        <v>1695</v>
      </c>
      <c r="F282" s="36">
        <v>43221</v>
      </c>
      <c r="G282" s="36">
        <v>44681</v>
      </c>
      <c r="H282" s="36">
        <v>44895</v>
      </c>
      <c r="I282" s="36">
        <v>44895</v>
      </c>
      <c r="J282" s="7" t="s">
        <v>1696</v>
      </c>
      <c r="K282" s="8">
        <v>0</v>
      </c>
      <c r="L282" s="8">
        <v>0</v>
      </c>
      <c r="M282" s="8">
        <v>1481.5663460000001</v>
      </c>
      <c r="N282" s="8">
        <v>0</v>
      </c>
      <c r="O282" s="8">
        <v>0</v>
      </c>
      <c r="P282" s="8">
        <v>0</v>
      </c>
      <c r="Q282" s="8">
        <v>0</v>
      </c>
      <c r="R282" s="8">
        <f t="shared" si="58"/>
        <v>1481.5663460000001</v>
      </c>
      <c r="S282" s="8">
        <v>0</v>
      </c>
      <c r="T282" s="8">
        <v>0</v>
      </c>
      <c r="U282" s="8">
        <v>1481.568</v>
      </c>
      <c r="V282" s="8">
        <v>0</v>
      </c>
      <c r="W282" s="8">
        <v>0</v>
      </c>
      <c r="X282" s="8">
        <v>0</v>
      </c>
      <c r="Y282" s="8">
        <v>0</v>
      </c>
      <c r="Z282" s="8">
        <v>9.2261999999999997E-2</v>
      </c>
      <c r="AA282" s="7">
        <v>0</v>
      </c>
      <c r="AB282" s="8">
        <v>0</v>
      </c>
      <c r="AC282" s="7">
        <v>2.0449999999999999</v>
      </c>
      <c r="AD282" s="7" t="s">
        <v>1226</v>
      </c>
      <c r="AE282" s="8">
        <v>0</v>
      </c>
      <c r="AF282" s="8">
        <v>0</v>
      </c>
      <c r="AG282" s="8">
        <v>0</v>
      </c>
      <c r="AH282" s="8">
        <v>0</v>
      </c>
      <c r="AI282" s="7" t="s">
        <v>1736</v>
      </c>
      <c r="AJ282" s="7">
        <f t="shared" ca="1" si="59"/>
        <v>1</v>
      </c>
      <c r="AK282" s="96">
        <f t="shared" si="64"/>
        <v>0</v>
      </c>
      <c r="AL282" s="97">
        <f t="shared" si="65"/>
        <v>0</v>
      </c>
    </row>
    <row r="283" spans="1:38" x14ac:dyDescent="0.3">
      <c r="A283" s="7" t="s">
        <v>1936</v>
      </c>
      <c r="B283" s="7" t="s">
        <v>1320</v>
      </c>
      <c r="C283" s="7" t="s">
        <v>1323</v>
      </c>
      <c r="D283" s="7" t="s">
        <v>1792</v>
      </c>
      <c r="E283" s="7" t="s">
        <v>1695</v>
      </c>
      <c r="F283" s="36">
        <v>43221</v>
      </c>
      <c r="G283" s="36">
        <v>44681</v>
      </c>
      <c r="H283" s="36">
        <v>44895</v>
      </c>
      <c r="I283" s="36">
        <v>44895</v>
      </c>
      <c r="J283" s="7" t="s">
        <v>1699</v>
      </c>
      <c r="K283" s="8">
        <v>0</v>
      </c>
      <c r="L283" s="8">
        <v>0</v>
      </c>
      <c r="M283" s="8">
        <v>0</v>
      </c>
      <c r="N283" s="8">
        <v>2592.59</v>
      </c>
      <c r="O283" s="8">
        <v>0</v>
      </c>
      <c r="P283" s="8">
        <v>0</v>
      </c>
      <c r="Q283" s="8">
        <v>0</v>
      </c>
      <c r="R283" s="8">
        <f t="shared" si="58"/>
        <v>2592.59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7">
        <v>0</v>
      </c>
      <c r="AB283" s="8">
        <v>0</v>
      </c>
      <c r="AC283" s="7">
        <v>2.0449999999999999</v>
      </c>
      <c r="AD283" s="7" t="s">
        <v>1226</v>
      </c>
      <c r="AE283" s="8">
        <v>0</v>
      </c>
      <c r="AF283" s="8">
        <v>0</v>
      </c>
      <c r="AG283" s="8">
        <v>0</v>
      </c>
      <c r="AH283" s="8">
        <v>0</v>
      </c>
      <c r="AI283" s="7" t="s">
        <v>1736</v>
      </c>
      <c r="AJ283" s="7">
        <f t="shared" ca="1" si="59"/>
        <v>2</v>
      </c>
      <c r="AK283" s="100">
        <f>(+AA283*AB283)/$AB$1103</f>
        <v>0</v>
      </c>
      <c r="AL283" s="97">
        <f>AC283/$AE$1103*AE283</f>
        <v>0</v>
      </c>
    </row>
    <row r="284" spans="1:38" x14ac:dyDescent="0.3">
      <c r="A284" s="7" t="s">
        <v>1937</v>
      </c>
      <c r="B284" s="7" t="s">
        <v>1320</v>
      </c>
      <c r="C284" s="7" t="s">
        <v>1323</v>
      </c>
      <c r="D284" s="7" t="s">
        <v>1792</v>
      </c>
      <c r="E284" s="7" t="s">
        <v>1695</v>
      </c>
      <c r="F284" s="36">
        <v>44089</v>
      </c>
      <c r="G284" s="36">
        <v>44787</v>
      </c>
      <c r="H284" s="36">
        <v>44895</v>
      </c>
      <c r="I284" s="36">
        <v>44895</v>
      </c>
      <c r="J284" s="7" t="s">
        <v>1696</v>
      </c>
      <c r="K284" s="8">
        <v>0</v>
      </c>
      <c r="L284" s="8">
        <v>0</v>
      </c>
      <c r="M284" s="8">
        <v>1833.296337</v>
      </c>
      <c r="N284" s="8">
        <v>0</v>
      </c>
      <c r="O284" s="8">
        <v>0</v>
      </c>
      <c r="P284" s="8">
        <v>0</v>
      </c>
      <c r="Q284" s="8">
        <v>0</v>
      </c>
      <c r="R284" s="8">
        <f t="shared" si="58"/>
        <v>1833.296337</v>
      </c>
      <c r="S284" s="8">
        <v>0</v>
      </c>
      <c r="T284" s="8">
        <v>0</v>
      </c>
      <c r="U284" s="8">
        <v>1500.000008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7">
        <v>0</v>
      </c>
      <c r="AB284" s="8">
        <v>0</v>
      </c>
      <c r="AC284" s="7">
        <v>1.7840830000000001</v>
      </c>
      <c r="AD284" s="7" t="s">
        <v>1226</v>
      </c>
      <c r="AE284" s="8">
        <v>0</v>
      </c>
      <c r="AF284" s="8">
        <v>0</v>
      </c>
      <c r="AG284" s="8">
        <v>0</v>
      </c>
      <c r="AH284" s="8">
        <v>0</v>
      </c>
      <c r="AI284" s="7" t="s">
        <v>1736</v>
      </c>
      <c r="AJ284" s="7">
        <f t="shared" ca="1" si="59"/>
        <v>1</v>
      </c>
      <c r="AK284" s="96">
        <f>(+AA284*AB284)/$AB$1102</f>
        <v>0</v>
      </c>
      <c r="AL284" s="97">
        <f>AC284/$AE$1102*AE284</f>
        <v>0</v>
      </c>
    </row>
    <row r="285" spans="1:38" x14ac:dyDescent="0.3">
      <c r="A285" s="7" t="s">
        <v>1937</v>
      </c>
      <c r="B285" s="7" t="s">
        <v>1320</v>
      </c>
      <c r="C285" s="7" t="s">
        <v>1323</v>
      </c>
      <c r="D285" s="7" t="s">
        <v>1792</v>
      </c>
      <c r="E285" s="7" t="s">
        <v>1695</v>
      </c>
      <c r="F285" s="36">
        <v>44089</v>
      </c>
      <c r="G285" s="36">
        <v>44787</v>
      </c>
      <c r="H285" s="36">
        <v>44895</v>
      </c>
      <c r="I285" s="36">
        <v>44895</v>
      </c>
      <c r="J285" s="7" t="s">
        <v>1699</v>
      </c>
      <c r="K285" s="8">
        <v>0</v>
      </c>
      <c r="L285" s="8">
        <v>0</v>
      </c>
      <c r="M285" s="8">
        <v>0</v>
      </c>
      <c r="N285" s="8">
        <v>799.99999100000002</v>
      </c>
      <c r="O285" s="8">
        <v>0</v>
      </c>
      <c r="P285" s="8">
        <v>0</v>
      </c>
      <c r="Q285" s="8">
        <v>0</v>
      </c>
      <c r="R285" s="8">
        <f t="shared" si="58"/>
        <v>799.99999100000002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7">
        <v>0</v>
      </c>
      <c r="AB285" s="8">
        <v>0</v>
      </c>
      <c r="AC285" s="7">
        <v>1.7840830000000001</v>
      </c>
      <c r="AD285" s="7" t="s">
        <v>1226</v>
      </c>
      <c r="AE285" s="8">
        <v>0</v>
      </c>
      <c r="AF285" s="8">
        <v>0</v>
      </c>
      <c r="AG285" s="8">
        <v>0</v>
      </c>
      <c r="AH285" s="8">
        <v>0</v>
      </c>
      <c r="AI285" s="7" t="s">
        <v>1736</v>
      </c>
      <c r="AJ285" s="7">
        <f t="shared" ca="1" si="59"/>
        <v>2</v>
      </c>
      <c r="AK285" s="100">
        <f>(+AA285*AB285)/$AB$1103</f>
        <v>0</v>
      </c>
      <c r="AL285" s="97">
        <f>AC285/$AE$1103*AE285</f>
        <v>0</v>
      </c>
    </row>
    <row r="286" spans="1:38" x14ac:dyDescent="0.3">
      <c r="A286" s="7" t="s">
        <v>1938</v>
      </c>
      <c r="B286" s="7" t="s">
        <v>1320</v>
      </c>
      <c r="C286" s="7" t="s">
        <v>1323</v>
      </c>
      <c r="D286" s="7" t="s">
        <v>1792</v>
      </c>
      <c r="E286" s="7" t="s">
        <v>1695</v>
      </c>
      <c r="F286" s="36">
        <v>43221</v>
      </c>
      <c r="G286" s="36">
        <v>44681</v>
      </c>
      <c r="H286" s="36">
        <v>44895</v>
      </c>
      <c r="I286" s="36">
        <v>44895</v>
      </c>
      <c r="J286" s="7" t="s">
        <v>1696</v>
      </c>
      <c r="K286" s="8">
        <v>0</v>
      </c>
      <c r="L286" s="8">
        <v>0</v>
      </c>
      <c r="M286" s="8">
        <v>1481.5663460000001</v>
      </c>
      <c r="N286" s="8">
        <v>0</v>
      </c>
      <c r="O286" s="8">
        <v>0</v>
      </c>
      <c r="P286" s="8">
        <v>0</v>
      </c>
      <c r="Q286" s="8">
        <v>0</v>
      </c>
      <c r="R286" s="8">
        <f t="shared" si="58"/>
        <v>1481.5663460000001</v>
      </c>
      <c r="S286" s="8">
        <v>0</v>
      </c>
      <c r="T286" s="8">
        <v>0</v>
      </c>
      <c r="U286" s="8">
        <v>1481.568</v>
      </c>
      <c r="V286" s="8">
        <v>0</v>
      </c>
      <c r="W286" s="8">
        <v>0</v>
      </c>
      <c r="X286" s="8">
        <v>0</v>
      </c>
      <c r="Y286" s="8">
        <v>0</v>
      </c>
      <c r="Z286" s="8">
        <v>9.2261999999999997E-2</v>
      </c>
      <c r="AA286" s="7">
        <v>0</v>
      </c>
      <c r="AB286" s="8">
        <v>0</v>
      </c>
      <c r="AC286" s="7">
        <v>2.0449999999999999</v>
      </c>
      <c r="AD286" s="7" t="s">
        <v>1226</v>
      </c>
      <c r="AE286" s="8">
        <v>0</v>
      </c>
      <c r="AF286" s="8">
        <v>0</v>
      </c>
      <c r="AG286" s="8">
        <v>0</v>
      </c>
      <c r="AH286" s="8">
        <v>0</v>
      </c>
      <c r="AI286" s="7" t="s">
        <v>1736</v>
      </c>
      <c r="AJ286" s="7">
        <f t="shared" ca="1" si="59"/>
        <v>1</v>
      </c>
      <c r="AK286" s="96">
        <f>(+AA286*AB286)/$AB$1102</f>
        <v>0</v>
      </c>
      <c r="AL286" s="97">
        <f>AC286/$AE$1102*AE286</f>
        <v>0</v>
      </c>
    </row>
    <row r="287" spans="1:38" x14ac:dyDescent="0.3">
      <c r="A287" s="7" t="s">
        <v>1938</v>
      </c>
      <c r="B287" s="7" t="s">
        <v>1320</v>
      </c>
      <c r="C287" s="7" t="s">
        <v>1323</v>
      </c>
      <c r="D287" s="7" t="s">
        <v>1792</v>
      </c>
      <c r="E287" s="7" t="s">
        <v>1695</v>
      </c>
      <c r="F287" s="36">
        <v>43221</v>
      </c>
      <c r="G287" s="36">
        <v>44681</v>
      </c>
      <c r="H287" s="36">
        <v>44895</v>
      </c>
      <c r="I287" s="36">
        <v>44895</v>
      </c>
      <c r="J287" s="7" t="s">
        <v>1699</v>
      </c>
      <c r="K287" s="8">
        <v>0</v>
      </c>
      <c r="L287" s="8">
        <v>0</v>
      </c>
      <c r="M287" s="8">
        <v>0</v>
      </c>
      <c r="N287" s="8">
        <v>2592.59</v>
      </c>
      <c r="O287" s="8">
        <v>0</v>
      </c>
      <c r="P287" s="8">
        <v>0</v>
      </c>
      <c r="Q287" s="8">
        <v>0</v>
      </c>
      <c r="R287" s="8">
        <f t="shared" si="58"/>
        <v>2592.59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7">
        <v>0</v>
      </c>
      <c r="AB287" s="8">
        <v>0</v>
      </c>
      <c r="AC287" s="7">
        <v>2.0449999999999999</v>
      </c>
      <c r="AD287" s="7" t="s">
        <v>1226</v>
      </c>
      <c r="AE287" s="8">
        <v>0</v>
      </c>
      <c r="AF287" s="8">
        <v>0</v>
      </c>
      <c r="AG287" s="8">
        <v>0</v>
      </c>
      <c r="AH287" s="8">
        <v>0</v>
      </c>
      <c r="AI287" s="7" t="s">
        <v>1736</v>
      </c>
      <c r="AJ287" s="7">
        <f t="shared" ca="1" si="59"/>
        <v>2</v>
      </c>
      <c r="AK287" s="100">
        <f>(+AA287*AB287)/$AB$1103</f>
        <v>0</v>
      </c>
      <c r="AL287" s="97">
        <f>AC287/$AE$1103*AE287</f>
        <v>0</v>
      </c>
    </row>
    <row r="288" spans="1:38" x14ac:dyDescent="0.3">
      <c r="A288" s="7" t="s">
        <v>1939</v>
      </c>
      <c r="B288" s="7" t="s">
        <v>1320</v>
      </c>
      <c r="C288" s="7" t="s">
        <v>1323</v>
      </c>
      <c r="D288" s="7" t="s">
        <v>1792</v>
      </c>
      <c r="E288" s="7" t="s">
        <v>1695</v>
      </c>
      <c r="F288" s="36">
        <v>43221</v>
      </c>
      <c r="G288" s="36">
        <v>44681</v>
      </c>
      <c r="H288" s="36">
        <v>44895</v>
      </c>
      <c r="I288" s="36">
        <v>44895</v>
      </c>
      <c r="J288" s="7" t="s">
        <v>1696</v>
      </c>
      <c r="K288" s="8">
        <v>0</v>
      </c>
      <c r="L288" s="8">
        <v>0</v>
      </c>
      <c r="M288" s="8">
        <v>1481.5663460000001</v>
      </c>
      <c r="N288" s="8">
        <v>0</v>
      </c>
      <c r="O288" s="8">
        <v>0</v>
      </c>
      <c r="P288" s="8">
        <v>0</v>
      </c>
      <c r="Q288" s="8">
        <v>0</v>
      </c>
      <c r="R288" s="8">
        <f t="shared" si="58"/>
        <v>1481.5663460000001</v>
      </c>
      <c r="S288" s="8">
        <v>0</v>
      </c>
      <c r="T288" s="8">
        <v>0</v>
      </c>
      <c r="U288" s="8">
        <v>1481.568</v>
      </c>
      <c r="V288" s="8">
        <v>0</v>
      </c>
      <c r="W288" s="8">
        <v>0</v>
      </c>
      <c r="X288" s="8">
        <v>0</v>
      </c>
      <c r="Y288" s="8">
        <v>0</v>
      </c>
      <c r="Z288" s="8">
        <v>9.2261999999999997E-2</v>
      </c>
      <c r="AA288" s="7">
        <v>0</v>
      </c>
      <c r="AB288" s="8">
        <v>0</v>
      </c>
      <c r="AC288" s="7">
        <v>2.0449999999999999</v>
      </c>
      <c r="AD288" s="7" t="s">
        <v>1226</v>
      </c>
      <c r="AE288" s="8">
        <v>0</v>
      </c>
      <c r="AF288" s="8">
        <v>0</v>
      </c>
      <c r="AG288" s="8">
        <v>0</v>
      </c>
      <c r="AH288" s="8">
        <v>0</v>
      </c>
      <c r="AI288" s="7" t="s">
        <v>1736</v>
      </c>
      <c r="AJ288" s="7">
        <f t="shared" ca="1" si="59"/>
        <v>1</v>
      </c>
      <c r="AK288" s="96">
        <f>(+AA288*AB288)/$AB$1102</f>
        <v>0</v>
      </c>
      <c r="AL288" s="97">
        <f>AC288/$AE$1102*AE288</f>
        <v>0</v>
      </c>
    </row>
    <row r="289" spans="1:38" x14ac:dyDescent="0.3">
      <c r="A289" s="7" t="s">
        <v>1939</v>
      </c>
      <c r="B289" s="7" t="s">
        <v>1320</v>
      </c>
      <c r="C289" s="7" t="s">
        <v>1323</v>
      </c>
      <c r="D289" s="7" t="s">
        <v>1792</v>
      </c>
      <c r="E289" s="7" t="s">
        <v>1695</v>
      </c>
      <c r="F289" s="36">
        <v>43221</v>
      </c>
      <c r="G289" s="36">
        <v>44681</v>
      </c>
      <c r="H289" s="36">
        <v>44895</v>
      </c>
      <c r="I289" s="36">
        <v>44895</v>
      </c>
      <c r="J289" s="7" t="s">
        <v>1699</v>
      </c>
      <c r="K289" s="8">
        <v>0</v>
      </c>
      <c r="L289" s="8">
        <v>0</v>
      </c>
      <c r="M289" s="8">
        <v>0</v>
      </c>
      <c r="N289" s="8">
        <v>2592.59</v>
      </c>
      <c r="O289" s="8">
        <v>0</v>
      </c>
      <c r="P289" s="8">
        <v>0</v>
      </c>
      <c r="Q289" s="8">
        <v>0</v>
      </c>
      <c r="R289" s="8">
        <f t="shared" si="58"/>
        <v>2592.59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7">
        <v>0</v>
      </c>
      <c r="AB289" s="8">
        <v>0</v>
      </c>
      <c r="AC289" s="7">
        <v>2.0449999999999999</v>
      </c>
      <c r="AD289" s="7" t="s">
        <v>1226</v>
      </c>
      <c r="AE289" s="8">
        <v>0</v>
      </c>
      <c r="AF289" s="8">
        <v>0</v>
      </c>
      <c r="AG289" s="8">
        <v>0</v>
      </c>
      <c r="AH289" s="8">
        <v>0</v>
      </c>
      <c r="AI289" s="7" t="s">
        <v>1736</v>
      </c>
      <c r="AJ289" s="7">
        <f t="shared" ca="1" si="59"/>
        <v>2</v>
      </c>
      <c r="AK289" s="100">
        <f>(+AA289*AB289)/$AB$1103</f>
        <v>0</v>
      </c>
      <c r="AL289" s="97">
        <f>AC289/$AE$1103*AE289</f>
        <v>0</v>
      </c>
    </row>
    <row r="290" spans="1:38" x14ac:dyDescent="0.3">
      <c r="A290" s="7" t="s">
        <v>1940</v>
      </c>
      <c r="B290" s="7" t="s">
        <v>1320</v>
      </c>
      <c r="C290" s="7" t="s">
        <v>1323</v>
      </c>
      <c r="D290" s="7" t="s">
        <v>1792</v>
      </c>
      <c r="E290" s="7" t="s">
        <v>1695</v>
      </c>
      <c r="F290" s="36">
        <v>43221</v>
      </c>
      <c r="G290" s="36">
        <v>44681</v>
      </c>
      <c r="H290" s="36">
        <v>44895</v>
      </c>
      <c r="I290" s="36">
        <v>44895</v>
      </c>
      <c r="J290" s="7" t="s">
        <v>1696</v>
      </c>
      <c r="K290" s="8">
        <v>0</v>
      </c>
      <c r="L290" s="8">
        <v>0</v>
      </c>
      <c r="M290" s="8">
        <v>1481.5663460000001</v>
      </c>
      <c r="N290" s="8">
        <v>0</v>
      </c>
      <c r="O290" s="8">
        <v>0</v>
      </c>
      <c r="P290" s="8">
        <v>0</v>
      </c>
      <c r="Q290" s="8">
        <v>0</v>
      </c>
      <c r="R290" s="8">
        <f t="shared" si="58"/>
        <v>1481.5663460000001</v>
      </c>
      <c r="S290" s="8">
        <v>0</v>
      </c>
      <c r="T290" s="8">
        <v>0</v>
      </c>
      <c r="U290" s="8">
        <v>1481.568</v>
      </c>
      <c r="V290" s="8">
        <v>0</v>
      </c>
      <c r="W290" s="8">
        <v>0</v>
      </c>
      <c r="X290" s="8">
        <v>0</v>
      </c>
      <c r="Y290" s="8">
        <v>0</v>
      </c>
      <c r="Z290" s="8">
        <v>9.2261999999999997E-2</v>
      </c>
      <c r="AA290" s="7">
        <v>0</v>
      </c>
      <c r="AB290" s="8">
        <v>0</v>
      </c>
      <c r="AC290" s="7">
        <v>2.0449999999999999</v>
      </c>
      <c r="AD290" s="7" t="s">
        <v>1226</v>
      </c>
      <c r="AE290" s="8">
        <v>0</v>
      </c>
      <c r="AF290" s="8">
        <v>0</v>
      </c>
      <c r="AG290" s="8">
        <v>0</v>
      </c>
      <c r="AH290" s="8">
        <v>0</v>
      </c>
      <c r="AI290" s="7" t="s">
        <v>1736</v>
      </c>
      <c r="AJ290" s="7">
        <f t="shared" ca="1" si="59"/>
        <v>1</v>
      </c>
      <c r="AK290" s="96">
        <f>(+AA290*AB290)/$AB$1102</f>
        <v>0</v>
      </c>
      <c r="AL290" s="97">
        <f>AC290/$AE$1102*AE290</f>
        <v>0</v>
      </c>
    </row>
    <row r="291" spans="1:38" x14ac:dyDescent="0.3">
      <c r="A291" s="7" t="s">
        <v>1940</v>
      </c>
      <c r="B291" s="7" t="s">
        <v>1320</v>
      </c>
      <c r="C291" s="7" t="s">
        <v>1323</v>
      </c>
      <c r="D291" s="7" t="s">
        <v>1792</v>
      </c>
      <c r="E291" s="7" t="s">
        <v>1695</v>
      </c>
      <c r="F291" s="36">
        <v>43221</v>
      </c>
      <c r="G291" s="36">
        <v>44681</v>
      </c>
      <c r="H291" s="36">
        <v>44895</v>
      </c>
      <c r="I291" s="36">
        <v>44895</v>
      </c>
      <c r="J291" s="7" t="s">
        <v>1699</v>
      </c>
      <c r="K291" s="8">
        <v>0</v>
      </c>
      <c r="L291" s="8">
        <v>0</v>
      </c>
      <c r="M291" s="8">
        <v>0</v>
      </c>
      <c r="N291" s="8">
        <v>2592.59</v>
      </c>
      <c r="O291" s="8">
        <v>0</v>
      </c>
      <c r="P291" s="8">
        <v>0</v>
      </c>
      <c r="Q291" s="8">
        <v>0</v>
      </c>
      <c r="R291" s="8">
        <f t="shared" si="58"/>
        <v>2592.59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7">
        <v>0</v>
      </c>
      <c r="AB291" s="8">
        <v>0</v>
      </c>
      <c r="AC291" s="7">
        <v>2.0449999999999999</v>
      </c>
      <c r="AD291" s="7" t="s">
        <v>1226</v>
      </c>
      <c r="AE291" s="8">
        <v>0</v>
      </c>
      <c r="AF291" s="8">
        <v>0</v>
      </c>
      <c r="AG291" s="8">
        <v>0</v>
      </c>
      <c r="AH291" s="8">
        <v>0</v>
      </c>
      <c r="AI291" s="7" t="s">
        <v>1736</v>
      </c>
      <c r="AJ291" s="7">
        <f t="shared" ca="1" si="59"/>
        <v>2</v>
      </c>
      <c r="AK291" s="100">
        <f>(+AA291*AB291)/$AB$1103</f>
        <v>0</v>
      </c>
      <c r="AL291" s="97">
        <f>AC291/$AE$1103*AE291</f>
        <v>0</v>
      </c>
    </row>
    <row r="292" spans="1:38" x14ac:dyDescent="0.3">
      <c r="A292" s="7" t="s">
        <v>1941</v>
      </c>
      <c r="B292" s="7" t="s">
        <v>1320</v>
      </c>
      <c r="C292" s="7" t="s">
        <v>1323</v>
      </c>
      <c r="D292" s="7" t="s">
        <v>1694</v>
      </c>
      <c r="E292" s="7" t="s">
        <v>1750</v>
      </c>
      <c r="F292" s="36">
        <v>43132</v>
      </c>
      <c r="G292" s="36">
        <v>44227</v>
      </c>
      <c r="H292" s="36">
        <v>44957</v>
      </c>
      <c r="I292" s="36">
        <v>44957</v>
      </c>
      <c r="J292" s="7" t="s">
        <v>1239</v>
      </c>
      <c r="K292" s="8">
        <v>287917.12886900001</v>
      </c>
      <c r="L292" s="8">
        <v>3622.6791499999999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f t="shared" si="58"/>
        <v>291539.80801899999</v>
      </c>
      <c r="S292" s="8">
        <v>0</v>
      </c>
      <c r="T292" s="8">
        <v>4138.5950270000003</v>
      </c>
      <c r="U292" s="8">
        <v>0</v>
      </c>
      <c r="V292" s="8">
        <v>251053.95497300001</v>
      </c>
      <c r="W292" s="8">
        <v>0</v>
      </c>
      <c r="X292" s="8">
        <v>0</v>
      </c>
      <c r="Y292" s="8">
        <v>0</v>
      </c>
      <c r="Z292" s="8">
        <v>0</v>
      </c>
      <c r="AA292" s="7">
        <v>8.4931999999999994E-2</v>
      </c>
      <c r="AB292" s="8">
        <v>23222.018751</v>
      </c>
      <c r="AC292" s="7">
        <v>2.4660000000000002</v>
      </c>
      <c r="AD292" s="7" t="s">
        <v>1697</v>
      </c>
      <c r="AE292" s="8">
        <v>23269.74</v>
      </c>
      <c r="AF292" s="8">
        <v>0</v>
      </c>
      <c r="AG292" s="8">
        <v>23269.74</v>
      </c>
      <c r="AH292" s="8">
        <v>0</v>
      </c>
      <c r="AI292" s="7" t="s">
        <v>1194</v>
      </c>
      <c r="AJ292" s="7">
        <f t="shared" ca="1" si="59"/>
        <v>1</v>
      </c>
      <c r="AK292" s="96">
        <f t="shared" si="62"/>
        <v>1.3212467256052037E-5</v>
      </c>
      <c r="AL292" s="97">
        <f t="shared" si="63"/>
        <v>3.6478686860711042E-4</v>
      </c>
    </row>
    <row r="293" spans="1:38" x14ac:dyDescent="0.3">
      <c r="A293" s="7" t="s">
        <v>1942</v>
      </c>
      <c r="B293" s="7" t="s">
        <v>1320</v>
      </c>
      <c r="C293" s="7" t="s">
        <v>1323</v>
      </c>
      <c r="D293" s="7" t="s">
        <v>1694</v>
      </c>
      <c r="E293" s="7" t="s">
        <v>1750</v>
      </c>
      <c r="F293" s="36">
        <v>43132</v>
      </c>
      <c r="G293" s="36">
        <v>44227</v>
      </c>
      <c r="H293" s="36">
        <v>45322</v>
      </c>
      <c r="I293" s="36">
        <v>45322</v>
      </c>
      <c r="J293" s="7" t="s">
        <v>1696</v>
      </c>
      <c r="K293" s="8">
        <v>0</v>
      </c>
      <c r="L293" s="8">
        <v>0</v>
      </c>
      <c r="M293" s="8">
        <v>80945.948933000007</v>
      </c>
      <c r="N293" s="8">
        <v>0</v>
      </c>
      <c r="O293" s="8">
        <v>0</v>
      </c>
      <c r="P293" s="8">
        <v>0</v>
      </c>
      <c r="Q293" s="8">
        <v>0</v>
      </c>
      <c r="R293" s="8">
        <f t="shared" si="58"/>
        <v>80945.948933000007</v>
      </c>
      <c r="S293" s="8">
        <v>0</v>
      </c>
      <c r="T293" s="8">
        <v>0</v>
      </c>
      <c r="U293" s="8">
        <v>70000</v>
      </c>
      <c r="V293" s="8">
        <v>0</v>
      </c>
      <c r="W293" s="8">
        <v>0</v>
      </c>
      <c r="X293" s="8">
        <v>0</v>
      </c>
      <c r="Y293" s="8">
        <v>0</v>
      </c>
      <c r="Z293" s="8">
        <v>68839.265153</v>
      </c>
      <c r="AA293" s="7">
        <v>1.084932</v>
      </c>
      <c r="AB293" s="8">
        <v>59652.029827999999</v>
      </c>
      <c r="AC293" s="7">
        <v>7</v>
      </c>
      <c r="AD293" s="7" t="s">
        <v>1226</v>
      </c>
      <c r="AE293" s="8">
        <v>60000</v>
      </c>
      <c r="AF293" s="8">
        <v>0</v>
      </c>
      <c r="AG293" s="8">
        <v>60000</v>
      </c>
      <c r="AH293" s="8">
        <v>0</v>
      </c>
      <c r="AI293" s="7" t="s">
        <v>1194</v>
      </c>
      <c r="AJ293" s="7">
        <f t="shared" ca="1" si="59"/>
        <v>1</v>
      </c>
      <c r="AK293" s="96">
        <f>(+AA293*AB293)/$AB$1102</f>
        <v>5.6720755928990179E-5</v>
      </c>
      <c r="AL293" s="97">
        <f>AC293/$AE$1102*AE293</f>
        <v>3.5937756871469125E-4</v>
      </c>
    </row>
    <row r="294" spans="1:38" x14ac:dyDescent="0.3">
      <c r="A294" s="7" t="s">
        <v>1943</v>
      </c>
      <c r="B294" s="7" t="s">
        <v>1320</v>
      </c>
      <c r="C294" s="7" t="s">
        <v>1323</v>
      </c>
      <c r="D294" s="7" t="s">
        <v>1694</v>
      </c>
      <c r="E294" s="7" t="s">
        <v>1695</v>
      </c>
      <c r="F294" s="36">
        <v>43374</v>
      </c>
      <c r="G294" s="36">
        <v>44469</v>
      </c>
      <c r="H294" s="36">
        <v>44895</v>
      </c>
      <c r="I294" s="36">
        <v>44895</v>
      </c>
      <c r="J294" s="7" t="s">
        <v>1699</v>
      </c>
      <c r="K294" s="8">
        <v>0</v>
      </c>
      <c r="L294" s="8">
        <v>0</v>
      </c>
      <c r="M294" s="8">
        <v>0</v>
      </c>
      <c r="N294" s="8">
        <v>638000</v>
      </c>
      <c r="O294" s="8">
        <v>0</v>
      </c>
      <c r="P294" s="8">
        <v>0</v>
      </c>
      <c r="Q294" s="8">
        <v>0</v>
      </c>
      <c r="R294" s="8">
        <f t="shared" si="58"/>
        <v>638000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7">
        <v>0</v>
      </c>
      <c r="AB294" s="8">
        <v>0</v>
      </c>
      <c r="AC294" s="7">
        <v>2.0299999999999998</v>
      </c>
      <c r="AD294" s="7" t="s">
        <v>1226</v>
      </c>
      <c r="AE294" s="8">
        <v>0</v>
      </c>
      <c r="AF294" s="8">
        <v>0</v>
      </c>
      <c r="AG294" s="8">
        <v>0</v>
      </c>
      <c r="AH294" s="8">
        <v>0</v>
      </c>
      <c r="AI294" s="7" t="s">
        <v>1194</v>
      </c>
      <c r="AJ294" s="7">
        <f t="shared" ca="1" si="59"/>
        <v>1</v>
      </c>
      <c r="AK294" s="100">
        <f>(+AA294*AB294)/$AB$1103</f>
        <v>0</v>
      </c>
      <c r="AL294" s="97">
        <f>AC294/$AE$1103*AE294</f>
        <v>0</v>
      </c>
    </row>
    <row r="295" spans="1:38" x14ac:dyDescent="0.3">
      <c r="A295" s="7" t="s">
        <v>1944</v>
      </c>
      <c r="B295" s="7" t="s">
        <v>1320</v>
      </c>
      <c r="C295" s="7" t="s">
        <v>1323</v>
      </c>
      <c r="D295" s="7" t="s">
        <v>1792</v>
      </c>
      <c r="E295" s="7" t="s">
        <v>1695</v>
      </c>
      <c r="F295" s="36">
        <v>43221</v>
      </c>
      <c r="G295" s="36">
        <v>44681</v>
      </c>
      <c r="H295" s="36">
        <v>44895</v>
      </c>
      <c r="I295" s="36">
        <v>44895</v>
      </c>
      <c r="J295" s="7" t="s">
        <v>1696</v>
      </c>
      <c r="K295" s="8">
        <v>0</v>
      </c>
      <c r="L295" s="8">
        <v>0</v>
      </c>
      <c r="M295" s="8">
        <v>1481.5663460000001</v>
      </c>
      <c r="N295" s="8">
        <v>0</v>
      </c>
      <c r="O295" s="8">
        <v>0</v>
      </c>
      <c r="P295" s="8">
        <v>0</v>
      </c>
      <c r="Q295" s="8">
        <v>0</v>
      </c>
      <c r="R295" s="8">
        <f t="shared" si="58"/>
        <v>1481.5663460000001</v>
      </c>
      <c r="S295" s="8">
        <v>0</v>
      </c>
      <c r="T295" s="8">
        <v>0</v>
      </c>
      <c r="U295" s="8">
        <v>1481.568</v>
      </c>
      <c r="V295" s="8">
        <v>0</v>
      </c>
      <c r="W295" s="8">
        <v>0</v>
      </c>
      <c r="X295" s="8">
        <v>0</v>
      </c>
      <c r="Y295" s="8">
        <v>0</v>
      </c>
      <c r="Z295" s="8">
        <v>9.2261999999999997E-2</v>
      </c>
      <c r="AA295" s="7">
        <v>0</v>
      </c>
      <c r="AB295" s="8">
        <v>0</v>
      </c>
      <c r="AC295" s="7">
        <v>2.0449999999999999</v>
      </c>
      <c r="AD295" s="7" t="s">
        <v>1226</v>
      </c>
      <c r="AE295" s="8">
        <v>0</v>
      </c>
      <c r="AF295" s="8">
        <v>0</v>
      </c>
      <c r="AG295" s="8">
        <v>0</v>
      </c>
      <c r="AH295" s="8">
        <v>0</v>
      </c>
      <c r="AI295" s="7" t="s">
        <v>1736</v>
      </c>
      <c r="AJ295" s="7">
        <f t="shared" ca="1" si="59"/>
        <v>1</v>
      </c>
      <c r="AK295" s="96">
        <f>(+AA295*AB295)/$AB$1102</f>
        <v>0</v>
      </c>
      <c r="AL295" s="97">
        <f>AC295/$AE$1102*AE295</f>
        <v>0</v>
      </c>
    </row>
    <row r="296" spans="1:38" x14ac:dyDescent="0.3">
      <c r="A296" s="7" t="s">
        <v>1944</v>
      </c>
      <c r="B296" s="7" t="s">
        <v>1320</v>
      </c>
      <c r="C296" s="7" t="s">
        <v>1323</v>
      </c>
      <c r="D296" s="7" t="s">
        <v>1792</v>
      </c>
      <c r="E296" s="7" t="s">
        <v>1695</v>
      </c>
      <c r="F296" s="36">
        <v>43221</v>
      </c>
      <c r="G296" s="36">
        <v>44681</v>
      </c>
      <c r="H296" s="36">
        <v>44895</v>
      </c>
      <c r="I296" s="36">
        <v>44895</v>
      </c>
      <c r="J296" s="7" t="s">
        <v>1699</v>
      </c>
      <c r="K296" s="8">
        <v>0</v>
      </c>
      <c r="L296" s="8">
        <v>0</v>
      </c>
      <c r="M296" s="8">
        <v>0</v>
      </c>
      <c r="N296" s="8">
        <v>2592.59</v>
      </c>
      <c r="O296" s="8">
        <v>0</v>
      </c>
      <c r="P296" s="8">
        <v>0</v>
      </c>
      <c r="Q296" s="8">
        <v>0</v>
      </c>
      <c r="R296" s="8">
        <f t="shared" si="58"/>
        <v>2592.59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7">
        <v>0</v>
      </c>
      <c r="AB296" s="8">
        <v>0</v>
      </c>
      <c r="AC296" s="7">
        <v>2.0449999999999999</v>
      </c>
      <c r="AD296" s="7" t="s">
        <v>1226</v>
      </c>
      <c r="AE296" s="8">
        <v>0</v>
      </c>
      <c r="AF296" s="8">
        <v>0</v>
      </c>
      <c r="AG296" s="8">
        <v>0</v>
      </c>
      <c r="AH296" s="8">
        <v>0</v>
      </c>
      <c r="AI296" s="7" t="s">
        <v>1736</v>
      </c>
      <c r="AJ296" s="7">
        <f t="shared" ca="1" si="59"/>
        <v>2</v>
      </c>
      <c r="AK296" s="100">
        <f>(+AA296*AB296)/$AB$1103</f>
        <v>0</v>
      </c>
      <c r="AL296" s="97">
        <f>AC296/$AE$1103*AE296</f>
        <v>0</v>
      </c>
    </row>
    <row r="297" spans="1:38" x14ac:dyDescent="0.3">
      <c r="A297" s="7" t="s">
        <v>1945</v>
      </c>
      <c r="B297" s="7" t="s">
        <v>1320</v>
      </c>
      <c r="C297" s="7" t="s">
        <v>1323</v>
      </c>
      <c r="D297" s="7" t="s">
        <v>1792</v>
      </c>
      <c r="E297" s="7" t="s">
        <v>1695</v>
      </c>
      <c r="F297" s="36">
        <v>43221</v>
      </c>
      <c r="G297" s="36">
        <v>44681</v>
      </c>
      <c r="H297" s="36">
        <v>44895</v>
      </c>
      <c r="I297" s="36">
        <v>44895</v>
      </c>
      <c r="J297" s="7" t="s">
        <v>1696</v>
      </c>
      <c r="K297" s="8">
        <v>0</v>
      </c>
      <c r="L297" s="8">
        <v>0</v>
      </c>
      <c r="M297" s="8">
        <v>1481.5663460000001</v>
      </c>
      <c r="N297" s="8">
        <v>0</v>
      </c>
      <c r="O297" s="8">
        <v>0</v>
      </c>
      <c r="P297" s="8">
        <v>0</v>
      </c>
      <c r="Q297" s="8">
        <v>0</v>
      </c>
      <c r="R297" s="8">
        <f t="shared" si="58"/>
        <v>1481.5663460000001</v>
      </c>
      <c r="S297" s="8">
        <v>0</v>
      </c>
      <c r="T297" s="8">
        <v>0</v>
      </c>
      <c r="U297" s="8">
        <v>1481.568</v>
      </c>
      <c r="V297" s="8">
        <v>0</v>
      </c>
      <c r="W297" s="8">
        <v>0</v>
      </c>
      <c r="X297" s="8">
        <v>0</v>
      </c>
      <c r="Y297" s="8">
        <v>0</v>
      </c>
      <c r="Z297" s="8">
        <v>9.2261999999999997E-2</v>
      </c>
      <c r="AA297" s="7">
        <v>0</v>
      </c>
      <c r="AB297" s="8">
        <v>0</v>
      </c>
      <c r="AC297" s="7">
        <v>2.0449999999999999</v>
      </c>
      <c r="AD297" s="7" t="s">
        <v>1226</v>
      </c>
      <c r="AE297" s="8">
        <v>0</v>
      </c>
      <c r="AF297" s="8">
        <v>0</v>
      </c>
      <c r="AG297" s="8">
        <v>0</v>
      </c>
      <c r="AH297" s="8">
        <v>0</v>
      </c>
      <c r="AI297" s="7" t="s">
        <v>1736</v>
      </c>
      <c r="AJ297" s="7">
        <f t="shared" ca="1" si="59"/>
        <v>1</v>
      </c>
      <c r="AK297" s="96">
        <f>(+AA297*AB297)/$AB$1102</f>
        <v>0</v>
      </c>
      <c r="AL297" s="97">
        <f>AC297/$AE$1102*AE297</f>
        <v>0</v>
      </c>
    </row>
    <row r="298" spans="1:38" x14ac:dyDescent="0.3">
      <c r="A298" s="7" t="s">
        <v>1945</v>
      </c>
      <c r="B298" s="7" t="s">
        <v>1320</v>
      </c>
      <c r="C298" s="7" t="s">
        <v>1323</v>
      </c>
      <c r="D298" s="7" t="s">
        <v>1792</v>
      </c>
      <c r="E298" s="7" t="s">
        <v>1695</v>
      </c>
      <c r="F298" s="36">
        <v>43221</v>
      </c>
      <c r="G298" s="36">
        <v>44681</v>
      </c>
      <c r="H298" s="36">
        <v>44895</v>
      </c>
      <c r="I298" s="36">
        <v>44895</v>
      </c>
      <c r="J298" s="7" t="s">
        <v>1699</v>
      </c>
      <c r="K298" s="8">
        <v>0</v>
      </c>
      <c r="L298" s="8">
        <v>0</v>
      </c>
      <c r="M298" s="8">
        <v>0</v>
      </c>
      <c r="N298" s="8">
        <v>2592.59</v>
      </c>
      <c r="O298" s="8">
        <v>0</v>
      </c>
      <c r="P298" s="8">
        <v>0</v>
      </c>
      <c r="Q298" s="8">
        <v>0</v>
      </c>
      <c r="R298" s="8">
        <f t="shared" si="58"/>
        <v>2592.59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7">
        <v>0</v>
      </c>
      <c r="AB298" s="8">
        <v>0</v>
      </c>
      <c r="AC298" s="7">
        <v>2.0449999999999999</v>
      </c>
      <c r="AD298" s="7" t="s">
        <v>1226</v>
      </c>
      <c r="AE298" s="8">
        <v>0</v>
      </c>
      <c r="AF298" s="8">
        <v>0</v>
      </c>
      <c r="AG298" s="8">
        <v>0</v>
      </c>
      <c r="AH298" s="8">
        <v>0</v>
      </c>
      <c r="AI298" s="7" t="s">
        <v>1736</v>
      </c>
      <c r="AJ298" s="7">
        <f t="shared" ca="1" si="59"/>
        <v>2</v>
      </c>
      <c r="AK298" s="100">
        <f>(+AA298*AB298)/$AB$1103</f>
        <v>0</v>
      </c>
      <c r="AL298" s="97">
        <f>AC298/$AE$1103*AE298</f>
        <v>0</v>
      </c>
    </row>
    <row r="299" spans="1:38" x14ac:dyDescent="0.3">
      <c r="A299" s="7" t="s">
        <v>1946</v>
      </c>
      <c r="B299" s="7" t="s">
        <v>1320</v>
      </c>
      <c r="C299" s="7" t="s">
        <v>1323</v>
      </c>
      <c r="D299" s="7" t="s">
        <v>1792</v>
      </c>
      <c r="E299" s="7" t="s">
        <v>1695</v>
      </c>
      <c r="F299" s="36">
        <v>43221</v>
      </c>
      <c r="G299" s="36">
        <v>44681</v>
      </c>
      <c r="H299" s="36">
        <v>44895</v>
      </c>
      <c r="I299" s="36">
        <v>44895</v>
      </c>
      <c r="J299" s="7" t="s">
        <v>1696</v>
      </c>
      <c r="K299" s="8">
        <v>0</v>
      </c>
      <c r="L299" s="8">
        <v>0</v>
      </c>
      <c r="M299" s="8">
        <v>1481.5663460000001</v>
      </c>
      <c r="N299" s="8">
        <v>0</v>
      </c>
      <c r="O299" s="8">
        <v>0</v>
      </c>
      <c r="P299" s="8">
        <v>0</v>
      </c>
      <c r="Q299" s="8">
        <v>0</v>
      </c>
      <c r="R299" s="8">
        <f t="shared" si="58"/>
        <v>1481.5663460000001</v>
      </c>
      <c r="S299" s="8">
        <v>0</v>
      </c>
      <c r="T299" s="8">
        <v>0</v>
      </c>
      <c r="U299" s="8">
        <v>1481.568</v>
      </c>
      <c r="V299" s="8">
        <v>0</v>
      </c>
      <c r="W299" s="8">
        <v>0</v>
      </c>
      <c r="X299" s="8">
        <v>0</v>
      </c>
      <c r="Y299" s="8">
        <v>0</v>
      </c>
      <c r="Z299" s="8">
        <v>9.2261999999999997E-2</v>
      </c>
      <c r="AA299" s="7">
        <v>0</v>
      </c>
      <c r="AB299" s="8">
        <v>0</v>
      </c>
      <c r="AC299" s="7">
        <v>2.0449999999999999</v>
      </c>
      <c r="AD299" s="7" t="s">
        <v>1226</v>
      </c>
      <c r="AE299" s="8">
        <v>0</v>
      </c>
      <c r="AF299" s="8">
        <v>0</v>
      </c>
      <c r="AG299" s="8">
        <v>0</v>
      </c>
      <c r="AH299" s="8">
        <v>0</v>
      </c>
      <c r="AI299" s="7" t="s">
        <v>1736</v>
      </c>
      <c r="AJ299" s="7">
        <f t="shared" ca="1" si="59"/>
        <v>1</v>
      </c>
      <c r="AK299" s="96">
        <f>(+AA299*AB299)/$AB$1102</f>
        <v>0</v>
      </c>
      <c r="AL299" s="97">
        <f>AC299/$AE$1102*AE299</f>
        <v>0</v>
      </c>
    </row>
    <row r="300" spans="1:38" x14ac:dyDescent="0.3">
      <c r="A300" s="7" t="s">
        <v>1946</v>
      </c>
      <c r="B300" s="7" t="s">
        <v>1320</v>
      </c>
      <c r="C300" s="7" t="s">
        <v>1323</v>
      </c>
      <c r="D300" s="7" t="s">
        <v>1792</v>
      </c>
      <c r="E300" s="7" t="s">
        <v>1695</v>
      </c>
      <c r="F300" s="36">
        <v>43221</v>
      </c>
      <c r="G300" s="36">
        <v>44681</v>
      </c>
      <c r="H300" s="36">
        <v>44895</v>
      </c>
      <c r="I300" s="36">
        <v>44895</v>
      </c>
      <c r="J300" s="7" t="s">
        <v>1699</v>
      </c>
      <c r="K300" s="8">
        <v>0</v>
      </c>
      <c r="L300" s="8">
        <v>0</v>
      </c>
      <c r="M300" s="8">
        <v>0</v>
      </c>
      <c r="N300" s="8">
        <v>2592.59</v>
      </c>
      <c r="O300" s="8">
        <v>0</v>
      </c>
      <c r="P300" s="8">
        <v>0</v>
      </c>
      <c r="Q300" s="8">
        <v>0</v>
      </c>
      <c r="R300" s="8">
        <f t="shared" si="58"/>
        <v>2592.59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7">
        <v>0</v>
      </c>
      <c r="AB300" s="8">
        <v>0</v>
      </c>
      <c r="AC300" s="7">
        <v>2.0449999999999999</v>
      </c>
      <c r="AD300" s="7" t="s">
        <v>1226</v>
      </c>
      <c r="AE300" s="8">
        <v>0</v>
      </c>
      <c r="AF300" s="8">
        <v>0</v>
      </c>
      <c r="AG300" s="8">
        <v>0</v>
      </c>
      <c r="AH300" s="8">
        <v>0</v>
      </c>
      <c r="AI300" s="7" t="s">
        <v>1736</v>
      </c>
      <c r="AJ300" s="7">
        <f t="shared" ca="1" si="59"/>
        <v>2</v>
      </c>
      <c r="AK300" s="100">
        <f t="shared" ref="AK300:AK301" si="66">(+AA300*AB300)/$AB$1103</f>
        <v>0</v>
      </c>
      <c r="AL300" s="97">
        <f t="shared" ref="AL300:AL301" si="67">AC300/$AE$1103*AE300</f>
        <v>0</v>
      </c>
    </row>
    <row r="301" spans="1:38" x14ac:dyDescent="0.3">
      <c r="A301" s="7" t="s">
        <v>1947</v>
      </c>
      <c r="B301" s="7" t="s">
        <v>1320</v>
      </c>
      <c r="C301" s="7" t="s">
        <v>1323</v>
      </c>
      <c r="D301" s="7" t="s">
        <v>1694</v>
      </c>
      <c r="E301" s="7" t="s">
        <v>1695</v>
      </c>
      <c r="F301" s="36">
        <v>43146</v>
      </c>
      <c r="G301" s="36">
        <v>44241</v>
      </c>
      <c r="H301" s="36">
        <v>44895</v>
      </c>
      <c r="I301" s="36">
        <v>44895</v>
      </c>
      <c r="J301" s="7" t="s">
        <v>1699</v>
      </c>
      <c r="K301" s="8">
        <v>0</v>
      </c>
      <c r="L301" s="8">
        <v>0</v>
      </c>
      <c r="M301" s="8">
        <v>0</v>
      </c>
      <c r="N301" s="8">
        <v>575000</v>
      </c>
      <c r="O301" s="8">
        <v>0</v>
      </c>
      <c r="P301" s="8">
        <v>0</v>
      </c>
      <c r="Q301" s="8">
        <v>0</v>
      </c>
      <c r="R301" s="8">
        <f t="shared" si="58"/>
        <v>575000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7">
        <v>0</v>
      </c>
      <c r="AB301" s="8">
        <v>0</v>
      </c>
      <c r="AC301" s="7">
        <v>7</v>
      </c>
      <c r="AD301" s="7" t="s">
        <v>1226</v>
      </c>
      <c r="AE301" s="8">
        <v>0</v>
      </c>
      <c r="AF301" s="8">
        <v>0</v>
      </c>
      <c r="AG301" s="8">
        <v>0</v>
      </c>
      <c r="AH301" s="8">
        <v>0</v>
      </c>
      <c r="AI301" s="7" t="s">
        <v>1194</v>
      </c>
      <c r="AJ301" s="7">
        <f t="shared" ca="1" si="59"/>
        <v>1</v>
      </c>
      <c r="AK301" s="100">
        <f t="shared" si="66"/>
        <v>0</v>
      </c>
      <c r="AL301" s="97">
        <f t="shared" si="67"/>
        <v>0</v>
      </c>
    </row>
    <row r="302" spans="1:38" x14ac:dyDescent="0.3">
      <c r="A302" s="7" t="s">
        <v>1948</v>
      </c>
      <c r="B302" s="7" t="s">
        <v>1320</v>
      </c>
      <c r="C302" s="7" t="s">
        <v>1323</v>
      </c>
      <c r="D302" s="7" t="s">
        <v>1792</v>
      </c>
      <c r="E302" s="7" t="s">
        <v>1695</v>
      </c>
      <c r="F302" s="36">
        <v>43221</v>
      </c>
      <c r="G302" s="36">
        <v>44681</v>
      </c>
      <c r="H302" s="36">
        <v>44895</v>
      </c>
      <c r="I302" s="36">
        <v>44895</v>
      </c>
      <c r="J302" s="7" t="s">
        <v>1696</v>
      </c>
      <c r="K302" s="8">
        <v>0</v>
      </c>
      <c r="L302" s="8">
        <v>0</v>
      </c>
      <c r="M302" s="8">
        <v>1481.5663460000001</v>
      </c>
      <c r="N302" s="8">
        <v>0</v>
      </c>
      <c r="O302" s="8">
        <v>0</v>
      </c>
      <c r="P302" s="8">
        <v>0</v>
      </c>
      <c r="Q302" s="8">
        <v>0</v>
      </c>
      <c r="R302" s="8">
        <f t="shared" si="58"/>
        <v>1481.5663460000001</v>
      </c>
      <c r="S302" s="8">
        <v>0</v>
      </c>
      <c r="T302" s="8">
        <v>0</v>
      </c>
      <c r="U302" s="8">
        <v>1481.568</v>
      </c>
      <c r="V302" s="8">
        <v>0</v>
      </c>
      <c r="W302" s="8">
        <v>0</v>
      </c>
      <c r="X302" s="8">
        <v>0</v>
      </c>
      <c r="Y302" s="8">
        <v>0</v>
      </c>
      <c r="Z302" s="8">
        <v>9.2261999999999997E-2</v>
      </c>
      <c r="AA302" s="7">
        <v>0</v>
      </c>
      <c r="AB302" s="8">
        <v>0</v>
      </c>
      <c r="AC302" s="7">
        <v>2.0449999999999999</v>
      </c>
      <c r="AD302" s="7" t="s">
        <v>1226</v>
      </c>
      <c r="AE302" s="8">
        <v>0</v>
      </c>
      <c r="AF302" s="8">
        <v>0</v>
      </c>
      <c r="AG302" s="8">
        <v>0</v>
      </c>
      <c r="AH302" s="8">
        <v>0</v>
      </c>
      <c r="AI302" s="7" t="s">
        <v>1736</v>
      </c>
      <c r="AJ302" s="7">
        <f t="shared" ca="1" si="59"/>
        <v>1</v>
      </c>
      <c r="AK302" s="96">
        <f>(+AA302*AB302)/$AB$1102</f>
        <v>0</v>
      </c>
      <c r="AL302" s="97">
        <f>AC302/$AE$1102*AE302</f>
        <v>0</v>
      </c>
    </row>
    <row r="303" spans="1:38" x14ac:dyDescent="0.3">
      <c r="A303" s="7" t="s">
        <v>1948</v>
      </c>
      <c r="B303" s="7" t="s">
        <v>1320</v>
      </c>
      <c r="C303" s="7" t="s">
        <v>1323</v>
      </c>
      <c r="D303" s="7" t="s">
        <v>1792</v>
      </c>
      <c r="E303" s="7" t="s">
        <v>1695</v>
      </c>
      <c r="F303" s="36">
        <v>43221</v>
      </c>
      <c r="G303" s="36">
        <v>44681</v>
      </c>
      <c r="H303" s="36">
        <v>44895</v>
      </c>
      <c r="I303" s="36">
        <v>44895</v>
      </c>
      <c r="J303" s="7" t="s">
        <v>1699</v>
      </c>
      <c r="K303" s="8">
        <v>0</v>
      </c>
      <c r="L303" s="8">
        <v>0</v>
      </c>
      <c r="M303" s="8">
        <v>0</v>
      </c>
      <c r="N303" s="8">
        <v>2592.59</v>
      </c>
      <c r="O303" s="8">
        <v>0</v>
      </c>
      <c r="P303" s="8">
        <v>0</v>
      </c>
      <c r="Q303" s="8">
        <v>0</v>
      </c>
      <c r="R303" s="8">
        <f t="shared" si="58"/>
        <v>2592.59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7">
        <v>0</v>
      </c>
      <c r="AB303" s="8">
        <v>0</v>
      </c>
      <c r="AC303" s="7">
        <v>2.0449999999999999</v>
      </c>
      <c r="AD303" s="7" t="s">
        <v>1226</v>
      </c>
      <c r="AE303" s="8">
        <v>0</v>
      </c>
      <c r="AF303" s="8">
        <v>0</v>
      </c>
      <c r="AG303" s="8">
        <v>0</v>
      </c>
      <c r="AH303" s="8">
        <v>0</v>
      </c>
      <c r="AI303" s="7" t="s">
        <v>1736</v>
      </c>
      <c r="AJ303" s="7">
        <f t="shared" ca="1" si="59"/>
        <v>2</v>
      </c>
      <c r="AK303" s="100">
        <f>(+AA303*AB303)/$AB$1103</f>
        <v>0</v>
      </c>
      <c r="AL303" s="97">
        <f>AC303/$AE$1103*AE303</f>
        <v>0</v>
      </c>
    </row>
    <row r="304" spans="1:38" x14ac:dyDescent="0.3">
      <c r="A304" s="7" t="s">
        <v>1949</v>
      </c>
      <c r="B304" s="7" t="s">
        <v>1320</v>
      </c>
      <c r="C304" s="7" t="s">
        <v>1323</v>
      </c>
      <c r="D304" s="7" t="s">
        <v>1792</v>
      </c>
      <c r="E304" s="7" t="s">
        <v>1695</v>
      </c>
      <c r="F304" s="36">
        <v>43221</v>
      </c>
      <c r="G304" s="36">
        <v>44681</v>
      </c>
      <c r="H304" s="36">
        <v>44869</v>
      </c>
      <c r="I304" s="36">
        <v>44869</v>
      </c>
      <c r="J304" s="7" t="s">
        <v>1696</v>
      </c>
      <c r="K304" s="8">
        <v>0</v>
      </c>
      <c r="L304" s="8">
        <v>0</v>
      </c>
      <c r="M304" s="8">
        <v>1481.5663460000001</v>
      </c>
      <c r="N304" s="8">
        <v>0</v>
      </c>
      <c r="O304" s="8">
        <v>0</v>
      </c>
      <c r="P304" s="8">
        <v>0</v>
      </c>
      <c r="Q304" s="8">
        <v>0</v>
      </c>
      <c r="R304" s="8">
        <f t="shared" si="58"/>
        <v>1481.5663460000001</v>
      </c>
      <c r="S304" s="8">
        <v>0</v>
      </c>
      <c r="T304" s="8">
        <v>0</v>
      </c>
      <c r="U304" s="8">
        <v>1481.568</v>
      </c>
      <c r="V304" s="8">
        <v>0</v>
      </c>
      <c r="W304" s="8">
        <v>0</v>
      </c>
      <c r="X304" s="8">
        <v>0</v>
      </c>
      <c r="Y304" s="8">
        <v>0</v>
      </c>
      <c r="Z304" s="8">
        <v>9.2261999999999997E-2</v>
      </c>
      <c r="AA304" s="7">
        <v>0</v>
      </c>
      <c r="AB304" s="8">
        <v>0</v>
      </c>
      <c r="AC304" s="7">
        <v>2.0449999999999999</v>
      </c>
      <c r="AD304" s="7" t="s">
        <v>1226</v>
      </c>
      <c r="AE304" s="8">
        <v>0</v>
      </c>
      <c r="AF304" s="8">
        <v>0</v>
      </c>
      <c r="AG304" s="8">
        <v>0</v>
      </c>
      <c r="AH304" s="8">
        <v>0</v>
      </c>
      <c r="AI304" s="7" t="s">
        <v>1736</v>
      </c>
      <c r="AJ304" s="7">
        <f t="shared" ca="1" si="59"/>
        <v>1</v>
      </c>
      <c r="AK304" s="96">
        <f>(+AA304*AB304)/$AB$1102</f>
        <v>0</v>
      </c>
      <c r="AL304" s="97">
        <f>AC304/$AE$1102*AE304</f>
        <v>0</v>
      </c>
    </row>
    <row r="305" spans="1:38" x14ac:dyDescent="0.3">
      <c r="A305" s="7" t="s">
        <v>1949</v>
      </c>
      <c r="B305" s="7" t="s">
        <v>1320</v>
      </c>
      <c r="C305" s="7" t="s">
        <v>1323</v>
      </c>
      <c r="D305" s="7" t="s">
        <v>1792</v>
      </c>
      <c r="E305" s="7" t="s">
        <v>1695</v>
      </c>
      <c r="F305" s="36">
        <v>43221</v>
      </c>
      <c r="G305" s="36">
        <v>44681</v>
      </c>
      <c r="H305" s="36">
        <v>44869</v>
      </c>
      <c r="I305" s="36">
        <v>44869</v>
      </c>
      <c r="J305" s="7" t="s">
        <v>1699</v>
      </c>
      <c r="K305" s="8">
        <v>0</v>
      </c>
      <c r="L305" s="8">
        <v>0</v>
      </c>
      <c r="M305" s="8">
        <v>0</v>
      </c>
      <c r="N305" s="8">
        <v>2592.59</v>
      </c>
      <c r="O305" s="8">
        <v>0</v>
      </c>
      <c r="P305" s="8">
        <v>0</v>
      </c>
      <c r="Q305" s="8">
        <v>0</v>
      </c>
      <c r="R305" s="8">
        <f t="shared" si="58"/>
        <v>2592.59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7">
        <v>0</v>
      </c>
      <c r="AB305" s="8">
        <v>0</v>
      </c>
      <c r="AC305" s="7">
        <v>2.0449999999999999</v>
      </c>
      <c r="AD305" s="7" t="s">
        <v>1226</v>
      </c>
      <c r="AE305" s="8">
        <v>0</v>
      </c>
      <c r="AF305" s="8">
        <v>0</v>
      </c>
      <c r="AG305" s="8">
        <v>0</v>
      </c>
      <c r="AH305" s="8">
        <v>0</v>
      </c>
      <c r="AI305" s="7" t="s">
        <v>1736</v>
      </c>
      <c r="AJ305" s="7">
        <f t="shared" ca="1" si="59"/>
        <v>2</v>
      </c>
      <c r="AK305" s="100">
        <f>(+AA305*AB305)/$AB$1103</f>
        <v>0</v>
      </c>
      <c r="AL305" s="97">
        <f>AC305/$AE$1103*AE305</f>
        <v>0</v>
      </c>
    </row>
    <row r="306" spans="1:38" x14ac:dyDescent="0.3">
      <c r="A306" s="7" t="s">
        <v>1950</v>
      </c>
      <c r="B306" s="7" t="s">
        <v>1320</v>
      </c>
      <c r="C306" s="7" t="s">
        <v>1323</v>
      </c>
      <c r="D306" s="7" t="s">
        <v>1792</v>
      </c>
      <c r="E306" s="7" t="s">
        <v>1773</v>
      </c>
      <c r="F306" s="36">
        <v>44869</v>
      </c>
      <c r="G306" s="36">
        <v>45263</v>
      </c>
      <c r="H306" s="36">
        <v>45263</v>
      </c>
      <c r="I306" s="36">
        <v>45294</v>
      </c>
      <c r="J306" s="7" t="s">
        <v>1696</v>
      </c>
      <c r="K306" s="8">
        <v>0</v>
      </c>
      <c r="L306" s="8">
        <v>0</v>
      </c>
      <c r="M306" s="8">
        <v>281.90370000000001</v>
      </c>
      <c r="N306" s="8">
        <v>0</v>
      </c>
      <c r="O306" s="8">
        <v>0</v>
      </c>
      <c r="P306" s="8">
        <v>0</v>
      </c>
      <c r="Q306" s="8">
        <v>0</v>
      </c>
      <c r="R306" s="8">
        <f t="shared" si="58"/>
        <v>281.90370000000001</v>
      </c>
      <c r="S306" s="8">
        <v>0</v>
      </c>
      <c r="T306" s="8">
        <v>0</v>
      </c>
      <c r="U306" s="8">
        <v>600</v>
      </c>
      <c r="V306" s="8">
        <v>0</v>
      </c>
      <c r="W306" s="8">
        <v>0</v>
      </c>
      <c r="X306" s="8">
        <v>0</v>
      </c>
      <c r="Y306" s="8">
        <v>0</v>
      </c>
      <c r="Z306" s="8">
        <v>4496.3813010000003</v>
      </c>
      <c r="AA306" s="7">
        <v>1.008219</v>
      </c>
      <c r="AB306" s="8">
        <v>3572.7050009999998</v>
      </c>
      <c r="AC306" s="7">
        <v>1.6353329999999999</v>
      </c>
      <c r="AD306" s="7" t="s">
        <v>1226</v>
      </c>
      <c r="AE306" s="8">
        <v>3600</v>
      </c>
      <c r="AF306" s="8">
        <v>0</v>
      </c>
      <c r="AG306" s="8">
        <v>3600</v>
      </c>
      <c r="AH306" s="8">
        <v>0</v>
      </c>
      <c r="AI306" s="7" t="s">
        <v>1736</v>
      </c>
      <c r="AJ306" s="7">
        <f t="shared" ca="1" si="59"/>
        <v>1</v>
      </c>
      <c r="AK306" s="96">
        <f t="shared" ref="AK306:AK307" si="68">(+AA306*AB306)/$AB$1102</f>
        <v>3.1569397996919834E-6</v>
      </c>
      <c r="AL306" s="97">
        <f t="shared" ref="AL306:AL307" si="69">AC306/$AE$1102*AE306</f>
        <v>5.0374456935334468E-6</v>
      </c>
    </row>
    <row r="307" spans="1:38" x14ac:dyDescent="0.3">
      <c r="A307" s="7" t="s">
        <v>1951</v>
      </c>
      <c r="B307" s="7" t="s">
        <v>1320</v>
      </c>
      <c r="C307" s="7" t="s">
        <v>1323</v>
      </c>
      <c r="D307" s="7" t="s">
        <v>1792</v>
      </c>
      <c r="E307" s="7" t="s">
        <v>1695</v>
      </c>
      <c r="F307" s="36">
        <v>43221</v>
      </c>
      <c r="G307" s="36">
        <v>44681</v>
      </c>
      <c r="H307" s="36">
        <v>44895</v>
      </c>
      <c r="I307" s="36">
        <v>44895</v>
      </c>
      <c r="J307" s="7" t="s">
        <v>1696</v>
      </c>
      <c r="K307" s="8">
        <v>0</v>
      </c>
      <c r="L307" s="8">
        <v>0</v>
      </c>
      <c r="M307" s="8">
        <v>1481.5663460000001</v>
      </c>
      <c r="N307" s="8">
        <v>0</v>
      </c>
      <c r="O307" s="8">
        <v>0</v>
      </c>
      <c r="P307" s="8">
        <v>0</v>
      </c>
      <c r="Q307" s="8">
        <v>0</v>
      </c>
      <c r="R307" s="8">
        <f t="shared" si="58"/>
        <v>1481.5663460000001</v>
      </c>
      <c r="S307" s="8">
        <v>0</v>
      </c>
      <c r="T307" s="8">
        <v>0</v>
      </c>
      <c r="U307" s="8">
        <v>1481.568</v>
      </c>
      <c r="V307" s="8">
        <v>0</v>
      </c>
      <c r="W307" s="8">
        <v>0</v>
      </c>
      <c r="X307" s="8">
        <v>0</v>
      </c>
      <c r="Y307" s="8">
        <v>0</v>
      </c>
      <c r="Z307" s="8">
        <v>9.2261999999999997E-2</v>
      </c>
      <c r="AA307" s="7">
        <v>0</v>
      </c>
      <c r="AB307" s="8">
        <v>0</v>
      </c>
      <c r="AC307" s="7">
        <v>2.0449999999999999</v>
      </c>
      <c r="AD307" s="7" t="s">
        <v>1226</v>
      </c>
      <c r="AE307" s="8">
        <v>0</v>
      </c>
      <c r="AF307" s="8">
        <v>0</v>
      </c>
      <c r="AG307" s="8">
        <v>0</v>
      </c>
      <c r="AH307" s="8">
        <v>0</v>
      </c>
      <c r="AI307" s="7" t="s">
        <v>1736</v>
      </c>
      <c r="AJ307" s="7">
        <f t="shared" ca="1" si="59"/>
        <v>1</v>
      </c>
      <c r="AK307" s="96">
        <f t="shared" si="68"/>
        <v>0</v>
      </c>
      <c r="AL307" s="97">
        <f t="shared" si="69"/>
        <v>0</v>
      </c>
    </row>
    <row r="308" spans="1:38" x14ac:dyDescent="0.3">
      <c r="A308" s="7" t="s">
        <v>1951</v>
      </c>
      <c r="B308" s="7" t="s">
        <v>1320</v>
      </c>
      <c r="C308" s="7" t="s">
        <v>1323</v>
      </c>
      <c r="D308" s="7" t="s">
        <v>1792</v>
      </c>
      <c r="E308" s="7" t="s">
        <v>1695</v>
      </c>
      <c r="F308" s="36">
        <v>43221</v>
      </c>
      <c r="G308" s="36">
        <v>44681</v>
      </c>
      <c r="H308" s="36">
        <v>44895</v>
      </c>
      <c r="I308" s="36">
        <v>44895</v>
      </c>
      <c r="J308" s="7" t="s">
        <v>1699</v>
      </c>
      <c r="K308" s="8">
        <v>0</v>
      </c>
      <c r="L308" s="8">
        <v>0</v>
      </c>
      <c r="M308" s="8">
        <v>0</v>
      </c>
      <c r="N308" s="8">
        <v>2592.59</v>
      </c>
      <c r="O308" s="8">
        <v>0</v>
      </c>
      <c r="P308" s="8">
        <v>0</v>
      </c>
      <c r="Q308" s="8">
        <v>0</v>
      </c>
      <c r="R308" s="8">
        <f t="shared" si="58"/>
        <v>2592.59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7">
        <v>0</v>
      </c>
      <c r="AB308" s="8">
        <v>0</v>
      </c>
      <c r="AC308" s="7">
        <v>2.0449999999999999</v>
      </c>
      <c r="AD308" s="7" t="s">
        <v>1226</v>
      </c>
      <c r="AE308" s="8">
        <v>0</v>
      </c>
      <c r="AF308" s="8">
        <v>0</v>
      </c>
      <c r="AG308" s="8">
        <v>0</v>
      </c>
      <c r="AH308" s="8">
        <v>0</v>
      </c>
      <c r="AI308" s="7" t="s">
        <v>1736</v>
      </c>
      <c r="AJ308" s="7">
        <f t="shared" ca="1" si="59"/>
        <v>2</v>
      </c>
      <c r="AK308" s="100">
        <f>(+AA308*AB308)/$AB$1103</f>
        <v>0</v>
      </c>
      <c r="AL308" s="97">
        <f>AC308/$AE$1103*AE308</f>
        <v>0</v>
      </c>
    </row>
    <row r="309" spans="1:38" x14ac:dyDescent="0.3">
      <c r="A309" s="7" t="s">
        <v>1952</v>
      </c>
      <c r="B309" s="7" t="s">
        <v>1320</v>
      </c>
      <c r="C309" s="7" t="s">
        <v>1323</v>
      </c>
      <c r="D309" s="7" t="s">
        <v>1792</v>
      </c>
      <c r="E309" s="7" t="s">
        <v>1695</v>
      </c>
      <c r="F309" s="36">
        <v>43221</v>
      </c>
      <c r="G309" s="36">
        <v>44681</v>
      </c>
      <c r="H309" s="36">
        <v>44895</v>
      </c>
      <c r="I309" s="36">
        <v>44895</v>
      </c>
      <c r="J309" s="7" t="s">
        <v>1696</v>
      </c>
      <c r="K309" s="8">
        <v>0</v>
      </c>
      <c r="L309" s="8">
        <v>0</v>
      </c>
      <c r="M309" s="8">
        <v>1481.5663460000001</v>
      </c>
      <c r="N309" s="8">
        <v>0</v>
      </c>
      <c r="O309" s="8">
        <v>0</v>
      </c>
      <c r="P309" s="8">
        <v>0</v>
      </c>
      <c r="Q309" s="8">
        <v>0</v>
      </c>
      <c r="R309" s="8">
        <f t="shared" si="58"/>
        <v>1481.5663460000001</v>
      </c>
      <c r="S309" s="8">
        <v>0</v>
      </c>
      <c r="T309" s="8">
        <v>0</v>
      </c>
      <c r="U309" s="8">
        <v>1481.568</v>
      </c>
      <c r="V309" s="8">
        <v>0</v>
      </c>
      <c r="W309" s="8">
        <v>0</v>
      </c>
      <c r="X309" s="8">
        <v>0</v>
      </c>
      <c r="Y309" s="8">
        <v>0</v>
      </c>
      <c r="Z309" s="8">
        <v>9.2261999999999997E-2</v>
      </c>
      <c r="AA309" s="7">
        <v>0</v>
      </c>
      <c r="AB309" s="8">
        <v>0</v>
      </c>
      <c r="AC309" s="7">
        <v>2.0449999999999999</v>
      </c>
      <c r="AD309" s="7" t="s">
        <v>1226</v>
      </c>
      <c r="AE309" s="8">
        <v>0</v>
      </c>
      <c r="AF309" s="8">
        <v>0</v>
      </c>
      <c r="AG309" s="8">
        <v>0</v>
      </c>
      <c r="AH309" s="8">
        <v>0</v>
      </c>
      <c r="AI309" s="7" t="s">
        <v>1736</v>
      </c>
      <c r="AJ309" s="7">
        <f t="shared" ca="1" si="59"/>
        <v>1</v>
      </c>
      <c r="AK309" s="96">
        <f>(+AA309*AB309)/$AB$1102</f>
        <v>0</v>
      </c>
      <c r="AL309" s="97">
        <f>AC309/$AE$1102*AE309</f>
        <v>0</v>
      </c>
    </row>
    <row r="310" spans="1:38" x14ac:dyDescent="0.3">
      <c r="A310" s="7" t="s">
        <v>1952</v>
      </c>
      <c r="B310" s="7" t="s">
        <v>1320</v>
      </c>
      <c r="C310" s="7" t="s">
        <v>1323</v>
      </c>
      <c r="D310" s="7" t="s">
        <v>1792</v>
      </c>
      <c r="E310" s="7" t="s">
        <v>1695</v>
      </c>
      <c r="F310" s="36">
        <v>43221</v>
      </c>
      <c r="G310" s="36">
        <v>44681</v>
      </c>
      <c r="H310" s="36">
        <v>44895</v>
      </c>
      <c r="I310" s="36">
        <v>44895</v>
      </c>
      <c r="J310" s="7" t="s">
        <v>1699</v>
      </c>
      <c r="K310" s="8">
        <v>0</v>
      </c>
      <c r="L310" s="8">
        <v>0</v>
      </c>
      <c r="M310" s="8">
        <v>0</v>
      </c>
      <c r="N310" s="8">
        <v>2592.59</v>
      </c>
      <c r="O310" s="8">
        <v>0</v>
      </c>
      <c r="P310" s="8">
        <v>0</v>
      </c>
      <c r="Q310" s="8">
        <v>0</v>
      </c>
      <c r="R310" s="8">
        <f t="shared" si="58"/>
        <v>2592.59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7">
        <v>0</v>
      </c>
      <c r="AB310" s="8">
        <v>0</v>
      </c>
      <c r="AC310" s="7">
        <v>2.0449999999999999</v>
      </c>
      <c r="AD310" s="7" t="s">
        <v>1226</v>
      </c>
      <c r="AE310" s="8">
        <v>0</v>
      </c>
      <c r="AF310" s="8">
        <v>0</v>
      </c>
      <c r="AG310" s="8">
        <v>0</v>
      </c>
      <c r="AH310" s="8">
        <v>0</v>
      </c>
      <c r="AI310" s="7" t="s">
        <v>1736</v>
      </c>
      <c r="AJ310" s="7">
        <f t="shared" ca="1" si="59"/>
        <v>2</v>
      </c>
      <c r="AK310" s="100">
        <f>(+AA310*AB310)/$AB$1103</f>
        <v>0</v>
      </c>
      <c r="AL310" s="97">
        <f>AC310/$AE$1103*AE310</f>
        <v>0</v>
      </c>
    </row>
    <row r="311" spans="1:38" x14ac:dyDescent="0.3">
      <c r="A311" s="7" t="s">
        <v>1953</v>
      </c>
      <c r="B311" s="7" t="s">
        <v>1320</v>
      </c>
      <c r="C311" s="7" t="s">
        <v>1323</v>
      </c>
      <c r="D311" s="7" t="s">
        <v>1792</v>
      </c>
      <c r="E311" s="7" t="s">
        <v>1695</v>
      </c>
      <c r="F311" s="36">
        <v>43221</v>
      </c>
      <c r="G311" s="36">
        <v>44681</v>
      </c>
      <c r="H311" s="36">
        <v>44895</v>
      </c>
      <c r="I311" s="36">
        <v>44895</v>
      </c>
      <c r="J311" s="7" t="s">
        <v>1696</v>
      </c>
      <c r="K311" s="8">
        <v>0</v>
      </c>
      <c r="L311" s="8">
        <v>0</v>
      </c>
      <c r="M311" s="8">
        <v>1481.5663460000001</v>
      </c>
      <c r="N311" s="8">
        <v>0</v>
      </c>
      <c r="O311" s="8">
        <v>0</v>
      </c>
      <c r="P311" s="8">
        <v>0</v>
      </c>
      <c r="Q311" s="8">
        <v>0</v>
      </c>
      <c r="R311" s="8">
        <f t="shared" si="58"/>
        <v>1481.5663460000001</v>
      </c>
      <c r="S311" s="8">
        <v>0</v>
      </c>
      <c r="T311" s="8">
        <v>0</v>
      </c>
      <c r="U311" s="8">
        <v>1481.568</v>
      </c>
      <c r="V311" s="8">
        <v>0</v>
      </c>
      <c r="W311" s="8">
        <v>0</v>
      </c>
      <c r="X311" s="8">
        <v>0</v>
      </c>
      <c r="Y311" s="8">
        <v>0</v>
      </c>
      <c r="Z311" s="8">
        <v>9.2261999999999997E-2</v>
      </c>
      <c r="AA311" s="7">
        <v>0</v>
      </c>
      <c r="AB311" s="8">
        <v>0</v>
      </c>
      <c r="AC311" s="7">
        <v>2.0449999999999999</v>
      </c>
      <c r="AD311" s="7" t="s">
        <v>1226</v>
      </c>
      <c r="AE311" s="8">
        <v>0</v>
      </c>
      <c r="AF311" s="8">
        <v>0</v>
      </c>
      <c r="AG311" s="8">
        <v>0</v>
      </c>
      <c r="AH311" s="8">
        <v>0</v>
      </c>
      <c r="AI311" s="7" t="s">
        <v>1736</v>
      </c>
      <c r="AJ311" s="7">
        <f t="shared" ca="1" si="59"/>
        <v>1</v>
      </c>
      <c r="AK311" s="96">
        <f>(+AA311*AB311)/$AB$1102</f>
        <v>0</v>
      </c>
      <c r="AL311" s="97">
        <f>AC311/$AE$1102*AE311</f>
        <v>0</v>
      </c>
    </row>
    <row r="312" spans="1:38" x14ac:dyDescent="0.3">
      <c r="A312" s="7" t="s">
        <v>1953</v>
      </c>
      <c r="B312" s="7" t="s">
        <v>1320</v>
      </c>
      <c r="C312" s="7" t="s">
        <v>1323</v>
      </c>
      <c r="D312" s="7" t="s">
        <v>1792</v>
      </c>
      <c r="E312" s="7" t="s">
        <v>1695</v>
      </c>
      <c r="F312" s="36">
        <v>43221</v>
      </c>
      <c r="G312" s="36">
        <v>44681</v>
      </c>
      <c r="H312" s="36">
        <v>44895</v>
      </c>
      <c r="I312" s="36">
        <v>44895</v>
      </c>
      <c r="J312" s="7" t="s">
        <v>1699</v>
      </c>
      <c r="K312" s="8">
        <v>0</v>
      </c>
      <c r="L312" s="8">
        <v>0</v>
      </c>
      <c r="M312" s="8">
        <v>0</v>
      </c>
      <c r="N312" s="8">
        <v>2592.59</v>
      </c>
      <c r="O312" s="8">
        <v>0</v>
      </c>
      <c r="P312" s="8">
        <v>0</v>
      </c>
      <c r="Q312" s="8">
        <v>0</v>
      </c>
      <c r="R312" s="8">
        <f t="shared" si="58"/>
        <v>2592.59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7">
        <v>0</v>
      </c>
      <c r="AB312" s="8">
        <v>0</v>
      </c>
      <c r="AC312" s="7">
        <v>2.0449999999999999</v>
      </c>
      <c r="AD312" s="7" t="s">
        <v>1226</v>
      </c>
      <c r="AE312" s="8">
        <v>0</v>
      </c>
      <c r="AF312" s="8">
        <v>0</v>
      </c>
      <c r="AG312" s="8">
        <v>0</v>
      </c>
      <c r="AH312" s="8">
        <v>0</v>
      </c>
      <c r="AI312" s="7" t="s">
        <v>1736</v>
      </c>
      <c r="AJ312" s="7">
        <f t="shared" ca="1" si="59"/>
        <v>2</v>
      </c>
      <c r="AK312" s="100">
        <f>(+AA312*AB312)/$AB$1103</f>
        <v>0</v>
      </c>
      <c r="AL312" s="97">
        <f>AC312/$AE$1103*AE312</f>
        <v>0</v>
      </c>
    </row>
    <row r="313" spans="1:38" x14ac:dyDescent="0.3">
      <c r="A313" s="7" t="s">
        <v>1954</v>
      </c>
      <c r="B313" s="7" t="s">
        <v>1320</v>
      </c>
      <c r="C313" s="7" t="s">
        <v>1323</v>
      </c>
      <c r="D313" s="7" t="s">
        <v>1792</v>
      </c>
      <c r="E313" s="7" t="s">
        <v>1695</v>
      </c>
      <c r="F313" s="36">
        <v>43221</v>
      </c>
      <c r="G313" s="36">
        <v>44681</v>
      </c>
      <c r="H313" s="36">
        <v>44869</v>
      </c>
      <c r="I313" s="36">
        <v>44869</v>
      </c>
      <c r="J313" s="7" t="s">
        <v>1696</v>
      </c>
      <c r="K313" s="8">
        <v>0</v>
      </c>
      <c r="L313" s="8">
        <v>0</v>
      </c>
      <c r="M313" s="8">
        <v>1481.5663460000001</v>
      </c>
      <c r="N313" s="8">
        <v>0</v>
      </c>
      <c r="O313" s="8">
        <v>0</v>
      </c>
      <c r="P313" s="8">
        <v>0</v>
      </c>
      <c r="Q313" s="8">
        <v>0</v>
      </c>
      <c r="R313" s="8">
        <f t="shared" si="58"/>
        <v>1481.5663460000001</v>
      </c>
      <c r="S313" s="8">
        <v>0</v>
      </c>
      <c r="T313" s="8">
        <v>0</v>
      </c>
      <c r="U313" s="8">
        <v>1481.568</v>
      </c>
      <c r="V313" s="8">
        <v>0</v>
      </c>
      <c r="W313" s="8">
        <v>0</v>
      </c>
      <c r="X313" s="8">
        <v>0</v>
      </c>
      <c r="Y313" s="8">
        <v>0</v>
      </c>
      <c r="Z313" s="8">
        <v>9.2261999999999997E-2</v>
      </c>
      <c r="AA313" s="7">
        <v>0</v>
      </c>
      <c r="AB313" s="8">
        <v>0</v>
      </c>
      <c r="AC313" s="7">
        <v>2.0449999999999999</v>
      </c>
      <c r="AD313" s="7" t="s">
        <v>1226</v>
      </c>
      <c r="AE313" s="8">
        <v>0</v>
      </c>
      <c r="AF313" s="8">
        <v>0</v>
      </c>
      <c r="AG313" s="8">
        <v>0</v>
      </c>
      <c r="AH313" s="8">
        <v>0</v>
      </c>
      <c r="AI313" s="7" t="s">
        <v>1736</v>
      </c>
      <c r="AJ313" s="7">
        <f t="shared" ca="1" si="59"/>
        <v>1</v>
      </c>
      <c r="AK313" s="96">
        <f>(+AA313*AB313)/$AB$1102</f>
        <v>0</v>
      </c>
      <c r="AL313" s="97">
        <f>AC313/$AE$1102*AE313</f>
        <v>0</v>
      </c>
    </row>
    <row r="314" spans="1:38" x14ac:dyDescent="0.3">
      <c r="A314" s="7" t="s">
        <v>1954</v>
      </c>
      <c r="B314" s="7" t="s">
        <v>1320</v>
      </c>
      <c r="C314" s="7" t="s">
        <v>1323</v>
      </c>
      <c r="D314" s="7" t="s">
        <v>1792</v>
      </c>
      <c r="E314" s="7" t="s">
        <v>1695</v>
      </c>
      <c r="F314" s="36">
        <v>43221</v>
      </c>
      <c r="G314" s="36">
        <v>44681</v>
      </c>
      <c r="H314" s="36">
        <v>44869</v>
      </c>
      <c r="I314" s="36">
        <v>44869</v>
      </c>
      <c r="J314" s="7" t="s">
        <v>1699</v>
      </c>
      <c r="K314" s="8">
        <v>0</v>
      </c>
      <c r="L314" s="8">
        <v>0</v>
      </c>
      <c r="M314" s="8">
        <v>0</v>
      </c>
      <c r="N314" s="8">
        <v>2592.59</v>
      </c>
      <c r="O314" s="8">
        <v>0</v>
      </c>
      <c r="P314" s="8">
        <v>0</v>
      </c>
      <c r="Q314" s="8">
        <v>0</v>
      </c>
      <c r="R314" s="8">
        <f t="shared" si="58"/>
        <v>2592.59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7">
        <v>0</v>
      </c>
      <c r="AB314" s="8">
        <v>0</v>
      </c>
      <c r="AC314" s="7">
        <v>2.0449999999999999</v>
      </c>
      <c r="AD314" s="7" t="s">
        <v>1226</v>
      </c>
      <c r="AE314" s="8">
        <v>0</v>
      </c>
      <c r="AF314" s="8">
        <v>0</v>
      </c>
      <c r="AG314" s="8">
        <v>0</v>
      </c>
      <c r="AH314" s="8">
        <v>0</v>
      </c>
      <c r="AI314" s="7" t="s">
        <v>1736</v>
      </c>
      <c r="AJ314" s="7">
        <f t="shared" ca="1" si="59"/>
        <v>2</v>
      </c>
      <c r="AK314" s="100">
        <f>(+AA314*AB314)/$AB$1103</f>
        <v>0</v>
      </c>
      <c r="AL314" s="97">
        <f>AC314/$AE$1103*AE314</f>
        <v>0</v>
      </c>
    </row>
    <row r="315" spans="1:38" x14ac:dyDescent="0.3">
      <c r="A315" s="7" t="s">
        <v>1955</v>
      </c>
      <c r="B315" s="7" t="s">
        <v>1320</v>
      </c>
      <c r="C315" s="7" t="s">
        <v>1323</v>
      </c>
      <c r="D315" s="7" t="s">
        <v>1792</v>
      </c>
      <c r="E315" s="7" t="s">
        <v>1773</v>
      </c>
      <c r="F315" s="36">
        <v>44869</v>
      </c>
      <c r="G315" s="36">
        <v>45263</v>
      </c>
      <c r="H315" s="36">
        <v>45263</v>
      </c>
      <c r="I315" s="36">
        <v>45294</v>
      </c>
      <c r="J315" s="7" t="s">
        <v>1696</v>
      </c>
      <c r="K315" s="8">
        <v>0</v>
      </c>
      <c r="L315" s="8">
        <v>0</v>
      </c>
      <c r="M315" s="8">
        <v>281.90370000000001</v>
      </c>
      <c r="N315" s="8">
        <v>0</v>
      </c>
      <c r="O315" s="8">
        <v>0</v>
      </c>
      <c r="P315" s="8">
        <v>0</v>
      </c>
      <c r="Q315" s="8">
        <v>0</v>
      </c>
      <c r="R315" s="8">
        <f t="shared" si="58"/>
        <v>281.90370000000001</v>
      </c>
      <c r="S315" s="8">
        <v>0</v>
      </c>
      <c r="T315" s="8">
        <v>0</v>
      </c>
      <c r="U315" s="8">
        <v>600</v>
      </c>
      <c r="V315" s="8">
        <v>0</v>
      </c>
      <c r="W315" s="8">
        <v>0</v>
      </c>
      <c r="X315" s="8">
        <v>0</v>
      </c>
      <c r="Y315" s="8">
        <v>0</v>
      </c>
      <c r="Z315" s="8">
        <v>4496.3813010000003</v>
      </c>
      <c r="AA315" s="7">
        <v>1.008219</v>
      </c>
      <c r="AB315" s="8">
        <v>3572.7050009999998</v>
      </c>
      <c r="AC315" s="7">
        <v>1.6353329999999999</v>
      </c>
      <c r="AD315" s="7" t="s">
        <v>1226</v>
      </c>
      <c r="AE315" s="8">
        <v>3600</v>
      </c>
      <c r="AF315" s="8">
        <v>0</v>
      </c>
      <c r="AG315" s="8">
        <v>3600</v>
      </c>
      <c r="AH315" s="8">
        <v>0</v>
      </c>
      <c r="AI315" s="7" t="s">
        <v>1736</v>
      </c>
      <c r="AJ315" s="7">
        <f t="shared" ca="1" si="59"/>
        <v>1</v>
      </c>
      <c r="AK315" s="96">
        <f t="shared" ref="AK315:AK316" si="70">(+AA315*AB315)/$AB$1102</f>
        <v>3.1569397996919834E-6</v>
      </c>
      <c r="AL315" s="97">
        <f t="shared" ref="AL315:AL316" si="71">AC315/$AE$1102*AE315</f>
        <v>5.0374456935334468E-6</v>
      </c>
    </row>
    <row r="316" spans="1:38" x14ac:dyDescent="0.3">
      <c r="A316" s="7" t="s">
        <v>1956</v>
      </c>
      <c r="B316" s="7" t="s">
        <v>1320</v>
      </c>
      <c r="C316" s="7" t="s">
        <v>1323</v>
      </c>
      <c r="D316" s="7" t="s">
        <v>1792</v>
      </c>
      <c r="E316" s="7" t="s">
        <v>1695</v>
      </c>
      <c r="F316" s="36">
        <v>43221</v>
      </c>
      <c r="G316" s="36">
        <v>44681</v>
      </c>
      <c r="H316" s="36">
        <v>44895</v>
      </c>
      <c r="I316" s="36">
        <v>44895</v>
      </c>
      <c r="J316" s="7" t="s">
        <v>1696</v>
      </c>
      <c r="K316" s="8">
        <v>0</v>
      </c>
      <c r="L316" s="8">
        <v>0</v>
      </c>
      <c r="M316" s="8">
        <v>1481.5663460000001</v>
      </c>
      <c r="N316" s="8">
        <v>0</v>
      </c>
      <c r="O316" s="8">
        <v>0</v>
      </c>
      <c r="P316" s="8">
        <v>0</v>
      </c>
      <c r="Q316" s="8">
        <v>0</v>
      </c>
      <c r="R316" s="8">
        <f t="shared" si="58"/>
        <v>1481.5663460000001</v>
      </c>
      <c r="S316" s="8">
        <v>0</v>
      </c>
      <c r="T316" s="8">
        <v>0</v>
      </c>
      <c r="U316" s="8">
        <v>1481.568</v>
      </c>
      <c r="V316" s="8">
        <v>0</v>
      </c>
      <c r="W316" s="8">
        <v>0</v>
      </c>
      <c r="X316" s="8">
        <v>0</v>
      </c>
      <c r="Y316" s="8">
        <v>0</v>
      </c>
      <c r="Z316" s="8">
        <v>9.2261999999999997E-2</v>
      </c>
      <c r="AA316" s="7">
        <v>0</v>
      </c>
      <c r="AB316" s="8">
        <v>0</v>
      </c>
      <c r="AC316" s="7">
        <v>2.0449999999999999</v>
      </c>
      <c r="AD316" s="7" t="s">
        <v>1226</v>
      </c>
      <c r="AE316" s="8">
        <v>0</v>
      </c>
      <c r="AF316" s="8">
        <v>0</v>
      </c>
      <c r="AG316" s="8">
        <v>0</v>
      </c>
      <c r="AH316" s="8">
        <v>0</v>
      </c>
      <c r="AI316" s="7" t="s">
        <v>1736</v>
      </c>
      <c r="AJ316" s="7">
        <f t="shared" ca="1" si="59"/>
        <v>1</v>
      </c>
      <c r="AK316" s="96">
        <f t="shared" si="70"/>
        <v>0</v>
      </c>
      <c r="AL316" s="97">
        <f t="shared" si="71"/>
        <v>0</v>
      </c>
    </row>
    <row r="317" spans="1:38" x14ac:dyDescent="0.3">
      <c r="A317" s="7" t="s">
        <v>1956</v>
      </c>
      <c r="B317" s="7" t="s">
        <v>1320</v>
      </c>
      <c r="C317" s="7" t="s">
        <v>1323</v>
      </c>
      <c r="D317" s="7" t="s">
        <v>1792</v>
      </c>
      <c r="E317" s="7" t="s">
        <v>1695</v>
      </c>
      <c r="F317" s="36">
        <v>43221</v>
      </c>
      <c r="G317" s="36">
        <v>44681</v>
      </c>
      <c r="H317" s="36">
        <v>44895</v>
      </c>
      <c r="I317" s="36">
        <v>44895</v>
      </c>
      <c r="J317" s="7" t="s">
        <v>1699</v>
      </c>
      <c r="K317" s="8">
        <v>0</v>
      </c>
      <c r="L317" s="8">
        <v>0</v>
      </c>
      <c r="M317" s="8">
        <v>0</v>
      </c>
      <c r="N317" s="8">
        <v>2592.59</v>
      </c>
      <c r="O317" s="8">
        <v>0</v>
      </c>
      <c r="P317" s="8">
        <v>0</v>
      </c>
      <c r="Q317" s="8">
        <v>0</v>
      </c>
      <c r="R317" s="8">
        <f t="shared" si="58"/>
        <v>2592.59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7">
        <v>0</v>
      </c>
      <c r="AB317" s="8">
        <v>0</v>
      </c>
      <c r="AC317" s="7">
        <v>2.0449999999999999</v>
      </c>
      <c r="AD317" s="7" t="s">
        <v>1226</v>
      </c>
      <c r="AE317" s="8">
        <v>0</v>
      </c>
      <c r="AF317" s="8">
        <v>0</v>
      </c>
      <c r="AG317" s="8">
        <v>0</v>
      </c>
      <c r="AH317" s="8">
        <v>0</v>
      </c>
      <c r="AI317" s="7" t="s">
        <v>1736</v>
      </c>
      <c r="AJ317" s="7">
        <f t="shared" ca="1" si="59"/>
        <v>2</v>
      </c>
      <c r="AK317" s="100">
        <f>(+AA317*AB317)/$AB$1103</f>
        <v>0</v>
      </c>
      <c r="AL317" s="97">
        <f>AC317/$AE$1103*AE317</f>
        <v>0</v>
      </c>
    </row>
    <row r="318" spans="1:38" x14ac:dyDescent="0.3">
      <c r="A318" s="7" t="s">
        <v>1957</v>
      </c>
      <c r="B318" s="7" t="s">
        <v>1320</v>
      </c>
      <c r="C318" s="7" t="s">
        <v>1323</v>
      </c>
      <c r="D318" s="7" t="s">
        <v>1792</v>
      </c>
      <c r="E318" s="7" t="s">
        <v>1695</v>
      </c>
      <c r="F318" s="36">
        <v>43221</v>
      </c>
      <c r="G318" s="36">
        <v>44681</v>
      </c>
      <c r="H318" s="36">
        <v>44895</v>
      </c>
      <c r="I318" s="36">
        <v>44895</v>
      </c>
      <c r="J318" s="7" t="s">
        <v>1696</v>
      </c>
      <c r="K318" s="8">
        <v>0</v>
      </c>
      <c r="L318" s="8">
        <v>0</v>
      </c>
      <c r="M318" s="8">
        <v>1481.5663460000001</v>
      </c>
      <c r="N318" s="8">
        <v>0</v>
      </c>
      <c r="O318" s="8">
        <v>0</v>
      </c>
      <c r="P318" s="8">
        <v>0</v>
      </c>
      <c r="Q318" s="8">
        <v>0</v>
      </c>
      <c r="R318" s="8">
        <f t="shared" si="58"/>
        <v>1481.5663460000001</v>
      </c>
      <c r="S318" s="8">
        <v>0</v>
      </c>
      <c r="T318" s="8">
        <v>0</v>
      </c>
      <c r="U318" s="8">
        <v>1481.568</v>
      </c>
      <c r="V318" s="8">
        <v>0</v>
      </c>
      <c r="W318" s="8">
        <v>0</v>
      </c>
      <c r="X318" s="8">
        <v>0</v>
      </c>
      <c r="Y318" s="8">
        <v>0</v>
      </c>
      <c r="Z318" s="8">
        <v>9.2261999999999997E-2</v>
      </c>
      <c r="AA318" s="7">
        <v>0</v>
      </c>
      <c r="AB318" s="8">
        <v>0</v>
      </c>
      <c r="AC318" s="7">
        <v>2.0449999999999999</v>
      </c>
      <c r="AD318" s="7" t="s">
        <v>1226</v>
      </c>
      <c r="AE318" s="8">
        <v>0</v>
      </c>
      <c r="AF318" s="8">
        <v>0</v>
      </c>
      <c r="AG318" s="8">
        <v>0</v>
      </c>
      <c r="AH318" s="8">
        <v>0</v>
      </c>
      <c r="AI318" s="7" t="s">
        <v>1736</v>
      </c>
      <c r="AJ318" s="7">
        <f t="shared" ca="1" si="59"/>
        <v>1</v>
      </c>
      <c r="AK318" s="96">
        <f>(+AA318*AB318)/$AB$1102</f>
        <v>0</v>
      </c>
      <c r="AL318" s="97">
        <f>AC318/$AE$1102*AE318</f>
        <v>0</v>
      </c>
    </row>
    <row r="319" spans="1:38" x14ac:dyDescent="0.3">
      <c r="A319" s="7" t="s">
        <v>1957</v>
      </c>
      <c r="B319" s="7" t="s">
        <v>1320</v>
      </c>
      <c r="C319" s="7" t="s">
        <v>1323</v>
      </c>
      <c r="D319" s="7" t="s">
        <v>1792</v>
      </c>
      <c r="E319" s="7" t="s">
        <v>1695</v>
      </c>
      <c r="F319" s="36">
        <v>43221</v>
      </c>
      <c r="G319" s="36">
        <v>44681</v>
      </c>
      <c r="H319" s="36">
        <v>44895</v>
      </c>
      <c r="I319" s="36">
        <v>44895</v>
      </c>
      <c r="J319" s="7" t="s">
        <v>1699</v>
      </c>
      <c r="K319" s="8">
        <v>0</v>
      </c>
      <c r="L319" s="8">
        <v>0</v>
      </c>
      <c r="M319" s="8">
        <v>0</v>
      </c>
      <c r="N319" s="8">
        <v>2592.59</v>
      </c>
      <c r="O319" s="8">
        <v>0</v>
      </c>
      <c r="P319" s="8">
        <v>0</v>
      </c>
      <c r="Q319" s="8">
        <v>0</v>
      </c>
      <c r="R319" s="8">
        <f t="shared" si="58"/>
        <v>2592.59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7">
        <v>0</v>
      </c>
      <c r="AB319" s="8">
        <v>0</v>
      </c>
      <c r="AC319" s="7">
        <v>2.0449999999999999</v>
      </c>
      <c r="AD319" s="7" t="s">
        <v>1226</v>
      </c>
      <c r="AE319" s="8">
        <v>0</v>
      </c>
      <c r="AF319" s="8">
        <v>0</v>
      </c>
      <c r="AG319" s="8">
        <v>0</v>
      </c>
      <c r="AH319" s="8">
        <v>0</v>
      </c>
      <c r="AI319" s="7" t="s">
        <v>1736</v>
      </c>
      <c r="AJ319" s="7">
        <f t="shared" ca="1" si="59"/>
        <v>2</v>
      </c>
      <c r="AK319" s="100">
        <f>(+AA319*AB319)/$AB$1103</f>
        <v>0</v>
      </c>
      <c r="AL319" s="97">
        <f>AC319/$AE$1103*AE319</f>
        <v>0</v>
      </c>
    </row>
    <row r="320" spans="1:38" x14ac:dyDescent="0.3">
      <c r="A320" s="7" t="s">
        <v>1958</v>
      </c>
      <c r="B320" s="7" t="s">
        <v>1320</v>
      </c>
      <c r="C320" s="7" t="s">
        <v>1323</v>
      </c>
      <c r="D320" s="7" t="s">
        <v>1792</v>
      </c>
      <c r="E320" s="7" t="s">
        <v>1695</v>
      </c>
      <c r="F320" s="36">
        <v>43221</v>
      </c>
      <c r="G320" s="36">
        <v>44681</v>
      </c>
      <c r="H320" s="36">
        <v>44895</v>
      </c>
      <c r="I320" s="36">
        <v>44895</v>
      </c>
      <c r="J320" s="7" t="s">
        <v>1696</v>
      </c>
      <c r="K320" s="8">
        <v>0</v>
      </c>
      <c r="L320" s="8">
        <v>0</v>
      </c>
      <c r="M320" s="8">
        <v>1481.5663460000001</v>
      </c>
      <c r="N320" s="8">
        <v>0</v>
      </c>
      <c r="O320" s="8">
        <v>0</v>
      </c>
      <c r="P320" s="8">
        <v>0</v>
      </c>
      <c r="Q320" s="8">
        <v>0</v>
      </c>
      <c r="R320" s="8">
        <f t="shared" si="58"/>
        <v>1481.5663460000001</v>
      </c>
      <c r="S320" s="8">
        <v>0</v>
      </c>
      <c r="T320" s="8">
        <v>0</v>
      </c>
      <c r="U320" s="8">
        <v>1481.568</v>
      </c>
      <c r="V320" s="8">
        <v>0</v>
      </c>
      <c r="W320" s="8">
        <v>0</v>
      </c>
      <c r="X320" s="8">
        <v>0</v>
      </c>
      <c r="Y320" s="8">
        <v>0</v>
      </c>
      <c r="Z320" s="8">
        <v>9.2261999999999997E-2</v>
      </c>
      <c r="AA320" s="7">
        <v>0</v>
      </c>
      <c r="AB320" s="8">
        <v>0</v>
      </c>
      <c r="AC320" s="7">
        <v>2.0449999999999999</v>
      </c>
      <c r="AD320" s="7" t="s">
        <v>1226</v>
      </c>
      <c r="AE320" s="8">
        <v>0</v>
      </c>
      <c r="AF320" s="8">
        <v>0</v>
      </c>
      <c r="AG320" s="8">
        <v>0</v>
      </c>
      <c r="AH320" s="8">
        <v>0</v>
      </c>
      <c r="AI320" s="7" t="s">
        <v>1736</v>
      </c>
      <c r="AJ320" s="7">
        <f t="shared" ca="1" si="59"/>
        <v>1</v>
      </c>
      <c r="AK320" s="96">
        <f>(+AA320*AB320)/$AB$1102</f>
        <v>0</v>
      </c>
      <c r="AL320" s="97">
        <f>AC320/$AE$1102*AE320</f>
        <v>0</v>
      </c>
    </row>
    <row r="321" spans="1:38" x14ac:dyDescent="0.3">
      <c r="A321" s="7" t="s">
        <v>1958</v>
      </c>
      <c r="B321" s="7" t="s">
        <v>1320</v>
      </c>
      <c r="C321" s="7" t="s">
        <v>1323</v>
      </c>
      <c r="D321" s="7" t="s">
        <v>1792</v>
      </c>
      <c r="E321" s="7" t="s">
        <v>1695</v>
      </c>
      <c r="F321" s="36">
        <v>43221</v>
      </c>
      <c r="G321" s="36">
        <v>44681</v>
      </c>
      <c r="H321" s="36">
        <v>44895</v>
      </c>
      <c r="I321" s="36">
        <v>44895</v>
      </c>
      <c r="J321" s="7" t="s">
        <v>1699</v>
      </c>
      <c r="K321" s="8">
        <v>0</v>
      </c>
      <c r="L321" s="8">
        <v>0</v>
      </c>
      <c r="M321" s="8">
        <v>0</v>
      </c>
      <c r="N321" s="8">
        <v>2592.59</v>
      </c>
      <c r="O321" s="8">
        <v>0</v>
      </c>
      <c r="P321" s="8">
        <v>0</v>
      </c>
      <c r="Q321" s="8">
        <v>0</v>
      </c>
      <c r="R321" s="8">
        <f t="shared" si="58"/>
        <v>2592.59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7">
        <v>0</v>
      </c>
      <c r="AB321" s="8">
        <v>0</v>
      </c>
      <c r="AC321" s="7">
        <v>2.0449999999999999</v>
      </c>
      <c r="AD321" s="7" t="s">
        <v>1226</v>
      </c>
      <c r="AE321" s="8">
        <v>0</v>
      </c>
      <c r="AF321" s="8">
        <v>0</v>
      </c>
      <c r="AG321" s="8">
        <v>0</v>
      </c>
      <c r="AH321" s="8">
        <v>0</v>
      </c>
      <c r="AI321" s="7" t="s">
        <v>1736</v>
      </c>
      <c r="AJ321" s="7">
        <f t="shared" ca="1" si="59"/>
        <v>2</v>
      </c>
      <c r="AK321" s="100">
        <f>(+AA321*AB321)/$AB$1103</f>
        <v>0</v>
      </c>
      <c r="AL321" s="97">
        <f>AC321/$AE$1103*AE321</f>
        <v>0</v>
      </c>
    </row>
    <row r="322" spans="1:38" x14ac:dyDescent="0.3">
      <c r="A322" s="7" t="s">
        <v>1959</v>
      </c>
      <c r="B322" s="7" t="s">
        <v>1320</v>
      </c>
      <c r="C322" s="7" t="s">
        <v>1323</v>
      </c>
      <c r="D322" s="7" t="s">
        <v>1792</v>
      </c>
      <c r="E322" s="7" t="s">
        <v>1695</v>
      </c>
      <c r="F322" s="36">
        <v>43221</v>
      </c>
      <c r="G322" s="36">
        <v>44681</v>
      </c>
      <c r="H322" s="36">
        <v>44866</v>
      </c>
      <c r="I322" s="36">
        <v>44866</v>
      </c>
      <c r="J322" s="7" t="s">
        <v>1696</v>
      </c>
      <c r="K322" s="8">
        <v>0</v>
      </c>
      <c r="L322" s="8">
        <v>0</v>
      </c>
      <c r="M322" s="8">
        <v>1481.5663460000001</v>
      </c>
      <c r="N322" s="8">
        <v>0</v>
      </c>
      <c r="O322" s="8">
        <v>0</v>
      </c>
      <c r="P322" s="8">
        <v>0</v>
      </c>
      <c r="Q322" s="8">
        <v>0</v>
      </c>
      <c r="R322" s="8">
        <f t="shared" si="58"/>
        <v>1481.5663460000001</v>
      </c>
      <c r="S322" s="8">
        <v>0</v>
      </c>
      <c r="T322" s="8">
        <v>0</v>
      </c>
      <c r="U322" s="8">
        <v>1481.568</v>
      </c>
      <c r="V322" s="8">
        <v>0</v>
      </c>
      <c r="W322" s="8">
        <v>0</v>
      </c>
      <c r="X322" s="8">
        <v>0</v>
      </c>
      <c r="Y322" s="8">
        <v>0</v>
      </c>
      <c r="Z322" s="8">
        <v>9.2261999999999997E-2</v>
      </c>
      <c r="AA322" s="7">
        <v>0</v>
      </c>
      <c r="AB322" s="8">
        <v>0</v>
      </c>
      <c r="AC322" s="7">
        <v>2.0449999999999999</v>
      </c>
      <c r="AD322" s="7" t="s">
        <v>1226</v>
      </c>
      <c r="AE322" s="8">
        <v>0</v>
      </c>
      <c r="AF322" s="8">
        <v>0</v>
      </c>
      <c r="AG322" s="8">
        <v>0</v>
      </c>
      <c r="AH322" s="8">
        <v>0</v>
      </c>
      <c r="AI322" s="7" t="s">
        <v>1736</v>
      </c>
      <c r="AJ322" s="7">
        <f t="shared" ca="1" si="59"/>
        <v>1</v>
      </c>
      <c r="AK322" s="96">
        <f>(+AA322*AB322)/$AB$1102</f>
        <v>0</v>
      </c>
      <c r="AL322" s="97">
        <f>AC322/$AE$1102*AE322</f>
        <v>0</v>
      </c>
    </row>
    <row r="323" spans="1:38" x14ac:dyDescent="0.3">
      <c r="A323" s="7" t="s">
        <v>1959</v>
      </c>
      <c r="B323" s="7" t="s">
        <v>1320</v>
      </c>
      <c r="C323" s="7" t="s">
        <v>1323</v>
      </c>
      <c r="D323" s="7" t="s">
        <v>1792</v>
      </c>
      <c r="E323" s="7" t="s">
        <v>1695</v>
      </c>
      <c r="F323" s="36">
        <v>43221</v>
      </c>
      <c r="G323" s="36">
        <v>44681</v>
      </c>
      <c r="H323" s="36">
        <v>44866</v>
      </c>
      <c r="I323" s="36">
        <v>44866</v>
      </c>
      <c r="J323" s="7" t="s">
        <v>1699</v>
      </c>
      <c r="K323" s="8">
        <v>0</v>
      </c>
      <c r="L323" s="8">
        <v>0</v>
      </c>
      <c r="M323" s="8">
        <v>0</v>
      </c>
      <c r="N323" s="8">
        <v>2222.2199999999998</v>
      </c>
      <c r="O323" s="8">
        <v>0</v>
      </c>
      <c r="P323" s="8">
        <v>0</v>
      </c>
      <c r="Q323" s="8">
        <v>0</v>
      </c>
      <c r="R323" s="8">
        <f t="shared" ref="R323:R386" si="72">K323+L323+M323+N323+O323+P323+Q323</f>
        <v>2222.2199999999998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7">
        <v>0</v>
      </c>
      <c r="AB323" s="8">
        <v>0</v>
      </c>
      <c r="AC323" s="7">
        <v>2.0449999999999999</v>
      </c>
      <c r="AD323" s="7" t="s">
        <v>1226</v>
      </c>
      <c r="AE323" s="8">
        <v>0</v>
      </c>
      <c r="AF323" s="8">
        <v>0</v>
      </c>
      <c r="AG323" s="8">
        <v>0</v>
      </c>
      <c r="AH323" s="8">
        <v>0</v>
      </c>
      <c r="AI323" s="7" t="s">
        <v>1736</v>
      </c>
      <c r="AJ323" s="7">
        <f t="shared" ref="AJ323:AJ386" ca="1" si="73">IF(A323=OFFSET(A323,-1,0),OFFSET(AJ323,-1,0)+1,1)</f>
        <v>2</v>
      </c>
      <c r="AK323" s="100">
        <f>(+AA323*AB323)/$AB$1103</f>
        <v>0</v>
      </c>
      <c r="AL323" s="97">
        <f>AC323/$AE$1103*AE323</f>
        <v>0</v>
      </c>
    </row>
    <row r="324" spans="1:38" x14ac:dyDescent="0.3">
      <c r="A324" s="7" t="s">
        <v>1960</v>
      </c>
      <c r="B324" s="7" t="s">
        <v>1320</v>
      </c>
      <c r="C324" s="7" t="s">
        <v>1323</v>
      </c>
      <c r="D324" s="7" t="s">
        <v>1792</v>
      </c>
      <c r="E324" s="7" t="s">
        <v>1773</v>
      </c>
      <c r="F324" s="36">
        <v>44866</v>
      </c>
      <c r="G324" s="36">
        <v>44895</v>
      </c>
      <c r="H324" s="36">
        <v>44895</v>
      </c>
      <c r="I324" s="36">
        <v>44895</v>
      </c>
      <c r="J324" s="7" t="s">
        <v>1696</v>
      </c>
      <c r="K324" s="8">
        <v>0</v>
      </c>
      <c r="L324" s="8">
        <v>0</v>
      </c>
      <c r="M324" s="8">
        <v>834.48321399999998</v>
      </c>
      <c r="N324" s="8">
        <v>0</v>
      </c>
      <c r="O324" s="8">
        <v>0</v>
      </c>
      <c r="P324" s="8">
        <v>0</v>
      </c>
      <c r="Q324" s="8">
        <v>0</v>
      </c>
      <c r="R324" s="8">
        <f t="shared" si="72"/>
        <v>834.48321399999998</v>
      </c>
      <c r="S324" s="8">
        <v>0</v>
      </c>
      <c r="T324" s="8">
        <v>0</v>
      </c>
      <c r="U324" s="8">
        <v>740.74</v>
      </c>
      <c r="V324" s="8">
        <v>0</v>
      </c>
      <c r="W324" s="8">
        <v>0</v>
      </c>
      <c r="X324" s="8">
        <v>0</v>
      </c>
      <c r="Y324" s="8">
        <v>0</v>
      </c>
      <c r="Z324" s="8">
        <v>12973.351589</v>
      </c>
      <c r="AA324" s="7">
        <v>0</v>
      </c>
      <c r="AB324" s="8">
        <v>12274.034803</v>
      </c>
      <c r="AC324" s="7">
        <v>2</v>
      </c>
      <c r="AD324" s="7" t="s">
        <v>1226</v>
      </c>
      <c r="AE324" s="8">
        <v>11111.1</v>
      </c>
      <c r="AF324" s="8">
        <v>0</v>
      </c>
      <c r="AG324" s="8">
        <v>11111.1</v>
      </c>
      <c r="AH324" s="8">
        <v>0</v>
      </c>
      <c r="AI324" s="7" t="s">
        <v>1736</v>
      </c>
      <c r="AJ324" s="7">
        <f t="shared" ca="1" si="73"/>
        <v>1</v>
      </c>
      <c r="AK324" s="96">
        <f t="shared" ref="AK324:AK325" si="74">(+AA324*AB324)/$AB$1102</f>
        <v>0</v>
      </c>
      <c r="AL324" s="97">
        <f t="shared" ref="AL324:AL325" si="75">AC324/$AE$1102*AE324</f>
        <v>1.9014667160694316E-5</v>
      </c>
    </row>
    <row r="325" spans="1:38" x14ac:dyDescent="0.3">
      <c r="A325" s="7" t="s">
        <v>1961</v>
      </c>
      <c r="B325" s="7" t="s">
        <v>1320</v>
      </c>
      <c r="C325" s="7" t="s">
        <v>1323</v>
      </c>
      <c r="D325" s="7" t="s">
        <v>1792</v>
      </c>
      <c r="E325" s="7" t="s">
        <v>1695</v>
      </c>
      <c r="F325" s="36">
        <v>43221</v>
      </c>
      <c r="G325" s="36">
        <v>44681</v>
      </c>
      <c r="H325" s="36">
        <v>44895</v>
      </c>
      <c r="I325" s="36">
        <v>44895</v>
      </c>
      <c r="J325" s="7" t="s">
        <v>1696</v>
      </c>
      <c r="K325" s="8">
        <v>0</v>
      </c>
      <c r="L325" s="8">
        <v>0</v>
      </c>
      <c r="M325" s="8">
        <v>1481.5663460000001</v>
      </c>
      <c r="N325" s="8">
        <v>0</v>
      </c>
      <c r="O325" s="8">
        <v>0</v>
      </c>
      <c r="P325" s="8">
        <v>0</v>
      </c>
      <c r="Q325" s="8">
        <v>0</v>
      </c>
      <c r="R325" s="8">
        <f t="shared" si="72"/>
        <v>1481.5663460000001</v>
      </c>
      <c r="S325" s="8">
        <v>0</v>
      </c>
      <c r="T325" s="8">
        <v>0</v>
      </c>
      <c r="U325" s="8">
        <v>1481.568</v>
      </c>
      <c r="V325" s="8">
        <v>0</v>
      </c>
      <c r="W325" s="8">
        <v>0</v>
      </c>
      <c r="X325" s="8">
        <v>0</v>
      </c>
      <c r="Y325" s="8">
        <v>0</v>
      </c>
      <c r="Z325" s="8">
        <v>9.2261999999999997E-2</v>
      </c>
      <c r="AA325" s="7">
        <v>0</v>
      </c>
      <c r="AB325" s="8">
        <v>0</v>
      </c>
      <c r="AC325" s="7">
        <v>2.0449999999999999</v>
      </c>
      <c r="AD325" s="7" t="s">
        <v>1226</v>
      </c>
      <c r="AE325" s="8">
        <v>0</v>
      </c>
      <c r="AF325" s="8">
        <v>0</v>
      </c>
      <c r="AG325" s="8">
        <v>0</v>
      </c>
      <c r="AH325" s="8">
        <v>0</v>
      </c>
      <c r="AI325" s="7" t="s">
        <v>1736</v>
      </c>
      <c r="AJ325" s="7">
        <f t="shared" ca="1" si="73"/>
        <v>1</v>
      </c>
      <c r="AK325" s="96">
        <f t="shared" si="74"/>
        <v>0</v>
      </c>
      <c r="AL325" s="97">
        <f t="shared" si="75"/>
        <v>0</v>
      </c>
    </row>
    <row r="326" spans="1:38" x14ac:dyDescent="0.3">
      <c r="A326" s="7" t="s">
        <v>1961</v>
      </c>
      <c r="B326" s="7" t="s">
        <v>1320</v>
      </c>
      <c r="C326" s="7" t="s">
        <v>1323</v>
      </c>
      <c r="D326" s="7" t="s">
        <v>1792</v>
      </c>
      <c r="E326" s="7" t="s">
        <v>1695</v>
      </c>
      <c r="F326" s="36">
        <v>43221</v>
      </c>
      <c r="G326" s="36">
        <v>44681</v>
      </c>
      <c r="H326" s="36">
        <v>44895</v>
      </c>
      <c r="I326" s="36">
        <v>44895</v>
      </c>
      <c r="J326" s="7" t="s">
        <v>1699</v>
      </c>
      <c r="K326" s="8">
        <v>0</v>
      </c>
      <c r="L326" s="8">
        <v>0</v>
      </c>
      <c r="M326" s="8">
        <v>0</v>
      </c>
      <c r="N326" s="8">
        <v>2592.59</v>
      </c>
      <c r="O326" s="8">
        <v>0</v>
      </c>
      <c r="P326" s="8">
        <v>0</v>
      </c>
      <c r="Q326" s="8">
        <v>0</v>
      </c>
      <c r="R326" s="8">
        <f t="shared" si="72"/>
        <v>2592.59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7">
        <v>0</v>
      </c>
      <c r="AB326" s="8">
        <v>0</v>
      </c>
      <c r="AC326" s="7">
        <v>2.0449999999999999</v>
      </c>
      <c r="AD326" s="7" t="s">
        <v>1226</v>
      </c>
      <c r="AE326" s="8">
        <v>0</v>
      </c>
      <c r="AF326" s="8">
        <v>0</v>
      </c>
      <c r="AG326" s="8">
        <v>0</v>
      </c>
      <c r="AH326" s="8">
        <v>0</v>
      </c>
      <c r="AI326" s="7" t="s">
        <v>1736</v>
      </c>
      <c r="AJ326" s="7">
        <f t="shared" ca="1" si="73"/>
        <v>2</v>
      </c>
      <c r="AK326" s="100">
        <f>(+AA326*AB326)/$AB$1103</f>
        <v>0</v>
      </c>
      <c r="AL326" s="97">
        <f>AC326/$AE$1103*AE326</f>
        <v>0</v>
      </c>
    </row>
    <row r="327" spans="1:38" x14ac:dyDescent="0.3">
      <c r="A327" s="7" t="s">
        <v>1962</v>
      </c>
      <c r="B327" s="7" t="s">
        <v>1320</v>
      </c>
      <c r="C327" s="7" t="s">
        <v>1323</v>
      </c>
      <c r="D327" s="7" t="s">
        <v>1792</v>
      </c>
      <c r="E327" s="7" t="s">
        <v>1695</v>
      </c>
      <c r="F327" s="36">
        <v>43221</v>
      </c>
      <c r="G327" s="36">
        <v>44681</v>
      </c>
      <c r="H327" s="36">
        <v>44895</v>
      </c>
      <c r="I327" s="36">
        <v>44895</v>
      </c>
      <c r="J327" s="7" t="s">
        <v>1696</v>
      </c>
      <c r="K327" s="8">
        <v>0</v>
      </c>
      <c r="L327" s="8">
        <v>0</v>
      </c>
      <c r="M327" s="8">
        <v>1481.5663460000001</v>
      </c>
      <c r="N327" s="8">
        <v>0</v>
      </c>
      <c r="O327" s="8">
        <v>0</v>
      </c>
      <c r="P327" s="8">
        <v>0</v>
      </c>
      <c r="Q327" s="8">
        <v>0</v>
      </c>
      <c r="R327" s="8">
        <f t="shared" si="72"/>
        <v>1481.5663460000001</v>
      </c>
      <c r="S327" s="8">
        <v>0</v>
      </c>
      <c r="T327" s="8">
        <v>0</v>
      </c>
      <c r="U327" s="8">
        <v>1481.568</v>
      </c>
      <c r="V327" s="8">
        <v>0</v>
      </c>
      <c r="W327" s="8">
        <v>0</v>
      </c>
      <c r="X327" s="8">
        <v>0</v>
      </c>
      <c r="Y327" s="8">
        <v>0</v>
      </c>
      <c r="Z327" s="8">
        <v>9.2261999999999997E-2</v>
      </c>
      <c r="AA327" s="7">
        <v>0</v>
      </c>
      <c r="AB327" s="8">
        <v>0</v>
      </c>
      <c r="AC327" s="7">
        <v>2.0449999999999999</v>
      </c>
      <c r="AD327" s="7" t="s">
        <v>1226</v>
      </c>
      <c r="AE327" s="8">
        <v>0</v>
      </c>
      <c r="AF327" s="8">
        <v>0</v>
      </c>
      <c r="AG327" s="8">
        <v>0</v>
      </c>
      <c r="AH327" s="8">
        <v>0</v>
      </c>
      <c r="AI327" s="7" t="s">
        <v>1736</v>
      </c>
      <c r="AJ327" s="7">
        <f t="shared" ca="1" si="73"/>
        <v>1</v>
      </c>
      <c r="AK327" s="96">
        <f>(+AA327*AB327)/$AB$1102</f>
        <v>0</v>
      </c>
      <c r="AL327" s="97">
        <f>AC327/$AE$1102*AE327</f>
        <v>0</v>
      </c>
    </row>
    <row r="328" spans="1:38" x14ac:dyDescent="0.3">
      <c r="A328" s="7" t="s">
        <v>1962</v>
      </c>
      <c r="B328" s="7" t="s">
        <v>1320</v>
      </c>
      <c r="C328" s="7" t="s">
        <v>1323</v>
      </c>
      <c r="D328" s="7" t="s">
        <v>1792</v>
      </c>
      <c r="E328" s="7" t="s">
        <v>1695</v>
      </c>
      <c r="F328" s="36">
        <v>43221</v>
      </c>
      <c r="G328" s="36">
        <v>44681</v>
      </c>
      <c r="H328" s="36">
        <v>44895</v>
      </c>
      <c r="I328" s="36">
        <v>44895</v>
      </c>
      <c r="J328" s="7" t="s">
        <v>1699</v>
      </c>
      <c r="K328" s="8">
        <v>0</v>
      </c>
      <c r="L328" s="8">
        <v>0</v>
      </c>
      <c r="M328" s="8">
        <v>0</v>
      </c>
      <c r="N328" s="8">
        <v>2592.59</v>
      </c>
      <c r="O328" s="8">
        <v>0</v>
      </c>
      <c r="P328" s="8">
        <v>0</v>
      </c>
      <c r="Q328" s="8">
        <v>0</v>
      </c>
      <c r="R328" s="8">
        <f t="shared" si="72"/>
        <v>2592.59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7">
        <v>0</v>
      </c>
      <c r="AB328" s="8">
        <v>0</v>
      </c>
      <c r="AC328" s="7">
        <v>2.0449999999999999</v>
      </c>
      <c r="AD328" s="7" t="s">
        <v>1226</v>
      </c>
      <c r="AE328" s="8">
        <v>0</v>
      </c>
      <c r="AF328" s="8">
        <v>0</v>
      </c>
      <c r="AG328" s="8">
        <v>0</v>
      </c>
      <c r="AH328" s="8">
        <v>0</v>
      </c>
      <c r="AI328" s="7" t="s">
        <v>1736</v>
      </c>
      <c r="AJ328" s="7">
        <f t="shared" ca="1" si="73"/>
        <v>2</v>
      </c>
      <c r="AK328" s="100">
        <f>(+AA328*AB328)/$AB$1103</f>
        <v>0</v>
      </c>
      <c r="AL328" s="97">
        <f>AC328/$AE$1103*AE328</f>
        <v>0</v>
      </c>
    </row>
    <row r="329" spans="1:38" x14ac:dyDescent="0.3">
      <c r="A329" s="7" t="s">
        <v>1963</v>
      </c>
      <c r="B329" s="7" t="s">
        <v>1320</v>
      </c>
      <c r="C329" s="7" t="s">
        <v>1323</v>
      </c>
      <c r="D329" s="7" t="s">
        <v>1792</v>
      </c>
      <c r="E329" s="7" t="s">
        <v>1695</v>
      </c>
      <c r="F329" s="36">
        <v>43221</v>
      </c>
      <c r="G329" s="36">
        <v>44681</v>
      </c>
      <c r="H329" s="36">
        <v>44895</v>
      </c>
      <c r="I329" s="36">
        <v>44895</v>
      </c>
      <c r="J329" s="7" t="s">
        <v>1696</v>
      </c>
      <c r="K329" s="8">
        <v>0</v>
      </c>
      <c r="L329" s="8">
        <v>0</v>
      </c>
      <c r="M329" s="8">
        <v>1481.5663460000001</v>
      </c>
      <c r="N329" s="8">
        <v>0</v>
      </c>
      <c r="O329" s="8">
        <v>0</v>
      </c>
      <c r="P329" s="8">
        <v>0</v>
      </c>
      <c r="Q329" s="8">
        <v>0</v>
      </c>
      <c r="R329" s="8">
        <f t="shared" si="72"/>
        <v>1481.5663460000001</v>
      </c>
      <c r="S329" s="8">
        <v>0</v>
      </c>
      <c r="T329" s="8">
        <v>0</v>
      </c>
      <c r="U329" s="8">
        <v>1481.568</v>
      </c>
      <c r="V329" s="8">
        <v>0</v>
      </c>
      <c r="W329" s="8">
        <v>0</v>
      </c>
      <c r="X329" s="8">
        <v>0</v>
      </c>
      <c r="Y329" s="8">
        <v>0</v>
      </c>
      <c r="Z329" s="8">
        <v>9.2261999999999997E-2</v>
      </c>
      <c r="AA329" s="7">
        <v>0</v>
      </c>
      <c r="AB329" s="8">
        <v>0</v>
      </c>
      <c r="AC329" s="7">
        <v>2.0449999999999999</v>
      </c>
      <c r="AD329" s="7" t="s">
        <v>1226</v>
      </c>
      <c r="AE329" s="8">
        <v>0</v>
      </c>
      <c r="AF329" s="8">
        <v>0</v>
      </c>
      <c r="AG329" s="8">
        <v>0</v>
      </c>
      <c r="AH329" s="8">
        <v>0</v>
      </c>
      <c r="AI329" s="7" t="s">
        <v>1736</v>
      </c>
      <c r="AJ329" s="7">
        <f t="shared" ca="1" si="73"/>
        <v>1</v>
      </c>
      <c r="AK329" s="96">
        <f>(+AA329*AB329)/$AB$1102</f>
        <v>0</v>
      </c>
      <c r="AL329" s="97">
        <f>AC329/$AE$1102*AE329</f>
        <v>0</v>
      </c>
    </row>
    <row r="330" spans="1:38" x14ac:dyDescent="0.3">
      <c r="A330" s="7" t="s">
        <v>1963</v>
      </c>
      <c r="B330" s="7" t="s">
        <v>1320</v>
      </c>
      <c r="C330" s="7" t="s">
        <v>1323</v>
      </c>
      <c r="D330" s="7" t="s">
        <v>1792</v>
      </c>
      <c r="E330" s="7" t="s">
        <v>1695</v>
      </c>
      <c r="F330" s="36">
        <v>43221</v>
      </c>
      <c r="G330" s="36">
        <v>44681</v>
      </c>
      <c r="H330" s="36">
        <v>44895</v>
      </c>
      <c r="I330" s="36">
        <v>44895</v>
      </c>
      <c r="J330" s="7" t="s">
        <v>1699</v>
      </c>
      <c r="K330" s="8">
        <v>0</v>
      </c>
      <c r="L330" s="8">
        <v>0</v>
      </c>
      <c r="M330" s="8">
        <v>0</v>
      </c>
      <c r="N330" s="8">
        <v>2592.59</v>
      </c>
      <c r="O330" s="8">
        <v>0</v>
      </c>
      <c r="P330" s="8">
        <v>0</v>
      </c>
      <c r="Q330" s="8">
        <v>0</v>
      </c>
      <c r="R330" s="8">
        <f t="shared" si="72"/>
        <v>2592.59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7">
        <v>0</v>
      </c>
      <c r="AB330" s="8">
        <v>0</v>
      </c>
      <c r="AC330" s="7">
        <v>2.0449999999999999</v>
      </c>
      <c r="AD330" s="7" t="s">
        <v>1226</v>
      </c>
      <c r="AE330" s="8">
        <v>0</v>
      </c>
      <c r="AF330" s="8">
        <v>0</v>
      </c>
      <c r="AG330" s="8">
        <v>0</v>
      </c>
      <c r="AH330" s="8">
        <v>0</v>
      </c>
      <c r="AI330" s="7" t="s">
        <v>1736</v>
      </c>
      <c r="AJ330" s="7">
        <f t="shared" ca="1" si="73"/>
        <v>2</v>
      </c>
      <c r="AK330" s="100">
        <f>(+AA330*AB330)/$AB$1103</f>
        <v>0</v>
      </c>
      <c r="AL330" s="97">
        <f>AC330/$AE$1103*AE330</f>
        <v>0</v>
      </c>
    </row>
    <row r="331" spans="1:38" x14ac:dyDescent="0.3">
      <c r="A331" s="7" t="s">
        <v>1964</v>
      </c>
      <c r="B331" s="7" t="s">
        <v>1320</v>
      </c>
      <c r="C331" s="7" t="s">
        <v>1323</v>
      </c>
      <c r="D331" s="7" t="s">
        <v>1792</v>
      </c>
      <c r="E331" s="7" t="s">
        <v>1695</v>
      </c>
      <c r="F331" s="36">
        <v>43221</v>
      </c>
      <c r="G331" s="36">
        <v>44681</v>
      </c>
      <c r="H331" s="36">
        <v>44895</v>
      </c>
      <c r="I331" s="36">
        <v>44895</v>
      </c>
      <c r="J331" s="7" t="s">
        <v>1696</v>
      </c>
      <c r="K331" s="8">
        <v>0</v>
      </c>
      <c r="L331" s="8">
        <v>0</v>
      </c>
      <c r="M331" s="8">
        <v>1481.5663460000001</v>
      </c>
      <c r="N331" s="8">
        <v>0</v>
      </c>
      <c r="O331" s="8">
        <v>0</v>
      </c>
      <c r="P331" s="8">
        <v>0</v>
      </c>
      <c r="Q331" s="8">
        <v>0</v>
      </c>
      <c r="R331" s="8">
        <f t="shared" si="72"/>
        <v>1481.5663460000001</v>
      </c>
      <c r="S331" s="8">
        <v>0</v>
      </c>
      <c r="T331" s="8">
        <v>0</v>
      </c>
      <c r="U331" s="8">
        <v>1481.568</v>
      </c>
      <c r="V331" s="8">
        <v>0</v>
      </c>
      <c r="W331" s="8">
        <v>0</v>
      </c>
      <c r="X331" s="8">
        <v>0</v>
      </c>
      <c r="Y331" s="8">
        <v>0</v>
      </c>
      <c r="Z331" s="8">
        <v>9.2261999999999997E-2</v>
      </c>
      <c r="AA331" s="7">
        <v>0</v>
      </c>
      <c r="AB331" s="8">
        <v>0</v>
      </c>
      <c r="AC331" s="7">
        <v>2.0449999999999999</v>
      </c>
      <c r="AD331" s="7" t="s">
        <v>1226</v>
      </c>
      <c r="AE331" s="8">
        <v>0</v>
      </c>
      <c r="AF331" s="8">
        <v>0</v>
      </c>
      <c r="AG331" s="8">
        <v>0</v>
      </c>
      <c r="AH331" s="8">
        <v>0</v>
      </c>
      <c r="AI331" s="7" t="s">
        <v>1736</v>
      </c>
      <c r="AJ331" s="7">
        <f t="shared" ca="1" si="73"/>
        <v>1</v>
      </c>
      <c r="AK331" s="96">
        <f>(+AA331*AB331)/$AB$1102</f>
        <v>0</v>
      </c>
      <c r="AL331" s="97">
        <f>AC331/$AE$1102*AE331</f>
        <v>0</v>
      </c>
    </row>
    <row r="332" spans="1:38" x14ac:dyDescent="0.3">
      <c r="A332" s="7" t="s">
        <v>1964</v>
      </c>
      <c r="B332" s="7" t="s">
        <v>1320</v>
      </c>
      <c r="C332" s="7" t="s">
        <v>1323</v>
      </c>
      <c r="D332" s="7" t="s">
        <v>1792</v>
      </c>
      <c r="E332" s="7" t="s">
        <v>1695</v>
      </c>
      <c r="F332" s="36">
        <v>43221</v>
      </c>
      <c r="G332" s="36">
        <v>44681</v>
      </c>
      <c r="H332" s="36">
        <v>44895</v>
      </c>
      <c r="I332" s="36">
        <v>44895</v>
      </c>
      <c r="J332" s="7" t="s">
        <v>1699</v>
      </c>
      <c r="K332" s="8">
        <v>0</v>
      </c>
      <c r="L332" s="8">
        <v>0</v>
      </c>
      <c r="M332" s="8">
        <v>0</v>
      </c>
      <c r="N332" s="8">
        <v>2592.59</v>
      </c>
      <c r="O332" s="8">
        <v>0</v>
      </c>
      <c r="P332" s="8">
        <v>0</v>
      </c>
      <c r="Q332" s="8">
        <v>0</v>
      </c>
      <c r="R332" s="8">
        <f t="shared" si="72"/>
        <v>2592.59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7">
        <v>0</v>
      </c>
      <c r="AB332" s="8">
        <v>0</v>
      </c>
      <c r="AC332" s="7">
        <v>2.0449999999999999</v>
      </c>
      <c r="AD332" s="7" t="s">
        <v>1226</v>
      </c>
      <c r="AE332" s="8">
        <v>0</v>
      </c>
      <c r="AF332" s="8">
        <v>0</v>
      </c>
      <c r="AG332" s="8">
        <v>0</v>
      </c>
      <c r="AH332" s="8">
        <v>0</v>
      </c>
      <c r="AI332" s="7" t="s">
        <v>1736</v>
      </c>
      <c r="AJ332" s="7">
        <f t="shared" ca="1" si="73"/>
        <v>2</v>
      </c>
      <c r="AK332" s="100">
        <f>(+AA332*AB332)/$AB$1103</f>
        <v>0</v>
      </c>
      <c r="AL332" s="97">
        <f>AC332/$AE$1103*AE332</f>
        <v>0</v>
      </c>
    </row>
    <row r="333" spans="1:38" x14ac:dyDescent="0.3">
      <c r="A333" s="7" t="s">
        <v>1965</v>
      </c>
      <c r="B333" s="7" t="s">
        <v>1320</v>
      </c>
      <c r="C333" s="7" t="s">
        <v>1323</v>
      </c>
      <c r="D333" s="7" t="s">
        <v>1792</v>
      </c>
      <c r="E333" s="7" t="s">
        <v>1695</v>
      </c>
      <c r="F333" s="36">
        <v>43221</v>
      </c>
      <c r="G333" s="36">
        <v>44681</v>
      </c>
      <c r="H333" s="36">
        <v>44895</v>
      </c>
      <c r="I333" s="36">
        <v>44895</v>
      </c>
      <c r="J333" s="7" t="s">
        <v>1696</v>
      </c>
      <c r="K333" s="8">
        <v>0</v>
      </c>
      <c r="L333" s="8">
        <v>0</v>
      </c>
      <c r="M333" s="8">
        <v>1481.5663460000001</v>
      </c>
      <c r="N333" s="8">
        <v>0</v>
      </c>
      <c r="O333" s="8">
        <v>0</v>
      </c>
      <c r="P333" s="8">
        <v>0</v>
      </c>
      <c r="Q333" s="8">
        <v>0</v>
      </c>
      <c r="R333" s="8">
        <f t="shared" si="72"/>
        <v>1481.5663460000001</v>
      </c>
      <c r="S333" s="8">
        <v>0</v>
      </c>
      <c r="T333" s="8">
        <v>0</v>
      </c>
      <c r="U333" s="8">
        <v>1481.568</v>
      </c>
      <c r="V333" s="8">
        <v>0</v>
      </c>
      <c r="W333" s="8">
        <v>0</v>
      </c>
      <c r="X333" s="8">
        <v>0</v>
      </c>
      <c r="Y333" s="8">
        <v>0</v>
      </c>
      <c r="Z333" s="8">
        <v>9.2261999999999997E-2</v>
      </c>
      <c r="AA333" s="7">
        <v>0</v>
      </c>
      <c r="AB333" s="8">
        <v>0</v>
      </c>
      <c r="AC333" s="7">
        <v>2.0449999999999999</v>
      </c>
      <c r="AD333" s="7" t="s">
        <v>1226</v>
      </c>
      <c r="AE333" s="8">
        <v>0</v>
      </c>
      <c r="AF333" s="8">
        <v>0</v>
      </c>
      <c r="AG333" s="8">
        <v>0</v>
      </c>
      <c r="AH333" s="8">
        <v>0</v>
      </c>
      <c r="AI333" s="7" t="s">
        <v>1736</v>
      </c>
      <c r="AJ333" s="7">
        <f t="shared" ca="1" si="73"/>
        <v>1</v>
      </c>
      <c r="AK333" s="96">
        <f>(+AA333*AB333)/$AB$1102</f>
        <v>0</v>
      </c>
      <c r="AL333" s="97">
        <f>AC333/$AE$1102*AE333</f>
        <v>0</v>
      </c>
    </row>
    <row r="334" spans="1:38" x14ac:dyDescent="0.3">
      <c r="A334" s="7" t="s">
        <v>1965</v>
      </c>
      <c r="B334" s="7" t="s">
        <v>1320</v>
      </c>
      <c r="C334" s="7" t="s">
        <v>1323</v>
      </c>
      <c r="D334" s="7" t="s">
        <v>1792</v>
      </c>
      <c r="E334" s="7" t="s">
        <v>1695</v>
      </c>
      <c r="F334" s="36">
        <v>43221</v>
      </c>
      <c r="G334" s="36">
        <v>44681</v>
      </c>
      <c r="H334" s="36">
        <v>44895</v>
      </c>
      <c r="I334" s="36">
        <v>44895</v>
      </c>
      <c r="J334" s="7" t="s">
        <v>1699</v>
      </c>
      <c r="K334" s="8">
        <v>0</v>
      </c>
      <c r="L334" s="8">
        <v>0</v>
      </c>
      <c r="M334" s="8">
        <v>0</v>
      </c>
      <c r="N334" s="8">
        <v>2592.59</v>
      </c>
      <c r="O334" s="8">
        <v>0</v>
      </c>
      <c r="P334" s="8">
        <v>0</v>
      </c>
      <c r="Q334" s="8">
        <v>0</v>
      </c>
      <c r="R334" s="8">
        <f t="shared" si="72"/>
        <v>2592.59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7">
        <v>0</v>
      </c>
      <c r="AB334" s="8">
        <v>0</v>
      </c>
      <c r="AC334" s="7">
        <v>2.0449999999999999</v>
      </c>
      <c r="AD334" s="7" t="s">
        <v>1226</v>
      </c>
      <c r="AE334" s="8">
        <v>0</v>
      </c>
      <c r="AF334" s="8">
        <v>0</v>
      </c>
      <c r="AG334" s="8">
        <v>0</v>
      </c>
      <c r="AH334" s="8">
        <v>0</v>
      </c>
      <c r="AI334" s="7" t="s">
        <v>1736</v>
      </c>
      <c r="AJ334" s="7">
        <f t="shared" ca="1" si="73"/>
        <v>2</v>
      </c>
      <c r="AK334" s="100">
        <f>(+AA334*AB334)/$AB$1103</f>
        <v>0</v>
      </c>
      <c r="AL334" s="97">
        <f>AC334/$AE$1103*AE334</f>
        <v>0</v>
      </c>
    </row>
    <row r="335" spans="1:38" x14ac:dyDescent="0.3">
      <c r="A335" s="7" t="s">
        <v>1966</v>
      </c>
      <c r="B335" s="7" t="s">
        <v>1320</v>
      </c>
      <c r="C335" s="7" t="s">
        <v>1323</v>
      </c>
      <c r="D335" s="7" t="s">
        <v>1792</v>
      </c>
      <c r="E335" s="7" t="s">
        <v>1695</v>
      </c>
      <c r="F335" s="36">
        <v>43221</v>
      </c>
      <c r="G335" s="36">
        <v>44681</v>
      </c>
      <c r="H335" s="36">
        <v>44895</v>
      </c>
      <c r="I335" s="36">
        <v>44895</v>
      </c>
      <c r="J335" s="7" t="s">
        <v>1696</v>
      </c>
      <c r="K335" s="8">
        <v>0</v>
      </c>
      <c r="L335" s="8">
        <v>0</v>
      </c>
      <c r="M335" s="8">
        <v>1481.5663460000001</v>
      </c>
      <c r="N335" s="8">
        <v>0</v>
      </c>
      <c r="O335" s="8">
        <v>0</v>
      </c>
      <c r="P335" s="8">
        <v>0</v>
      </c>
      <c r="Q335" s="8">
        <v>0</v>
      </c>
      <c r="R335" s="8">
        <f t="shared" si="72"/>
        <v>1481.5663460000001</v>
      </c>
      <c r="S335" s="8">
        <v>0</v>
      </c>
      <c r="T335" s="8">
        <v>0</v>
      </c>
      <c r="U335" s="8">
        <v>1481.568</v>
      </c>
      <c r="V335" s="8">
        <v>0</v>
      </c>
      <c r="W335" s="8">
        <v>0</v>
      </c>
      <c r="X335" s="8">
        <v>0</v>
      </c>
      <c r="Y335" s="8">
        <v>0</v>
      </c>
      <c r="Z335" s="8">
        <v>9.2261999999999997E-2</v>
      </c>
      <c r="AA335" s="7">
        <v>0</v>
      </c>
      <c r="AB335" s="8">
        <v>0</v>
      </c>
      <c r="AC335" s="7">
        <v>2.0449999999999999</v>
      </c>
      <c r="AD335" s="7" t="s">
        <v>1226</v>
      </c>
      <c r="AE335" s="8">
        <v>0</v>
      </c>
      <c r="AF335" s="8">
        <v>0</v>
      </c>
      <c r="AG335" s="8">
        <v>0</v>
      </c>
      <c r="AH335" s="8">
        <v>0</v>
      </c>
      <c r="AI335" s="7" t="s">
        <v>1736</v>
      </c>
      <c r="AJ335" s="7">
        <f t="shared" ca="1" si="73"/>
        <v>1</v>
      </c>
      <c r="AK335" s="96">
        <f>(+AA335*AB335)/$AB$1102</f>
        <v>0</v>
      </c>
      <c r="AL335" s="97">
        <f>AC335/$AE$1102*AE335</f>
        <v>0</v>
      </c>
    </row>
    <row r="336" spans="1:38" x14ac:dyDescent="0.3">
      <c r="A336" s="7" t="s">
        <v>1966</v>
      </c>
      <c r="B336" s="7" t="s">
        <v>1320</v>
      </c>
      <c r="C336" s="7" t="s">
        <v>1323</v>
      </c>
      <c r="D336" s="7" t="s">
        <v>1792</v>
      </c>
      <c r="E336" s="7" t="s">
        <v>1695</v>
      </c>
      <c r="F336" s="36">
        <v>43221</v>
      </c>
      <c r="G336" s="36">
        <v>44681</v>
      </c>
      <c r="H336" s="36">
        <v>44895</v>
      </c>
      <c r="I336" s="36">
        <v>44895</v>
      </c>
      <c r="J336" s="7" t="s">
        <v>1699</v>
      </c>
      <c r="K336" s="8">
        <v>0</v>
      </c>
      <c r="L336" s="8">
        <v>0</v>
      </c>
      <c r="M336" s="8">
        <v>0</v>
      </c>
      <c r="N336" s="8">
        <v>2592.59</v>
      </c>
      <c r="O336" s="8">
        <v>0</v>
      </c>
      <c r="P336" s="8">
        <v>0</v>
      </c>
      <c r="Q336" s="8">
        <v>0</v>
      </c>
      <c r="R336" s="8">
        <f t="shared" si="72"/>
        <v>2592.59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7">
        <v>0</v>
      </c>
      <c r="AB336" s="8">
        <v>0</v>
      </c>
      <c r="AC336" s="7">
        <v>2.0449999999999999</v>
      </c>
      <c r="AD336" s="7" t="s">
        <v>1226</v>
      </c>
      <c r="AE336" s="8">
        <v>0</v>
      </c>
      <c r="AF336" s="8">
        <v>0</v>
      </c>
      <c r="AG336" s="8">
        <v>0</v>
      </c>
      <c r="AH336" s="8">
        <v>0</v>
      </c>
      <c r="AI336" s="7" t="s">
        <v>1736</v>
      </c>
      <c r="AJ336" s="7">
        <f t="shared" ca="1" si="73"/>
        <v>2</v>
      </c>
      <c r="AK336" s="100">
        <f>(+AA336*AB336)/$AB$1103</f>
        <v>0</v>
      </c>
      <c r="AL336" s="97">
        <f>AC336/$AE$1103*AE336</f>
        <v>0</v>
      </c>
    </row>
    <row r="337" spans="1:38" x14ac:dyDescent="0.3">
      <c r="A337" s="7" t="s">
        <v>1967</v>
      </c>
      <c r="B337" s="7" t="s">
        <v>1320</v>
      </c>
      <c r="C337" s="7" t="s">
        <v>1323</v>
      </c>
      <c r="D337" s="7" t="s">
        <v>1792</v>
      </c>
      <c r="E337" s="7" t="s">
        <v>1695</v>
      </c>
      <c r="F337" s="36">
        <v>43221</v>
      </c>
      <c r="G337" s="36">
        <v>44681</v>
      </c>
      <c r="H337" s="36">
        <v>44895</v>
      </c>
      <c r="I337" s="36">
        <v>44895</v>
      </c>
      <c r="J337" s="7" t="s">
        <v>1696</v>
      </c>
      <c r="K337" s="8">
        <v>0</v>
      </c>
      <c r="L337" s="8">
        <v>0</v>
      </c>
      <c r="M337" s="8">
        <v>1481.5663460000001</v>
      </c>
      <c r="N337" s="8">
        <v>0</v>
      </c>
      <c r="O337" s="8">
        <v>0</v>
      </c>
      <c r="P337" s="8">
        <v>0</v>
      </c>
      <c r="Q337" s="8">
        <v>0</v>
      </c>
      <c r="R337" s="8">
        <f t="shared" si="72"/>
        <v>1481.5663460000001</v>
      </c>
      <c r="S337" s="8">
        <v>0</v>
      </c>
      <c r="T337" s="8">
        <v>0</v>
      </c>
      <c r="U337" s="8">
        <v>1481.568</v>
      </c>
      <c r="V337" s="8">
        <v>0</v>
      </c>
      <c r="W337" s="8">
        <v>0</v>
      </c>
      <c r="X337" s="8">
        <v>0</v>
      </c>
      <c r="Y337" s="8">
        <v>0</v>
      </c>
      <c r="Z337" s="8">
        <v>9.2261999999999997E-2</v>
      </c>
      <c r="AA337" s="7">
        <v>0</v>
      </c>
      <c r="AB337" s="8">
        <v>0</v>
      </c>
      <c r="AC337" s="7">
        <v>2.0449999999999999</v>
      </c>
      <c r="AD337" s="7" t="s">
        <v>1226</v>
      </c>
      <c r="AE337" s="8">
        <v>0</v>
      </c>
      <c r="AF337" s="8">
        <v>0</v>
      </c>
      <c r="AG337" s="8">
        <v>0</v>
      </c>
      <c r="AH337" s="8">
        <v>0</v>
      </c>
      <c r="AI337" s="7" t="s">
        <v>1736</v>
      </c>
      <c r="AJ337" s="7">
        <f t="shared" ca="1" si="73"/>
        <v>1</v>
      </c>
      <c r="AK337" s="96">
        <f>(+AA337*AB337)/$AB$1102</f>
        <v>0</v>
      </c>
      <c r="AL337" s="97">
        <f>AC337/$AE$1102*AE337</f>
        <v>0</v>
      </c>
    </row>
    <row r="338" spans="1:38" x14ac:dyDescent="0.3">
      <c r="A338" s="7" t="s">
        <v>1967</v>
      </c>
      <c r="B338" s="7" t="s">
        <v>1320</v>
      </c>
      <c r="C338" s="7" t="s">
        <v>1323</v>
      </c>
      <c r="D338" s="7" t="s">
        <v>1792</v>
      </c>
      <c r="E338" s="7" t="s">
        <v>1695</v>
      </c>
      <c r="F338" s="36">
        <v>43221</v>
      </c>
      <c r="G338" s="36">
        <v>44681</v>
      </c>
      <c r="H338" s="36">
        <v>44895</v>
      </c>
      <c r="I338" s="36">
        <v>44895</v>
      </c>
      <c r="J338" s="7" t="s">
        <v>1699</v>
      </c>
      <c r="K338" s="8">
        <v>0</v>
      </c>
      <c r="L338" s="8">
        <v>0</v>
      </c>
      <c r="M338" s="8">
        <v>0</v>
      </c>
      <c r="N338" s="8">
        <v>2592.59</v>
      </c>
      <c r="O338" s="8">
        <v>0</v>
      </c>
      <c r="P338" s="8">
        <v>0</v>
      </c>
      <c r="Q338" s="8">
        <v>0</v>
      </c>
      <c r="R338" s="8">
        <f t="shared" si="72"/>
        <v>2592.59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7">
        <v>0</v>
      </c>
      <c r="AB338" s="8">
        <v>0</v>
      </c>
      <c r="AC338" s="7">
        <v>2.0449999999999999</v>
      </c>
      <c r="AD338" s="7" t="s">
        <v>1226</v>
      </c>
      <c r="AE338" s="8">
        <v>0</v>
      </c>
      <c r="AF338" s="8">
        <v>0</v>
      </c>
      <c r="AG338" s="8">
        <v>0</v>
      </c>
      <c r="AH338" s="8">
        <v>0</v>
      </c>
      <c r="AI338" s="7" t="s">
        <v>1736</v>
      </c>
      <c r="AJ338" s="7">
        <f t="shared" ca="1" si="73"/>
        <v>2</v>
      </c>
      <c r="AK338" s="100">
        <f>(+AA338*AB338)/$AB$1103</f>
        <v>0</v>
      </c>
      <c r="AL338" s="97">
        <f>AC338/$AE$1103*AE338</f>
        <v>0</v>
      </c>
    </row>
    <row r="339" spans="1:38" x14ac:dyDescent="0.3">
      <c r="A339" s="7" t="s">
        <v>1968</v>
      </c>
      <c r="B339" s="7" t="s">
        <v>1320</v>
      </c>
      <c r="C339" s="7" t="s">
        <v>1323</v>
      </c>
      <c r="D339" s="7" t="s">
        <v>1792</v>
      </c>
      <c r="E339" s="7" t="s">
        <v>1695</v>
      </c>
      <c r="F339" s="36">
        <v>43221</v>
      </c>
      <c r="G339" s="36">
        <v>44681</v>
      </c>
      <c r="J339" s="7" t="s">
        <v>1696</v>
      </c>
      <c r="K339" s="8">
        <v>0</v>
      </c>
      <c r="L339" s="8">
        <v>0</v>
      </c>
      <c r="M339" s="8">
        <v>1481.5663460000001</v>
      </c>
      <c r="N339" s="8">
        <v>0</v>
      </c>
      <c r="O339" s="8">
        <v>0</v>
      </c>
      <c r="P339" s="8">
        <v>0</v>
      </c>
      <c r="Q339" s="8">
        <v>0</v>
      </c>
      <c r="R339" s="8">
        <f t="shared" si="72"/>
        <v>1481.5663460000001</v>
      </c>
      <c r="S339" s="8">
        <v>0</v>
      </c>
      <c r="T339" s="8">
        <v>0</v>
      </c>
      <c r="U339" s="8">
        <v>1481.568</v>
      </c>
      <c r="V339" s="8">
        <v>0</v>
      </c>
      <c r="W339" s="8">
        <v>0</v>
      </c>
      <c r="X339" s="8">
        <v>0</v>
      </c>
      <c r="Y339" s="8">
        <v>0</v>
      </c>
      <c r="Z339" s="8">
        <v>9.2261999999999997E-2</v>
      </c>
      <c r="AA339" s="7">
        <v>0</v>
      </c>
      <c r="AB339" s="8">
        <v>0</v>
      </c>
      <c r="AC339" s="7">
        <v>2.0449999999999999</v>
      </c>
      <c r="AD339" s="7" t="s">
        <v>1226</v>
      </c>
      <c r="AE339" s="8">
        <v>0</v>
      </c>
      <c r="AF339" s="8">
        <v>0</v>
      </c>
      <c r="AG339" s="8">
        <v>0</v>
      </c>
      <c r="AH339" s="8">
        <v>0</v>
      </c>
      <c r="AI339" s="7" t="s">
        <v>1736</v>
      </c>
      <c r="AJ339" s="7">
        <f t="shared" ca="1" si="73"/>
        <v>1</v>
      </c>
      <c r="AK339" s="96">
        <f>(+AA339*AB339)/$AB$1102</f>
        <v>0</v>
      </c>
      <c r="AL339" s="97">
        <f>AC339/$AE$1102*AE339</f>
        <v>0</v>
      </c>
    </row>
    <row r="340" spans="1:38" x14ac:dyDescent="0.3">
      <c r="A340" s="7" t="s">
        <v>1968</v>
      </c>
      <c r="B340" s="7" t="s">
        <v>1320</v>
      </c>
      <c r="C340" s="7" t="s">
        <v>1323</v>
      </c>
      <c r="D340" s="7" t="s">
        <v>1792</v>
      </c>
      <c r="E340" s="7" t="s">
        <v>1695</v>
      </c>
      <c r="F340" s="36">
        <v>43221</v>
      </c>
      <c r="G340" s="36">
        <v>44681</v>
      </c>
      <c r="J340" s="7" t="s">
        <v>1699</v>
      </c>
      <c r="K340" s="8">
        <v>0</v>
      </c>
      <c r="L340" s="8">
        <v>0</v>
      </c>
      <c r="M340" s="8">
        <v>0</v>
      </c>
      <c r="N340" s="8">
        <v>2592.59</v>
      </c>
      <c r="O340" s="8">
        <v>0</v>
      </c>
      <c r="P340" s="8">
        <v>0</v>
      </c>
      <c r="Q340" s="8">
        <v>0</v>
      </c>
      <c r="R340" s="8">
        <f t="shared" si="72"/>
        <v>2592.59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7">
        <v>0</v>
      </c>
      <c r="AB340" s="8">
        <v>0</v>
      </c>
      <c r="AC340" s="7">
        <v>2.0449999999999999</v>
      </c>
      <c r="AD340" s="7" t="s">
        <v>1226</v>
      </c>
      <c r="AE340" s="8">
        <v>0</v>
      </c>
      <c r="AF340" s="8">
        <v>0</v>
      </c>
      <c r="AG340" s="8">
        <v>0</v>
      </c>
      <c r="AH340" s="8">
        <v>0</v>
      </c>
      <c r="AI340" s="7" t="s">
        <v>1736</v>
      </c>
      <c r="AJ340" s="7">
        <f t="shared" ca="1" si="73"/>
        <v>2</v>
      </c>
      <c r="AK340" s="100">
        <f>(+AA340*AB340)/$AB$1103</f>
        <v>0</v>
      </c>
      <c r="AL340" s="97">
        <f>AC340/$AE$1103*AE340</f>
        <v>0</v>
      </c>
    </row>
    <row r="341" spans="1:38" x14ac:dyDescent="0.3">
      <c r="A341" s="7" t="s">
        <v>1969</v>
      </c>
      <c r="B341" s="7" t="s">
        <v>1320</v>
      </c>
      <c r="C341" s="7" t="s">
        <v>1323</v>
      </c>
      <c r="D341" s="7" t="s">
        <v>1792</v>
      </c>
      <c r="E341" s="7" t="s">
        <v>1773</v>
      </c>
      <c r="F341" s="36">
        <v>44869</v>
      </c>
      <c r="G341" s="36">
        <v>44898</v>
      </c>
      <c r="H341" s="36">
        <v>44898</v>
      </c>
      <c r="I341" s="36">
        <v>44898</v>
      </c>
      <c r="J341" s="7" t="s">
        <v>1696</v>
      </c>
      <c r="K341" s="8">
        <v>0</v>
      </c>
      <c r="L341" s="8">
        <v>0</v>
      </c>
      <c r="M341" s="8">
        <v>249.34080299999999</v>
      </c>
      <c r="N341" s="8">
        <v>0</v>
      </c>
      <c r="O341" s="8">
        <v>0</v>
      </c>
      <c r="P341" s="8">
        <v>0</v>
      </c>
      <c r="Q341" s="8">
        <v>0</v>
      </c>
      <c r="R341" s="8">
        <f t="shared" si="72"/>
        <v>249.34080299999999</v>
      </c>
      <c r="S341" s="8">
        <v>0</v>
      </c>
      <c r="T341" s="8">
        <v>0</v>
      </c>
      <c r="U341" s="8">
        <v>600</v>
      </c>
      <c r="V341" s="8">
        <v>0</v>
      </c>
      <c r="W341" s="8">
        <v>0</v>
      </c>
      <c r="X341" s="8">
        <v>0</v>
      </c>
      <c r="Y341" s="8">
        <v>0</v>
      </c>
      <c r="Z341" s="8">
        <v>14737.817703000001</v>
      </c>
      <c r="AA341" s="7">
        <v>0</v>
      </c>
      <c r="AB341" s="8">
        <v>13848.808505999999</v>
      </c>
      <c r="AC341" s="7">
        <v>2</v>
      </c>
      <c r="AD341" s="7" t="s">
        <v>1226</v>
      </c>
      <c r="AE341" s="8">
        <v>14400</v>
      </c>
      <c r="AF341" s="8">
        <v>0</v>
      </c>
      <c r="AG341" s="8">
        <v>14400</v>
      </c>
      <c r="AH341" s="8">
        <v>0</v>
      </c>
      <c r="AI341" s="7" t="s">
        <v>1736</v>
      </c>
      <c r="AJ341" s="7">
        <f t="shared" ca="1" si="73"/>
        <v>1</v>
      </c>
      <c r="AK341" s="96">
        <f t="shared" ref="AK341:AK342" si="76">(+AA341*AB341)/$AB$1102</f>
        <v>0</v>
      </c>
      <c r="AL341" s="97">
        <f t="shared" ref="AL341:AL342" si="77">AC341/$AE$1102*AE341</f>
        <v>2.4643033283293115E-5</v>
      </c>
    </row>
    <row r="342" spans="1:38" x14ac:dyDescent="0.3">
      <c r="A342" s="7" t="s">
        <v>1970</v>
      </c>
      <c r="B342" s="7" t="s">
        <v>1320</v>
      </c>
      <c r="C342" s="7" t="s">
        <v>1323</v>
      </c>
      <c r="D342" s="7" t="s">
        <v>1792</v>
      </c>
      <c r="E342" s="7" t="s">
        <v>1695</v>
      </c>
      <c r="F342" s="36">
        <v>43221</v>
      </c>
      <c r="G342" s="36">
        <v>44681</v>
      </c>
      <c r="H342" s="36">
        <v>44895</v>
      </c>
      <c r="I342" s="36">
        <v>44895</v>
      </c>
      <c r="J342" s="7" t="s">
        <v>1696</v>
      </c>
      <c r="K342" s="8">
        <v>0</v>
      </c>
      <c r="L342" s="8">
        <v>0</v>
      </c>
      <c r="M342" s="8">
        <v>1481.5663460000001</v>
      </c>
      <c r="N342" s="8">
        <v>0</v>
      </c>
      <c r="O342" s="8">
        <v>0</v>
      </c>
      <c r="P342" s="8">
        <v>0</v>
      </c>
      <c r="Q342" s="8">
        <v>0</v>
      </c>
      <c r="R342" s="8">
        <f t="shared" si="72"/>
        <v>1481.5663460000001</v>
      </c>
      <c r="S342" s="8">
        <v>0</v>
      </c>
      <c r="T342" s="8">
        <v>0</v>
      </c>
      <c r="U342" s="8">
        <v>1481.568</v>
      </c>
      <c r="V342" s="8">
        <v>0</v>
      </c>
      <c r="W342" s="8">
        <v>0</v>
      </c>
      <c r="X342" s="8">
        <v>0</v>
      </c>
      <c r="Y342" s="8">
        <v>0</v>
      </c>
      <c r="Z342" s="8">
        <v>9.2261999999999997E-2</v>
      </c>
      <c r="AA342" s="7">
        <v>0</v>
      </c>
      <c r="AB342" s="8">
        <v>0</v>
      </c>
      <c r="AC342" s="7">
        <v>2.0449999999999999</v>
      </c>
      <c r="AD342" s="7" t="s">
        <v>1226</v>
      </c>
      <c r="AE342" s="8">
        <v>0</v>
      </c>
      <c r="AF342" s="8">
        <v>0</v>
      </c>
      <c r="AG342" s="8">
        <v>0</v>
      </c>
      <c r="AH342" s="8">
        <v>0</v>
      </c>
      <c r="AI342" s="7" t="s">
        <v>1736</v>
      </c>
      <c r="AJ342" s="7">
        <f t="shared" ca="1" si="73"/>
        <v>1</v>
      </c>
      <c r="AK342" s="96">
        <f t="shared" si="76"/>
        <v>0</v>
      </c>
      <c r="AL342" s="97">
        <f t="shared" si="77"/>
        <v>0</v>
      </c>
    </row>
    <row r="343" spans="1:38" x14ac:dyDescent="0.3">
      <c r="A343" s="7" t="s">
        <v>1970</v>
      </c>
      <c r="B343" s="7" t="s">
        <v>1320</v>
      </c>
      <c r="C343" s="7" t="s">
        <v>1323</v>
      </c>
      <c r="D343" s="7" t="s">
        <v>1792</v>
      </c>
      <c r="E343" s="7" t="s">
        <v>1695</v>
      </c>
      <c r="F343" s="36">
        <v>43221</v>
      </c>
      <c r="G343" s="36">
        <v>44681</v>
      </c>
      <c r="H343" s="36">
        <v>44895</v>
      </c>
      <c r="I343" s="36">
        <v>44895</v>
      </c>
      <c r="J343" s="7" t="s">
        <v>1699</v>
      </c>
      <c r="K343" s="8">
        <v>0</v>
      </c>
      <c r="L343" s="8">
        <v>0</v>
      </c>
      <c r="M343" s="8">
        <v>0</v>
      </c>
      <c r="N343" s="8">
        <v>2592.59</v>
      </c>
      <c r="O343" s="8">
        <v>0</v>
      </c>
      <c r="P343" s="8">
        <v>0</v>
      </c>
      <c r="Q343" s="8">
        <v>0</v>
      </c>
      <c r="R343" s="8">
        <f t="shared" si="72"/>
        <v>2592.59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7">
        <v>0</v>
      </c>
      <c r="AB343" s="8">
        <v>0</v>
      </c>
      <c r="AC343" s="7">
        <v>2.0449999999999999</v>
      </c>
      <c r="AD343" s="7" t="s">
        <v>1226</v>
      </c>
      <c r="AE343" s="8">
        <v>0</v>
      </c>
      <c r="AF343" s="8">
        <v>0</v>
      </c>
      <c r="AG343" s="8">
        <v>0</v>
      </c>
      <c r="AH343" s="8">
        <v>0</v>
      </c>
      <c r="AI343" s="7" t="s">
        <v>1736</v>
      </c>
      <c r="AJ343" s="7">
        <f t="shared" ca="1" si="73"/>
        <v>2</v>
      </c>
      <c r="AK343" s="100">
        <f>(+AA343*AB343)/$AB$1103</f>
        <v>0</v>
      </c>
      <c r="AL343" s="97">
        <f>AC343/$AE$1103*AE343</f>
        <v>0</v>
      </c>
    </row>
    <row r="344" spans="1:38" x14ac:dyDescent="0.3">
      <c r="A344" s="7" t="s">
        <v>1971</v>
      </c>
      <c r="B344" s="7" t="s">
        <v>1320</v>
      </c>
      <c r="C344" s="7" t="s">
        <v>1323</v>
      </c>
      <c r="D344" s="7" t="s">
        <v>1792</v>
      </c>
      <c r="E344" s="7" t="s">
        <v>1695</v>
      </c>
      <c r="F344" s="36">
        <v>43221</v>
      </c>
      <c r="G344" s="36">
        <v>44681</v>
      </c>
      <c r="H344" s="36">
        <v>44895</v>
      </c>
      <c r="I344" s="36">
        <v>44895</v>
      </c>
      <c r="J344" s="7" t="s">
        <v>1696</v>
      </c>
      <c r="K344" s="8">
        <v>0</v>
      </c>
      <c r="L344" s="8">
        <v>0</v>
      </c>
      <c r="M344" s="8">
        <v>1481.5663460000001</v>
      </c>
      <c r="N344" s="8">
        <v>0</v>
      </c>
      <c r="O344" s="8">
        <v>0</v>
      </c>
      <c r="P344" s="8">
        <v>0</v>
      </c>
      <c r="Q344" s="8">
        <v>0</v>
      </c>
      <c r="R344" s="8">
        <f t="shared" si="72"/>
        <v>1481.5663460000001</v>
      </c>
      <c r="S344" s="8">
        <v>0</v>
      </c>
      <c r="T344" s="8">
        <v>0</v>
      </c>
      <c r="U344" s="8">
        <v>1481.568</v>
      </c>
      <c r="V344" s="8">
        <v>0</v>
      </c>
      <c r="W344" s="8">
        <v>0</v>
      </c>
      <c r="X344" s="8">
        <v>0</v>
      </c>
      <c r="Y344" s="8">
        <v>0</v>
      </c>
      <c r="Z344" s="8">
        <v>9.2261999999999997E-2</v>
      </c>
      <c r="AA344" s="7">
        <v>0</v>
      </c>
      <c r="AB344" s="8">
        <v>0</v>
      </c>
      <c r="AC344" s="7">
        <v>2.0449999999999999</v>
      </c>
      <c r="AD344" s="7" t="s">
        <v>1226</v>
      </c>
      <c r="AE344" s="8">
        <v>0</v>
      </c>
      <c r="AF344" s="8">
        <v>0</v>
      </c>
      <c r="AG344" s="8">
        <v>0</v>
      </c>
      <c r="AH344" s="8">
        <v>0</v>
      </c>
      <c r="AI344" s="7" t="s">
        <v>1736</v>
      </c>
      <c r="AJ344" s="7">
        <f t="shared" ca="1" si="73"/>
        <v>1</v>
      </c>
      <c r="AK344" s="96">
        <f>(+AA344*AB344)/$AB$1102</f>
        <v>0</v>
      </c>
      <c r="AL344" s="97">
        <f>AC344/$AE$1102*AE344</f>
        <v>0</v>
      </c>
    </row>
    <row r="345" spans="1:38" x14ac:dyDescent="0.3">
      <c r="A345" s="7" t="s">
        <v>1971</v>
      </c>
      <c r="B345" s="7" t="s">
        <v>1320</v>
      </c>
      <c r="C345" s="7" t="s">
        <v>1323</v>
      </c>
      <c r="D345" s="7" t="s">
        <v>1792</v>
      </c>
      <c r="E345" s="7" t="s">
        <v>1695</v>
      </c>
      <c r="F345" s="36">
        <v>43221</v>
      </c>
      <c r="G345" s="36">
        <v>44681</v>
      </c>
      <c r="H345" s="36">
        <v>44895</v>
      </c>
      <c r="I345" s="36">
        <v>44895</v>
      </c>
      <c r="J345" s="7" t="s">
        <v>1699</v>
      </c>
      <c r="K345" s="8">
        <v>0</v>
      </c>
      <c r="L345" s="8">
        <v>0</v>
      </c>
      <c r="M345" s="8">
        <v>0</v>
      </c>
      <c r="N345" s="8">
        <v>2592.59</v>
      </c>
      <c r="O345" s="8">
        <v>0</v>
      </c>
      <c r="P345" s="8">
        <v>0</v>
      </c>
      <c r="Q345" s="8">
        <v>0</v>
      </c>
      <c r="R345" s="8">
        <f t="shared" si="72"/>
        <v>2592.59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7">
        <v>0</v>
      </c>
      <c r="AB345" s="8">
        <v>0</v>
      </c>
      <c r="AC345" s="7">
        <v>2.0449999999999999</v>
      </c>
      <c r="AD345" s="7" t="s">
        <v>1226</v>
      </c>
      <c r="AE345" s="8">
        <v>0</v>
      </c>
      <c r="AF345" s="8">
        <v>0</v>
      </c>
      <c r="AG345" s="8">
        <v>0</v>
      </c>
      <c r="AH345" s="8">
        <v>0</v>
      </c>
      <c r="AI345" s="7" t="s">
        <v>1736</v>
      </c>
      <c r="AJ345" s="7">
        <f t="shared" ca="1" si="73"/>
        <v>2</v>
      </c>
      <c r="AK345" s="100">
        <f>(+AA345*AB345)/$AB$1103</f>
        <v>0</v>
      </c>
      <c r="AL345" s="97">
        <f>AC345/$AE$1103*AE345</f>
        <v>0</v>
      </c>
    </row>
    <row r="346" spans="1:38" x14ac:dyDescent="0.3">
      <c r="A346" s="7" t="s">
        <v>1972</v>
      </c>
      <c r="B346" s="7" t="s">
        <v>1320</v>
      </c>
      <c r="C346" s="7" t="s">
        <v>1323</v>
      </c>
      <c r="D346" s="7" t="s">
        <v>1792</v>
      </c>
      <c r="E346" s="7" t="s">
        <v>1695</v>
      </c>
      <c r="F346" s="36">
        <v>44013</v>
      </c>
      <c r="G346" s="36">
        <v>44681</v>
      </c>
      <c r="H346" s="36">
        <v>44895</v>
      </c>
      <c r="I346" s="36">
        <v>44895</v>
      </c>
      <c r="J346" s="7" t="s">
        <v>1696</v>
      </c>
      <c r="K346" s="8">
        <v>0</v>
      </c>
      <c r="L346" s="8">
        <v>0</v>
      </c>
      <c r="M346" s="8">
        <v>1754.2410669999999</v>
      </c>
      <c r="N346" s="8">
        <v>0</v>
      </c>
      <c r="O346" s="8">
        <v>0</v>
      </c>
      <c r="P346" s="8">
        <v>0</v>
      </c>
      <c r="Q346" s="8">
        <v>0</v>
      </c>
      <c r="R346" s="8">
        <f t="shared" si="72"/>
        <v>1754.2410669999999</v>
      </c>
      <c r="S346" s="8">
        <v>0</v>
      </c>
      <c r="T346" s="8">
        <v>0</v>
      </c>
      <c r="U346" s="8">
        <v>1481.5160000000001</v>
      </c>
      <c r="V346" s="8">
        <v>0</v>
      </c>
      <c r="W346" s="8">
        <v>0</v>
      </c>
      <c r="X346" s="8">
        <v>0</v>
      </c>
      <c r="Y346" s="8">
        <v>0</v>
      </c>
      <c r="Z346" s="8">
        <v>4.1488999999999998E-2</v>
      </c>
      <c r="AA346" s="7">
        <v>0</v>
      </c>
      <c r="AB346" s="8">
        <v>1499.9859899999999</v>
      </c>
      <c r="AC346" s="7">
        <v>1.7651669999999999</v>
      </c>
      <c r="AD346" s="7" t="s">
        <v>1226</v>
      </c>
      <c r="AE346" s="8">
        <v>0</v>
      </c>
      <c r="AF346" s="8">
        <v>0</v>
      </c>
      <c r="AG346" s="8">
        <v>0</v>
      </c>
      <c r="AH346" s="8">
        <v>0</v>
      </c>
      <c r="AI346" s="7" t="s">
        <v>1736</v>
      </c>
      <c r="AJ346" s="7">
        <f t="shared" ca="1" si="73"/>
        <v>1</v>
      </c>
      <c r="AK346" s="96">
        <f>(+AA346*AB346)/$AB$1102</f>
        <v>0</v>
      </c>
      <c r="AL346" s="97">
        <f>AC346/$AE$1102*AE346</f>
        <v>0</v>
      </c>
    </row>
    <row r="347" spans="1:38" x14ac:dyDescent="0.3">
      <c r="A347" s="7" t="s">
        <v>1972</v>
      </c>
      <c r="B347" s="7" t="s">
        <v>1320</v>
      </c>
      <c r="C347" s="7" t="s">
        <v>1323</v>
      </c>
      <c r="D347" s="7" t="s">
        <v>1792</v>
      </c>
      <c r="E347" s="7" t="s">
        <v>1695</v>
      </c>
      <c r="F347" s="36">
        <v>44013</v>
      </c>
      <c r="G347" s="36">
        <v>44681</v>
      </c>
      <c r="H347" s="36">
        <v>44895</v>
      </c>
      <c r="I347" s="36">
        <v>44895</v>
      </c>
      <c r="J347" s="7" t="s">
        <v>1699</v>
      </c>
      <c r="K347" s="8">
        <v>0</v>
      </c>
      <c r="L347" s="8">
        <v>0</v>
      </c>
      <c r="M347" s="8">
        <v>0</v>
      </c>
      <c r="N347" s="8">
        <v>2592.59</v>
      </c>
      <c r="O347" s="8">
        <v>0</v>
      </c>
      <c r="P347" s="8">
        <v>0</v>
      </c>
      <c r="Q347" s="8">
        <v>0</v>
      </c>
      <c r="R347" s="8">
        <f t="shared" si="72"/>
        <v>2592.59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7">
        <v>0</v>
      </c>
      <c r="AB347" s="8">
        <v>0</v>
      </c>
      <c r="AC347" s="7">
        <v>1.7651669999999999</v>
      </c>
      <c r="AD347" s="7" t="s">
        <v>1226</v>
      </c>
      <c r="AE347" s="8">
        <v>0</v>
      </c>
      <c r="AF347" s="8">
        <v>0</v>
      </c>
      <c r="AG347" s="8">
        <v>0</v>
      </c>
      <c r="AH347" s="8">
        <v>0</v>
      </c>
      <c r="AI347" s="7" t="s">
        <v>1736</v>
      </c>
      <c r="AJ347" s="7">
        <f t="shared" ca="1" si="73"/>
        <v>2</v>
      </c>
      <c r="AK347" s="100">
        <f>(+AA347*AB347)/$AB$1103</f>
        <v>0</v>
      </c>
      <c r="AL347" s="97">
        <f>AC347/$AE$1103*AE347</f>
        <v>0</v>
      </c>
    </row>
    <row r="348" spans="1:38" x14ac:dyDescent="0.3">
      <c r="A348" s="7" t="s">
        <v>1973</v>
      </c>
      <c r="B348" s="7" t="s">
        <v>1320</v>
      </c>
      <c r="C348" s="7" t="s">
        <v>1323</v>
      </c>
      <c r="D348" s="7" t="s">
        <v>1792</v>
      </c>
      <c r="E348" s="7" t="s">
        <v>1695</v>
      </c>
      <c r="F348" s="36">
        <v>43221</v>
      </c>
      <c r="G348" s="36">
        <v>44681</v>
      </c>
      <c r="H348" s="36">
        <v>44895</v>
      </c>
      <c r="I348" s="36">
        <v>44895</v>
      </c>
      <c r="J348" s="7" t="s">
        <v>1696</v>
      </c>
      <c r="K348" s="8">
        <v>0</v>
      </c>
      <c r="L348" s="8">
        <v>0</v>
      </c>
      <c r="M348" s="8">
        <v>988.01824499999998</v>
      </c>
      <c r="N348" s="8">
        <v>0</v>
      </c>
      <c r="O348" s="8">
        <v>0</v>
      </c>
      <c r="P348" s="8">
        <v>0</v>
      </c>
      <c r="Q348" s="8">
        <v>0</v>
      </c>
      <c r="R348" s="8">
        <f t="shared" si="72"/>
        <v>988.01824499999998</v>
      </c>
      <c r="S348" s="8">
        <v>0</v>
      </c>
      <c r="T348" s="8">
        <v>0</v>
      </c>
      <c r="U348" s="8">
        <v>987.87</v>
      </c>
      <c r="V348" s="8">
        <v>0</v>
      </c>
      <c r="W348" s="8">
        <v>0</v>
      </c>
      <c r="X348" s="8">
        <v>0</v>
      </c>
      <c r="Y348" s="8">
        <v>0</v>
      </c>
      <c r="Z348" s="8">
        <v>0.22192700000000001</v>
      </c>
      <c r="AA348" s="7">
        <v>0</v>
      </c>
      <c r="AB348" s="8">
        <v>0</v>
      </c>
      <c r="AC348" s="7">
        <v>2.0449999999999999</v>
      </c>
      <c r="AD348" s="7" t="s">
        <v>1226</v>
      </c>
      <c r="AE348" s="8">
        <v>0</v>
      </c>
      <c r="AF348" s="8">
        <v>0</v>
      </c>
      <c r="AG348" s="8">
        <v>0</v>
      </c>
      <c r="AH348" s="8">
        <v>0</v>
      </c>
      <c r="AI348" s="7" t="s">
        <v>1736</v>
      </c>
      <c r="AJ348" s="7">
        <f t="shared" ca="1" si="73"/>
        <v>1</v>
      </c>
      <c r="AK348" s="96">
        <f>(+AA348*AB348)/$AB$1102</f>
        <v>0</v>
      </c>
      <c r="AL348" s="97">
        <f>AC348/$AE$1102*AE348</f>
        <v>0</v>
      </c>
    </row>
    <row r="349" spans="1:38" x14ac:dyDescent="0.3">
      <c r="A349" s="7" t="s">
        <v>1973</v>
      </c>
      <c r="B349" s="7" t="s">
        <v>1320</v>
      </c>
      <c r="C349" s="7" t="s">
        <v>1323</v>
      </c>
      <c r="D349" s="7" t="s">
        <v>1792</v>
      </c>
      <c r="E349" s="7" t="s">
        <v>1695</v>
      </c>
      <c r="F349" s="36">
        <v>43221</v>
      </c>
      <c r="G349" s="36">
        <v>44681</v>
      </c>
      <c r="H349" s="36">
        <v>44895</v>
      </c>
      <c r="I349" s="36">
        <v>44895</v>
      </c>
      <c r="J349" s="7" t="s">
        <v>1699</v>
      </c>
      <c r="K349" s="8">
        <v>0</v>
      </c>
      <c r="L349" s="8">
        <v>0</v>
      </c>
      <c r="M349" s="8">
        <v>0</v>
      </c>
      <c r="N349" s="8">
        <v>1728.37</v>
      </c>
      <c r="O349" s="8">
        <v>0</v>
      </c>
      <c r="P349" s="8">
        <v>0</v>
      </c>
      <c r="Q349" s="8">
        <v>0</v>
      </c>
      <c r="R349" s="8">
        <f t="shared" si="72"/>
        <v>1728.37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7">
        <v>0</v>
      </c>
      <c r="AB349" s="8">
        <v>0</v>
      </c>
      <c r="AC349" s="7">
        <v>2.0449999999999999</v>
      </c>
      <c r="AD349" s="7" t="s">
        <v>1226</v>
      </c>
      <c r="AE349" s="8">
        <v>0</v>
      </c>
      <c r="AF349" s="8">
        <v>0</v>
      </c>
      <c r="AG349" s="8">
        <v>0</v>
      </c>
      <c r="AH349" s="8">
        <v>0</v>
      </c>
      <c r="AI349" s="7" t="s">
        <v>1736</v>
      </c>
      <c r="AJ349" s="7">
        <f t="shared" ca="1" si="73"/>
        <v>2</v>
      </c>
      <c r="AK349" s="100">
        <f>(+AA349*AB349)/$AB$1103</f>
        <v>0</v>
      </c>
      <c r="AL349" s="97">
        <f>AC349/$AE$1103*AE349</f>
        <v>0</v>
      </c>
    </row>
    <row r="350" spans="1:38" x14ac:dyDescent="0.3">
      <c r="A350" s="7" t="s">
        <v>1974</v>
      </c>
      <c r="B350" s="7" t="s">
        <v>1320</v>
      </c>
      <c r="C350" s="7" t="s">
        <v>1323</v>
      </c>
      <c r="D350" s="7" t="s">
        <v>1792</v>
      </c>
      <c r="E350" s="7" t="s">
        <v>1695</v>
      </c>
      <c r="F350" s="36">
        <v>43221</v>
      </c>
      <c r="G350" s="36">
        <v>44681</v>
      </c>
      <c r="H350" s="36">
        <v>44869</v>
      </c>
      <c r="I350" s="36">
        <v>44869</v>
      </c>
      <c r="J350" s="7" t="s">
        <v>1696</v>
      </c>
      <c r="K350" s="8">
        <v>0</v>
      </c>
      <c r="L350" s="8">
        <v>0</v>
      </c>
      <c r="M350" s="8">
        <v>1481.5663460000001</v>
      </c>
      <c r="N350" s="8">
        <v>0</v>
      </c>
      <c r="O350" s="8">
        <v>0</v>
      </c>
      <c r="P350" s="8">
        <v>0</v>
      </c>
      <c r="Q350" s="8">
        <v>0</v>
      </c>
      <c r="R350" s="8">
        <f t="shared" si="72"/>
        <v>1481.5663460000001</v>
      </c>
      <c r="S350" s="8">
        <v>0</v>
      </c>
      <c r="T350" s="8">
        <v>0</v>
      </c>
      <c r="U350" s="8">
        <v>1481.568</v>
      </c>
      <c r="V350" s="8">
        <v>0</v>
      </c>
      <c r="W350" s="8">
        <v>0</v>
      </c>
      <c r="X350" s="8">
        <v>0</v>
      </c>
      <c r="Y350" s="8">
        <v>0</v>
      </c>
      <c r="Z350" s="8">
        <v>9.2261999999999997E-2</v>
      </c>
      <c r="AA350" s="7">
        <v>0</v>
      </c>
      <c r="AB350" s="8">
        <v>0</v>
      </c>
      <c r="AC350" s="7">
        <v>2.0449999999999999</v>
      </c>
      <c r="AD350" s="7" t="s">
        <v>1226</v>
      </c>
      <c r="AE350" s="8">
        <v>0</v>
      </c>
      <c r="AF350" s="8">
        <v>0</v>
      </c>
      <c r="AG350" s="8">
        <v>0</v>
      </c>
      <c r="AH350" s="8">
        <v>0</v>
      </c>
      <c r="AI350" s="7" t="s">
        <v>1736</v>
      </c>
      <c r="AJ350" s="7">
        <f t="shared" ca="1" si="73"/>
        <v>1</v>
      </c>
      <c r="AK350" s="96">
        <f>(+AA350*AB350)/$AB$1102</f>
        <v>0</v>
      </c>
      <c r="AL350" s="97">
        <f>AC350/$AE$1102*AE350</f>
        <v>0</v>
      </c>
    </row>
    <row r="351" spans="1:38" x14ac:dyDescent="0.3">
      <c r="A351" s="7" t="s">
        <v>1974</v>
      </c>
      <c r="B351" s="7" t="s">
        <v>1320</v>
      </c>
      <c r="C351" s="7" t="s">
        <v>1323</v>
      </c>
      <c r="D351" s="7" t="s">
        <v>1792</v>
      </c>
      <c r="E351" s="7" t="s">
        <v>1695</v>
      </c>
      <c r="F351" s="36">
        <v>43221</v>
      </c>
      <c r="G351" s="36">
        <v>44681</v>
      </c>
      <c r="H351" s="36">
        <v>44869</v>
      </c>
      <c r="I351" s="36">
        <v>44869</v>
      </c>
      <c r="J351" s="7" t="s">
        <v>1699</v>
      </c>
      <c r="K351" s="8">
        <v>0</v>
      </c>
      <c r="L351" s="8">
        <v>0</v>
      </c>
      <c r="M351" s="8">
        <v>0</v>
      </c>
      <c r="N351" s="8">
        <v>2592.59</v>
      </c>
      <c r="O351" s="8">
        <v>0</v>
      </c>
      <c r="P351" s="8">
        <v>0</v>
      </c>
      <c r="Q351" s="8">
        <v>0</v>
      </c>
      <c r="R351" s="8">
        <f t="shared" si="72"/>
        <v>2592.59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7">
        <v>0</v>
      </c>
      <c r="AB351" s="8">
        <v>0</v>
      </c>
      <c r="AC351" s="7">
        <v>2.0449999999999999</v>
      </c>
      <c r="AD351" s="7" t="s">
        <v>1226</v>
      </c>
      <c r="AE351" s="8">
        <v>0</v>
      </c>
      <c r="AF351" s="8">
        <v>0</v>
      </c>
      <c r="AG351" s="8">
        <v>0</v>
      </c>
      <c r="AH351" s="8">
        <v>0</v>
      </c>
      <c r="AI351" s="7" t="s">
        <v>1736</v>
      </c>
      <c r="AJ351" s="7">
        <f t="shared" ca="1" si="73"/>
        <v>2</v>
      </c>
      <c r="AK351" s="100">
        <f t="shared" ref="AK351:AK352" si="78">(+AA351*AB351)/$AB$1103</f>
        <v>0</v>
      </c>
      <c r="AL351" s="97">
        <f t="shared" ref="AL351:AL352" si="79">AC351/$AE$1103*AE351</f>
        <v>0</v>
      </c>
    </row>
    <row r="352" spans="1:38" x14ac:dyDescent="0.3">
      <c r="A352" s="7" t="s">
        <v>1975</v>
      </c>
      <c r="B352" s="7" t="s">
        <v>1320</v>
      </c>
      <c r="C352" s="7" t="s">
        <v>1323</v>
      </c>
      <c r="D352" s="7" t="s">
        <v>1792</v>
      </c>
      <c r="E352" s="7" t="s">
        <v>1773</v>
      </c>
      <c r="F352" s="36">
        <v>44869</v>
      </c>
      <c r="G352" s="36">
        <v>44898</v>
      </c>
      <c r="H352" s="36">
        <v>44898</v>
      </c>
      <c r="I352" s="36">
        <v>44898</v>
      </c>
      <c r="J352" s="7" t="s">
        <v>1699</v>
      </c>
      <c r="K352" s="8">
        <v>0</v>
      </c>
      <c r="L352" s="8">
        <v>0</v>
      </c>
      <c r="M352" s="8">
        <v>0</v>
      </c>
      <c r="N352" s="8">
        <v>493.51365500000003</v>
      </c>
      <c r="O352" s="8">
        <v>0</v>
      </c>
      <c r="P352" s="8">
        <v>0</v>
      </c>
      <c r="Q352" s="8">
        <v>0</v>
      </c>
      <c r="R352" s="8">
        <f t="shared" si="72"/>
        <v>493.51365500000003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7">
        <v>0</v>
      </c>
      <c r="AB352" s="8">
        <v>0</v>
      </c>
      <c r="AC352" s="7">
        <v>2</v>
      </c>
      <c r="AD352" s="7" t="s">
        <v>1226</v>
      </c>
      <c r="AE352" s="8">
        <v>14481.388800000001</v>
      </c>
      <c r="AF352" s="8">
        <v>0</v>
      </c>
      <c r="AG352" s="8">
        <v>14481.388800000001</v>
      </c>
      <c r="AH352" s="8">
        <v>0</v>
      </c>
      <c r="AI352" s="7" t="s">
        <v>1976</v>
      </c>
      <c r="AJ352" s="7">
        <f t="shared" ca="1" si="73"/>
        <v>1</v>
      </c>
      <c r="AK352" s="100">
        <f t="shared" si="78"/>
        <v>0</v>
      </c>
      <c r="AL352" s="97">
        <f t="shared" si="79"/>
        <v>3.4769455097037631E-3</v>
      </c>
    </row>
    <row r="353" spans="1:38" x14ac:dyDescent="0.3">
      <c r="A353" s="7" t="s">
        <v>1977</v>
      </c>
      <c r="B353" s="7" t="s">
        <v>1320</v>
      </c>
      <c r="C353" s="7" t="s">
        <v>1323</v>
      </c>
      <c r="D353" s="7" t="s">
        <v>1792</v>
      </c>
      <c r="E353" s="7" t="s">
        <v>1695</v>
      </c>
      <c r="F353" s="36">
        <v>43221</v>
      </c>
      <c r="G353" s="36">
        <v>44681</v>
      </c>
      <c r="H353" s="36">
        <v>44895</v>
      </c>
      <c r="I353" s="36">
        <v>44895</v>
      </c>
      <c r="J353" s="7" t="s">
        <v>1696</v>
      </c>
      <c r="K353" s="8">
        <v>0</v>
      </c>
      <c r="L353" s="8">
        <v>0</v>
      </c>
      <c r="M353" s="8">
        <v>1481.5663460000001</v>
      </c>
      <c r="N353" s="8">
        <v>0</v>
      </c>
      <c r="O353" s="8">
        <v>0</v>
      </c>
      <c r="P353" s="8">
        <v>0</v>
      </c>
      <c r="Q353" s="8">
        <v>0</v>
      </c>
      <c r="R353" s="8">
        <f t="shared" si="72"/>
        <v>1481.5663460000001</v>
      </c>
      <c r="S353" s="8">
        <v>0</v>
      </c>
      <c r="T353" s="8">
        <v>0</v>
      </c>
      <c r="U353" s="8">
        <v>1481.568</v>
      </c>
      <c r="V353" s="8">
        <v>0</v>
      </c>
      <c r="W353" s="8">
        <v>0</v>
      </c>
      <c r="X353" s="8">
        <v>0</v>
      </c>
      <c r="Y353" s="8">
        <v>0</v>
      </c>
      <c r="Z353" s="8">
        <v>9.2261999999999997E-2</v>
      </c>
      <c r="AA353" s="7">
        <v>0</v>
      </c>
      <c r="AB353" s="8">
        <v>0</v>
      </c>
      <c r="AC353" s="7">
        <v>2.0449999999999999</v>
      </c>
      <c r="AD353" s="7" t="s">
        <v>1226</v>
      </c>
      <c r="AE353" s="8">
        <v>0</v>
      </c>
      <c r="AF353" s="8">
        <v>0</v>
      </c>
      <c r="AG353" s="8">
        <v>0</v>
      </c>
      <c r="AH353" s="8">
        <v>0</v>
      </c>
      <c r="AI353" s="7" t="s">
        <v>1736</v>
      </c>
      <c r="AJ353" s="7">
        <f t="shared" ca="1" si="73"/>
        <v>1</v>
      </c>
      <c r="AK353" s="96">
        <f>(+AA353*AB353)/$AB$1102</f>
        <v>0</v>
      </c>
      <c r="AL353" s="97">
        <f>AC353/$AE$1102*AE353</f>
        <v>0</v>
      </c>
    </row>
    <row r="354" spans="1:38" x14ac:dyDescent="0.3">
      <c r="A354" s="7" t="s">
        <v>1977</v>
      </c>
      <c r="B354" s="7" t="s">
        <v>1320</v>
      </c>
      <c r="C354" s="7" t="s">
        <v>1323</v>
      </c>
      <c r="D354" s="7" t="s">
        <v>1792</v>
      </c>
      <c r="E354" s="7" t="s">
        <v>1695</v>
      </c>
      <c r="F354" s="36">
        <v>43221</v>
      </c>
      <c r="G354" s="36">
        <v>44681</v>
      </c>
      <c r="H354" s="36">
        <v>44895</v>
      </c>
      <c r="I354" s="36">
        <v>44895</v>
      </c>
      <c r="J354" s="7" t="s">
        <v>1699</v>
      </c>
      <c r="K354" s="8">
        <v>0</v>
      </c>
      <c r="L354" s="8">
        <v>0</v>
      </c>
      <c r="M354" s="8">
        <v>0</v>
      </c>
      <c r="N354" s="8">
        <v>2592.59</v>
      </c>
      <c r="O354" s="8">
        <v>0</v>
      </c>
      <c r="P354" s="8">
        <v>0</v>
      </c>
      <c r="Q354" s="8">
        <v>0</v>
      </c>
      <c r="R354" s="8">
        <f t="shared" si="72"/>
        <v>2592.59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7">
        <v>0</v>
      </c>
      <c r="AB354" s="8">
        <v>0</v>
      </c>
      <c r="AC354" s="7">
        <v>2.0449999999999999</v>
      </c>
      <c r="AD354" s="7" t="s">
        <v>1226</v>
      </c>
      <c r="AE354" s="8">
        <v>0</v>
      </c>
      <c r="AF354" s="8">
        <v>0</v>
      </c>
      <c r="AG354" s="8">
        <v>0</v>
      </c>
      <c r="AH354" s="8">
        <v>0</v>
      </c>
      <c r="AI354" s="7" t="s">
        <v>1736</v>
      </c>
      <c r="AJ354" s="7">
        <f t="shared" ca="1" si="73"/>
        <v>2</v>
      </c>
      <c r="AK354" s="100">
        <f>(+AA354*AB354)/$AB$1103</f>
        <v>0</v>
      </c>
      <c r="AL354" s="97">
        <f>AC354/$AE$1103*AE354</f>
        <v>0</v>
      </c>
    </row>
    <row r="355" spans="1:38" x14ac:dyDescent="0.3">
      <c r="A355" s="7" t="s">
        <v>1978</v>
      </c>
      <c r="B355" s="7" t="s">
        <v>1320</v>
      </c>
      <c r="C355" s="7" t="s">
        <v>1323</v>
      </c>
      <c r="D355" s="7" t="s">
        <v>1792</v>
      </c>
      <c r="E355" s="7" t="s">
        <v>1695</v>
      </c>
      <c r="F355" s="36">
        <v>43221</v>
      </c>
      <c r="G355" s="36">
        <v>44681</v>
      </c>
      <c r="H355" s="36">
        <v>44895</v>
      </c>
      <c r="I355" s="36">
        <v>44895</v>
      </c>
      <c r="J355" s="7" t="s">
        <v>1696</v>
      </c>
      <c r="K355" s="8">
        <v>0</v>
      </c>
      <c r="L355" s="8">
        <v>0</v>
      </c>
      <c r="M355" s="8">
        <v>1481.5663460000001</v>
      </c>
      <c r="N355" s="8">
        <v>0</v>
      </c>
      <c r="O355" s="8">
        <v>0</v>
      </c>
      <c r="P355" s="8">
        <v>0</v>
      </c>
      <c r="Q355" s="8">
        <v>0</v>
      </c>
      <c r="R355" s="8">
        <f t="shared" si="72"/>
        <v>1481.5663460000001</v>
      </c>
      <c r="S355" s="8">
        <v>0</v>
      </c>
      <c r="T355" s="8">
        <v>0</v>
      </c>
      <c r="U355" s="8">
        <v>1481.568</v>
      </c>
      <c r="V355" s="8">
        <v>0</v>
      </c>
      <c r="W355" s="8">
        <v>0</v>
      </c>
      <c r="X355" s="8">
        <v>0</v>
      </c>
      <c r="Y355" s="8">
        <v>0</v>
      </c>
      <c r="Z355" s="8">
        <v>9.2261999999999997E-2</v>
      </c>
      <c r="AA355" s="7">
        <v>0</v>
      </c>
      <c r="AB355" s="8">
        <v>0</v>
      </c>
      <c r="AC355" s="7">
        <v>2.0449999999999999</v>
      </c>
      <c r="AD355" s="7" t="s">
        <v>1226</v>
      </c>
      <c r="AE355" s="8">
        <v>0</v>
      </c>
      <c r="AF355" s="8">
        <v>0</v>
      </c>
      <c r="AG355" s="8">
        <v>0</v>
      </c>
      <c r="AH355" s="8">
        <v>0</v>
      </c>
      <c r="AI355" s="7" t="s">
        <v>1736</v>
      </c>
      <c r="AJ355" s="7">
        <f t="shared" ca="1" si="73"/>
        <v>1</v>
      </c>
      <c r="AK355" s="96">
        <f>(+AA355*AB355)/$AB$1102</f>
        <v>0</v>
      </c>
      <c r="AL355" s="97">
        <f>AC355/$AE$1102*AE355</f>
        <v>0</v>
      </c>
    </row>
    <row r="356" spans="1:38" x14ac:dyDescent="0.3">
      <c r="A356" s="7" t="s">
        <v>1978</v>
      </c>
      <c r="B356" s="7" t="s">
        <v>1320</v>
      </c>
      <c r="C356" s="7" t="s">
        <v>1323</v>
      </c>
      <c r="D356" s="7" t="s">
        <v>1792</v>
      </c>
      <c r="E356" s="7" t="s">
        <v>1695</v>
      </c>
      <c r="F356" s="36">
        <v>43221</v>
      </c>
      <c r="G356" s="36">
        <v>44681</v>
      </c>
      <c r="H356" s="36">
        <v>44895</v>
      </c>
      <c r="I356" s="36">
        <v>44895</v>
      </c>
      <c r="J356" s="7" t="s">
        <v>1699</v>
      </c>
      <c r="K356" s="8">
        <v>0</v>
      </c>
      <c r="L356" s="8">
        <v>0</v>
      </c>
      <c r="M356" s="8">
        <v>0</v>
      </c>
      <c r="N356" s="8">
        <v>2592.59</v>
      </c>
      <c r="O356" s="8">
        <v>0</v>
      </c>
      <c r="P356" s="8">
        <v>0</v>
      </c>
      <c r="Q356" s="8">
        <v>0</v>
      </c>
      <c r="R356" s="8">
        <f t="shared" si="72"/>
        <v>2592.59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7">
        <v>0</v>
      </c>
      <c r="AB356" s="8">
        <v>0</v>
      </c>
      <c r="AC356" s="7">
        <v>2.0449999999999999</v>
      </c>
      <c r="AD356" s="7" t="s">
        <v>1226</v>
      </c>
      <c r="AE356" s="8">
        <v>0</v>
      </c>
      <c r="AF356" s="8">
        <v>0</v>
      </c>
      <c r="AG356" s="8">
        <v>0</v>
      </c>
      <c r="AH356" s="8">
        <v>0</v>
      </c>
      <c r="AI356" s="7" t="s">
        <v>1736</v>
      </c>
      <c r="AJ356" s="7">
        <f t="shared" ca="1" si="73"/>
        <v>2</v>
      </c>
      <c r="AK356" s="100">
        <f>(+AA356*AB356)/$AB$1103</f>
        <v>0</v>
      </c>
      <c r="AL356" s="97">
        <f>AC356/$AE$1103*AE356</f>
        <v>0</v>
      </c>
    </row>
    <row r="357" spans="1:38" x14ac:dyDescent="0.3">
      <c r="A357" s="7" t="s">
        <v>1979</v>
      </c>
      <c r="B357" s="7" t="s">
        <v>1320</v>
      </c>
      <c r="C357" s="7" t="s">
        <v>1323</v>
      </c>
      <c r="D357" s="7" t="s">
        <v>1792</v>
      </c>
      <c r="E357" s="7" t="s">
        <v>1695</v>
      </c>
      <c r="F357" s="36">
        <v>43221</v>
      </c>
      <c r="G357" s="36">
        <v>44681</v>
      </c>
      <c r="H357" s="36">
        <v>44895</v>
      </c>
      <c r="I357" s="36">
        <v>44895</v>
      </c>
      <c r="J357" s="7" t="s">
        <v>1696</v>
      </c>
      <c r="K357" s="8">
        <v>0</v>
      </c>
      <c r="L357" s="8">
        <v>0</v>
      </c>
      <c r="M357" s="8">
        <v>1481.5663460000001</v>
      </c>
      <c r="N357" s="8">
        <v>0</v>
      </c>
      <c r="O357" s="8">
        <v>0</v>
      </c>
      <c r="P357" s="8">
        <v>0</v>
      </c>
      <c r="Q357" s="8">
        <v>0</v>
      </c>
      <c r="R357" s="8">
        <f t="shared" si="72"/>
        <v>1481.5663460000001</v>
      </c>
      <c r="S357" s="8">
        <v>0</v>
      </c>
      <c r="T357" s="8">
        <v>0</v>
      </c>
      <c r="U357" s="8">
        <v>1481.568</v>
      </c>
      <c r="V357" s="8">
        <v>0</v>
      </c>
      <c r="W357" s="8">
        <v>0</v>
      </c>
      <c r="X357" s="8">
        <v>0</v>
      </c>
      <c r="Y357" s="8">
        <v>0</v>
      </c>
      <c r="Z357" s="8">
        <v>9.2261999999999997E-2</v>
      </c>
      <c r="AA357" s="7">
        <v>0</v>
      </c>
      <c r="AB357" s="8">
        <v>0</v>
      </c>
      <c r="AC357" s="7">
        <v>2.0449999999999999</v>
      </c>
      <c r="AD357" s="7" t="s">
        <v>1226</v>
      </c>
      <c r="AE357" s="8">
        <v>0</v>
      </c>
      <c r="AF357" s="8">
        <v>0</v>
      </c>
      <c r="AG357" s="8">
        <v>0</v>
      </c>
      <c r="AH357" s="8">
        <v>0</v>
      </c>
      <c r="AI357" s="7" t="s">
        <v>1736</v>
      </c>
      <c r="AJ357" s="7">
        <f t="shared" ca="1" si="73"/>
        <v>1</v>
      </c>
      <c r="AK357" s="96">
        <f>(+AA357*AB357)/$AB$1102</f>
        <v>0</v>
      </c>
      <c r="AL357" s="97">
        <f>AC357/$AE$1102*AE357</f>
        <v>0</v>
      </c>
    </row>
    <row r="358" spans="1:38" x14ac:dyDescent="0.3">
      <c r="A358" s="7" t="s">
        <v>1979</v>
      </c>
      <c r="B358" s="7" t="s">
        <v>1320</v>
      </c>
      <c r="C358" s="7" t="s">
        <v>1323</v>
      </c>
      <c r="D358" s="7" t="s">
        <v>1792</v>
      </c>
      <c r="E358" s="7" t="s">
        <v>1695</v>
      </c>
      <c r="F358" s="36">
        <v>43221</v>
      </c>
      <c r="G358" s="36">
        <v>44681</v>
      </c>
      <c r="H358" s="36">
        <v>44895</v>
      </c>
      <c r="I358" s="36">
        <v>44895</v>
      </c>
      <c r="J358" s="7" t="s">
        <v>1699</v>
      </c>
      <c r="K358" s="8">
        <v>0</v>
      </c>
      <c r="L358" s="8">
        <v>0</v>
      </c>
      <c r="M358" s="8">
        <v>0</v>
      </c>
      <c r="N358" s="8">
        <v>2592.59</v>
      </c>
      <c r="O358" s="8">
        <v>0</v>
      </c>
      <c r="P358" s="8">
        <v>0</v>
      </c>
      <c r="Q358" s="8">
        <v>0</v>
      </c>
      <c r="R358" s="8">
        <f t="shared" si="72"/>
        <v>2592.59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7">
        <v>0</v>
      </c>
      <c r="AB358" s="8">
        <v>0</v>
      </c>
      <c r="AC358" s="7">
        <v>2.0449999999999999</v>
      </c>
      <c r="AD358" s="7" t="s">
        <v>1226</v>
      </c>
      <c r="AE358" s="8">
        <v>0</v>
      </c>
      <c r="AF358" s="8">
        <v>0</v>
      </c>
      <c r="AG358" s="8">
        <v>0</v>
      </c>
      <c r="AH358" s="8">
        <v>0</v>
      </c>
      <c r="AI358" s="7" t="s">
        <v>1736</v>
      </c>
      <c r="AJ358" s="7">
        <f t="shared" ca="1" si="73"/>
        <v>2</v>
      </c>
      <c r="AK358" s="100">
        <f>(+AA358*AB358)/$AB$1103</f>
        <v>0</v>
      </c>
      <c r="AL358" s="97">
        <f>AC358/$AE$1103*AE358</f>
        <v>0</v>
      </c>
    </row>
    <row r="359" spans="1:38" x14ac:dyDescent="0.3">
      <c r="A359" s="7" t="s">
        <v>1980</v>
      </c>
      <c r="B359" s="7" t="s">
        <v>1320</v>
      </c>
      <c r="C359" s="7" t="s">
        <v>1323</v>
      </c>
      <c r="D359" s="7" t="s">
        <v>1792</v>
      </c>
      <c r="E359" s="7" t="s">
        <v>1695</v>
      </c>
      <c r="F359" s="36">
        <v>43221</v>
      </c>
      <c r="G359" s="36">
        <v>44681</v>
      </c>
      <c r="H359" s="36">
        <v>44866</v>
      </c>
      <c r="I359" s="36">
        <v>44866</v>
      </c>
      <c r="J359" s="7" t="s">
        <v>1696</v>
      </c>
      <c r="K359" s="8">
        <v>0</v>
      </c>
      <c r="L359" s="8">
        <v>0</v>
      </c>
      <c r="M359" s="8">
        <v>1481.5663460000001</v>
      </c>
      <c r="N359" s="8">
        <v>0</v>
      </c>
      <c r="O359" s="8">
        <v>0</v>
      </c>
      <c r="P359" s="8">
        <v>0</v>
      </c>
      <c r="Q359" s="8">
        <v>0</v>
      </c>
      <c r="R359" s="8">
        <f t="shared" si="72"/>
        <v>1481.5663460000001</v>
      </c>
      <c r="S359" s="8">
        <v>0</v>
      </c>
      <c r="T359" s="8">
        <v>0</v>
      </c>
      <c r="U359" s="8">
        <v>1481.568</v>
      </c>
      <c r="V359" s="8">
        <v>0</v>
      </c>
      <c r="W359" s="8">
        <v>0</v>
      </c>
      <c r="X359" s="8">
        <v>0</v>
      </c>
      <c r="Y359" s="8">
        <v>0</v>
      </c>
      <c r="Z359" s="8">
        <v>9.2261999999999997E-2</v>
      </c>
      <c r="AA359" s="7">
        <v>0</v>
      </c>
      <c r="AB359" s="8">
        <v>0</v>
      </c>
      <c r="AC359" s="7">
        <v>2.0449999999999999</v>
      </c>
      <c r="AD359" s="7" t="s">
        <v>1226</v>
      </c>
      <c r="AE359" s="8">
        <v>0</v>
      </c>
      <c r="AF359" s="8">
        <v>0</v>
      </c>
      <c r="AG359" s="8">
        <v>0</v>
      </c>
      <c r="AH359" s="8">
        <v>0</v>
      </c>
      <c r="AI359" s="7" t="s">
        <v>1736</v>
      </c>
      <c r="AJ359" s="7">
        <f t="shared" ca="1" si="73"/>
        <v>1</v>
      </c>
      <c r="AK359" s="96">
        <f>(+AA359*AB359)/$AB$1102</f>
        <v>0</v>
      </c>
      <c r="AL359" s="97">
        <f>AC359/$AE$1102*AE359</f>
        <v>0</v>
      </c>
    </row>
    <row r="360" spans="1:38" x14ac:dyDescent="0.3">
      <c r="A360" s="7" t="s">
        <v>1980</v>
      </c>
      <c r="B360" s="7" t="s">
        <v>1320</v>
      </c>
      <c r="C360" s="7" t="s">
        <v>1323</v>
      </c>
      <c r="D360" s="7" t="s">
        <v>1792</v>
      </c>
      <c r="E360" s="7" t="s">
        <v>1695</v>
      </c>
      <c r="F360" s="36">
        <v>43221</v>
      </c>
      <c r="G360" s="36">
        <v>44681</v>
      </c>
      <c r="H360" s="36">
        <v>44866</v>
      </c>
      <c r="I360" s="36">
        <v>44866</v>
      </c>
      <c r="J360" s="7" t="s">
        <v>1699</v>
      </c>
      <c r="K360" s="8">
        <v>0</v>
      </c>
      <c r="L360" s="8">
        <v>0</v>
      </c>
      <c r="M360" s="8">
        <v>0</v>
      </c>
      <c r="N360" s="8">
        <v>2222.2199999999998</v>
      </c>
      <c r="O360" s="8">
        <v>0</v>
      </c>
      <c r="P360" s="8">
        <v>0</v>
      </c>
      <c r="Q360" s="8">
        <v>0</v>
      </c>
      <c r="R360" s="8">
        <f t="shared" si="72"/>
        <v>2222.2199999999998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7">
        <v>0</v>
      </c>
      <c r="AB360" s="8">
        <v>0</v>
      </c>
      <c r="AC360" s="7">
        <v>2.0449999999999999</v>
      </c>
      <c r="AD360" s="7" t="s">
        <v>1226</v>
      </c>
      <c r="AE360" s="8">
        <v>0</v>
      </c>
      <c r="AF360" s="8">
        <v>0</v>
      </c>
      <c r="AG360" s="8">
        <v>0</v>
      </c>
      <c r="AH360" s="8">
        <v>0</v>
      </c>
      <c r="AI360" s="7" t="s">
        <v>1736</v>
      </c>
      <c r="AJ360" s="7">
        <f t="shared" ca="1" si="73"/>
        <v>2</v>
      </c>
      <c r="AK360" s="100">
        <f t="shared" ref="AK360:AK361" si="80">(+AA360*AB360)/$AB$1103</f>
        <v>0</v>
      </c>
      <c r="AL360" s="97">
        <f t="shared" ref="AL360:AL361" si="81">AC360/$AE$1103*AE360</f>
        <v>0</v>
      </c>
    </row>
    <row r="361" spans="1:38" x14ac:dyDescent="0.3">
      <c r="A361" s="7" t="s">
        <v>1981</v>
      </c>
      <c r="B361" s="7" t="s">
        <v>1320</v>
      </c>
      <c r="C361" s="7" t="s">
        <v>1323</v>
      </c>
      <c r="D361" s="7" t="s">
        <v>1792</v>
      </c>
      <c r="E361" s="7" t="s">
        <v>1773</v>
      </c>
      <c r="F361" s="36">
        <v>44866</v>
      </c>
      <c r="G361" s="36">
        <v>44895</v>
      </c>
      <c r="H361" s="36">
        <v>44895</v>
      </c>
      <c r="I361" s="36">
        <v>44895</v>
      </c>
      <c r="J361" s="7" t="s">
        <v>1699</v>
      </c>
      <c r="K361" s="8">
        <v>0</v>
      </c>
      <c r="L361" s="8">
        <v>0</v>
      </c>
      <c r="M361" s="8">
        <v>0</v>
      </c>
      <c r="N361" s="8">
        <v>290</v>
      </c>
      <c r="O361" s="8">
        <v>0</v>
      </c>
      <c r="P361" s="8">
        <v>0</v>
      </c>
      <c r="Q361" s="8">
        <v>0</v>
      </c>
      <c r="R361" s="8">
        <f t="shared" si="72"/>
        <v>290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7">
        <v>0</v>
      </c>
      <c r="AB361" s="8">
        <v>0</v>
      </c>
      <c r="AC361" s="7">
        <v>2</v>
      </c>
      <c r="AD361" s="7" t="s">
        <v>1226</v>
      </c>
      <c r="AE361" s="8">
        <v>0</v>
      </c>
      <c r="AF361" s="8">
        <v>0</v>
      </c>
      <c r="AG361" s="8">
        <v>0</v>
      </c>
      <c r="AH361" s="8">
        <v>0</v>
      </c>
      <c r="AI361" s="7" t="s">
        <v>1736</v>
      </c>
      <c r="AJ361" s="7">
        <f t="shared" ca="1" si="73"/>
        <v>1</v>
      </c>
      <c r="AK361" s="100">
        <f t="shared" si="80"/>
        <v>0</v>
      </c>
      <c r="AL361" s="97">
        <f t="shared" si="81"/>
        <v>0</v>
      </c>
    </row>
    <row r="362" spans="1:38" x14ac:dyDescent="0.3">
      <c r="A362" s="7" t="s">
        <v>1982</v>
      </c>
      <c r="B362" s="7" t="s">
        <v>1320</v>
      </c>
      <c r="C362" s="7" t="s">
        <v>1323</v>
      </c>
      <c r="D362" s="7" t="s">
        <v>1792</v>
      </c>
      <c r="E362" s="7" t="s">
        <v>1695</v>
      </c>
      <c r="F362" s="36">
        <v>43221</v>
      </c>
      <c r="G362" s="36">
        <v>44681</v>
      </c>
      <c r="H362" s="36">
        <v>44895</v>
      </c>
      <c r="I362" s="36">
        <v>44895</v>
      </c>
      <c r="J362" s="7" t="s">
        <v>1696</v>
      </c>
      <c r="K362" s="8">
        <v>0</v>
      </c>
      <c r="L362" s="8">
        <v>0</v>
      </c>
      <c r="M362" s="8">
        <v>1481.5663460000001</v>
      </c>
      <c r="N362" s="8">
        <v>0</v>
      </c>
      <c r="O362" s="8">
        <v>0</v>
      </c>
      <c r="P362" s="8">
        <v>0</v>
      </c>
      <c r="Q362" s="8">
        <v>0</v>
      </c>
      <c r="R362" s="8">
        <f t="shared" si="72"/>
        <v>1481.5663460000001</v>
      </c>
      <c r="S362" s="8">
        <v>0</v>
      </c>
      <c r="T362" s="8">
        <v>0</v>
      </c>
      <c r="U362" s="8">
        <v>1481.568</v>
      </c>
      <c r="V362" s="8">
        <v>0</v>
      </c>
      <c r="W362" s="8">
        <v>0</v>
      </c>
      <c r="X362" s="8">
        <v>0</v>
      </c>
      <c r="Y362" s="8">
        <v>0</v>
      </c>
      <c r="Z362" s="8">
        <v>9.2261999999999997E-2</v>
      </c>
      <c r="AA362" s="7">
        <v>0</v>
      </c>
      <c r="AB362" s="8">
        <v>0</v>
      </c>
      <c r="AC362" s="7">
        <v>2.0449999999999999</v>
      </c>
      <c r="AD362" s="7" t="s">
        <v>1226</v>
      </c>
      <c r="AE362" s="8">
        <v>0</v>
      </c>
      <c r="AF362" s="8">
        <v>0</v>
      </c>
      <c r="AG362" s="8">
        <v>0</v>
      </c>
      <c r="AH362" s="8">
        <v>0</v>
      </c>
      <c r="AI362" s="7" t="s">
        <v>1736</v>
      </c>
      <c r="AJ362" s="7">
        <f t="shared" ca="1" si="73"/>
        <v>1</v>
      </c>
      <c r="AK362" s="96">
        <f>(+AA362*AB362)/$AB$1102</f>
        <v>0</v>
      </c>
      <c r="AL362" s="97">
        <f>AC362/$AE$1102*AE362</f>
        <v>0</v>
      </c>
    </row>
    <row r="363" spans="1:38" x14ac:dyDescent="0.3">
      <c r="A363" s="7" t="s">
        <v>1982</v>
      </c>
      <c r="B363" s="7" t="s">
        <v>1320</v>
      </c>
      <c r="C363" s="7" t="s">
        <v>1323</v>
      </c>
      <c r="D363" s="7" t="s">
        <v>1792</v>
      </c>
      <c r="E363" s="7" t="s">
        <v>1695</v>
      </c>
      <c r="F363" s="36">
        <v>43221</v>
      </c>
      <c r="G363" s="36">
        <v>44681</v>
      </c>
      <c r="H363" s="36">
        <v>44895</v>
      </c>
      <c r="I363" s="36">
        <v>44895</v>
      </c>
      <c r="J363" s="7" t="s">
        <v>1699</v>
      </c>
      <c r="K363" s="8">
        <v>0</v>
      </c>
      <c r="L363" s="8">
        <v>0</v>
      </c>
      <c r="M363" s="8">
        <v>0</v>
      </c>
      <c r="N363" s="8">
        <v>2592.59</v>
      </c>
      <c r="O363" s="8">
        <v>0</v>
      </c>
      <c r="P363" s="8">
        <v>0</v>
      </c>
      <c r="Q363" s="8">
        <v>0</v>
      </c>
      <c r="R363" s="8">
        <f t="shared" si="72"/>
        <v>2592.59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7">
        <v>0</v>
      </c>
      <c r="AB363" s="8">
        <v>0</v>
      </c>
      <c r="AC363" s="7">
        <v>2.0449999999999999</v>
      </c>
      <c r="AD363" s="7" t="s">
        <v>1226</v>
      </c>
      <c r="AE363" s="8">
        <v>0</v>
      </c>
      <c r="AF363" s="8">
        <v>0</v>
      </c>
      <c r="AG363" s="8">
        <v>0</v>
      </c>
      <c r="AH363" s="8">
        <v>0</v>
      </c>
      <c r="AI363" s="7" t="s">
        <v>1736</v>
      </c>
      <c r="AJ363" s="7">
        <f t="shared" ca="1" si="73"/>
        <v>2</v>
      </c>
      <c r="AK363" s="100">
        <f>(+AA363*AB363)/$AB$1103</f>
        <v>0</v>
      </c>
      <c r="AL363" s="97">
        <f>AC363/$AE$1103*AE363</f>
        <v>0</v>
      </c>
    </row>
    <row r="364" spans="1:38" x14ac:dyDescent="0.3">
      <c r="A364" s="7" t="s">
        <v>1983</v>
      </c>
      <c r="B364" s="7" t="s">
        <v>1320</v>
      </c>
      <c r="C364" s="7" t="s">
        <v>1323</v>
      </c>
      <c r="D364" s="7" t="s">
        <v>1792</v>
      </c>
      <c r="E364" s="7" t="s">
        <v>1695</v>
      </c>
      <c r="F364" s="36">
        <v>43221</v>
      </c>
      <c r="G364" s="36">
        <v>44681</v>
      </c>
      <c r="H364" s="36">
        <v>44895</v>
      </c>
      <c r="I364" s="36">
        <v>44895</v>
      </c>
      <c r="J364" s="7" t="s">
        <v>1696</v>
      </c>
      <c r="K364" s="8">
        <v>0</v>
      </c>
      <c r="L364" s="8">
        <v>0</v>
      </c>
      <c r="M364" s="8">
        <v>1481.5663460000001</v>
      </c>
      <c r="N364" s="8">
        <v>0</v>
      </c>
      <c r="O364" s="8">
        <v>0</v>
      </c>
      <c r="P364" s="8">
        <v>0</v>
      </c>
      <c r="Q364" s="8">
        <v>0</v>
      </c>
      <c r="R364" s="8">
        <f t="shared" si="72"/>
        <v>1481.5663460000001</v>
      </c>
      <c r="S364" s="8">
        <v>0</v>
      </c>
      <c r="T364" s="8">
        <v>0</v>
      </c>
      <c r="U364" s="8">
        <v>1481.568</v>
      </c>
      <c r="V364" s="8">
        <v>0</v>
      </c>
      <c r="W364" s="8">
        <v>0</v>
      </c>
      <c r="X364" s="8">
        <v>0</v>
      </c>
      <c r="Y364" s="8">
        <v>0</v>
      </c>
      <c r="Z364" s="8">
        <v>9.2261999999999997E-2</v>
      </c>
      <c r="AA364" s="7">
        <v>0</v>
      </c>
      <c r="AB364" s="8">
        <v>0</v>
      </c>
      <c r="AC364" s="7">
        <v>2.0449999999999999</v>
      </c>
      <c r="AD364" s="7" t="s">
        <v>1226</v>
      </c>
      <c r="AE364" s="8">
        <v>0</v>
      </c>
      <c r="AF364" s="8">
        <v>0</v>
      </c>
      <c r="AG364" s="8">
        <v>0</v>
      </c>
      <c r="AH364" s="8">
        <v>0</v>
      </c>
      <c r="AI364" s="7" t="s">
        <v>1736</v>
      </c>
      <c r="AJ364" s="7">
        <f t="shared" ca="1" si="73"/>
        <v>1</v>
      </c>
      <c r="AK364" s="96">
        <f>(+AA364*AB364)/$AB$1102</f>
        <v>0</v>
      </c>
      <c r="AL364" s="97">
        <f>AC364/$AE$1102*AE364</f>
        <v>0</v>
      </c>
    </row>
    <row r="365" spans="1:38" x14ac:dyDescent="0.3">
      <c r="A365" s="7" t="s">
        <v>1983</v>
      </c>
      <c r="B365" s="7" t="s">
        <v>1320</v>
      </c>
      <c r="C365" s="7" t="s">
        <v>1323</v>
      </c>
      <c r="D365" s="7" t="s">
        <v>1792</v>
      </c>
      <c r="E365" s="7" t="s">
        <v>1695</v>
      </c>
      <c r="F365" s="36">
        <v>43221</v>
      </c>
      <c r="G365" s="36">
        <v>44681</v>
      </c>
      <c r="H365" s="36">
        <v>44895</v>
      </c>
      <c r="I365" s="36">
        <v>44895</v>
      </c>
      <c r="J365" s="7" t="s">
        <v>1699</v>
      </c>
      <c r="K365" s="8">
        <v>0</v>
      </c>
      <c r="L365" s="8">
        <v>0</v>
      </c>
      <c r="M365" s="8">
        <v>0</v>
      </c>
      <c r="N365" s="8">
        <v>2592.59</v>
      </c>
      <c r="O365" s="8">
        <v>0</v>
      </c>
      <c r="P365" s="8">
        <v>0</v>
      </c>
      <c r="Q365" s="8">
        <v>0</v>
      </c>
      <c r="R365" s="8">
        <f t="shared" si="72"/>
        <v>2592.59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7">
        <v>0</v>
      </c>
      <c r="AB365" s="8">
        <v>0</v>
      </c>
      <c r="AC365" s="7">
        <v>2.0449999999999999</v>
      </c>
      <c r="AD365" s="7" t="s">
        <v>1226</v>
      </c>
      <c r="AE365" s="8">
        <v>0</v>
      </c>
      <c r="AF365" s="8">
        <v>0</v>
      </c>
      <c r="AG365" s="8">
        <v>0</v>
      </c>
      <c r="AH365" s="8">
        <v>0</v>
      </c>
      <c r="AI365" s="7" t="s">
        <v>1736</v>
      </c>
      <c r="AJ365" s="7">
        <f t="shared" ca="1" si="73"/>
        <v>2</v>
      </c>
      <c r="AK365" s="100">
        <f>(+AA365*AB365)/$AB$1103</f>
        <v>0</v>
      </c>
      <c r="AL365" s="97">
        <f>AC365/$AE$1103*AE365</f>
        <v>0</v>
      </c>
    </row>
    <row r="366" spans="1:38" x14ac:dyDescent="0.3">
      <c r="A366" s="7" t="s">
        <v>1984</v>
      </c>
      <c r="B366" s="7" t="s">
        <v>1320</v>
      </c>
      <c r="C366" s="7" t="s">
        <v>1323</v>
      </c>
      <c r="D366" s="7" t="s">
        <v>1792</v>
      </c>
      <c r="E366" s="7" t="s">
        <v>1695</v>
      </c>
      <c r="F366" s="36">
        <v>44087</v>
      </c>
      <c r="G366" s="36">
        <v>44693</v>
      </c>
      <c r="H366" s="36">
        <v>44895</v>
      </c>
      <c r="I366" s="36">
        <v>44895</v>
      </c>
      <c r="J366" s="7" t="s">
        <v>1696</v>
      </c>
      <c r="K366" s="8">
        <v>0</v>
      </c>
      <c r="L366" s="8">
        <v>0</v>
      </c>
      <c r="M366" s="8">
        <v>1153.746582</v>
      </c>
      <c r="N366" s="8">
        <v>0</v>
      </c>
      <c r="O366" s="8">
        <v>0</v>
      </c>
      <c r="P366" s="8">
        <v>0</v>
      </c>
      <c r="Q366" s="8">
        <v>0</v>
      </c>
      <c r="R366" s="8">
        <f t="shared" si="72"/>
        <v>1153.746582</v>
      </c>
      <c r="S366" s="8">
        <v>0</v>
      </c>
      <c r="T366" s="8">
        <v>0</v>
      </c>
      <c r="U366" s="8">
        <v>1234.56</v>
      </c>
      <c r="V366" s="8">
        <v>0</v>
      </c>
      <c r="W366" s="8">
        <v>0</v>
      </c>
      <c r="X366" s="8">
        <v>0</v>
      </c>
      <c r="Y366" s="8">
        <v>0</v>
      </c>
      <c r="Z366" s="8">
        <v>-246.91199800000001</v>
      </c>
      <c r="AA366" s="7">
        <v>0</v>
      </c>
      <c r="AB366" s="8">
        <v>0</v>
      </c>
      <c r="AC366" s="7">
        <v>1.727333</v>
      </c>
      <c r="AD366" s="7" t="s">
        <v>1226</v>
      </c>
      <c r="AE366" s="8">
        <v>0</v>
      </c>
      <c r="AF366" s="8">
        <v>0</v>
      </c>
      <c r="AG366" s="8">
        <v>0</v>
      </c>
      <c r="AH366" s="8">
        <v>0</v>
      </c>
      <c r="AI366" s="7" t="s">
        <v>1736</v>
      </c>
      <c r="AJ366" s="7">
        <f t="shared" ca="1" si="73"/>
        <v>1</v>
      </c>
      <c r="AK366" s="96">
        <f>(+AA366*AB366)/$AB$1102</f>
        <v>0</v>
      </c>
      <c r="AL366" s="97">
        <f>AC366/$AE$1102*AE366</f>
        <v>0</v>
      </c>
    </row>
    <row r="367" spans="1:38" x14ac:dyDescent="0.3">
      <c r="A367" s="7" t="s">
        <v>1984</v>
      </c>
      <c r="B367" s="7" t="s">
        <v>1320</v>
      </c>
      <c r="C367" s="7" t="s">
        <v>1323</v>
      </c>
      <c r="D367" s="7" t="s">
        <v>1792</v>
      </c>
      <c r="E367" s="7" t="s">
        <v>1695</v>
      </c>
      <c r="F367" s="36">
        <v>44087</v>
      </c>
      <c r="G367" s="36">
        <v>44693</v>
      </c>
      <c r="H367" s="36">
        <v>44895</v>
      </c>
      <c r="I367" s="36">
        <v>44895</v>
      </c>
      <c r="J367" s="7" t="s">
        <v>1699</v>
      </c>
      <c r="K367" s="8">
        <v>0</v>
      </c>
      <c r="L367" s="8">
        <v>0</v>
      </c>
      <c r="M367" s="8">
        <v>0</v>
      </c>
      <c r="N367" s="8">
        <v>1481.472</v>
      </c>
      <c r="O367" s="8">
        <v>0</v>
      </c>
      <c r="P367" s="8">
        <v>0</v>
      </c>
      <c r="Q367" s="8">
        <v>0</v>
      </c>
      <c r="R367" s="8">
        <f t="shared" si="72"/>
        <v>1481.472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7">
        <v>0</v>
      </c>
      <c r="AB367" s="8">
        <v>0</v>
      </c>
      <c r="AC367" s="7">
        <v>1.727333</v>
      </c>
      <c r="AD367" s="7" t="s">
        <v>1226</v>
      </c>
      <c r="AE367" s="8">
        <v>0</v>
      </c>
      <c r="AF367" s="8">
        <v>0</v>
      </c>
      <c r="AG367" s="8">
        <v>0</v>
      </c>
      <c r="AH367" s="8">
        <v>0</v>
      </c>
      <c r="AI367" s="7" t="s">
        <v>1736</v>
      </c>
      <c r="AJ367" s="7">
        <f t="shared" ca="1" si="73"/>
        <v>2</v>
      </c>
      <c r="AK367" s="100">
        <f>(+AA367*AB367)/$AB$1103</f>
        <v>0</v>
      </c>
      <c r="AL367" s="97">
        <f>AC367/$AE$1103*AE367</f>
        <v>0</v>
      </c>
    </row>
    <row r="368" spans="1:38" x14ac:dyDescent="0.3">
      <c r="A368" s="7" t="s">
        <v>1985</v>
      </c>
      <c r="B368" s="7" t="s">
        <v>1320</v>
      </c>
      <c r="C368" s="7" t="s">
        <v>1323</v>
      </c>
      <c r="D368" s="7" t="s">
        <v>1792</v>
      </c>
      <c r="E368" s="7" t="s">
        <v>1695</v>
      </c>
      <c r="F368" s="36">
        <v>43221</v>
      </c>
      <c r="G368" s="36">
        <v>44681</v>
      </c>
      <c r="H368" s="36">
        <v>44895</v>
      </c>
      <c r="I368" s="36">
        <v>44895</v>
      </c>
      <c r="J368" s="7" t="s">
        <v>1696</v>
      </c>
      <c r="K368" s="8">
        <v>0</v>
      </c>
      <c r="L368" s="8">
        <v>0</v>
      </c>
      <c r="M368" s="8">
        <v>1481.5663460000001</v>
      </c>
      <c r="N368" s="8">
        <v>0</v>
      </c>
      <c r="O368" s="8">
        <v>0</v>
      </c>
      <c r="P368" s="8">
        <v>0</v>
      </c>
      <c r="Q368" s="8">
        <v>0</v>
      </c>
      <c r="R368" s="8">
        <f t="shared" si="72"/>
        <v>1481.5663460000001</v>
      </c>
      <c r="S368" s="8">
        <v>0</v>
      </c>
      <c r="T368" s="8">
        <v>0</v>
      </c>
      <c r="U368" s="8">
        <v>1481.568</v>
      </c>
      <c r="V368" s="8">
        <v>0</v>
      </c>
      <c r="W368" s="8">
        <v>0</v>
      </c>
      <c r="X368" s="8">
        <v>0</v>
      </c>
      <c r="Y368" s="8">
        <v>0</v>
      </c>
      <c r="Z368" s="8">
        <v>9.2261999999999997E-2</v>
      </c>
      <c r="AA368" s="7">
        <v>0</v>
      </c>
      <c r="AB368" s="8">
        <v>0</v>
      </c>
      <c r="AC368" s="7">
        <v>2.0449999999999999</v>
      </c>
      <c r="AD368" s="7" t="s">
        <v>1226</v>
      </c>
      <c r="AE368" s="8">
        <v>0</v>
      </c>
      <c r="AF368" s="8">
        <v>0</v>
      </c>
      <c r="AG368" s="8">
        <v>0</v>
      </c>
      <c r="AH368" s="8">
        <v>0</v>
      </c>
      <c r="AI368" s="7" t="s">
        <v>1736</v>
      </c>
      <c r="AJ368" s="7">
        <f t="shared" ca="1" si="73"/>
        <v>1</v>
      </c>
      <c r="AK368" s="96">
        <f>(+AA368*AB368)/$AB$1102</f>
        <v>0</v>
      </c>
      <c r="AL368" s="97">
        <f>AC368/$AE$1102*AE368</f>
        <v>0</v>
      </c>
    </row>
    <row r="369" spans="1:38" x14ac:dyDescent="0.3">
      <c r="A369" s="7" t="s">
        <v>1985</v>
      </c>
      <c r="B369" s="7" t="s">
        <v>1320</v>
      </c>
      <c r="C369" s="7" t="s">
        <v>1323</v>
      </c>
      <c r="D369" s="7" t="s">
        <v>1792</v>
      </c>
      <c r="E369" s="7" t="s">
        <v>1695</v>
      </c>
      <c r="F369" s="36">
        <v>43221</v>
      </c>
      <c r="G369" s="36">
        <v>44681</v>
      </c>
      <c r="H369" s="36">
        <v>44895</v>
      </c>
      <c r="I369" s="36">
        <v>44895</v>
      </c>
      <c r="J369" s="7" t="s">
        <v>1699</v>
      </c>
      <c r="K369" s="8">
        <v>0</v>
      </c>
      <c r="L369" s="8">
        <v>0</v>
      </c>
      <c r="M369" s="8">
        <v>0</v>
      </c>
      <c r="N369" s="8">
        <v>2592.59</v>
      </c>
      <c r="O369" s="8">
        <v>0</v>
      </c>
      <c r="P369" s="8">
        <v>0</v>
      </c>
      <c r="Q369" s="8">
        <v>0</v>
      </c>
      <c r="R369" s="8">
        <f t="shared" si="72"/>
        <v>2592.59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7">
        <v>0</v>
      </c>
      <c r="AB369" s="8">
        <v>0</v>
      </c>
      <c r="AC369" s="7">
        <v>2.0449999999999999</v>
      </c>
      <c r="AD369" s="7" t="s">
        <v>1226</v>
      </c>
      <c r="AE369" s="8">
        <v>0</v>
      </c>
      <c r="AF369" s="8">
        <v>0</v>
      </c>
      <c r="AG369" s="8">
        <v>0</v>
      </c>
      <c r="AH369" s="8">
        <v>0</v>
      </c>
      <c r="AI369" s="7" t="s">
        <v>1736</v>
      </c>
      <c r="AJ369" s="7">
        <f t="shared" ca="1" si="73"/>
        <v>2</v>
      </c>
      <c r="AK369" s="100">
        <f>(+AA369*AB369)/$AB$1103</f>
        <v>0</v>
      </c>
      <c r="AL369" s="97">
        <f>AC369/$AE$1103*AE369</f>
        <v>0</v>
      </c>
    </row>
    <row r="370" spans="1:38" x14ac:dyDescent="0.3">
      <c r="A370" s="7" t="s">
        <v>1986</v>
      </c>
      <c r="B370" s="7" t="s">
        <v>1320</v>
      </c>
      <c r="C370" s="7" t="s">
        <v>1323</v>
      </c>
      <c r="D370" s="7" t="s">
        <v>1792</v>
      </c>
      <c r="E370" s="7" t="s">
        <v>1695</v>
      </c>
      <c r="F370" s="36">
        <v>43221</v>
      </c>
      <c r="G370" s="36">
        <v>44681</v>
      </c>
      <c r="H370" s="36">
        <v>44895</v>
      </c>
      <c r="I370" s="36">
        <v>44895</v>
      </c>
      <c r="J370" s="7" t="s">
        <v>1696</v>
      </c>
      <c r="K370" s="8">
        <v>0</v>
      </c>
      <c r="L370" s="8">
        <v>0</v>
      </c>
      <c r="M370" s="8">
        <v>1481.5663460000001</v>
      </c>
      <c r="N370" s="8">
        <v>0</v>
      </c>
      <c r="O370" s="8">
        <v>0</v>
      </c>
      <c r="P370" s="8">
        <v>0</v>
      </c>
      <c r="Q370" s="8">
        <v>0</v>
      </c>
      <c r="R370" s="8">
        <f t="shared" si="72"/>
        <v>1481.5663460000001</v>
      </c>
      <c r="S370" s="8">
        <v>0</v>
      </c>
      <c r="T370" s="8">
        <v>0</v>
      </c>
      <c r="U370" s="8">
        <v>1481.568</v>
      </c>
      <c r="V370" s="8">
        <v>0</v>
      </c>
      <c r="W370" s="8">
        <v>0</v>
      </c>
      <c r="X370" s="8">
        <v>0</v>
      </c>
      <c r="Y370" s="8">
        <v>0</v>
      </c>
      <c r="Z370" s="8">
        <v>9.2261999999999997E-2</v>
      </c>
      <c r="AA370" s="7">
        <v>0</v>
      </c>
      <c r="AB370" s="8">
        <v>0</v>
      </c>
      <c r="AC370" s="7">
        <v>2.0449999999999999</v>
      </c>
      <c r="AD370" s="7" t="s">
        <v>1226</v>
      </c>
      <c r="AE370" s="8">
        <v>0</v>
      </c>
      <c r="AF370" s="8">
        <v>0</v>
      </c>
      <c r="AG370" s="8">
        <v>0</v>
      </c>
      <c r="AH370" s="8">
        <v>0</v>
      </c>
      <c r="AI370" s="7" t="s">
        <v>1736</v>
      </c>
      <c r="AJ370" s="7">
        <f t="shared" ca="1" si="73"/>
        <v>1</v>
      </c>
      <c r="AK370" s="96">
        <f>(+AA370*AB370)/$AB$1102</f>
        <v>0</v>
      </c>
      <c r="AL370" s="97">
        <f>AC370/$AE$1102*AE370</f>
        <v>0</v>
      </c>
    </row>
    <row r="371" spans="1:38" x14ac:dyDescent="0.3">
      <c r="A371" s="7" t="s">
        <v>1986</v>
      </c>
      <c r="B371" s="7" t="s">
        <v>1320</v>
      </c>
      <c r="C371" s="7" t="s">
        <v>1323</v>
      </c>
      <c r="D371" s="7" t="s">
        <v>1792</v>
      </c>
      <c r="E371" s="7" t="s">
        <v>1695</v>
      </c>
      <c r="F371" s="36">
        <v>43221</v>
      </c>
      <c r="G371" s="36">
        <v>44681</v>
      </c>
      <c r="H371" s="36">
        <v>44895</v>
      </c>
      <c r="I371" s="36">
        <v>44895</v>
      </c>
      <c r="J371" s="7" t="s">
        <v>1699</v>
      </c>
      <c r="K371" s="8">
        <v>0</v>
      </c>
      <c r="L371" s="8">
        <v>0</v>
      </c>
      <c r="M371" s="8">
        <v>0</v>
      </c>
      <c r="N371" s="8">
        <v>2592.59</v>
      </c>
      <c r="O371" s="8">
        <v>0</v>
      </c>
      <c r="P371" s="8">
        <v>0</v>
      </c>
      <c r="Q371" s="8">
        <v>0</v>
      </c>
      <c r="R371" s="8">
        <f t="shared" si="72"/>
        <v>2592.59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7">
        <v>0</v>
      </c>
      <c r="AB371" s="8">
        <v>0</v>
      </c>
      <c r="AC371" s="7">
        <v>2.0449999999999999</v>
      </c>
      <c r="AD371" s="7" t="s">
        <v>1226</v>
      </c>
      <c r="AE371" s="8">
        <v>0</v>
      </c>
      <c r="AF371" s="8">
        <v>0</v>
      </c>
      <c r="AG371" s="8">
        <v>0</v>
      </c>
      <c r="AH371" s="8">
        <v>0</v>
      </c>
      <c r="AI371" s="7" t="s">
        <v>1736</v>
      </c>
      <c r="AJ371" s="7">
        <f t="shared" ca="1" si="73"/>
        <v>2</v>
      </c>
      <c r="AK371" s="100">
        <f>(+AA371*AB371)/$AB$1103</f>
        <v>0</v>
      </c>
      <c r="AL371" s="97">
        <f>AC371/$AE$1103*AE371</f>
        <v>0</v>
      </c>
    </row>
    <row r="372" spans="1:38" x14ac:dyDescent="0.3">
      <c r="A372" s="7" t="s">
        <v>1987</v>
      </c>
      <c r="B372" s="7" t="s">
        <v>1320</v>
      </c>
      <c r="C372" s="7" t="s">
        <v>1323</v>
      </c>
      <c r="D372" s="7" t="s">
        <v>1792</v>
      </c>
      <c r="E372" s="7" t="s">
        <v>1695</v>
      </c>
      <c r="F372" s="36">
        <v>43221</v>
      </c>
      <c r="G372" s="36">
        <v>44681</v>
      </c>
      <c r="H372" s="36">
        <v>44895</v>
      </c>
      <c r="I372" s="36">
        <v>44895</v>
      </c>
      <c r="J372" s="7" t="s">
        <v>1696</v>
      </c>
      <c r="K372" s="8">
        <v>0</v>
      </c>
      <c r="L372" s="8">
        <v>0</v>
      </c>
      <c r="M372" s="8">
        <v>1481.5663460000001</v>
      </c>
      <c r="N372" s="8">
        <v>0</v>
      </c>
      <c r="O372" s="8">
        <v>0</v>
      </c>
      <c r="P372" s="8">
        <v>0</v>
      </c>
      <c r="Q372" s="8">
        <v>0</v>
      </c>
      <c r="R372" s="8">
        <f t="shared" si="72"/>
        <v>1481.5663460000001</v>
      </c>
      <c r="S372" s="8">
        <v>0</v>
      </c>
      <c r="T372" s="8">
        <v>0</v>
      </c>
      <c r="U372" s="8">
        <v>1481.568</v>
      </c>
      <c r="V372" s="8">
        <v>0</v>
      </c>
      <c r="W372" s="8">
        <v>0</v>
      </c>
      <c r="X372" s="8">
        <v>0</v>
      </c>
      <c r="Y372" s="8">
        <v>0</v>
      </c>
      <c r="Z372" s="8">
        <v>9.2261999999999997E-2</v>
      </c>
      <c r="AA372" s="7">
        <v>0</v>
      </c>
      <c r="AB372" s="8">
        <v>0</v>
      </c>
      <c r="AC372" s="7">
        <v>2.0449999999999999</v>
      </c>
      <c r="AD372" s="7" t="s">
        <v>1226</v>
      </c>
      <c r="AE372" s="8">
        <v>0</v>
      </c>
      <c r="AF372" s="8">
        <v>0</v>
      </c>
      <c r="AG372" s="8">
        <v>0</v>
      </c>
      <c r="AH372" s="8">
        <v>0</v>
      </c>
      <c r="AI372" s="7" t="s">
        <v>1736</v>
      </c>
      <c r="AJ372" s="7">
        <f t="shared" ca="1" si="73"/>
        <v>1</v>
      </c>
      <c r="AK372" s="96">
        <f>(+AA372*AB372)/$AB$1102</f>
        <v>0</v>
      </c>
      <c r="AL372" s="97">
        <f>AC372/$AE$1102*AE372</f>
        <v>0</v>
      </c>
    </row>
    <row r="373" spans="1:38" x14ac:dyDescent="0.3">
      <c r="A373" s="7" t="s">
        <v>1987</v>
      </c>
      <c r="B373" s="7" t="s">
        <v>1320</v>
      </c>
      <c r="C373" s="7" t="s">
        <v>1323</v>
      </c>
      <c r="D373" s="7" t="s">
        <v>1792</v>
      </c>
      <c r="E373" s="7" t="s">
        <v>1695</v>
      </c>
      <c r="F373" s="36">
        <v>43221</v>
      </c>
      <c r="G373" s="36">
        <v>44681</v>
      </c>
      <c r="H373" s="36">
        <v>44895</v>
      </c>
      <c r="I373" s="36">
        <v>44895</v>
      </c>
      <c r="J373" s="7" t="s">
        <v>1699</v>
      </c>
      <c r="K373" s="8">
        <v>0</v>
      </c>
      <c r="L373" s="8">
        <v>0</v>
      </c>
      <c r="M373" s="8">
        <v>0</v>
      </c>
      <c r="N373" s="8">
        <v>2592.59</v>
      </c>
      <c r="O373" s="8">
        <v>0</v>
      </c>
      <c r="P373" s="8">
        <v>0</v>
      </c>
      <c r="Q373" s="8">
        <v>0</v>
      </c>
      <c r="R373" s="8">
        <f t="shared" si="72"/>
        <v>2592.59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7">
        <v>0</v>
      </c>
      <c r="AB373" s="8">
        <v>0</v>
      </c>
      <c r="AC373" s="7">
        <v>2.0449999999999999</v>
      </c>
      <c r="AD373" s="7" t="s">
        <v>1226</v>
      </c>
      <c r="AE373" s="8">
        <v>0</v>
      </c>
      <c r="AF373" s="8">
        <v>0</v>
      </c>
      <c r="AG373" s="8">
        <v>0</v>
      </c>
      <c r="AH373" s="8">
        <v>0</v>
      </c>
      <c r="AI373" s="7" t="s">
        <v>1736</v>
      </c>
      <c r="AJ373" s="7">
        <f t="shared" ca="1" si="73"/>
        <v>2</v>
      </c>
      <c r="AK373" s="100">
        <f>(+AA373*AB373)/$AB$1103</f>
        <v>0</v>
      </c>
      <c r="AL373" s="97">
        <f>AC373/$AE$1103*AE373</f>
        <v>0</v>
      </c>
    </row>
    <row r="374" spans="1:38" x14ac:dyDescent="0.3">
      <c r="A374" s="7" t="s">
        <v>1988</v>
      </c>
      <c r="B374" s="7" t="s">
        <v>1320</v>
      </c>
      <c r="C374" s="7" t="s">
        <v>1323</v>
      </c>
      <c r="D374" s="7" t="s">
        <v>1792</v>
      </c>
      <c r="E374" s="7" t="s">
        <v>1695</v>
      </c>
      <c r="F374" s="36">
        <v>43221</v>
      </c>
      <c r="G374" s="36">
        <v>44681</v>
      </c>
      <c r="H374" s="36">
        <v>44895</v>
      </c>
      <c r="I374" s="36">
        <v>44895</v>
      </c>
      <c r="J374" s="7" t="s">
        <v>1696</v>
      </c>
      <c r="K374" s="8">
        <v>0</v>
      </c>
      <c r="L374" s="8">
        <v>0</v>
      </c>
      <c r="M374" s="8">
        <v>1481.5663460000001</v>
      </c>
      <c r="N374" s="8">
        <v>0</v>
      </c>
      <c r="O374" s="8">
        <v>0</v>
      </c>
      <c r="P374" s="8">
        <v>0</v>
      </c>
      <c r="Q374" s="8">
        <v>0</v>
      </c>
      <c r="R374" s="8">
        <f t="shared" si="72"/>
        <v>1481.5663460000001</v>
      </c>
      <c r="S374" s="8">
        <v>0</v>
      </c>
      <c r="T374" s="8">
        <v>0</v>
      </c>
      <c r="U374" s="8">
        <v>1481.568</v>
      </c>
      <c r="V374" s="8">
        <v>0</v>
      </c>
      <c r="W374" s="8">
        <v>0</v>
      </c>
      <c r="X374" s="8">
        <v>0</v>
      </c>
      <c r="Y374" s="8">
        <v>0</v>
      </c>
      <c r="Z374" s="8">
        <v>9.2261999999999997E-2</v>
      </c>
      <c r="AA374" s="7">
        <v>0</v>
      </c>
      <c r="AB374" s="8">
        <v>0</v>
      </c>
      <c r="AC374" s="7">
        <v>2.0449999999999999</v>
      </c>
      <c r="AD374" s="7" t="s">
        <v>1226</v>
      </c>
      <c r="AE374" s="8">
        <v>0</v>
      </c>
      <c r="AF374" s="8">
        <v>0</v>
      </c>
      <c r="AG374" s="8">
        <v>0</v>
      </c>
      <c r="AH374" s="8">
        <v>0</v>
      </c>
      <c r="AI374" s="7" t="s">
        <v>1736</v>
      </c>
      <c r="AJ374" s="7">
        <f t="shared" ca="1" si="73"/>
        <v>1</v>
      </c>
      <c r="AK374" s="96">
        <f>(+AA374*AB374)/$AB$1102</f>
        <v>0</v>
      </c>
      <c r="AL374" s="97">
        <f>AC374/$AE$1102*AE374</f>
        <v>0</v>
      </c>
    </row>
    <row r="375" spans="1:38" x14ac:dyDescent="0.3">
      <c r="A375" s="7" t="s">
        <v>1988</v>
      </c>
      <c r="B375" s="7" t="s">
        <v>1320</v>
      </c>
      <c r="C375" s="7" t="s">
        <v>1323</v>
      </c>
      <c r="D375" s="7" t="s">
        <v>1792</v>
      </c>
      <c r="E375" s="7" t="s">
        <v>1695</v>
      </c>
      <c r="F375" s="36">
        <v>43221</v>
      </c>
      <c r="G375" s="36">
        <v>44681</v>
      </c>
      <c r="H375" s="36">
        <v>44895</v>
      </c>
      <c r="I375" s="36">
        <v>44895</v>
      </c>
      <c r="J375" s="7" t="s">
        <v>1699</v>
      </c>
      <c r="K375" s="8">
        <v>0</v>
      </c>
      <c r="L375" s="8">
        <v>0</v>
      </c>
      <c r="M375" s="8">
        <v>0</v>
      </c>
      <c r="N375" s="8">
        <v>2592.59</v>
      </c>
      <c r="O375" s="8">
        <v>0</v>
      </c>
      <c r="P375" s="8">
        <v>0</v>
      </c>
      <c r="Q375" s="8">
        <v>0</v>
      </c>
      <c r="R375" s="8">
        <f t="shared" si="72"/>
        <v>2592.59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7">
        <v>0</v>
      </c>
      <c r="AB375" s="8">
        <v>0</v>
      </c>
      <c r="AC375" s="7">
        <v>2.0449999999999999</v>
      </c>
      <c r="AD375" s="7" t="s">
        <v>1226</v>
      </c>
      <c r="AE375" s="8">
        <v>0</v>
      </c>
      <c r="AF375" s="8">
        <v>0</v>
      </c>
      <c r="AG375" s="8">
        <v>0</v>
      </c>
      <c r="AH375" s="8">
        <v>0</v>
      </c>
      <c r="AI375" s="7" t="s">
        <v>1736</v>
      </c>
      <c r="AJ375" s="7">
        <f t="shared" ca="1" si="73"/>
        <v>2</v>
      </c>
      <c r="AK375" s="100">
        <f>(+AA375*AB375)/$AB$1103</f>
        <v>0</v>
      </c>
      <c r="AL375" s="97">
        <f>AC375/$AE$1103*AE375</f>
        <v>0</v>
      </c>
    </row>
    <row r="376" spans="1:38" x14ac:dyDescent="0.3">
      <c r="A376" s="7" t="s">
        <v>1989</v>
      </c>
      <c r="B376" s="7" t="s">
        <v>1320</v>
      </c>
      <c r="C376" s="7" t="s">
        <v>1323</v>
      </c>
      <c r="D376" s="7" t="s">
        <v>1792</v>
      </c>
      <c r="E376" s="7" t="s">
        <v>1695</v>
      </c>
      <c r="F376" s="36">
        <v>43983</v>
      </c>
      <c r="G376" s="36">
        <v>44681</v>
      </c>
      <c r="H376" s="36">
        <v>44895</v>
      </c>
      <c r="I376" s="36">
        <v>44895</v>
      </c>
      <c r="J376" s="7" t="s">
        <v>1696</v>
      </c>
      <c r="K376" s="8">
        <v>0</v>
      </c>
      <c r="L376" s="8">
        <v>0</v>
      </c>
      <c r="M376" s="8">
        <v>2839.582249</v>
      </c>
      <c r="N376" s="8">
        <v>0</v>
      </c>
      <c r="O376" s="8">
        <v>0</v>
      </c>
      <c r="P376" s="8">
        <v>0</v>
      </c>
      <c r="Q376" s="8">
        <v>0</v>
      </c>
      <c r="R376" s="8">
        <f t="shared" si="72"/>
        <v>2839.582249</v>
      </c>
      <c r="S376" s="8">
        <v>0</v>
      </c>
      <c r="T376" s="8">
        <v>0</v>
      </c>
      <c r="U376" s="8">
        <v>2839.58</v>
      </c>
      <c r="V376" s="8">
        <v>0</v>
      </c>
      <c r="W376" s="8">
        <v>0</v>
      </c>
      <c r="X376" s="8">
        <v>0</v>
      </c>
      <c r="Y376" s="8">
        <v>2787.067751</v>
      </c>
      <c r="Z376" s="8">
        <v>0</v>
      </c>
      <c r="AA376" s="7">
        <v>0</v>
      </c>
      <c r="AB376" s="8">
        <v>0</v>
      </c>
      <c r="AC376" s="7">
        <v>2.0449999999999999</v>
      </c>
      <c r="AD376" s="7" t="s">
        <v>1226</v>
      </c>
      <c r="AE376" s="8">
        <v>0</v>
      </c>
      <c r="AF376" s="8">
        <v>0</v>
      </c>
      <c r="AG376" s="8">
        <v>0</v>
      </c>
      <c r="AH376" s="8">
        <v>0</v>
      </c>
      <c r="AI376" s="7" t="s">
        <v>1736</v>
      </c>
      <c r="AJ376" s="7">
        <f t="shared" ca="1" si="73"/>
        <v>1</v>
      </c>
      <c r="AK376" s="96">
        <f>(+AA376*AB376)/$AB$1102</f>
        <v>0</v>
      </c>
      <c r="AL376" s="97">
        <f>AC376/$AE$1102*AE376</f>
        <v>0</v>
      </c>
    </row>
    <row r="377" spans="1:38" x14ac:dyDescent="0.3">
      <c r="A377" s="7" t="s">
        <v>1989</v>
      </c>
      <c r="B377" s="7" t="s">
        <v>1320</v>
      </c>
      <c r="C377" s="7" t="s">
        <v>1323</v>
      </c>
      <c r="D377" s="7" t="s">
        <v>1792</v>
      </c>
      <c r="E377" s="7" t="s">
        <v>1695</v>
      </c>
      <c r="F377" s="36">
        <v>43983</v>
      </c>
      <c r="G377" s="36">
        <v>44681</v>
      </c>
      <c r="H377" s="36">
        <v>44895</v>
      </c>
      <c r="I377" s="36">
        <v>44895</v>
      </c>
      <c r="J377" s="7" t="s">
        <v>1699</v>
      </c>
      <c r="K377" s="8">
        <v>0</v>
      </c>
      <c r="L377" s="8">
        <v>0</v>
      </c>
      <c r="M377" s="8">
        <v>0</v>
      </c>
      <c r="N377" s="8">
        <v>864.22</v>
      </c>
      <c r="O377" s="8">
        <v>0</v>
      </c>
      <c r="P377" s="8">
        <v>0</v>
      </c>
      <c r="Q377" s="8">
        <v>0</v>
      </c>
      <c r="R377" s="8">
        <f t="shared" si="72"/>
        <v>864.22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7">
        <v>0</v>
      </c>
      <c r="AB377" s="8">
        <v>0</v>
      </c>
      <c r="AC377" s="7">
        <v>2.0449999999999999</v>
      </c>
      <c r="AD377" s="7" t="s">
        <v>1226</v>
      </c>
      <c r="AE377" s="8">
        <v>0</v>
      </c>
      <c r="AF377" s="8">
        <v>0</v>
      </c>
      <c r="AG377" s="8">
        <v>0</v>
      </c>
      <c r="AH377" s="8">
        <v>0</v>
      </c>
      <c r="AI377" s="7" t="s">
        <v>1736</v>
      </c>
      <c r="AJ377" s="7">
        <f t="shared" ca="1" si="73"/>
        <v>2</v>
      </c>
      <c r="AK377" s="100">
        <f>(+AA377*AB377)/$AB$1103</f>
        <v>0</v>
      </c>
      <c r="AL377" s="97">
        <f>AC377/$AE$1103*AE377</f>
        <v>0</v>
      </c>
    </row>
    <row r="378" spans="1:38" x14ac:dyDescent="0.3">
      <c r="A378" s="7" t="s">
        <v>1990</v>
      </c>
      <c r="B378" s="7" t="s">
        <v>1320</v>
      </c>
      <c r="C378" s="7" t="s">
        <v>1323</v>
      </c>
      <c r="D378" s="7" t="s">
        <v>1792</v>
      </c>
      <c r="E378" s="7" t="s">
        <v>1695</v>
      </c>
      <c r="F378" s="36">
        <v>44084</v>
      </c>
      <c r="G378" s="36">
        <v>44690</v>
      </c>
      <c r="H378" s="36">
        <v>44895</v>
      </c>
      <c r="I378" s="36">
        <v>44895</v>
      </c>
      <c r="J378" s="7" t="s">
        <v>1696</v>
      </c>
      <c r="K378" s="8">
        <v>0</v>
      </c>
      <c r="L378" s="8">
        <v>0</v>
      </c>
      <c r="M378" s="8">
        <v>1120.5114080000001</v>
      </c>
      <c r="N378" s="8">
        <v>0</v>
      </c>
      <c r="O378" s="8">
        <v>0</v>
      </c>
      <c r="P378" s="8">
        <v>0</v>
      </c>
      <c r="Q378" s="8">
        <v>0</v>
      </c>
      <c r="R378" s="8">
        <f t="shared" si="72"/>
        <v>1120.5114080000001</v>
      </c>
      <c r="S378" s="8">
        <v>0</v>
      </c>
      <c r="T378" s="8">
        <v>0</v>
      </c>
      <c r="U378" s="8">
        <v>1234.56</v>
      </c>
      <c r="V378" s="8">
        <v>0</v>
      </c>
      <c r="W378" s="8">
        <v>0</v>
      </c>
      <c r="X378" s="8">
        <v>0</v>
      </c>
      <c r="Y378" s="8">
        <v>0</v>
      </c>
      <c r="Z378" s="8">
        <v>-246.91200000000001</v>
      </c>
      <c r="AA378" s="7">
        <v>0</v>
      </c>
      <c r="AB378" s="8">
        <v>0</v>
      </c>
      <c r="AC378" s="7">
        <v>1.727333</v>
      </c>
      <c r="AD378" s="7" t="s">
        <v>1226</v>
      </c>
      <c r="AE378" s="8">
        <v>0</v>
      </c>
      <c r="AF378" s="8">
        <v>0</v>
      </c>
      <c r="AG378" s="8">
        <v>0</v>
      </c>
      <c r="AH378" s="8">
        <v>0</v>
      </c>
      <c r="AI378" s="7" t="s">
        <v>1736</v>
      </c>
      <c r="AJ378" s="7">
        <f t="shared" ca="1" si="73"/>
        <v>1</v>
      </c>
      <c r="AK378" s="96">
        <f>(+AA378*AB378)/$AB$1102</f>
        <v>0</v>
      </c>
      <c r="AL378" s="97">
        <f>AC378/$AE$1102*AE378</f>
        <v>0</v>
      </c>
    </row>
    <row r="379" spans="1:38" x14ac:dyDescent="0.3">
      <c r="A379" s="7" t="s">
        <v>1990</v>
      </c>
      <c r="B379" s="7" t="s">
        <v>1320</v>
      </c>
      <c r="C379" s="7" t="s">
        <v>1323</v>
      </c>
      <c r="D379" s="7" t="s">
        <v>1792</v>
      </c>
      <c r="E379" s="7" t="s">
        <v>1695</v>
      </c>
      <c r="F379" s="36">
        <v>44084</v>
      </c>
      <c r="G379" s="36">
        <v>44690</v>
      </c>
      <c r="H379" s="36">
        <v>44895</v>
      </c>
      <c r="I379" s="36">
        <v>44895</v>
      </c>
      <c r="J379" s="7" t="s">
        <v>1699</v>
      </c>
      <c r="K379" s="8">
        <v>0</v>
      </c>
      <c r="L379" s="8">
        <v>0</v>
      </c>
      <c r="M379" s="8">
        <v>0</v>
      </c>
      <c r="N379" s="8">
        <v>1481.472</v>
      </c>
      <c r="O379" s="8">
        <v>0</v>
      </c>
      <c r="P379" s="8">
        <v>0</v>
      </c>
      <c r="Q379" s="8">
        <v>0</v>
      </c>
      <c r="R379" s="8">
        <f t="shared" si="72"/>
        <v>1481.472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7">
        <v>0</v>
      </c>
      <c r="AB379" s="8">
        <v>0</v>
      </c>
      <c r="AC379" s="7">
        <v>1.727333</v>
      </c>
      <c r="AD379" s="7" t="s">
        <v>1226</v>
      </c>
      <c r="AE379" s="8">
        <v>0</v>
      </c>
      <c r="AF379" s="8">
        <v>0</v>
      </c>
      <c r="AG379" s="8">
        <v>0</v>
      </c>
      <c r="AH379" s="8">
        <v>0</v>
      </c>
      <c r="AI379" s="7" t="s">
        <v>1736</v>
      </c>
      <c r="AJ379" s="7">
        <f t="shared" ca="1" si="73"/>
        <v>2</v>
      </c>
      <c r="AK379" s="100">
        <f>(+AA379*AB379)/$AB$1103</f>
        <v>0</v>
      </c>
      <c r="AL379" s="97">
        <f>AC379/$AE$1103*AE379</f>
        <v>0</v>
      </c>
    </row>
    <row r="380" spans="1:38" x14ac:dyDescent="0.3">
      <c r="A380" s="7" t="s">
        <v>1991</v>
      </c>
      <c r="B380" s="7" t="s">
        <v>194</v>
      </c>
      <c r="C380" s="7" t="s">
        <v>1432</v>
      </c>
      <c r="D380" s="7" t="s">
        <v>1852</v>
      </c>
      <c r="E380" s="7" t="s">
        <v>1322</v>
      </c>
      <c r="F380" s="36">
        <v>44287</v>
      </c>
      <c r="G380" s="36">
        <v>45382</v>
      </c>
      <c r="H380" s="36">
        <v>45382</v>
      </c>
      <c r="I380" s="36">
        <v>45382</v>
      </c>
      <c r="J380" s="7" t="s">
        <v>1239</v>
      </c>
      <c r="K380" s="8">
        <v>542923.09199999995</v>
      </c>
      <c r="L380" s="8">
        <v>67333.608900000007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f t="shared" si="72"/>
        <v>610256.70089999994</v>
      </c>
      <c r="S380" s="8">
        <v>0</v>
      </c>
      <c r="T380" s="8">
        <v>70422.809099999999</v>
      </c>
      <c r="U380" s="8">
        <v>0</v>
      </c>
      <c r="V380" s="8">
        <v>529577.19090000005</v>
      </c>
      <c r="W380" s="8">
        <v>0</v>
      </c>
      <c r="X380" s="8">
        <v>0</v>
      </c>
      <c r="Y380" s="8">
        <v>0</v>
      </c>
      <c r="Z380" s="8">
        <v>0</v>
      </c>
      <c r="AA380" s="7">
        <v>1.249315</v>
      </c>
      <c r="AB380" s="8">
        <v>716127.23479999998</v>
      </c>
      <c r="AC380" s="7">
        <v>7</v>
      </c>
      <c r="AD380" s="7" t="s">
        <v>1226</v>
      </c>
      <c r="AE380" s="8">
        <v>750000</v>
      </c>
      <c r="AF380" s="8">
        <v>0</v>
      </c>
      <c r="AG380" s="8">
        <v>750000</v>
      </c>
      <c r="AH380" s="8">
        <v>0</v>
      </c>
      <c r="AI380" s="7" t="s">
        <v>1781</v>
      </c>
      <c r="AJ380" s="7">
        <f t="shared" ca="1" si="73"/>
        <v>1</v>
      </c>
      <c r="AK380" s="96">
        <f t="shared" ref="AK380" si="82">(+AA380*AB380)/$AB$1101</f>
        <v>5.9934204655680261E-3</v>
      </c>
      <c r="AL380" s="97">
        <f t="shared" ref="AL380" si="83">AC380/$AE$1101*AE380</f>
        <v>3.3374433046437509E-2</v>
      </c>
    </row>
    <row r="381" spans="1:38" x14ac:dyDescent="0.3">
      <c r="A381" s="7" t="s">
        <v>1992</v>
      </c>
      <c r="B381" s="7" t="s">
        <v>194</v>
      </c>
      <c r="C381" s="7" t="s">
        <v>1805</v>
      </c>
      <c r="D381" s="7" t="s">
        <v>1324</v>
      </c>
      <c r="E381" s="7" t="s">
        <v>1322</v>
      </c>
      <c r="F381" s="36">
        <v>44263</v>
      </c>
      <c r="G381" s="36">
        <v>45358</v>
      </c>
      <c r="H381" s="36">
        <v>45358</v>
      </c>
      <c r="I381" s="36">
        <v>45389</v>
      </c>
      <c r="J381" s="7" t="s">
        <v>1696</v>
      </c>
      <c r="K381" s="8">
        <v>0</v>
      </c>
      <c r="L381" s="8">
        <v>0</v>
      </c>
      <c r="M381" s="8">
        <v>7531.1351400000003</v>
      </c>
      <c r="N381" s="8">
        <v>0</v>
      </c>
      <c r="O381" s="8">
        <v>0</v>
      </c>
      <c r="P381" s="8">
        <v>0</v>
      </c>
      <c r="Q381" s="8">
        <v>0</v>
      </c>
      <c r="R381" s="8">
        <f t="shared" si="72"/>
        <v>7531.1351400000003</v>
      </c>
      <c r="S381" s="8">
        <v>0</v>
      </c>
      <c r="T381" s="8">
        <v>0</v>
      </c>
      <c r="U381" s="8">
        <v>7407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7">
        <v>1.2684930000000001</v>
      </c>
      <c r="AB381" s="8">
        <v>9551.6939910000001</v>
      </c>
      <c r="AC381" s="7">
        <v>1.5</v>
      </c>
      <c r="AD381" s="7" t="s">
        <v>1226</v>
      </c>
      <c r="AE381" s="8">
        <v>9641.5</v>
      </c>
      <c r="AF381" s="8">
        <v>0</v>
      </c>
      <c r="AG381" s="8">
        <v>9641.5</v>
      </c>
      <c r="AH381" s="8">
        <v>0</v>
      </c>
      <c r="AI381" s="7" t="s">
        <v>1993</v>
      </c>
      <c r="AJ381" s="7">
        <f t="shared" ca="1" si="73"/>
        <v>1</v>
      </c>
      <c r="AK381" s="96">
        <f t="shared" ref="AK381:AK382" si="84">(+AA381*AB381)/$AB$1102</f>
        <v>1.0618978471849608E-5</v>
      </c>
      <c r="AL381" s="97">
        <f t="shared" ref="AL381:AL382" si="85">AC381/$AE$1102*AE381</f>
        <v>1.2374781531295341E-5</v>
      </c>
    </row>
    <row r="382" spans="1:38" x14ac:dyDescent="0.3">
      <c r="A382" s="7" t="s">
        <v>1994</v>
      </c>
      <c r="B382" s="7" t="s">
        <v>1320</v>
      </c>
      <c r="C382" s="7" t="s">
        <v>1323</v>
      </c>
      <c r="D382" s="7" t="s">
        <v>1792</v>
      </c>
      <c r="E382" s="7" t="s">
        <v>1695</v>
      </c>
      <c r="F382" s="36">
        <v>43221</v>
      </c>
      <c r="G382" s="36">
        <v>44681</v>
      </c>
      <c r="H382" s="36">
        <v>44895</v>
      </c>
      <c r="I382" s="36">
        <v>44895</v>
      </c>
      <c r="J382" s="7" t="s">
        <v>1696</v>
      </c>
      <c r="K382" s="8">
        <v>0</v>
      </c>
      <c r="L382" s="8">
        <v>0</v>
      </c>
      <c r="M382" s="8">
        <v>1481.5663460000001</v>
      </c>
      <c r="N382" s="8">
        <v>0</v>
      </c>
      <c r="O382" s="8">
        <v>0</v>
      </c>
      <c r="P382" s="8">
        <v>0</v>
      </c>
      <c r="Q382" s="8">
        <v>0</v>
      </c>
      <c r="R382" s="8">
        <f t="shared" si="72"/>
        <v>1481.5663460000001</v>
      </c>
      <c r="S382" s="8">
        <v>0</v>
      </c>
      <c r="T382" s="8">
        <v>0</v>
      </c>
      <c r="U382" s="8">
        <v>1481.568</v>
      </c>
      <c r="V382" s="8">
        <v>0</v>
      </c>
      <c r="W382" s="8">
        <v>0</v>
      </c>
      <c r="X382" s="8">
        <v>0</v>
      </c>
      <c r="Y382" s="8">
        <v>0</v>
      </c>
      <c r="Z382" s="8">
        <v>9.2261999999999997E-2</v>
      </c>
      <c r="AA382" s="7">
        <v>0</v>
      </c>
      <c r="AB382" s="8">
        <v>0</v>
      </c>
      <c r="AC382" s="7">
        <v>2.0449999999999999</v>
      </c>
      <c r="AD382" s="7" t="s">
        <v>1226</v>
      </c>
      <c r="AE382" s="8">
        <v>0</v>
      </c>
      <c r="AF382" s="8">
        <v>0</v>
      </c>
      <c r="AG382" s="8">
        <v>0</v>
      </c>
      <c r="AH382" s="8">
        <v>0</v>
      </c>
      <c r="AI382" s="7" t="s">
        <v>1736</v>
      </c>
      <c r="AJ382" s="7">
        <f t="shared" ca="1" si="73"/>
        <v>1</v>
      </c>
      <c r="AK382" s="96">
        <f t="shared" si="84"/>
        <v>0</v>
      </c>
      <c r="AL382" s="97">
        <f t="shared" si="85"/>
        <v>0</v>
      </c>
    </row>
    <row r="383" spans="1:38" x14ac:dyDescent="0.3">
      <c r="A383" s="7" t="s">
        <v>1994</v>
      </c>
      <c r="B383" s="7" t="s">
        <v>1320</v>
      </c>
      <c r="C383" s="7" t="s">
        <v>1323</v>
      </c>
      <c r="D383" s="7" t="s">
        <v>1792</v>
      </c>
      <c r="E383" s="7" t="s">
        <v>1695</v>
      </c>
      <c r="F383" s="36">
        <v>43221</v>
      </c>
      <c r="G383" s="36">
        <v>44681</v>
      </c>
      <c r="H383" s="36">
        <v>44895</v>
      </c>
      <c r="I383" s="36">
        <v>44895</v>
      </c>
      <c r="J383" s="7" t="s">
        <v>1699</v>
      </c>
      <c r="K383" s="8">
        <v>0</v>
      </c>
      <c r="L383" s="8">
        <v>0</v>
      </c>
      <c r="M383" s="8">
        <v>0</v>
      </c>
      <c r="N383" s="8">
        <v>2592.59</v>
      </c>
      <c r="O383" s="8">
        <v>0</v>
      </c>
      <c r="P383" s="8">
        <v>0</v>
      </c>
      <c r="Q383" s="8">
        <v>0</v>
      </c>
      <c r="R383" s="8">
        <f t="shared" si="72"/>
        <v>2592.59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7">
        <v>0</v>
      </c>
      <c r="AB383" s="8">
        <v>0</v>
      </c>
      <c r="AC383" s="7">
        <v>2.0449999999999999</v>
      </c>
      <c r="AD383" s="7" t="s">
        <v>1226</v>
      </c>
      <c r="AE383" s="8">
        <v>0</v>
      </c>
      <c r="AF383" s="8">
        <v>0</v>
      </c>
      <c r="AG383" s="8">
        <v>0</v>
      </c>
      <c r="AH383" s="8">
        <v>0</v>
      </c>
      <c r="AI383" s="7" t="s">
        <v>1736</v>
      </c>
      <c r="AJ383" s="7">
        <f t="shared" ca="1" si="73"/>
        <v>2</v>
      </c>
      <c r="AK383" s="100">
        <f t="shared" ref="AK383:AK384" si="86">(+AA383*AB383)/$AB$1103</f>
        <v>0</v>
      </c>
      <c r="AL383" s="97">
        <f t="shared" ref="AL383:AL384" si="87">AC383/$AE$1103*AE383</f>
        <v>0</v>
      </c>
    </row>
    <row r="384" spans="1:38" x14ac:dyDescent="0.3">
      <c r="A384" s="7" t="s">
        <v>1995</v>
      </c>
      <c r="B384" s="7" t="s">
        <v>1320</v>
      </c>
      <c r="C384" s="7" t="s">
        <v>1323</v>
      </c>
      <c r="D384" s="7" t="s">
        <v>1792</v>
      </c>
      <c r="E384" s="7" t="s">
        <v>1695</v>
      </c>
      <c r="F384" s="36">
        <v>44089</v>
      </c>
      <c r="G384" s="36">
        <v>44422</v>
      </c>
      <c r="H384" s="36">
        <v>44895</v>
      </c>
      <c r="I384" s="36">
        <v>44895</v>
      </c>
      <c r="J384" s="7" t="s">
        <v>1699</v>
      </c>
      <c r="K384" s="8">
        <v>0</v>
      </c>
      <c r="L384" s="8">
        <v>0</v>
      </c>
      <c r="M384" s="8">
        <v>0</v>
      </c>
      <c r="N384" s="8">
        <v>3440.0000009999999</v>
      </c>
      <c r="O384" s="8">
        <v>0</v>
      </c>
      <c r="P384" s="8">
        <v>0</v>
      </c>
      <c r="Q384" s="8">
        <v>0</v>
      </c>
      <c r="R384" s="8">
        <f t="shared" si="72"/>
        <v>3440.0000009999999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7">
        <v>0</v>
      </c>
      <c r="AB384" s="8">
        <v>0</v>
      </c>
      <c r="AC384" s="7">
        <v>1.533636</v>
      </c>
      <c r="AD384" s="7" t="s">
        <v>1226</v>
      </c>
      <c r="AE384" s="8">
        <v>0</v>
      </c>
      <c r="AF384" s="8">
        <v>0</v>
      </c>
      <c r="AG384" s="8">
        <v>0</v>
      </c>
      <c r="AH384" s="8">
        <v>0</v>
      </c>
      <c r="AI384" s="7" t="s">
        <v>1736</v>
      </c>
      <c r="AJ384" s="7">
        <f t="shared" ca="1" si="73"/>
        <v>1</v>
      </c>
      <c r="AK384" s="100">
        <f t="shared" si="86"/>
        <v>0</v>
      </c>
      <c r="AL384" s="97">
        <f t="shared" si="87"/>
        <v>0</v>
      </c>
    </row>
    <row r="385" spans="1:38" x14ac:dyDescent="0.3">
      <c r="A385" s="7" t="s">
        <v>1996</v>
      </c>
      <c r="B385" s="7" t="s">
        <v>1320</v>
      </c>
      <c r="C385" s="7" t="s">
        <v>1323</v>
      </c>
      <c r="D385" s="7" t="s">
        <v>1792</v>
      </c>
      <c r="E385" s="7" t="s">
        <v>1695</v>
      </c>
      <c r="F385" s="36">
        <v>43221</v>
      </c>
      <c r="G385" s="36">
        <v>44681</v>
      </c>
      <c r="H385" s="36">
        <v>44895</v>
      </c>
      <c r="I385" s="36">
        <v>44895</v>
      </c>
      <c r="J385" s="7" t="s">
        <v>1696</v>
      </c>
      <c r="K385" s="8">
        <v>0</v>
      </c>
      <c r="L385" s="8">
        <v>0</v>
      </c>
      <c r="M385" s="8">
        <v>1481.5663460000001</v>
      </c>
      <c r="N385" s="8">
        <v>0</v>
      </c>
      <c r="O385" s="8">
        <v>0</v>
      </c>
      <c r="P385" s="8">
        <v>0</v>
      </c>
      <c r="Q385" s="8">
        <v>0</v>
      </c>
      <c r="R385" s="8">
        <f t="shared" si="72"/>
        <v>1481.5663460000001</v>
      </c>
      <c r="S385" s="8">
        <v>0</v>
      </c>
      <c r="T385" s="8">
        <v>0</v>
      </c>
      <c r="U385" s="8">
        <v>1481.568</v>
      </c>
      <c r="V385" s="8">
        <v>0</v>
      </c>
      <c r="W385" s="8">
        <v>0</v>
      </c>
      <c r="X385" s="8">
        <v>0</v>
      </c>
      <c r="Y385" s="8">
        <v>0</v>
      </c>
      <c r="Z385" s="8">
        <v>9.2261999999999997E-2</v>
      </c>
      <c r="AA385" s="7">
        <v>0</v>
      </c>
      <c r="AB385" s="8">
        <v>0</v>
      </c>
      <c r="AC385" s="7">
        <v>2.0449999999999999</v>
      </c>
      <c r="AD385" s="7" t="s">
        <v>1226</v>
      </c>
      <c r="AE385" s="8">
        <v>0</v>
      </c>
      <c r="AF385" s="8">
        <v>0</v>
      </c>
      <c r="AG385" s="8">
        <v>0</v>
      </c>
      <c r="AH385" s="8">
        <v>0</v>
      </c>
      <c r="AI385" s="7" t="s">
        <v>1736</v>
      </c>
      <c r="AJ385" s="7">
        <f t="shared" ca="1" si="73"/>
        <v>1</v>
      </c>
      <c r="AK385" s="96">
        <f>(+AA385*AB385)/$AB$1102</f>
        <v>0</v>
      </c>
      <c r="AL385" s="97">
        <f>AC385/$AE$1102*AE385</f>
        <v>0</v>
      </c>
    </row>
    <row r="386" spans="1:38" x14ac:dyDescent="0.3">
      <c r="A386" s="7" t="s">
        <v>1996</v>
      </c>
      <c r="B386" s="7" t="s">
        <v>1320</v>
      </c>
      <c r="C386" s="7" t="s">
        <v>1323</v>
      </c>
      <c r="D386" s="7" t="s">
        <v>1792</v>
      </c>
      <c r="E386" s="7" t="s">
        <v>1695</v>
      </c>
      <c r="F386" s="36">
        <v>43221</v>
      </c>
      <c r="G386" s="36">
        <v>44681</v>
      </c>
      <c r="H386" s="36">
        <v>44895</v>
      </c>
      <c r="I386" s="36">
        <v>44895</v>
      </c>
      <c r="J386" s="7" t="s">
        <v>1699</v>
      </c>
      <c r="K386" s="8">
        <v>0</v>
      </c>
      <c r="L386" s="8">
        <v>0</v>
      </c>
      <c r="M386" s="8">
        <v>0</v>
      </c>
      <c r="N386" s="8">
        <v>2592.59</v>
      </c>
      <c r="O386" s="8">
        <v>0</v>
      </c>
      <c r="P386" s="8">
        <v>0</v>
      </c>
      <c r="Q386" s="8">
        <v>0</v>
      </c>
      <c r="R386" s="8">
        <f t="shared" si="72"/>
        <v>2592.59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7">
        <v>0</v>
      </c>
      <c r="AB386" s="8">
        <v>0</v>
      </c>
      <c r="AC386" s="7">
        <v>2.0449999999999999</v>
      </c>
      <c r="AD386" s="7" t="s">
        <v>1226</v>
      </c>
      <c r="AE386" s="8">
        <v>0</v>
      </c>
      <c r="AF386" s="8">
        <v>0</v>
      </c>
      <c r="AG386" s="8">
        <v>0</v>
      </c>
      <c r="AH386" s="8">
        <v>0</v>
      </c>
      <c r="AI386" s="7" t="s">
        <v>1736</v>
      </c>
      <c r="AJ386" s="7">
        <f t="shared" ca="1" si="73"/>
        <v>2</v>
      </c>
      <c r="AK386" s="100">
        <f>(+AA386*AB386)/$AB$1103</f>
        <v>0</v>
      </c>
      <c r="AL386" s="97">
        <f>AC386/$AE$1103*AE386</f>
        <v>0</v>
      </c>
    </row>
    <row r="387" spans="1:38" x14ac:dyDescent="0.3">
      <c r="A387" s="7" t="s">
        <v>1997</v>
      </c>
      <c r="B387" s="7" t="s">
        <v>1320</v>
      </c>
      <c r="C387" s="7" t="s">
        <v>1323</v>
      </c>
      <c r="D387" s="7" t="s">
        <v>1792</v>
      </c>
      <c r="E387" s="7" t="s">
        <v>1695</v>
      </c>
      <c r="F387" s="36">
        <v>43221</v>
      </c>
      <c r="G387" s="36">
        <v>44681</v>
      </c>
      <c r="H387" s="36">
        <v>44895</v>
      </c>
      <c r="I387" s="36">
        <v>44895</v>
      </c>
      <c r="J387" s="7" t="s">
        <v>1696</v>
      </c>
      <c r="K387" s="8">
        <v>0</v>
      </c>
      <c r="L387" s="8">
        <v>0</v>
      </c>
      <c r="M387" s="8">
        <v>1481.5663460000001</v>
      </c>
      <c r="N387" s="8">
        <v>0</v>
      </c>
      <c r="O387" s="8">
        <v>0</v>
      </c>
      <c r="P387" s="8">
        <v>0</v>
      </c>
      <c r="Q387" s="8">
        <v>0</v>
      </c>
      <c r="R387" s="8">
        <f t="shared" ref="R387:R450" si="88">K387+L387+M387+N387+O387+P387+Q387</f>
        <v>1481.5663460000001</v>
      </c>
      <c r="S387" s="8">
        <v>0</v>
      </c>
      <c r="T387" s="8">
        <v>0</v>
      </c>
      <c r="U387" s="8">
        <v>1481.568</v>
      </c>
      <c r="V387" s="8">
        <v>0</v>
      </c>
      <c r="W387" s="8">
        <v>0</v>
      </c>
      <c r="X387" s="8">
        <v>0</v>
      </c>
      <c r="Y387" s="8">
        <v>0</v>
      </c>
      <c r="Z387" s="8">
        <v>9.2261999999999997E-2</v>
      </c>
      <c r="AA387" s="7">
        <v>0</v>
      </c>
      <c r="AB387" s="8">
        <v>0</v>
      </c>
      <c r="AC387" s="7">
        <v>2.0449999999999999</v>
      </c>
      <c r="AD387" s="7" t="s">
        <v>1226</v>
      </c>
      <c r="AE387" s="8">
        <v>0</v>
      </c>
      <c r="AF387" s="8">
        <v>0</v>
      </c>
      <c r="AG387" s="8">
        <v>0</v>
      </c>
      <c r="AH387" s="8">
        <v>0</v>
      </c>
      <c r="AI387" s="7" t="s">
        <v>1736</v>
      </c>
      <c r="AJ387" s="7">
        <f t="shared" ref="AJ387:AJ450" ca="1" si="89">IF(A387=OFFSET(A387,-1,0),OFFSET(AJ387,-1,0)+1,1)</f>
        <v>1</v>
      </c>
      <c r="AK387" s="96">
        <f>(+AA387*AB387)/$AB$1102</f>
        <v>0</v>
      </c>
      <c r="AL387" s="97">
        <f>AC387/$AE$1102*AE387</f>
        <v>0</v>
      </c>
    </row>
    <row r="388" spans="1:38" x14ac:dyDescent="0.3">
      <c r="A388" s="7" t="s">
        <v>1997</v>
      </c>
      <c r="B388" s="7" t="s">
        <v>1320</v>
      </c>
      <c r="C388" s="7" t="s">
        <v>1323</v>
      </c>
      <c r="D388" s="7" t="s">
        <v>1792</v>
      </c>
      <c r="E388" s="7" t="s">
        <v>1695</v>
      </c>
      <c r="F388" s="36">
        <v>43221</v>
      </c>
      <c r="G388" s="36">
        <v>44681</v>
      </c>
      <c r="H388" s="36">
        <v>44895</v>
      </c>
      <c r="I388" s="36">
        <v>44895</v>
      </c>
      <c r="J388" s="7" t="s">
        <v>1699</v>
      </c>
      <c r="K388" s="8">
        <v>0</v>
      </c>
      <c r="L388" s="8">
        <v>0</v>
      </c>
      <c r="M388" s="8">
        <v>0</v>
      </c>
      <c r="N388" s="8">
        <v>2592.59</v>
      </c>
      <c r="O388" s="8">
        <v>0</v>
      </c>
      <c r="P388" s="8">
        <v>0</v>
      </c>
      <c r="Q388" s="8">
        <v>0</v>
      </c>
      <c r="R388" s="8">
        <f t="shared" si="88"/>
        <v>2592.59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7">
        <v>0</v>
      </c>
      <c r="AB388" s="8">
        <v>0</v>
      </c>
      <c r="AC388" s="7">
        <v>2.0449999999999999</v>
      </c>
      <c r="AD388" s="7" t="s">
        <v>1226</v>
      </c>
      <c r="AE388" s="8">
        <v>0</v>
      </c>
      <c r="AF388" s="8">
        <v>0</v>
      </c>
      <c r="AG388" s="8">
        <v>0</v>
      </c>
      <c r="AH388" s="8">
        <v>0</v>
      </c>
      <c r="AI388" s="7" t="s">
        <v>1736</v>
      </c>
      <c r="AJ388" s="7">
        <f t="shared" ca="1" si="89"/>
        <v>2</v>
      </c>
      <c r="AK388" s="100">
        <f>(+AA388*AB388)/$AB$1103</f>
        <v>0</v>
      </c>
      <c r="AL388" s="97">
        <f>AC388/$AE$1103*AE388</f>
        <v>0</v>
      </c>
    </row>
    <row r="389" spans="1:38" x14ac:dyDescent="0.3">
      <c r="A389" s="7" t="s">
        <v>1998</v>
      </c>
      <c r="B389" s="7" t="s">
        <v>1320</v>
      </c>
      <c r="C389" s="7" t="s">
        <v>1323</v>
      </c>
      <c r="D389" s="7" t="s">
        <v>1792</v>
      </c>
      <c r="E389" s="7" t="s">
        <v>1695</v>
      </c>
      <c r="F389" s="36">
        <v>43221</v>
      </c>
      <c r="G389" s="36">
        <v>44681</v>
      </c>
      <c r="H389" s="36">
        <v>44895</v>
      </c>
      <c r="I389" s="36">
        <v>44895</v>
      </c>
      <c r="J389" s="7" t="s">
        <v>1696</v>
      </c>
      <c r="K389" s="8">
        <v>0</v>
      </c>
      <c r="L389" s="8">
        <v>0</v>
      </c>
      <c r="M389" s="8">
        <v>1481.5663460000001</v>
      </c>
      <c r="N389" s="8">
        <v>0</v>
      </c>
      <c r="O389" s="8">
        <v>0</v>
      </c>
      <c r="P389" s="8">
        <v>0</v>
      </c>
      <c r="Q389" s="8">
        <v>0</v>
      </c>
      <c r="R389" s="8">
        <f t="shared" si="88"/>
        <v>1481.5663460000001</v>
      </c>
      <c r="S389" s="8">
        <v>0</v>
      </c>
      <c r="T389" s="8">
        <v>0</v>
      </c>
      <c r="U389" s="8">
        <v>1481.568</v>
      </c>
      <c r="V389" s="8">
        <v>0</v>
      </c>
      <c r="W389" s="8">
        <v>0</v>
      </c>
      <c r="X389" s="8">
        <v>0</v>
      </c>
      <c r="Y389" s="8">
        <v>0</v>
      </c>
      <c r="Z389" s="8">
        <v>9.2261999999999997E-2</v>
      </c>
      <c r="AA389" s="7">
        <v>0</v>
      </c>
      <c r="AB389" s="8">
        <v>0</v>
      </c>
      <c r="AC389" s="7">
        <v>2.0449999999999999</v>
      </c>
      <c r="AD389" s="7" t="s">
        <v>1226</v>
      </c>
      <c r="AE389" s="8">
        <v>0</v>
      </c>
      <c r="AF389" s="8">
        <v>0</v>
      </c>
      <c r="AG389" s="8">
        <v>0</v>
      </c>
      <c r="AH389" s="8">
        <v>0</v>
      </c>
      <c r="AI389" s="7" t="s">
        <v>1736</v>
      </c>
      <c r="AJ389" s="7">
        <f t="shared" ca="1" si="89"/>
        <v>1</v>
      </c>
      <c r="AK389" s="96">
        <f>(+AA389*AB389)/$AB$1102</f>
        <v>0</v>
      </c>
      <c r="AL389" s="97">
        <f>AC389/$AE$1102*AE389</f>
        <v>0</v>
      </c>
    </row>
    <row r="390" spans="1:38" x14ac:dyDescent="0.3">
      <c r="A390" s="7" t="s">
        <v>1998</v>
      </c>
      <c r="B390" s="7" t="s">
        <v>1320</v>
      </c>
      <c r="C390" s="7" t="s">
        <v>1323</v>
      </c>
      <c r="D390" s="7" t="s">
        <v>1792</v>
      </c>
      <c r="E390" s="7" t="s">
        <v>1695</v>
      </c>
      <c r="F390" s="36">
        <v>43221</v>
      </c>
      <c r="G390" s="36">
        <v>44681</v>
      </c>
      <c r="H390" s="36">
        <v>44895</v>
      </c>
      <c r="I390" s="36">
        <v>44895</v>
      </c>
      <c r="J390" s="7" t="s">
        <v>1699</v>
      </c>
      <c r="K390" s="8">
        <v>0</v>
      </c>
      <c r="L390" s="8">
        <v>0</v>
      </c>
      <c r="M390" s="8">
        <v>0</v>
      </c>
      <c r="N390" s="8">
        <v>2592.59</v>
      </c>
      <c r="O390" s="8">
        <v>0</v>
      </c>
      <c r="P390" s="8">
        <v>0</v>
      </c>
      <c r="Q390" s="8">
        <v>0</v>
      </c>
      <c r="R390" s="8">
        <f t="shared" si="88"/>
        <v>2592.59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7">
        <v>0</v>
      </c>
      <c r="AB390" s="8">
        <v>0</v>
      </c>
      <c r="AC390" s="7">
        <v>2.0449999999999999</v>
      </c>
      <c r="AD390" s="7" t="s">
        <v>1226</v>
      </c>
      <c r="AE390" s="8">
        <v>0</v>
      </c>
      <c r="AF390" s="8">
        <v>0</v>
      </c>
      <c r="AG390" s="8">
        <v>0</v>
      </c>
      <c r="AH390" s="8">
        <v>0</v>
      </c>
      <c r="AI390" s="7" t="s">
        <v>1736</v>
      </c>
      <c r="AJ390" s="7">
        <f t="shared" ca="1" si="89"/>
        <v>2</v>
      </c>
      <c r="AK390" s="100">
        <f>(+AA390*AB390)/$AB$1103</f>
        <v>0</v>
      </c>
      <c r="AL390" s="97">
        <f>AC390/$AE$1103*AE390</f>
        <v>0</v>
      </c>
    </row>
    <row r="391" spans="1:38" x14ac:dyDescent="0.3">
      <c r="A391" s="7" t="s">
        <v>1999</v>
      </c>
      <c r="B391" s="7" t="s">
        <v>1320</v>
      </c>
      <c r="C391" s="7" t="s">
        <v>1323</v>
      </c>
      <c r="D391" s="7" t="s">
        <v>1792</v>
      </c>
      <c r="E391" s="7" t="s">
        <v>1695</v>
      </c>
      <c r="F391" s="36">
        <v>43221</v>
      </c>
      <c r="G391" s="36">
        <v>44681</v>
      </c>
      <c r="H391" s="36">
        <v>44895</v>
      </c>
      <c r="I391" s="36">
        <v>44895</v>
      </c>
      <c r="J391" s="7" t="s">
        <v>1696</v>
      </c>
      <c r="K391" s="8">
        <v>0</v>
      </c>
      <c r="L391" s="8">
        <v>0</v>
      </c>
      <c r="M391" s="8">
        <v>1481.5663460000001</v>
      </c>
      <c r="N391" s="8">
        <v>0</v>
      </c>
      <c r="O391" s="8">
        <v>0</v>
      </c>
      <c r="P391" s="8">
        <v>0</v>
      </c>
      <c r="Q391" s="8">
        <v>0</v>
      </c>
      <c r="R391" s="8">
        <f t="shared" si="88"/>
        <v>1481.5663460000001</v>
      </c>
      <c r="S391" s="8">
        <v>0</v>
      </c>
      <c r="T391" s="8">
        <v>0</v>
      </c>
      <c r="U391" s="8">
        <v>1481.568</v>
      </c>
      <c r="V391" s="8">
        <v>0</v>
      </c>
      <c r="W391" s="8">
        <v>0</v>
      </c>
      <c r="X391" s="8">
        <v>0</v>
      </c>
      <c r="Y391" s="8">
        <v>0</v>
      </c>
      <c r="Z391" s="8">
        <v>9.2261999999999997E-2</v>
      </c>
      <c r="AA391" s="7">
        <v>0</v>
      </c>
      <c r="AB391" s="8">
        <v>0</v>
      </c>
      <c r="AC391" s="7">
        <v>2.0449999999999999</v>
      </c>
      <c r="AD391" s="7" t="s">
        <v>1226</v>
      </c>
      <c r="AE391" s="8">
        <v>0</v>
      </c>
      <c r="AF391" s="8">
        <v>0</v>
      </c>
      <c r="AG391" s="8">
        <v>0</v>
      </c>
      <c r="AH391" s="8">
        <v>0</v>
      </c>
      <c r="AI391" s="7" t="s">
        <v>1736</v>
      </c>
      <c r="AJ391" s="7">
        <f t="shared" ca="1" si="89"/>
        <v>1</v>
      </c>
      <c r="AK391" s="96">
        <f>(+AA391*AB391)/$AB$1102</f>
        <v>0</v>
      </c>
      <c r="AL391" s="97">
        <f>AC391/$AE$1102*AE391</f>
        <v>0</v>
      </c>
    </row>
    <row r="392" spans="1:38" x14ac:dyDescent="0.3">
      <c r="A392" s="7" t="s">
        <v>1999</v>
      </c>
      <c r="B392" s="7" t="s">
        <v>1320</v>
      </c>
      <c r="C392" s="7" t="s">
        <v>1323</v>
      </c>
      <c r="D392" s="7" t="s">
        <v>1792</v>
      </c>
      <c r="E392" s="7" t="s">
        <v>1695</v>
      </c>
      <c r="F392" s="36">
        <v>43221</v>
      </c>
      <c r="G392" s="36">
        <v>44681</v>
      </c>
      <c r="H392" s="36">
        <v>44895</v>
      </c>
      <c r="I392" s="36">
        <v>44895</v>
      </c>
      <c r="J392" s="7" t="s">
        <v>1699</v>
      </c>
      <c r="K392" s="8">
        <v>0</v>
      </c>
      <c r="L392" s="8">
        <v>0</v>
      </c>
      <c r="M392" s="8">
        <v>0</v>
      </c>
      <c r="N392" s="8">
        <v>2592.59</v>
      </c>
      <c r="O392" s="8">
        <v>0</v>
      </c>
      <c r="P392" s="8">
        <v>0</v>
      </c>
      <c r="Q392" s="8">
        <v>0</v>
      </c>
      <c r="R392" s="8">
        <f t="shared" si="88"/>
        <v>2592.59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7">
        <v>0</v>
      </c>
      <c r="AB392" s="8">
        <v>0</v>
      </c>
      <c r="AC392" s="7">
        <v>2.0449999999999999</v>
      </c>
      <c r="AD392" s="7" t="s">
        <v>1226</v>
      </c>
      <c r="AE392" s="8">
        <v>0</v>
      </c>
      <c r="AF392" s="8">
        <v>0</v>
      </c>
      <c r="AG392" s="8">
        <v>0</v>
      </c>
      <c r="AH392" s="8">
        <v>0</v>
      </c>
      <c r="AI392" s="7" t="s">
        <v>1736</v>
      </c>
      <c r="AJ392" s="7">
        <f t="shared" ca="1" si="89"/>
        <v>2</v>
      </c>
      <c r="AK392" s="100">
        <f>(+AA392*AB392)/$AB$1103</f>
        <v>0</v>
      </c>
      <c r="AL392" s="97">
        <f>AC392/$AE$1103*AE392</f>
        <v>0</v>
      </c>
    </row>
    <row r="393" spans="1:38" x14ac:dyDescent="0.3">
      <c r="A393" s="7" t="s">
        <v>2000</v>
      </c>
      <c r="B393" s="7" t="s">
        <v>1320</v>
      </c>
      <c r="C393" s="7" t="s">
        <v>1323</v>
      </c>
      <c r="D393" s="7" t="s">
        <v>1792</v>
      </c>
      <c r="E393" s="7" t="s">
        <v>1695</v>
      </c>
      <c r="F393" s="36">
        <v>43983</v>
      </c>
      <c r="G393" s="36">
        <v>44681</v>
      </c>
      <c r="H393" s="36">
        <v>44895</v>
      </c>
      <c r="I393" s="36">
        <v>44895</v>
      </c>
      <c r="J393" s="7" t="s">
        <v>1696</v>
      </c>
      <c r="K393" s="8">
        <v>0</v>
      </c>
      <c r="L393" s="8">
        <v>0</v>
      </c>
      <c r="M393" s="8">
        <v>1481.5129609999999</v>
      </c>
      <c r="N393" s="8">
        <v>0</v>
      </c>
      <c r="O393" s="8">
        <v>0</v>
      </c>
      <c r="P393" s="8">
        <v>0</v>
      </c>
      <c r="Q393" s="8">
        <v>0</v>
      </c>
      <c r="R393" s="8">
        <f t="shared" si="88"/>
        <v>1481.5129609999999</v>
      </c>
      <c r="S393" s="8">
        <v>0</v>
      </c>
      <c r="T393" s="8">
        <v>0</v>
      </c>
      <c r="U393" s="8">
        <v>1481.518</v>
      </c>
      <c r="V393" s="8">
        <v>0</v>
      </c>
      <c r="W393" s="8">
        <v>0</v>
      </c>
      <c r="X393" s="8">
        <v>0</v>
      </c>
      <c r="Y393" s="8">
        <v>0</v>
      </c>
      <c r="Z393" s="8">
        <v>4.5254000000000003E-2</v>
      </c>
      <c r="AA393" s="7">
        <v>0</v>
      </c>
      <c r="AB393" s="8">
        <v>0</v>
      </c>
      <c r="AC393" s="7">
        <v>1.7840830000000001</v>
      </c>
      <c r="AD393" s="7" t="s">
        <v>1226</v>
      </c>
      <c r="AE393" s="8">
        <v>0</v>
      </c>
      <c r="AF393" s="8">
        <v>0</v>
      </c>
      <c r="AG393" s="8">
        <v>0</v>
      </c>
      <c r="AH393" s="8">
        <v>0</v>
      </c>
      <c r="AI393" s="7" t="s">
        <v>1736</v>
      </c>
      <c r="AJ393" s="7">
        <f t="shared" ca="1" si="89"/>
        <v>1</v>
      </c>
      <c r="AK393" s="96">
        <f>(+AA393*AB393)/$AB$1102</f>
        <v>0</v>
      </c>
      <c r="AL393" s="97">
        <f>AC393/$AE$1102*AE393</f>
        <v>0</v>
      </c>
    </row>
    <row r="394" spans="1:38" x14ac:dyDescent="0.3">
      <c r="A394" s="7" t="s">
        <v>2000</v>
      </c>
      <c r="B394" s="7" t="s">
        <v>1320</v>
      </c>
      <c r="C394" s="7" t="s">
        <v>1323</v>
      </c>
      <c r="D394" s="7" t="s">
        <v>1792</v>
      </c>
      <c r="E394" s="7" t="s">
        <v>1695</v>
      </c>
      <c r="F394" s="36">
        <v>43983</v>
      </c>
      <c r="G394" s="36">
        <v>44681</v>
      </c>
      <c r="H394" s="36">
        <v>44895</v>
      </c>
      <c r="I394" s="36">
        <v>44895</v>
      </c>
      <c r="J394" s="7" t="s">
        <v>1699</v>
      </c>
      <c r="K394" s="8">
        <v>0</v>
      </c>
      <c r="L394" s="8">
        <v>0</v>
      </c>
      <c r="M394" s="8">
        <v>0</v>
      </c>
      <c r="N394" s="8">
        <v>2592.59</v>
      </c>
      <c r="O394" s="8">
        <v>0</v>
      </c>
      <c r="P394" s="8">
        <v>0</v>
      </c>
      <c r="Q394" s="8">
        <v>0</v>
      </c>
      <c r="R394" s="8">
        <f t="shared" si="88"/>
        <v>2592.59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7">
        <v>0</v>
      </c>
      <c r="AB394" s="8">
        <v>0</v>
      </c>
      <c r="AC394" s="7">
        <v>1.7840830000000001</v>
      </c>
      <c r="AD394" s="7" t="s">
        <v>1226</v>
      </c>
      <c r="AE394" s="8">
        <v>0</v>
      </c>
      <c r="AF394" s="8">
        <v>0</v>
      </c>
      <c r="AG394" s="8">
        <v>0</v>
      </c>
      <c r="AH394" s="8">
        <v>0</v>
      </c>
      <c r="AI394" s="7" t="s">
        <v>1736</v>
      </c>
      <c r="AJ394" s="7">
        <f t="shared" ca="1" si="89"/>
        <v>2</v>
      </c>
      <c r="AK394" s="100">
        <f>(+AA394*AB394)/$AB$1103</f>
        <v>0</v>
      </c>
      <c r="AL394" s="97">
        <f>AC394/$AE$1103*AE394</f>
        <v>0</v>
      </c>
    </row>
    <row r="395" spans="1:38" x14ac:dyDescent="0.3">
      <c r="A395" s="7" t="s">
        <v>2001</v>
      </c>
      <c r="B395" s="7" t="s">
        <v>1320</v>
      </c>
      <c r="C395" s="7" t="s">
        <v>1323</v>
      </c>
      <c r="D395" s="7" t="s">
        <v>1694</v>
      </c>
      <c r="E395" s="7" t="s">
        <v>1322</v>
      </c>
      <c r="F395" s="36">
        <v>43868</v>
      </c>
      <c r="G395" s="36">
        <v>44963</v>
      </c>
      <c r="H395" s="36">
        <v>44963</v>
      </c>
      <c r="I395" s="36">
        <v>44963</v>
      </c>
      <c r="J395" s="7" t="s">
        <v>1696</v>
      </c>
      <c r="K395" s="8">
        <v>0</v>
      </c>
      <c r="L395" s="8">
        <v>0</v>
      </c>
      <c r="M395" s="8">
        <v>600000.02189099998</v>
      </c>
      <c r="N395" s="8">
        <v>0</v>
      </c>
      <c r="O395" s="8">
        <v>0</v>
      </c>
      <c r="P395" s="8">
        <v>0</v>
      </c>
      <c r="Q395" s="8">
        <v>0</v>
      </c>
      <c r="R395" s="8">
        <f t="shared" si="88"/>
        <v>600000.02189099998</v>
      </c>
      <c r="S395" s="8">
        <v>0</v>
      </c>
      <c r="T395" s="8">
        <v>0</v>
      </c>
      <c r="U395" s="8">
        <v>599999.99100000004</v>
      </c>
      <c r="V395" s="8">
        <v>0</v>
      </c>
      <c r="W395" s="8">
        <v>0</v>
      </c>
      <c r="X395" s="8">
        <v>0</v>
      </c>
      <c r="Y395" s="8">
        <v>0</v>
      </c>
      <c r="Z395" s="8">
        <v>3.4956000000000001E-2</v>
      </c>
      <c r="AA395" s="7">
        <v>0.10137</v>
      </c>
      <c r="AB395" s="8">
        <v>49983.687643999998</v>
      </c>
      <c r="AC395" s="7">
        <v>2.0299999999999998</v>
      </c>
      <c r="AD395" s="7" t="s">
        <v>1226</v>
      </c>
      <c r="AE395" s="8">
        <v>50000</v>
      </c>
      <c r="AF395" s="8">
        <v>0</v>
      </c>
      <c r="AG395" s="8">
        <v>50000</v>
      </c>
      <c r="AH395" s="8">
        <v>0</v>
      </c>
      <c r="AI395" s="7" t="s">
        <v>1194</v>
      </c>
      <c r="AJ395" s="7">
        <f t="shared" ca="1" si="89"/>
        <v>1</v>
      </c>
      <c r="AK395" s="96">
        <f>(+AA395*AB395)/$AB$1102</f>
        <v>4.4407058358773802E-6</v>
      </c>
      <c r="AL395" s="97">
        <f>AC395/$AE$1102*AE395</f>
        <v>8.684957910605038E-5</v>
      </c>
    </row>
    <row r="396" spans="1:38" x14ac:dyDescent="0.3">
      <c r="A396" s="7" t="s">
        <v>2002</v>
      </c>
      <c r="B396" s="7" t="s">
        <v>194</v>
      </c>
      <c r="C396" s="7" t="s">
        <v>1323</v>
      </c>
      <c r="D396" s="7" t="s">
        <v>1324</v>
      </c>
      <c r="E396" s="7" t="s">
        <v>1322</v>
      </c>
      <c r="F396" s="36">
        <v>44287</v>
      </c>
      <c r="G396" s="36">
        <v>45382</v>
      </c>
      <c r="H396" s="36">
        <v>45382</v>
      </c>
      <c r="I396" s="36">
        <v>45382</v>
      </c>
      <c r="J396" s="7" t="s">
        <v>1239</v>
      </c>
      <c r="K396" s="8">
        <v>594691.16980799998</v>
      </c>
      <c r="L396" s="8">
        <v>77830.795068000007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f t="shared" si="88"/>
        <v>672521.96487599995</v>
      </c>
      <c r="S396" s="8">
        <v>0</v>
      </c>
      <c r="T396" s="8">
        <v>81120.094515999997</v>
      </c>
      <c r="U396" s="8">
        <v>0</v>
      </c>
      <c r="V396" s="8">
        <v>563879.90548399999</v>
      </c>
      <c r="W396" s="8">
        <v>0</v>
      </c>
      <c r="X396" s="8">
        <v>0</v>
      </c>
      <c r="Y396" s="8">
        <v>0</v>
      </c>
      <c r="Z396" s="8">
        <v>0</v>
      </c>
      <c r="AA396" s="7">
        <v>1.249315</v>
      </c>
      <c r="AB396" s="8">
        <v>844525.99535900005</v>
      </c>
      <c r="AC396" s="7">
        <v>7</v>
      </c>
      <c r="AD396" s="7" t="s">
        <v>1226</v>
      </c>
      <c r="AE396" s="8">
        <v>885000</v>
      </c>
      <c r="AF396" s="8">
        <v>0</v>
      </c>
      <c r="AG396" s="8">
        <v>885000</v>
      </c>
      <c r="AH396" s="8">
        <v>0</v>
      </c>
      <c r="AI396" s="7" t="s">
        <v>1758</v>
      </c>
      <c r="AJ396" s="7">
        <f t="shared" ca="1" si="89"/>
        <v>1</v>
      </c>
      <c r="AK396" s="96">
        <f t="shared" ref="AK396:AK451" si="90">(+AA396*AB396)/$AB$1101</f>
        <v>7.0680168806908205E-3</v>
      </c>
      <c r="AL396" s="97">
        <f t="shared" ref="AL396:AL451" si="91">AC396/$AE$1101*AE396</f>
        <v>3.9381830994796259E-2</v>
      </c>
    </row>
    <row r="397" spans="1:38" x14ac:dyDescent="0.3">
      <c r="A397" s="7" t="s">
        <v>2003</v>
      </c>
      <c r="B397" s="7" t="s">
        <v>194</v>
      </c>
      <c r="C397" s="7" t="s">
        <v>1323</v>
      </c>
      <c r="D397" s="7" t="s">
        <v>2004</v>
      </c>
      <c r="E397" s="7" t="s">
        <v>1322</v>
      </c>
      <c r="F397" s="36">
        <v>43101</v>
      </c>
      <c r="G397" s="36">
        <v>47118</v>
      </c>
      <c r="H397" s="36">
        <v>47118</v>
      </c>
      <c r="I397" s="36">
        <v>47118</v>
      </c>
      <c r="J397" s="7" t="s">
        <v>1696</v>
      </c>
      <c r="K397" s="8">
        <v>0</v>
      </c>
      <c r="L397" s="8">
        <v>0</v>
      </c>
      <c r="M397" s="8">
        <v>742616.76759601932</v>
      </c>
      <c r="N397" s="8">
        <v>0</v>
      </c>
      <c r="O397" s="8">
        <v>0</v>
      </c>
      <c r="P397" s="8">
        <v>0</v>
      </c>
      <c r="Q397" s="8">
        <v>0</v>
      </c>
      <c r="R397" s="8">
        <f t="shared" si="88"/>
        <v>742616.76759601932</v>
      </c>
      <c r="S397" s="8">
        <v>0</v>
      </c>
      <c r="T397" s="8">
        <v>0</v>
      </c>
      <c r="U397" s="8">
        <v>742616.76</v>
      </c>
      <c r="V397" s="8">
        <v>0</v>
      </c>
      <c r="W397" s="8">
        <v>0</v>
      </c>
      <c r="X397" s="8">
        <v>0</v>
      </c>
      <c r="Y397" s="8">
        <v>1146758.7892749519</v>
      </c>
      <c r="Z397" s="8">
        <v>0</v>
      </c>
      <c r="AA397" s="7">
        <v>6.0054790000000002</v>
      </c>
      <c r="AB397" s="8">
        <v>970655.19798796927</v>
      </c>
      <c r="AC397" s="7">
        <v>3.520667</v>
      </c>
      <c r="AD397" s="7" t="s">
        <v>1226</v>
      </c>
      <c r="AE397" s="8">
        <v>1077496.56</v>
      </c>
      <c r="AF397" s="8">
        <v>0</v>
      </c>
      <c r="AG397" s="8">
        <v>1077496.56</v>
      </c>
      <c r="AH397" s="8">
        <v>0</v>
      </c>
      <c r="AI397" s="7" t="s">
        <v>1758</v>
      </c>
      <c r="AJ397" s="7">
        <f t="shared" ca="1" si="89"/>
        <v>1</v>
      </c>
      <c r="AK397" s="96">
        <f t="shared" ref="AK397:AK398" si="92">(+AA397*AB397)/$AB$1102</f>
        <v>5.1088941199517639E-3</v>
      </c>
      <c r="AL397" s="97">
        <f t="shared" ref="AL397:AL398" si="93">AC397/$AE$1102*AE397</f>
        <v>3.24595517173499E-3</v>
      </c>
    </row>
    <row r="398" spans="1:38" x14ac:dyDescent="0.3">
      <c r="A398" s="7" t="s">
        <v>2005</v>
      </c>
      <c r="B398" s="7" t="s">
        <v>194</v>
      </c>
      <c r="C398" s="7" t="s">
        <v>1769</v>
      </c>
      <c r="D398" s="7" t="s">
        <v>1324</v>
      </c>
      <c r="E398" s="7" t="s">
        <v>1695</v>
      </c>
      <c r="F398" s="36">
        <v>44278</v>
      </c>
      <c r="G398" s="36">
        <v>45373</v>
      </c>
      <c r="H398" s="36">
        <v>44378</v>
      </c>
      <c r="I398" s="36">
        <v>44378</v>
      </c>
      <c r="J398" s="7" t="s">
        <v>1696</v>
      </c>
      <c r="K398" s="8">
        <v>0</v>
      </c>
      <c r="L398" s="8">
        <v>0</v>
      </c>
      <c r="M398" s="8">
        <v>7407.36</v>
      </c>
      <c r="N398" s="8">
        <v>0</v>
      </c>
      <c r="O398" s="8">
        <v>0</v>
      </c>
      <c r="P398" s="8">
        <v>0</v>
      </c>
      <c r="Q398" s="8">
        <v>0</v>
      </c>
      <c r="R398" s="8">
        <f t="shared" si="88"/>
        <v>7407.36</v>
      </c>
      <c r="S398" s="8">
        <v>0</v>
      </c>
      <c r="T398" s="8">
        <v>0</v>
      </c>
      <c r="U398" s="8">
        <v>7407.36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7">
        <v>0</v>
      </c>
      <c r="AB398" s="8">
        <v>8488.1780400000007</v>
      </c>
      <c r="AC398" s="7">
        <v>3</v>
      </c>
      <c r="AD398" s="7" t="s">
        <v>1226</v>
      </c>
      <c r="AE398" s="8">
        <v>8641.92</v>
      </c>
      <c r="AF398" s="8">
        <v>0</v>
      </c>
      <c r="AG398" s="8">
        <v>8641.92</v>
      </c>
      <c r="AH398" s="8">
        <v>0</v>
      </c>
      <c r="AI398" s="7" t="s">
        <v>1760</v>
      </c>
      <c r="AJ398" s="7">
        <f t="shared" ca="1" si="89"/>
        <v>1</v>
      </c>
      <c r="AK398" s="96">
        <f t="shared" si="92"/>
        <v>0</v>
      </c>
      <c r="AL398" s="97">
        <f t="shared" si="93"/>
        <v>2.218365856162046E-5</v>
      </c>
    </row>
    <row r="399" spans="1:38" x14ac:dyDescent="0.3">
      <c r="A399" s="7" t="s">
        <v>2006</v>
      </c>
      <c r="B399" s="7" t="s">
        <v>1320</v>
      </c>
      <c r="C399" s="7" t="s">
        <v>1769</v>
      </c>
      <c r="D399" s="7" t="s">
        <v>1324</v>
      </c>
      <c r="E399" s="7" t="s">
        <v>1322</v>
      </c>
      <c r="F399" s="36">
        <v>44378</v>
      </c>
      <c r="G399" s="36">
        <v>45351</v>
      </c>
      <c r="H399" s="36">
        <v>45351</v>
      </c>
      <c r="I399" s="36">
        <v>45351</v>
      </c>
      <c r="J399" s="7" t="s">
        <v>1239</v>
      </c>
      <c r="K399" s="8">
        <v>71394.004656000005</v>
      </c>
      <c r="L399" s="8">
        <v>9227.7741170000008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f t="shared" si="88"/>
        <v>80621.778772999998</v>
      </c>
      <c r="S399" s="8">
        <v>0</v>
      </c>
      <c r="T399" s="8">
        <v>9383.5178180000003</v>
      </c>
      <c r="U399" s="8">
        <v>0</v>
      </c>
      <c r="V399" s="8">
        <v>67649.282181999995</v>
      </c>
      <c r="W399" s="8">
        <v>0</v>
      </c>
      <c r="X399" s="8">
        <v>0</v>
      </c>
      <c r="Y399" s="8">
        <v>0</v>
      </c>
      <c r="Z399" s="8">
        <v>0</v>
      </c>
      <c r="AA399" s="7">
        <v>1.1643840000000001</v>
      </c>
      <c r="AB399" s="8">
        <v>302856.47673400003</v>
      </c>
      <c r="AC399" s="7">
        <v>2.762667</v>
      </c>
      <c r="AD399" s="7" t="s">
        <v>1226</v>
      </c>
      <c r="AE399" s="8">
        <v>320970</v>
      </c>
      <c r="AF399" s="8">
        <v>0</v>
      </c>
      <c r="AG399" s="8">
        <v>320970</v>
      </c>
      <c r="AH399" s="8">
        <v>0</v>
      </c>
      <c r="AI399" s="7" t="s">
        <v>1760</v>
      </c>
      <c r="AJ399" s="7">
        <f t="shared" ca="1" si="89"/>
        <v>1</v>
      </c>
      <c r="AK399" s="96">
        <f t="shared" si="90"/>
        <v>2.362357910573507E-3</v>
      </c>
      <c r="AL399" s="97">
        <f t="shared" si="91"/>
        <v>5.6369940408055675E-3</v>
      </c>
    </row>
    <row r="400" spans="1:38" x14ac:dyDescent="0.3">
      <c r="A400" s="7" t="s">
        <v>2007</v>
      </c>
      <c r="B400" s="7" t="s">
        <v>1320</v>
      </c>
      <c r="C400" s="7" t="s">
        <v>1323</v>
      </c>
      <c r="D400" s="7" t="s">
        <v>1792</v>
      </c>
      <c r="E400" s="7" t="s">
        <v>1695</v>
      </c>
      <c r="F400" s="36">
        <v>43983</v>
      </c>
      <c r="G400" s="36">
        <v>44681</v>
      </c>
      <c r="H400" s="36">
        <v>44895</v>
      </c>
      <c r="I400" s="36">
        <v>44895</v>
      </c>
      <c r="J400" s="7" t="s">
        <v>1696</v>
      </c>
      <c r="K400" s="8">
        <v>0</v>
      </c>
      <c r="L400" s="8">
        <v>0</v>
      </c>
      <c r="M400" s="8">
        <v>2414.8620729999998</v>
      </c>
      <c r="N400" s="8">
        <v>0</v>
      </c>
      <c r="O400" s="8">
        <v>0</v>
      </c>
      <c r="P400" s="8">
        <v>0</v>
      </c>
      <c r="Q400" s="8">
        <v>0</v>
      </c>
      <c r="R400" s="8">
        <f t="shared" si="88"/>
        <v>2414.8620729999998</v>
      </c>
      <c r="S400" s="8">
        <v>0</v>
      </c>
      <c r="T400" s="8">
        <v>0</v>
      </c>
      <c r="U400" s="8">
        <v>2414.86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7">
        <v>0</v>
      </c>
      <c r="AB400" s="8">
        <v>0</v>
      </c>
      <c r="AC400" s="7">
        <v>1.7840830000000001</v>
      </c>
      <c r="AD400" s="7" t="s">
        <v>1226</v>
      </c>
      <c r="AE400" s="8">
        <v>0</v>
      </c>
      <c r="AF400" s="8">
        <v>0</v>
      </c>
      <c r="AG400" s="8">
        <v>0</v>
      </c>
      <c r="AH400" s="8">
        <v>0</v>
      </c>
      <c r="AI400" s="7" t="s">
        <v>1736</v>
      </c>
      <c r="AJ400" s="7">
        <f t="shared" ca="1" si="89"/>
        <v>1</v>
      </c>
      <c r="AK400" s="96">
        <f>(+AA400*AB400)/$AB$1102</f>
        <v>0</v>
      </c>
      <c r="AL400" s="97">
        <f>AC400/$AE$1102*AE400</f>
        <v>0</v>
      </c>
    </row>
    <row r="401" spans="1:38" x14ac:dyDescent="0.3">
      <c r="A401" s="7" t="s">
        <v>2007</v>
      </c>
      <c r="B401" s="7" t="s">
        <v>1320</v>
      </c>
      <c r="C401" s="7" t="s">
        <v>1323</v>
      </c>
      <c r="D401" s="7" t="s">
        <v>1792</v>
      </c>
      <c r="E401" s="7" t="s">
        <v>1695</v>
      </c>
      <c r="F401" s="36">
        <v>43983</v>
      </c>
      <c r="G401" s="36">
        <v>44681</v>
      </c>
      <c r="H401" s="36">
        <v>44895</v>
      </c>
      <c r="I401" s="36">
        <v>44895</v>
      </c>
      <c r="J401" s="7" t="s">
        <v>1699</v>
      </c>
      <c r="K401" s="8">
        <v>0</v>
      </c>
      <c r="L401" s="8">
        <v>0</v>
      </c>
      <c r="M401" s="8">
        <v>0</v>
      </c>
      <c r="N401" s="8">
        <v>4226.0749999999998</v>
      </c>
      <c r="O401" s="8">
        <v>0</v>
      </c>
      <c r="P401" s="8">
        <v>0</v>
      </c>
      <c r="Q401" s="8">
        <v>0</v>
      </c>
      <c r="R401" s="8">
        <f t="shared" si="88"/>
        <v>4226.0749999999998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7">
        <v>0</v>
      </c>
      <c r="AB401" s="8">
        <v>0</v>
      </c>
      <c r="AC401" s="7">
        <v>1.7840830000000001</v>
      </c>
      <c r="AD401" s="7" t="s">
        <v>1226</v>
      </c>
      <c r="AE401" s="8">
        <v>0</v>
      </c>
      <c r="AF401" s="8">
        <v>0</v>
      </c>
      <c r="AG401" s="8">
        <v>0</v>
      </c>
      <c r="AH401" s="8">
        <v>0</v>
      </c>
      <c r="AI401" s="7" t="s">
        <v>1736</v>
      </c>
      <c r="AJ401" s="7">
        <f t="shared" ca="1" si="89"/>
        <v>2</v>
      </c>
      <c r="AK401" s="100">
        <f>(+AA401*AB401)/$AB$1103</f>
        <v>0</v>
      </c>
      <c r="AL401" s="97">
        <f>AC401/$AE$1103*AE401</f>
        <v>0</v>
      </c>
    </row>
    <row r="402" spans="1:38" x14ac:dyDescent="0.3">
      <c r="A402" s="7" t="s">
        <v>2008</v>
      </c>
      <c r="B402" s="7" t="s">
        <v>1320</v>
      </c>
      <c r="C402" s="7" t="s">
        <v>1323</v>
      </c>
      <c r="D402" s="7" t="s">
        <v>1792</v>
      </c>
      <c r="E402" s="7" t="s">
        <v>1695</v>
      </c>
      <c r="F402" s="36">
        <v>43983</v>
      </c>
      <c r="G402" s="36">
        <v>44681</v>
      </c>
      <c r="H402" s="36">
        <v>44895</v>
      </c>
      <c r="I402" s="36">
        <v>44895</v>
      </c>
      <c r="J402" s="7" t="s">
        <v>1696</v>
      </c>
      <c r="K402" s="8">
        <v>0</v>
      </c>
      <c r="L402" s="8">
        <v>0</v>
      </c>
      <c r="M402" s="8">
        <v>1199.9995080000001</v>
      </c>
      <c r="N402" s="8">
        <v>0</v>
      </c>
      <c r="O402" s="8">
        <v>0</v>
      </c>
      <c r="P402" s="8">
        <v>0</v>
      </c>
      <c r="Q402" s="8">
        <v>0</v>
      </c>
      <c r="R402" s="8">
        <f t="shared" si="88"/>
        <v>1199.9995080000001</v>
      </c>
      <c r="S402" s="8">
        <v>0</v>
      </c>
      <c r="T402" s="8">
        <v>0</v>
      </c>
      <c r="U402" s="8">
        <v>1200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7">
        <v>0</v>
      </c>
      <c r="AB402" s="8">
        <v>0</v>
      </c>
      <c r="AC402" s="7">
        <v>1.7840830000000001</v>
      </c>
      <c r="AD402" s="7" t="s">
        <v>1226</v>
      </c>
      <c r="AE402" s="8">
        <v>0</v>
      </c>
      <c r="AF402" s="8">
        <v>0</v>
      </c>
      <c r="AG402" s="8">
        <v>0</v>
      </c>
      <c r="AH402" s="8">
        <v>0</v>
      </c>
      <c r="AI402" s="7" t="s">
        <v>1736</v>
      </c>
      <c r="AJ402" s="7">
        <f t="shared" ca="1" si="89"/>
        <v>1</v>
      </c>
      <c r="AK402" s="96">
        <f>(+AA402*AB402)/$AB$1102</f>
        <v>0</v>
      </c>
      <c r="AL402" s="97">
        <f>AC402/$AE$1102*AE402</f>
        <v>0</v>
      </c>
    </row>
    <row r="403" spans="1:38" x14ac:dyDescent="0.3">
      <c r="A403" s="7" t="s">
        <v>2008</v>
      </c>
      <c r="B403" s="7" t="s">
        <v>1320</v>
      </c>
      <c r="C403" s="7" t="s">
        <v>1323</v>
      </c>
      <c r="D403" s="7" t="s">
        <v>1792</v>
      </c>
      <c r="E403" s="7" t="s">
        <v>1695</v>
      </c>
      <c r="F403" s="36">
        <v>43983</v>
      </c>
      <c r="G403" s="36">
        <v>44681</v>
      </c>
      <c r="H403" s="36">
        <v>44895</v>
      </c>
      <c r="I403" s="36">
        <v>44895</v>
      </c>
      <c r="J403" s="7" t="s">
        <v>1699</v>
      </c>
      <c r="K403" s="8">
        <v>0</v>
      </c>
      <c r="L403" s="8">
        <v>0</v>
      </c>
      <c r="M403" s="8">
        <v>0</v>
      </c>
      <c r="N403" s="8">
        <v>2100</v>
      </c>
      <c r="O403" s="8">
        <v>0</v>
      </c>
      <c r="P403" s="8">
        <v>0</v>
      </c>
      <c r="Q403" s="8">
        <v>0</v>
      </c>
      <c r="R403" s="8">
        <f t="shared" si="88"/>
        <v>2100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7">
        <v>0</v>
      </c>
      <c r="AB403" s="8">
        <v>0</v>
      </c>
      <c r="AC403" s="7">
        <v>1.7840830000000001</v>
      </c>
      <c r="AD403" s="7" t="s">
        <v>1226</v>
      </c>
      <c r="AE403" s="8">
        <v>0</v>
      </c>
      <c r="AF403" s="8">
        <v>0</v>
      </c>
      <c r="AG403" s="8">
        <v>0</v>
      </c>
      <c r="AH403" s="8">
        <v>0</v>
      </c>
      <c r="AI403" s="7" t="s">
        <v>1736</v>
      </c>
      <c r="AJ403" s="7">
        <f t="shared" ca="1" si="89"/>
        <v>2</v>
      </c>
      <c r="AK403" s="100">
        <f>(+AA403*AB403)/$AB$1103</f>
        <v>0</v>
      </c>
      <c r="AL403" s="97">
        <f>AC403/$AE$1103*AE403</f>
        <v>0</v>
      </c>
    </row>
    <row r="404" spans="1:38" x14ac:dyDescent="0.3">
      <c r="A404" s="7" t="s">
        <v>2009</v>
      </c>
      <c r="B404" s="7" t="s">
        <v>1320</v>
      </c>
      <c r="C404" s="7" t="s">
        <v>1323</v>
      </c>
      <c r="D404" s="7" t="s">
        <v>1792</v>
      </c>
      <c r="E404" s="7" t="s">
        <v>1695</v>
      </c>
      <c r="F404" s="36">
        <v>44090</v>
      </c>
      <c r="G404" s="36">
        <v>44666</v>
      </c>
      <c r="H404" s="36">
        <v>44895</v>
      </c>
      <c r="I404" s="36">
        <v>44895</v>
      </c>
      <c r="J404" s="7" t="s">
        <v>1696</v>
      </c>
      <c r="K404" s="8">
        <v>0</v>
      </c>
      <c r="L404" s="8">
        <v>0</v>
      </c>
      <c r="M404" s="8">
        <v>2737.7185519999998</v>
      </c>
      <c r="N404" s="8">
        <v>0</v>
      </c>
      <c r="O404" s="8">
        <v>0</v>
      </c>
      <c r="P404" s="8">
        <v>0</v>
      </c>
      <c r="Q404" s="8">
        <v>0</v>
      </c>
      <c r="R404" s="8">
        <f t="shared" si="88"/>
        <v>2737.7185519999998</v>
      </c>
      <c r="S404" s="8">
        <v>0</v>
      </c>
      <c r="T404" s="8">
        <v>0</v>
      </c>
      <c r="U404" s="8">
        <v>2450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7">
        <v>0</v>
      </c>
      <c r="AB404" s="8">
        <v>0</v>
      </c>
      <c r="AC404" s="7">
        <v>1.7084170000000001</v>
      </c>
      <c r="AD404" s="7" t="s">
        <v>1226</v>
      </c>
      <c r="AE404" s="8">
        <v>0</v>
      </c>
      <c r="AF404" s="8">
        <v>0</v>
      </c>
      <c r="AG404" s="8">
        <v>0</v>
      </c>
      <c r="AH404" s="8">
        <v>0</v>
      </c>
      <c r="AI404" s="7" t="s">
        <v>1736</v>
      </c>
      <c r="AJ404" s="7">
        <f t="shared" ca="1" si="89"/>
        <v>1</v>
      </c>
      <c r="AK404" s="96">
        <f>(+AA404*AB404)/$AB$1102</f>
        <v>0</v>
      </c>
      <c r="AL404" s="97">
        <f>AC404/$AE$1102*AE404</f>
        <v>0</v>
      </c>
    </row>
    <row r="405" spans="1:38" x14ac:dyDescent="0.3">
      <c r="A405" s="7" t="s">
        <v>2009</v>
      </c>
      <c r="B405" s="7" t="s">
        <v>1320</v>
      </c>
      <c r="C405" s="7" t="s">
        <v>1323</v>
      </c>
      <c r="D405" s="7" t="s">
        <v>1792</v>
      </c>
      <c r="E405" s="7" t="s">
        <v>1695</v>
      </c>
      <c r="F405" s="36">
        <v>44090</v>
      </c>
      <c r="G405" s="36">
        <v>44666</v>
      </c>
      <c r="H405" s="36">
        <v>44895</v>
      </c>
      <c r="I405" s="36">
        <v>44895</v>
      </c>
      <c r="J405" s="7" t="s">
        <v>1699</v>
      </c>
      <c r="K405" s="8">
        <v>0</v>
      </c>
      <c r="L405" s="8">
        <v>0</v>
      </c>
      <c r="M405" s="8">
        <v>0</v>
      </c>
      <c r="N405" s="8">
        <v>1400</v>
      </c>
      <c r="O405" s="8">
        <v>0</v>
      </c>
      <c r="P405" s="8">
        <v>0</v>
      </c>
      <c r="Q405" s="8">
        <v>0</v>
      </c>
      <c r="R405" s="8">
        <f t="shared" si="88"/>
        <v>1400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7">
        <v>0</v>
      </c>
      <c r="AB405" s="8">
        <v>0</v>
      </c>
      <c r="AC405" s="7">
        <v>1.7084170000000001</v>
      </c>
      <c r="AD405" s="7" t="s">
        <v>1226</v>
      </c>
      <c r="AE405" s="8">
        <v>0</v>
      </c>
      <c r="AF405" s="8">
        <v>0</v>
      </c>
      <c r="AG405" s="8">
        <v>0</v>
      </c>
      <c r="AH405" s="8">
        <v>0</v>
      </c>
      <c r="AI405" s="7" t="s">
        <v>1736</v>
      </c>
      <c r="AJ405" s="7">
        <f t="shared" ca="1" si="89"/>
        <v>2</v>
      </c>
      <c r="AK405" s="100">
        <f>(+AA405*AB405)/$AB$1103</f>
        <v>0</v>
      </c>
      <c r="AL405" s="97">
        <f>AC405/$AE$1103*AE405</f>
        <v>0</v>
      </c>
    </row>
    <row r="406" spans="1:38" x14ac:dyDescent="0.3">
      <c r="A406" s="7" t="s">
        <v>2010</v>
      </c>
      <c r="B406" s="7" t="s">
        <v>1320</v>
      </c>
      <c r="C406" s="7" t="s">
        <v>1323</v>
      </c>
      <c r="D406" s="7" t="s">
        <v>1694</v>
      </c>
      <c r="E406" s="7" t="s">
        <v>1739</v>
      </c>
      <c r="F406" s="36">
        <v>42742</v>
      </c>
      <c r="G406" s="36">
        <v>43836</v>
      </c>
      <c r="I406" s="36">
        <v>44932</v>
      </c>
      <c r="J406" s="7" t="s">
        <v>1696</v>
      </c>
      <c r="K406" s="8">
        <v>0</v>
      </c>
      <c r="L406" s="8">
        <v>0</v>
      </c>
      <c r="M406" s="8">
        <v>450000.00750499999</v>
      </c>
      <c r="N406" s="8">
        <v>0</v>
      </c>
      <c r="O406" s="8">
        <v>0</v>
      </c>
      <c r="P406" s="8">
        <v>0</v>
      </c>
      <c r="Q406" s="8">
        <v>0</v>
      </c>
      <c r="R406" s="8">
        <f t="shared" si="88"/>
        <v>450000.00750499999</v>
      </c>
      <c r="S406" s="8">
        <v>0</v>
      </c>
      <c r="T406" s="8">
        <v>0</v>
      </c>
      <c r="U406" s="8">
        <v>300000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7">
        <v>1.6438000000000001E-2</v>
      </c>
      <c r="AB406" s="8">
        <v>0</v>
      </c>
      <c r="AC406" s="7">
        <v>7</v>
      </c>
      <c r="AD406" s="7" t="s">
        <v>1226</v>
      </c>
      <c r="AE406" s="8">
        <v>0</v>
      </c>
      <c r="AF406" s="8">
        <v>0</v>
      </c>
      <c r="AG406" s="8">
        <v>0</v>
      </c>
      <c r="AH406" s="8">
        <v>0</v>
      </c>
      <c r="AI406" s="7" t="s">
        <v>1194</v>
      </c>
      <c r="AJ406" s="7">
        <f t="shared" ca="1" si="89"/>
        <v>1</v>
      </c>
      <c r="AK406" s="96">
        <f>(+AA406*AB406)/$AB$1102</f>
        <v>0</v>
      </c>
      <c r="AL406" s="97">
        <f>AC406/$AE$1102*AE406</f>
        <v>0</v>
      </c>
    </row>
    <row r="407" spans="1:38" x14ac:dyDescent="0.3">
      <c r="A407" s="7" t="s">
        <v>2010</v>
      </c>
      <c r="B407" s="7" t="s">
        <v>1320</v>
      </c>
      <c r="C407" s="7" t="s">
        <v>1323</v>
      </c>
      <c r="D407" s="7" t="s">
        <v>1694</v>
      </c>
      <c r="E407" s="7" t="s">
        <v>1739</v>
      </c>
      <c r="F407" s="36">
        <v>42742</v>
      </c>
      <c r="G407" s="36">
        <v>43836</v>
      </c>
      <c r="I407" s="36">
        <v>44932</v>
      </c>
      <c r="J407" s="7" t="s">
        <v>1699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f t="shared" si="88"/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7">
        <v>0</v>
      </c>
      <c r="AB407" s="8">
        <v>0</v>
      </c>
      <c r="AC407" s="7">
        <v>7</v>
      </c>
      <c r="AD407" s="7" t="s">
        <v>1226</v>
      </c>
      <c r="AE407" s="8">
        <v>25000</v>
      </c>
      <c r="AF407" s="8">
        <v>0</v>
      </c>
      <c r="AG407" s="8">
        <v>25000</v>
      </c>
      <c r="AH407" s="8">
        <v>0</v>
      </c>
      <c r="AI407" s="7" t="s">
        <v>1194</v>
      </c>
      <c r="AJ407" s="7">
        <f t="shared" ca="1" si="89"/>
        <v>2</v>
      </c>
      <c r="AK407" s="100">
        <f>(+AA407*AB407)/$AB$1103</f>
        <v>0</v>
      </c>
      <c r="AL407" s="97">
        <f>AC407/$AE$1103*AE407</f>
        <v>2.1008532834853468E-2</v>
      </c>
    </row>
    <row r="408" spans="1:38" x14ac:dyDescent="0.3">
      <c r="A408" s="7" t="s">
        <v>2011</v>
      </c>
      <c r="B408" s="7" t="s">
        <v>1320</v>
      </c>
      <c r="C408" s="7" t="s">
        <v>1323</v>
      </c>
      <c r="D408" s="7" t="s">
        <v>1694</v>
      </c>
      <c r="E408" s="7" t="s">
        <v>1739</v>
      </c>
      <c r="F408" s="36">
        <v>42742</v>
      </c>
      <c r="G408" s="36">
        <v>43836</v>
      </c>
      <c r="I408" s="36">
        <v>44932</v>
      </c>
      <c r="J408" s="7" t="s">
        <v>1696</v>
      </c>
      <c r="K408" s="8">
        <v>0</v>
      </c>
      <c r="L408" s="8">
        <v>0</v>
      </c>
      <c r="M408" s="8">
        <v>250000.00479000001</v>
      </c>
      <c r="N408" s="8">
        <v>0</v>
      </c>
      <c r="O408" s="8">
        <v>0</v>
      </c>
      <c r="P408" s="8">
        <v>0</v>
      </c>
      <c r="Q408" s="8">
        <v>0</v>
      </c>
      <c r="R408" s="8">
        <f t="shared" si="88"/>
        <v>250000.00479000001</v>
      </c>
      <c r="S408" s="8">
        <v>0</v>
      </c>
      <c r="T408" s="8">
        <v>0</v>
      </c>
      <c r="U408" s="8">
        <v>300000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7">
        <v>1.6438000000000001E-2</v>
      </c>
      <c r="AB408" s="8">
        <v>0</v>
      </c>
      <c r="AC408" s="7">
        <v>7</v>
      </c>
      <c r="AD408" s="7" t="s">
        <v>1226</v>
      </c>
      <c r="AE408" s="8">
        <v>0</v>
      </c>
      <c r="AF408" s="8">
        <v>0</v>
      </c>
      <c r="AG408" s="8">
        <v>0</v>
      </c>
      <c r="AH408" s="8">
        <v>0</v>
      </c>
      <c r="AI408" s="7" t="s">
        <v>1194</v>
      </c>
      <c r="AJ408" s="7">
        <f t="shared" ca="1" si="89"/>
        <v>1</v>
      </c>
      <c r="AK408" s="96">
        <f>(+AA408*AB408)/$AB$1102</f>
        <v>0</v>
      </c>
      <c r="AL408" s="97">
        <f>AC408/$AE$1102*AE408</f>
        <v>0</v>
      </c>
    </row>
    <row r="409" spans="1:38" x14ac:dyDescent="0.3">
      <c r="A409" s="7" t="s">
        <v>2011</v>
      </c>
      <c r="B409" s="7" t="s">
        <v>1320</v>
      </c>
      <c r="C409" s="7" t="s">
        <v>1323</v>
      </c>
      <c r="D409" s="7" t="s">
        <v>1694</v>
      </c>
      <c r="E409" s="7" t="s">
        <v>1739</v>
      </c>
      <c r="F409" s="36">
        <v>42742</v>
      </c>
      <c r="G409" s="36">
        <v>43836</v>
      </c>
      <c r="I409" s="36">
        <v>44932</v>
      </c>
      <c r="J409" s="7" t="s">
        <v>1699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f t="shared" si="88"/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7">
        <v>0</v>
      </c>
      <c r="AB409" s="8">
        <v>0</v>
      </c>
      <c r="AC409" s="7">
        <v>7</v>
      </c>
      <c r="AD409" s="7" t="s">
        <v>1226</v>
      </c>
      <c r="AE409" s="8">
        <v>75000</v>
      </c>
      <c r="AF409" s="8">
        <v>0</v>
      </c>
      <c r="AG409" s="8">
        <v>75000</v>
      </c>
      <c r="AH409" s="8">
        <v>0</v>
      </c>
      <c r="AI409" s="7" t="s">
        <v>1194</v>
      </c>
      <c r="AJ409" s="7">
        <f t="shared" ca="1" si="89"/>
        <v>2</v>
      </c>
      <c r="AK409" s="100">
        <f>(+AA409*AB409)/$AB$1103</f>
        <v>0</v>
      </c>
      <c r="AL409" s="97">
        <f>AC409/$AE$1103*AE409</f>
        <v>6.3025598504560396E-2</v>
      </c>
    </row>
    <row r="410" spans="1:38" x14ac:dyDescent="0.3">
      <c r="A410" s="7" t="s">
        <v>2012</v>
      </c>
      <c r="B410" s="7" t="s">
        <v>1320</v>
      </c>
      <c r="C410" s="7" t="s">
        <v>1323</v>
      </c>
      <c r="D410" s="7" t="s">
        <v>1694</v>
      </c>
      <c r="E410" s="7" t="s">
        <v>1739</v>
      </c>
      <c r="F410" s="36">
        <v>42742</v>
      </c>
      <c r="G410" s="36">
        <v>43836</v>
      </c>
      <c r="I410" s="36">
        <v>44932</v>
      </c>
      <c r="J410" s="7" t="s">
        <v>1696</v>
      </c>
      <c r="K410" s="8">
        <v>0</v>
      </c>
      <c r="L410" s="8">
        <v>0</v>
      </c>
      <c r="M410" s="8">
        <v>54999.997552000001</v>
      </c>
      <c r="N410" s="8">
        <v>0</v>
      </c>
      <c r="O410" s="8">
        <v>0</v>
      </c>
      <c r="P410" s="8">
        <v>0</v>
      </c>
      <c r="Q410" s="8">
        <v>0</v>
      </c>
      <c r="R410" s="8">
        <f t="shared" si="88"/>
        <v>54999.997552000001</v>
      </c>
      <c r="S410" s="8">
        <v>0</v>
      </c>
      <c r="T410" s="8">
        <v>0</v>
      </c>
      <c r="U410" s="8">
        <v>60000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7">
        <v>1.6438000000000001E-2</v>
      </c>
      <c r="AB410" s="8">
        <v>0</v>
      </c>
      <c r="AC410" s="7">
        <v>7</v>
      </c>
      <c r="AD410" s="7" t="s">
        <v>1226</v>
      </c>
      <c r="AE410" s="8">
        <v>0</v>
      </c>
      <c r="AF410" s="8">
        <v>0</v>
      </c>
      <c r="AG410" s="8">
        <v>0</v>
      </c>
      <c r="AH410" s="8">
        <v>0</v>
      </c>
      <c r="AI410" s="7" t="s">
        <v>1194</v>
      </c>
      <c r="AJ410" s="7">
        <f t="shared" ca="1" si="89"/>
        <v>1</v>
      </c>
      <c r="AK410" s="96">
        <f>(+AA410*AB410)/$AB$1102</f>
        <v>0</v>
      </c>
      <c r="AL410" s="97">
        <f>AC410/$AE$1102*AE410</f>
        <v>0</v>
      </c>
    </row>
    <row r="411" spans="1:38" x14ac:dyDescent="0.3">
      <c r="A411" s="7" t="s">
        <v>2012</v>
      </c>
      <c r="B411" s="7" t="s">
        <v>1320</v>
      </c>
      <c r="C411" s="7" t="s">
        <v>1323</v>
      </c>
      <c r="D411" s="7" t="s">
        <v>1694</v>
      </c>
      <c r="E411" s="7" t="s">
        <v>1739</v>
      </c>
      <c r="F411" s="36">
        <v>42742</v>
      </c>
      <c r="G411" s="36">
        <v>43836</v>
      </c>
      <c r="I411" s="36">
        <v>44932</v>
      </c>
      <c r="J411" s="7" t="s">
        <v>1699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f t="shared" si="88"/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7">
        <v>0</v>
      </c>
      <c r="AB411" s="8">
        <v>0</v>
      </c>
      <c r="AC411" s="7">
        <v>7</v>
      </c>
      <c r="AD411" s="7" t="s">
        <v>1226</v>
      </c>
      <c r="AE411" s="8">
        <v>60000</v>
      </c>
      <c r="AF411" s="8">
        <v>0</v>
      </c>
      <c r="AG411" s="8">
        <v>60000</v>
      </c>
      <c r="AH411" s="8">
        <v>0</v>
      </c>
      <c r="AI411" s="7" t="s">
        <v>1194</v>
      </c>
      <c r="AJ411" s="7">
        <f t="shared" ca="1" si="89"/>
        <v>2</v>
      </c>
      <c r="AK411" s="100">
        <f>(+AA411*AB411)/$AB$1103</f>
        <v>0</v>
      </c>
      <c r="AL411" s="97">
        <f>AC411/$AE$1103*AE411</f>
        <v>5.0420478803648319E-2</v>
      </c>
    </row>
    <row r="412" spans="1:38" x14ac:dyDescent="0.3">
      <c r="A412" s="7" t="s">
        <v>2013</v>
      </c>
      <c r="B412" s="7" t="s">
        <v>1320</v>
      </c>
      <c r="C412" s="7" t="s">
        <v>1323</v>
      </c>
      <c r="D412" s="7" t="s">
        <v>1694</v>
      </c>
      <c r="E412" s="7" t="s">
        <v>1695</v>
      </c>
      <c r="F412" s="36">
        <v>42742</v>
      </c>
      <c r="G412" s="36">
        <v>43836</v>
      </c>
      <c r="H412" s="36">
        <v>44440</v>
      </c>
      <c r="I412" s="36">
        <v>44440</v>
      </c>
      <c r="J412" s="7" t="s">
        <v>1696</v>
      </c>
      <c r="K412" s="8">
        <v>0</v>
      </c>
      <c r="L412" s="8">
        <v>0</v>
      </c>
      <c r="M412" s="8">
        <v>143915.51120400001</v>
      </c>
      <c r="N412" s="8">
        <v>0</v>
      </c>
      <c r="O412" s="8">
        <v>0</v>
      </c>
      <c r="P412" s="8">
        <v>0</v>
      </c>
      <c r="Q412" s="8">
        <v>0</v>
      </c>
      <c r="R412" s="8">
        <f t="shared" si="88"/>
        <v>143915.51120400001</v>
      </c>
      <c r="S412" s="8">
        <v>0</v>
      </c>
      <c r="T412" s="8">
        <v>0</v>
      </c>
      <c r="U412" s="8">
        <v>144000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7">
        <v>0</v>
      </c>
      <c r="AB412" s="8">
        <v>1111996.077602</v>
      </c>
      <c r="AC412" s="7">
        <v>2.0299999999999998</v>
      </c>
      <c r="AD412" s="7" t="s">
        <v>1697</v>
      </c>
      <c r="AE412" s="8">
        <v>12000</v>
      </c>
      <c r="AF412" s="8">
        <v>0</v>
      </c>
      <c r="AG412" s="8">
        <v>12000</v>
      </c>
      <c r="AH412" s="8">
        <v>0</v>
      </c>
      <c r="AI412" s="7" t="s">
        <v>1194</v>
      </c>
      <c r="AJ412" s="7">
        <f t="shared" ca="1" si="89"/>
        <v>1</v>
      </c>
      <c r="AK412" s="96">
        <f>(+AA412*AB412)/$AB$1102</f>
        <v>0</v>
      </c>
      <c r="AL412" s="97">
        <f>AC412/$AE$1102*AE412</f>
        <v>2.084389898545209E-5</v>
      </c>
    </row>
    <row r="413" spans="1:38" x14ac:dyDescent="0.3">
      <c r="A413" s="7" t="s">
        <v>2014</v>
      </c>
      <c r="B413" s="7" t="s">
        <v>1320</v>
      </c>
      <c r="C413" s="7" t="s">
        <v>1323</v>
      </c>
      <c r="D413" s="7" t="s">
        <v>1694</v>
      </c>
      <c r="E413" s="7" t="s">
        <v>1695</v>
      </c>
      <c r="F413" s="36">
        <v>44440</v>
      </c>
      <c r="G413" s="36">
        <v>44895</v>
      </c>
      <c r="H413" s="36">
        <v>44895</v>
      </c>
      <c r="I413" s="36">
        <v>44895</v>
      </c>
      <c r="J413" s="7" t="s">
        <v>1239</v>
      </c>
      <c r="K413" s="8">
        <v>544416.18088200002</v>
      </c>
      <c r="L413" s="8">
        <v>3996.193354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f t="shared" si="88"/>
        <v>548412.374236</v>
      </c>
      <c r="S413" s="8">
        <v>0</v>
      </c>
      <c r="T413" s="8">
        <v>4793.1040999999996</v>
      </c>
      <c r="U413" s="8">
        <v>0</v>
      </c>
      <c r="V413" s="8">
        <v>545206.8959</v>
      </c>
      <c r="W413" s="8">
        <v>0</v>
      </c>
      <c r="X413" s="8">
        <v>0</v>
      </c>
      <c r="Y413" s="8">
        <v>0</v>
      </c>
      <c r="Z413" s="8">
        <v>0</v>
      </c>
      <c r="AA413" s="7">
        <v>0</v>
      </c>
      <c r="AB413" s="8">
        <v>0</v>
      </c>
      <c r="AC413" s="7">
        <v>1.754</v>
      </c>
      <c r="AD413" s="7" t="s">
        <v>1226</v>
      </c>
      <c r="AE413" s="8">
        <v>0</v>
      </c>
      <c r="AF413" s="8">
        <v>0</v>
      </c>
      <c r="AG413" s="8">
        <v>0</v>
      </c>
      <c r="AH413" s="8">
        <v>0</v>
      </c>
      <c r="AI413" s="7" t="s">
        <v>1194</v>
      </c>
      <c r="AJ413" s="7">
        <f t="shared" ca="1" si="89"/>
        <v>1</v>
      </c>
      <c r="AK413" s="96">
        <f t="shared" si="90"/>
        <v>0</v>
      </c>
      <c r="AL413" s="97">
        <f t="shared" si="91"/>
        <v>0</v>
      </c>
    </row>
    <row r="414" spans="1:38" x14ac:dyDescent="0.3">
      <c r="A414" s="7" t="s">
        <v>2015</v>
      </c>
      <c r="B414" s="7" t="s">
        <v>1320</v>
      </c>
      <c r="C414" s="7" t="s">
        <v>1323</v>
      </c>
      <c r="D414" s="7" t="s">
        <v>1694</v>
      </c>
      <c r="E414" s="7" t="s">
        <v>1739</v>
      </c>
      <c r="F414" s="36">
        <v>42742</v>
      </c>
      <c r="G414" s="36">
        <v>42984</v>
      </c>
      <c r="I414" s="36">
        <v>44932</v>
      </c>
      <c r="J414" s="7" t="s">
        <v>1696</v>
      </c>
      <c r="K414" s="8">
        <v>0</v>
      </c>
      <c r="L414" s="8">
        <v>0</v>
      </c>
      <c r="M414" s="8">
        <v>180015.52680699999</v>
      </c>
      <c r="N414" s="8">
        <v>0</v>
      </c>
      <c r="O414" s="8">
        <v>0</v>
      </c>
      <c r="P414" s="8">
        <v>0</v>
      </c>
      <c r="Q414" s="8">
        <v>0</v>
      </c>
      <c r="R414" s="8">
        <f t="shared" si="88"/>
        <v>180015.52680699999</v>
      </c>
      <c r="S414" s="8">
        <v>0</v>
      </c>
      <c r="T414" s="8">
        <v>0</v>
      </c>
      <c r="U414" s="8">
        <v>180000</v>
      </c>
      <c r="V414" s="8">
        <v>0</v>
      </c>
      <c r="W414" s="8">
        <v>0</v>
      </c>
      <c r="X414" s="8">
        <v>0</v>
      </c>
      <c r="Y414" s="8">
        <v>0</v>
      </c>
      <c r="Z414" s="8">
        <v>-7505.6082880000004</v>
      </c>
      <c r="AA414" s="7">
        <v>1.6438000000000001E-2</v>
      </c>
      <c r="AB414" s="8">
        <v>0</v>
      </c>
      <c r="AC414" s="7">
        <v>3</v>
      </c>
      <c r="AD414" s="7" t="s">
        <v>1697</v>
      </c>
      <c r="AE414" s="8">
        <v>0</v>
      </c>
      <c r="AF414" s="8">
        <v>0</v>
      </c>
      <c r="AG414" s="8">
        <v>0</v>
      </c>
      <c r="AH414" s="8">
        <v>0</v>
      </c>
      <c r="AI414" s="7" t="s">
        <v>1194</v>
      </c>
      <c r="AJ414" s="7">
        <f t="shared" ca="1" si="89"/>
        <v>1</v>
      </c>
      <c r="AK414" s="96">
        <f>(+AA414*AB414)/$AB$1102</f>
        <v>0</v>
      </c>
      <c r="AL414" s="97">
        <f>AC414/$AE$1102*AE414</f>
        <v>0</v>
      </c>
    </row>
    <row r="415" spans="1:38" x14ac:dyDescent="0.3">
      <c r="A415" s="7" t="s">
        <v>2015</v>
      </c>
      <c r="B415" s="7" t="s">
        <v>1320</v>
      </c>
      <c r="C415" s="7" t="s">
        <v>1323</v>
      </c>
      <c r="D415" s="7" t="s">
        <v>1694</v>
      </c>
      <c r="E415" s="7" t="s">
        <v>1739</v>
      </c>
      <c r="F415" s="36">
        <v>42742</v>
      </c>
      <c r="G415" s="36">
        <v>42984</v>
      </c>
      <c r="I415" s="36">
        <v>44932</v>
      </c>
      <c r="J415" s="7" t="s">
        <v>1699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f t="shared" si="88"/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7">
        <v>0</v>
      </c>
      <c r="AB415" s="8">
        <v>0</v>
      </c>
      <c r="AC415" s="7">
        <v>3</v>
      </c>
      <c r="AD415" s="7" t="s">
        <v>1697</v>
      </c>
      <c r="AE415" s="8">
        <v>15000</v>
      </c>
      <c r="AF415" s="8">
        <v>0</v>
      </c>
      <c r="AG415" s="8">
        <v>15000</v>
      </c>
      <c r="AH415" s="8">
        <v>0</v>
      </c>
      <c r="AI415" s="7" t="s">
        <v>1194</v>
      </c>
      <c r="AJ415" s="7">
        <f t="shared" ca="1" si="89"/>
        <v>2</v>
      </c>
      <c r="AK415" s="100">
        <f t="shared" ref="AK415:AK416" si="94">(+AA415*AB415)/$AB$1103</f>
        <v>0</v>
      </c>
      <c r="AL415" s="97">
        <f t="shared" ref="AL415:AL416" si="95">AC415/$AE$1103*AE415</f>
        <v>5.402194157533749E-3</v>
      </c>
    </row>
    <row r="416" spans="1:38" x14ac:dyDescent="0.3">
      <c r="A416" s="7" t="s">
        <v>2016</v>
      </c>
      <c r="B416" s="7" t="s">
        <v>1320</v>
      </c>
      <c r="C416" s="7" t="s">
        <v>1323</v>
      </c>
      <c r="D416" s="7" t="s">
        <v>1694</v>
      </c>
      <c r="E416" s="7" t="s">
        <v>1695</v>
      </c>
      <c r="F416" s="36">
        <v>42742</v>
      </c>
      <c r="G416" s="36">
        <v>43836</v>
      </c>
      <c r="H416" s="36">
        <v>44895</v>
      </c>
      <c r="I416" s="36">
        <v>44895</v>
      </c>
      <c r="J416" s="7" t="s">
        <v>1699</v>
      </c>
      <c r="K416" s="8">
        <v>0</v>
      </c>
      <c r="L416" s="8">
        <v>0</v>
      </c>
      <c r="M416" s="8">
        <v>0</v>
      </c>
      <c r="N416" s="8">
        <v>279838.70974600001</v>
      </c>
      <c r="O416" s="8">
        <v>0</v>
      </c>
      <c r="P416" s="8">
        <v>0</v>
      </c>
      <c r="Q416" s="8">
        <v>0</v>
      </c>
      <c r="R416" s="8">
        <f t="shared" si="88"/>
        <v>279838.70974600001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7">
        <v>0</v>
      </c>
      <c r="AB416" s="8">
        <v>0</v>
      </c>
      <c r="AC416" s="7">
        <v>1.9319999999999999</v>
      </c>
      <c r="AD416" s="7" t="s">
        <v>1697</v>
      </c>
      <c r="AE416" s="8">
        <v>0</v>
      </c>
      <c r="AF416" s="8">
        <v>0</v>
      </c>
      <c r="AG416" s="8">
        <v>0</v>
      </c>
      <c r="AH416" s="8">
        <v>0</v>
      </c>
      <c r="AI416" s="7" t="s">
        <v>1194</v>
      </c>
      <c r="AJ416" s="7">
        <f t="shared" ca="1" si="89"/>
        <v>1</v>
      </c>
      <c r="AK416" s="100">
        <f t="shared" si="94"/>
        <v>0</v>
      </c>
      <c r="AL416" s="97">
        <f t="shared" si="95"/>
        <v>0</v>
      </c>
    </row>
    <row r="417" spans="1:38" x14ac:dyDescent="0.3">
      <c r="A417" s="7" t="s">
        <v>2017</v>
      </c>
      <c r="B417" s="7" t="s">
        <v>1320</v>
      </c>
      <c r="C417" s="7" t="s">
        <v>1323</v>
      </c>
      <c r="D417" s="7" t="s">
        <v>1694</v>
      </c>
      <c r="E417" s="7" t="s">
        <v>1695</v>
      </c>
      <c r="F417" s="36">
        <v>42742</v>
      </c>
      <c r="G417" s="36">
        <v>43836</v>
      </c>
      <c r="H417" s="36">
        <v>44895</v>
      </c>
      <c r="I417" s="36">
        <v>44895</v>
      </c>
      <c r="J417" s="7" t="s">
        <v>1696</v>
      </c>
      <c r="K417" s="8">
        <v>0</v>
      </c>
      <c r="L417" s="8">
        <v>0</v>
      </c>
      <c r="M417" s="8">
        <v>-136971.44317516734</v>
      </c>
      <c r="N417" s="8">
        <v>0</v>
      </c>
      <c r="O417" s="8">
        <v>0</v>
      </c>
      <c r="P417" s="8">
        <v>0</v>
      </c>
      <c r="Q417" s="8">
        <v>0</v>
      </c>
      <c r="R417" s="8">
        <f t="shared" si="88"/>
        <v>-136971.44317516734</v>
      </c>
      <c r="S417" s="8">
        <v>0</v>
      </c>
      <c r="T417" s="8">
        <v>0</v>
      </c>
      <c r="U417" s="8">
        <v>-1280000</v>
      </c>
      <c r="V417" s="8">
        <v>0</v>
      </c>
      <c r="W417" s="8">
        <v>0</v>
      </c>
      <c r="X417" s="8">
        <v>0</v>
      </c>
      <c r="Y417" s="8">
        <v>0</v>
      </c>
      <c r="Z417" s="8">
        <v>5212.5966467922617</v>
      </c>
      <c r="AA417" s="7">
        <v>0</v>
      </c>
      <c r="AB417" s="8">
        <v>18808.974676842492</v>
      </c>
      <c r="AC417" s="7">
        <v>2.2879999999999998</v>
      </c>
      <c r="AD417" s="7" t="s">
        <v>1697</v>
      </c>
      <c r="AE417" s="8">
        <v>0</v>
      </c>
      <c r="AF417" s="8">
        <v>0</v>
      </c>
      <c r="AG417" s="8">
        <v>0</v>
      </c>
      <c r="AH417" s="8">
        <v>0</v>
      </c>
      <c r="AI417" s="7" t="s">
        <v>1194</v>
      </c>
      <c r="AJ417" s="7">
        <f t="shared" ca="1" si="89"/>
        <v>1</v>
      </c>
      <c r="AK417" s="96">
        <f>(+AA417*AB417)/$AB$1102</f>
        <v>0</v>
      </c>
      <c r="AL417" s="97">
        <f>AC417/$AE$1102*AE417</f>
        <v>0</v>
      </c>
    </row>
    <row r="418" spans="1:38" x14ac:dyDescent="0.3">
      <c r="A418" s="7" t="s">
        <v>2017</v>
      </c>
      <c r="B418" s="7" t="s">
        <v>1320</v>
      </c>
      <c r="C418" s="7" t="s">
        <v>1323</v>
      </c>
      <c r="D418" s="7" t="s">
        <v>1694</v>
      </c>
      <c r="E418" s="7" t="s">
        <v>1695</v>
      </c>
      <c r="F418" s="36">
        <v>42742</v>
      </c>
      <c r="G418" s="36">
        <v>43836</v>
      </c>
      <c r="H418" s="36">
        <v>44895</v>
      </c>
      <c r="I418" s="36">
        <v>44895</v>
      </c>
      <c r="J418" s="7" t="s">
        <v>1699</v>
      </c>
      <c r="K418" s="8">
        <v>0</v>
      </c>
      <c r="L418" s="8">
        <v>0</v>
      </c>
      <c r="M418" s="8">
        <v>0</v>
      </c>
      <c r="N418" s="8">
        <v>202760.73810375234</v>
      </c>
      <c r="O418" s="8">
        <v>0</v>
      </c>
      <c r="P418" s="8">
        <v>0</v>
      </c>
      <c r="Q418" s="8">
        <v>0</v>
      </c>
      <c r="R418" s="8">
        <f t="shared" si="88"/>
        <v>202760.73810375234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7">
        <v>0</v>
      </c>
      <c r="AB418" s="8">
        <v>0</v>
      </c>
      <c r="AC418" s="7">
        <v>2.2879999999999998</v>
      </c>
      <c r="AD418" s="7" t="s">
        <v>1697</v>
      </c>
      <c r="AE418" s="8">
        <v>0</v>
      </c>
      <c r="AF418" s="8">
        <v>0</v>
      </c>
      <c r="AG418" s="8">
        <v>0</v>
      </c>
      <c r="AH418" s="8">
        <v>0</v>
      </c>
      <c r="AI418" s="7" t="s">
        <v>1194</v>
      </c>
      <c r="AJ418" s="7">
        <f t="shared" ca="1" si="89"/>
        <v>2</v>
      </c>
      <c r="AK418" s="100">
        <f>(+AA418*AB418)/$AB$1103</f>
        <v>0</v>
      </c>
      <c r="AL418" s="97">
        <f>AC418/$AE$1103*AE418</f>
        <v>0</v>
      </c>
    </row>
    <row r="419" spans="1:38" x14ac:dyDescent="0.3">
      <c r="A419" s="7" t="s">
        <v>2018</v>
      </c>
      <c r="B419" s="7" t="s">
        <v>194</v>
      </c>
      <c r="C419" s="7" t="s">
        <v>1769</v>
      </c>
      <c r="D419" s="7" t="s">
        <v>1324</v>
      </c>
      <c r="E419" s="7" t="s">
        <v>1322</v>
      </c>
      <c r="F419" s="36">
        <v>44287</v>
      </c>
      <c r="G419" s="36">
        <v>45382</v>
      </c>
      <c r="H419" s="36">
        <v>45382</v>
      </c>
      <c r="I419" s="36">
        <v>46477</v>
      </c>
      <c r="J419" s="7" t="s">
        <v>1239</v>
      </c>
      <c r="K419" s="8">
        <v>381549.91954799998</v>
      </c>
      <c r="L419" s="8">
        <v>117649.553893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f t="shared" si="88"/>
        <v>499199.47344099998</v>
      </c>
      <c r="S419" s="8">
        <v>0</v>
      </c>
      <c r="T419" s="8">
        <v>120446.946704</v>
      </c>
      <c r="U419" s="8">
        <v>0</v>
      </c>
      <c r="V419" s="8">
        <v>479553.053296</v>
      </c>
      <c r="W419" s="8">
        <v>0</v>
      </c>
      <c r="X419" s="8">
        <v>0</v>
      </c>
      <c r="Y419" s="8">
        <v>0</v>
      </c>
      <c r="Z419" s="8">
        <v>0</v>
      </c>
      <c r="AA419" s="7">
        <v>4.2493150000000002</v>
      </c>
      <c r="AB419" s="8">
        <v>1458143.09433</v>
      </c>
      <c r="AC419" s="7">
        <v>7</v>
      </c>
      <c r="AD419" s="7" t="s">
        <v>1226</v>
      </c>
      <c r="AE419" s="8">
        <v>1650000</v>
      </c>
      <c r="AF419" s="8">
        <v>0</v>
      </c>
      <c r="AG419" s="8">
        <v>1650000</v>
      </c>
      <c r="AH419" s="8">
        <v>0</v>
      </c>
      <c r="AI419" s="7" t="s">
        <v>1758</v>
      </c>
      <c r="AJ419" s="7">
        <f t="shared" ca="1" si="89"/>
        <v>1</v>
      </c>
      <c r="AK419" s="96">
        <f t="shared" si="90"/>
        <v>4.150798711970926E-2</v>
      </c>
      <c r="AL419" s="97">
        <f t="shared" si="91"/>
        <v>7.3423752702162517E-2</v>
      </c>
    </row>
    <row r="420" spans="1:38" x14ac:dyDescent="0.3">
      <c r="A420" s="7" t="s">
        <v>2019</v>
      </c>
      <c r="B420" s="7" t="s">
        <v>194</v>
      </c>
      <c r="C420" s="7" t="s">
        <v>1323</v>
      </c>
      <c r="D420" s="7" t="s">
        <v>1324</v>
      </c>
      <c r="E420" s="7" t="s">
        <v>1739</v>
      </c>
      <c r="F420" s="36">
        <v>43466</v>
      </c>
      <c r="G420" s="36">
        <v>44561</v>
      </c>
      <c r="I420" s="36">
        <v>45657</v>
      </c>
      <c r="J420" s="7" t="s">
        <v>1239</v>
      </c>
      <c r="K420" s="8">
        <v>202934.39</v>
      </c>
      <c r="L420" s="8">
        <v>47277.930476000001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f t="shared" si="88"/>
        <v>250212.32047600002</v>
      </c>
      <c r="S420" s="8">
        <v>0</v>
      </c>
      <c r="T420" s="8">
        <v>50176.011358000003</v>
      </c>
      <c r="U420" s="8">
        <v>0</v>
      </c>
      <c r="V420" s="8">
        <v>249823.98864200001</v>
      </c>
      <c r="W420" s="8">
        <v>0</v>
      </c>
      <c r="X420" s="8">
        <v>0</v>
      </c>
      <c r="Y420" s="8">
        <v>0</v>
      </c>
      <c r="Z420" s="8">
        <v>277722.06952399999</v>
      </c>
      <c r="AA420" s="7">
        <v>2.0027400000000002</v>
      </c>
      <c r="AB420" s="8">
        <v>68358.137543999997</v>
      </c>
      <c r="AC420" s="7">
        <v>2.3473329999999999</v>
      </c>
      <c r="AD420" s="7" t="s">
        <v>1697</v>
      </c>
      <c r="AE420" s="8">
        <v>75000</v>
      </c>
      <c r="AF420" s="8">
        <v>0</v>
      </c>
      <c r="AG420" s="8">
        <v>75000</v>
      </c>
      <c r="AH420" s="8">
        <v>0</v>
      </c>
      <c r="AI420" s="7" t="s">
        <v>1758</v>
      </c>
      <c r="AJ420" s="7">
        <f t="shared" ca="1" si="89"/>
        <v>1</v>
      </c>
      <c r="AK420" s="96">
        <f t="shared" si="90"/>
        <v>9.1712259889265187E-4</v>
      </c>
      <c r="AL420" s="97">
        <f t="shared" si="91"/>
        <v>1.1191558292313328E-3</v>
      </c>
    </row>
    <row r="421" spans="1:38" x14ac:dyDescent="0.3">
      <c r="A421" s="7" t="s">
        <v>2020</v>
      </c>
      <c r="B421" s="7" t="s">
        <v>1320</v>
      </c>
      <c r="C421" s="7" t="s">
        <v>1323</v>
      </c>
      <c r="D421" s="7" t="s">
        <v>1324</v>
      </c>
      <c r="E421" s="7" t="s">
        <v>1322</v>
      </c>
      <c r="F421" s="36">
        <v>44378</v>
      </c>
      <c r="G421" s="36">
        <v>45473</v>
      </c>
      <c r="H421" s="36">
        <v>45473</v>
      </c>
      <c r="I421" s="36">
        <v>45473</v>
      </c>
      <c r="J421" s="7" t="s">
        <v>1239</v>
      </c>
      <c r="K421" s="8">
        <v>1290.4000000000001</v>
      </c>
      <c r="L421" s="8">
        <v>144.19713200000001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f t="shared" si="88"/>
        <v>1434.5971320000001</v>
      </c>
      <c r="S421" s="8">
        <v>0</v>
      </c>
      <c r="T421" s="8">
        <v>136.671649</v>
      </c>
      <c r="U421" s="8">
        <v>0</v>
      </c>
      <c r="V421" s="8">
        <v>2085.428351</v>
      </c>
      <c r="W421" s="8">
        <v>0</v>
      </c>
      <c r="X421" s="8">
        <v>4301.3233309999996</v>
      </c>
      <c r="Y421" s="8">
        <v>0</v>
      </c>
      <c r="Z421" s="8">
        <v>0</v>
      </c>
      <c r="AA421" s="7">
        <v>1.4986299999999999</v>
      </c>
      <c r="AB421" s="8">
        <v>2217.9949799999999</v>
      </c>
      <c r="AC421" s="7">
        <v>3</v>
      </c>
      <c r="AD421" s="7" t="s">
        <v>1226</v>
      </c>
      <c r="AE421" s="8">
        <v>2222.1</v>
      </c>
      <c r="AF421" s="8">
        <v>50</v>
      </c>
      <c r="AG421" s="8">
        <v>2272.1</v>
      </c>
      <c r="AH421" s="8">
        <v>0</v>
      </c>
      <c r="AI421" s="7" t="s">
        <v>1194</v>
      </c>
      <c r="AJ421" s="7">
        <f t="shared" ca="1" si="89"/>
        <v>1</v>
      </c>
      <c r="AK421" s="96">
        <f t="shared" si="90"/>
        <v>2.2267301144593344E-5</v>
      </c>
      <c r="AL421" s="97">
        <f t="shared" si="91"/>
        <v>4.2377901527136442E-5</v>
      </c>
    </row>
    <row r="422" spans="1:38" x14ac:dyDescent="0.3">
      <c r="A422" s="7" t="s">
        <v>2021</v>
      </c>
      <c r="B422" s="7" t="s">
        <v>1320</v>
      </c>
      <c r="C422" s="7" t="s">
        <v>1769</v>
      </c>
      <c r="D422" s="7" t="s">
        <v>1324</v>
      </c>
      <c r="E422" s="7" t="s">
        <v>1322</v>
      </c>
      <c r="F422" s="36">
        <v>44533</v>
      </c>
      <c r="G422" s="36">
        <v>45628</v>
      </c>
      <c r="H422" s="36">
        <v>45628</v>
      </c>
      <c r="I422" s="36">
        <v>45628</v>
      </c>
      <c r="J422" s="7" t="s">
        <v>1239</v>
      </c>
      <c r="K422" s="8">
        <v>9381.0589920000002</v>
      </c>
      <c r="L422" s="8">
        <v>681.21964800000001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f t="shared" si="88"/>
        <v>10062.27864</v>
      </c>
      <c r="S422" s="8">
        <v>0</v>
      </c>
      <c r="T422" s="8">
        <v>619.26913500000001</v>
      </c>
      <c r="U422" s="8">
        <v>0</v>
      </c>
      <c r="V422" s="8">
        <v>8269.1308649999992</v>
      </c>
      <c r="W422" s="8">
        <v>0</v>
      </c>
      <c r="X422" s="8">
        <v>0</v>
      </c>
      <c r="Y422" s="8">
        <v>0</v>
      </c>
      <c r="Z422" s="8">
        <v>5576.4264130000001</v>
      </c>
      <c r="AA422" s="7">
        <v>1.9232880000000001</v>
      </c>
      <c r="AB422" s="8">
        <v>18895.588165000001</v>
      </c>
      <c r="AC422" s="7">
        <v>3</v>
      </c>
      <c r="AD422" s="7" t="s">
        <v>1226</v>
      </c>
      <c r="AE422" s="8">
        <v>17036.099999999999</v>
      </c>
      <c r="AF422" s="8">
        <v>0</v>
      </c>
      <c r="AG422" s="8">
        <v>17036.099999999999</v>
      </c>
      <c r="AH422" s="8">
        <v>0</v>
      </c>
      <c r="AI422" s="7" t="s">
        <v>1781</v>
      </c>
      <c r="AJ422" s="7">
        <f t="shared" ca="1" si="89"/>
        <v>1</v>
      </c>
      <c r="AK422" s="96">
        <f t="shared" si="90"/>
        <v>2.4345423754632611E-4</v>
      </c>
      <c r="AL422" s="97">
        <f t="shared" si="91"/>
        <v>3.2489724504137938E-4</v>
      </c>
    </row>
    <row r="423" spans="1:38" x14ac:dyDescent="0.3">
      <c r="A423" s="7" t="s">
        <v>2022</v>
      </c>
      <c r="B423" s="7" t="s">
        <v>1320</v>
      </c>
      <c r="C423" s="7" t="s">
        <v>1323</v>
      </c>
      <c r="D423" s="7" t="s">
        <v>1694</v>
      </c>
      <c r="E423" s="7" t="s">
        <v>1695</v>
      </c>
      <c r="F423" s="36">
        <v>42801</v>
      </c>
      <c r="G423" s="36">
        <v>43896</v>
      </c>
      <c r="H423" s="36">
        <v>44895</v>
      </c>
      <c r="I423" s="36">
        <v>44895</v>
      </c>
      <c r="J423" s="7" t="s">
        <v>1699</v>
      </c>
      <c r="K423" s="8">
        <v>0</v>
      </c>
      <c r="L423" s="8">
        <v>0</v>
      </c>
      <c r="M423" s="8">
        <v>0</v>
      </c>
      <c r="N423" s="8">
        <v>559677.41949999996</v>
      </c>
      <c r="O423" s="8">
        <v>0</v>
      </c>
      <c r="P423" s="8">
        <v>0</v>
      </c>
      <c r="Q423" s="8">
        <v>0</v>
      </c>
      <c r="R423" s="8">
        <f t="shared" si="88"/>
        <v>559677.41949999996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7">
        <v>0</v>
      </c>
      <c r="AB423" s="8">
        <v>0</v>
      </c>
      <c r="AC423" s="7">
        <v>7</v>
      </c>
      <c r="AD423" s="7" t="s">
        <v>1226</v>
      </c>
      <c r="AE423" s="8">
        <v>0</v>
      </c>
      <c r="AF423" s="8">
        <v>0</v>
      </c>
      <c r="AG423" s="8">
        <v>0</v>
      </c>
      <c r="AH423" s="8">
        <v>0</v>
      </c>
      <c r="AI423" s="7" t="s">
        <v>1194</v>
      </c>
      <c r="AJ423" s="7">
        <f t="shared" ca="1" si="89"/>
        <v>1</v>
      </c>
      <c r="AK423" s="100">
        <f>(+AA423*AB423)/$AB$1103</f>
        <v>0</v>
      </c>
      <c r="AL423" s="97">
        <f>AC423/$AE$1103*AE423</f>
        <v>0</v>
      </c>
    </row>
    <row r="424" spans="1:38" x14ac:dyDescent="0.3">
      <c r="A424" s="7" t="s">
        <v>2023</v>
      </c>
      <c r="B424" s="7" t="s">
        <v>1320</v>
      </c>
      <c r="C424" s="7" t="s">
        <v>1323</v>
      </c>
      <c r="D424" s="7" t="s">
        <v>1792</v>
      </c>
      <c r="E424" s="7" t="s">
        <v>1695</v>
      </c>
      <c r="F424" s="36">
        <v>43983</v>
      </c>
      <c r="G424" s="36">
        <v>44681</v>
      </c>
      <c r="H424" s="36">
        <v>44895</v>
      </c>
      <c r="I424" s="36">
        <v>44895</v>
      </c>
      <c r="J424" s="7" t="s">
        <v>1696</v>
      </c>
      <c r="K424" s="8">
        <v>0</v>
      </c>
      <c r="L424" s="8">
        <v>0</v>
      </c>
      <c r="M424" s="8">
        <v>1348.217073</v>
      </c>
      <c r="N424" s="8">
        <v>0</v>
      </c>
      <c r="O424" s="8">
        <v>0</v>
      </c>
      <c r="P424" s="8">
        <v>0</v>
      </c>
      <c r="Q424" s="8">
        <v>0</v>
      </c>
      <c r="R424" s="8">
        <f t="shared" si="88"/>
        <v>1348.217073</v>
      </c>
      <c r="S424" s="8">
        <v>0</v>
      </c>
      <c r="T424" s="8">
        <v>0</v>
      </c>
      <c r="U424" s="8">
        <v>1348.2208000000001</v>
      </c>
      <c r="V424" s="8">
        <v>0</v>
      </c>
      <c r="W424" s="8">
        <v>0</v>
      </c>
      <c r="X424" s="8">
        <v>0</v>
      </c>
      <c r="Y424" s="8">
        <v>0</v>
      </c>
      <c r="Z424" s="8">
        <v>7.2410000000000002E-2</v>
      </c>
      <c r="AA424" s="7">
        <v>0</v>
      </c>
      <c r="AB424" s="8">
        <v>0</v>
      </c>
      <c r="AC424" s="7">
        <v>1.7840830000000001</v>
      </c>
      <c r="AD424" s="7" t="s">
        <v>1226</v>
      </c>
      <c r="AE424" s="8">
        <v>0</v>
      </c>
      <c r="AF424" s="8">
        <v>0</v>
      </c>
      <c r="AG424" s="8">
        <v>0</v>
      </c>
      <c r="AH424" s="8">
        <v>0</v>
      </c>
      <c r="AI424" s="7" t="s">
        <v>1736</v>
      </c>
      <c r="AJ424" s="7">
        <f t="shared" ca="1" si="89"/>
        <v>1</v>
      </c>
      <c r="AK424" s="96">
        <f>(+AA424*AB424)/$AB$1102</f>
        <v>0</v>
      </c>
      <c r="AL424" s="97">
        <f>AC424/$AE$1102*AE424</f>
        <v>0</v>
      </c>
    </row>
    <row r="425" spans="1:38" x14ac:dyDescent="0.3">
      <c r="A425" s="7" t="s">
        <v>2023</v>
      </c>
      <c r="B425" s="7" t="s">
        <v>1320</v>
      </c>
      <c r="C425" s="7" t="s">
        <v>1323</v>
      </c>
      <c r="D425" s="7" t="s">
        <v>1792</v>
      </c>
      <c r="E425" s="7" t="s">
        <v>1695</v>
      </c>
      <c r="F425" s="36">
        <v>43983</v>
      </c>
      <c r="G425" s="36">
        <v>44681</v>
      </c>
      <c r="H425" s="36">
        <v>44895</v>
      </c>
      <c r="I425" s="36">
        <v>44895</v>
      </c>
      <c r="J425" s="7" t="s">
        <v>1699</v>
      </c>
      <c r="K425" s="8">
        <v>0</v>
      </c>
      <c r="L425" s="8">
        <v>0</v>
      </c>
      <c r="M425" s="8">
        <v>0</v>
      </c>
      <c r="N425" s="8">
        <v>2359.2800000000002</v>
      </c>
      <c r="O425" s="8">
        <v>0</v>
      </c>
      <c r="P425" s="8">
        <v>0</v>
      </c>
      <c r="Q425" s="8">
        <v>0</v>
      </c>
      <c r="R425" s="8">
        <f t="shared" si="88"/>
        <v>2359.2800000000002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7">
        <v>0</v>
      </c>
      <c r="AB425" s="8">
        <v>0</v>
      </c>
      <c r="AC425" s="7">
        <v>1.7840830000000001</v>
      </c>
      <c r="AD425" s="7" t="s">
        <v>1226</v>
      </c>
      <c r="AE425" s="8">
        <v>0</v>
      </c>
      <c r="AF425" s="8">
        <v>0</v>
      </c>
      <c r="AG425" s="8">
        <v>0</v>
      </c>
      <c r="AH425" s="8">
        <v>0</v>
      </c>
      <c r="AI425" s="7" t="s">
        <v>1736</v>
      </c>
      <c r="AJ425" s="7">
        <f t="shared" ca="1" si="89"/>
        <v>2</v>
      </c>
      <c r="AK425" s="100">
        <f>(+AA425*AB425)/$AB$1103</f>
        <v>0</v>
      </c>
      <c r="AL425" s="97">
        <f>AC425/$AE$1103*AE425</f>
        <v>0</v>
      </c>
    </row>
    <row r="426" spans="1:38" x14ac:dyDescent="0.3">
      <c r="A426" s="7" t="s">
        <v>2024</v>
      </c>
      <c r="B426" s="7" t="s">
        <v>1320</v>
      </c>
      <c r="C426" s="7" t="s">
        <v>1323</v>
      </c>
      <c r="D426" s="7" t="s">
        <v>1792</v>
      </c>
      <c r="E426" s="7" t="s">
        <v>1695</v>
      </c>
      <c r="F426" s="36">
        <v>43221</v>
      </c>
      <c r="G426" s="36">
        <v>44681</v>
      </c>
      <c r="H426" s="36">
        <v>44895</v>
      </c>
      <c r="I426" s="36">
        <v>44895</v>
      </c>
      <c r="J426" s="7" t="s">
        <v>1696</v>
      </c>
      <c r="K426" s="8">
        <v>0</v>
      </c>
      <c r="L426" s="8">
        <v>0</v>
      </c>
      <c r="M426" s="8">
        <v>7407.4540639999996</v>
      </c>
      <c r="N426" s="8">
        <v>0</v>
      </c>
      <c r="O426" s="8">
        <v>0</v>
      </c>
      <c r="P426" s="8">
        <v>0</v>
      </c>
      <c r="Q426" s="8">
        <v>0</v>
      </c>
      <c r="R426" s="8">
        <f t="shared" si="88"/>
        <v>7407.4540639999996</v>
      </c>
      <c r="S426" s="8">
        <v>0</v>
      </c>
      <c r="T426" s="8">
        <v>0</v>
      </c>
      <c r="U426" s="8">
        <v>7037.0879999999997</v>
      </c>
      <c r="V426" s="8">
        <v>0</v>
      </c>
      <c r="W426" s="8">
        <v>0</v>
      </c>
      <c r="X426" s="8">
        <v>0</v>
      </c>
      <c r="Y426" s="8">
        <v>0</v>
      </c>
      <c r="Z426" s="8">
        <v>7288.9474499999997</v>
      </c>
      <c r="AA426" s="7">
        <v>0</v>
      </c>
      <c r="AB426" s="8">
        <v>0</v>
      </c>
      <c r="AC426" s="7">
        <v>2.0449999999999999</v>
      </c>
      <c r="AD426" s="7" t="s">
        <v>1226</v>
      </c>
      <c r="AE426" s="8">
        <v>0</v>
      </c>
      <c r="AF426" s="8">
        <v>0</v>
      </c>
      <c r="AG426" s="8">
        <v>0</v>
      </c>
      <c r="AH426" s="8">
        <v>0</v>
      </c>
      <c r="AI426" s="7" t="s">
        <v>1736</v>
      </c>
      <c r="AJ426" s="7">
        <f t="shared" ca="1" si="89"/>
        <v>1</v>
      </c>
      <c r="AK426" s="96">
        <f>(+AA426*AB426)/$AB$1102</f>
        <v>0</v>
      </c>
      <c r="AL426" s="97">
        <f>AC426/$AE$1102*AE426</f>
        <v>0</v>
      </c>
    </row>
    <row r="427" spans="1:38" x14ac:dyDescent="0.3">
      <c r="A427" s="7" t="s">
        <v>2024</v>
      </c>
      <c r="B427" s="7" t="s">
        <v>1320</v>
      </c>
      <c r="C427" s="7" t="s">
        <v>1323</v>
      </c>
      <c r="D427" s="7" t="s">
        <v>1792</v>
      </c>
      <c r="E427" s="7" t="s">
        <v>1695</v>
      </c>
      <c r="F427" s="36">
        <v>43221</v>
      </c>
      <c r="G427" s="36">
        <v>44681</v>
      </c>
      <c r="H427" s="36">
        <v>44895</v>
      </c>
      <c r="I427" s="36">
        <v>44895</v>
      </c>
      <c r="J427" s="7" t="s">
        <v>1699</v>
      </c>
      <c r="K427" s="8">
        <v>0</v>
      </c>
      <c r="L427" s="8">
        <v>0</v>
      </c>
      <c r="M427" s="8">
        <v>0</v>
      </c>
      <c r="N427" s="8">
        <v>2592.59</v>
      </c>
      <c r="O427" s="8">
        <v>0</v>
      </c>
      <c r="P427" s="8">
        <v>0</v>
      </c>
      <c r="Q427" s="8">
        <v>0</v>
      </c>
      <c r="R427" s="8">
        <f t="shared" si="88"/>
        <v>2592.59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7">
        <v>0</v>
      </c>
      <c r="AB427" s="8">
        <v>0</v>
      </c>
      <c r="AC427" s="7">
        <v>2.0449999999999999</v>
      </c>
      <c r="AD427" s="7" t="s">
        <v>1226</v>
      </c>
      <c r="AE427" s="8">
        <v>0</v>
      </c>
      <c r="AF427" s="8">
        <v>0</v>
      </c>
      <c r="AG427" s="8">
        <v>0</v>
      </c>
      <c r="AH427" s="8">
        <v>0</v>
      </c>
      <c r="AI427" s="7" t="s">
        <v>1736</v>
      </c>
      <c r="AJ427" s="7">
        <f t="shared" ca="1" si="89"/>
        <v>2</v>
      </c>
      <c r="AK427" s="100">
        <f>(+AA427*AB427)/$AB$1103</f>
        <v>0</v>
      </c>
      <c r="AL427" s="97">
        <f>AC427/$AE$1103*AE427</f>
        <v>0</v>
      </c>
    </row>
    <row r="428" spans="1:38" x14ac:dyDescent="0.3">
      <c r="A428" s="7" t="s">
        <v>2025</v>
      </c>
      <c r="B428" s="7" t="s">
        <v>1320</v>
      </c>
      <c r="C428" s="7" t="s">
        <v>1323</v>
      </c>
      <c r="D428" s="7" t="s">
        <v>1792</v>
      </c>
      <c r="E428" s="7" t="s">
        <v>1695</v>
      </c>
      <c r="F428" s="36">
        <v>43983</v>
      </c>
      <c r="G428" s="36">
        <v>44681</v>
      </c>
      <c r="H428" s="36">
        <v>44895</v>
      </c>
      <c r="I428" s="36">
        <v>44895</v>
      </c>
      <c r="J428" s="7" t="s">
        <v>1696</v>
      </c>
      <c r="K428" s="8">
        <v>0</v>
      </c>
      <c r="L428" s="8">
        <v>0</v>
      </c>
      <c r="M428" s="8">
        <v>2399.9990189999999</v>
      </c>
      <c r="N428" s="8">
        <v>0</v>
      </c>
      <c r="O428" s="8">
        <v>0</v>
      </c>
      <c r="P428" s="8">
        <v>0</v>
      </c>
      <c r="Q428" s="8">
        <v>0</v>
      </c>
      <c r="R428" s="8">
        <f t="shared" si="88"/>
        <v>2399.9990189999999</v>
      </c>
      <c r="S428" s="8">
        <v>0</v>
      </c>
      <c r="T428" s="8">
        <v>0</v>
      </c>
      <c r="U428" s="8">
        <v>2400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7">
        <v>0</v>
      </c>
      <c r="AB428" s="8">
        <v>0</v>
      </c>
      <c r="AC428" s="7">
        <v>1.7840830000000001</v>
      </c>
      <c r="AD428" s="7" t="s">
        <v>1226</v>
      </c>
      <c r="AE428" s="8">
        <v>0</v>
      </c>
      <c r="AF428" s="8">
        <v>0</v>
      </c>
      <c r="AG428" s="8">
        <v>0</v>
      </c>
      <c r="AH428" s="8">
        <v>0</v>
      </c>
      <c r="AI428" s="7" t="s">
        <v>1736</v>
      </c>
      <c r="AJ428" s="7">
        <f t="shared" ca="1" si="89"/>
        <v>1</v>
      </c>
      <c r="AK428" s="96">
        <f>(+AA428*AB428)/$AB$1102</f>
        <v>0</v>
      </c>
      <c r="AL428" s="97">
        <f>AC428/$AE$1102*AE428</f>
        <v>0</v>
      </c>
    </row>
    <row r="429" spans="1:38" x14ac:dyDescent="0.3">
      <c r="A429" s="7" t="s">
        <v>2025</v>
      </c>
      <c r="B429" s="7" t="s">
        <v>1320</v>
      </c>
      <c r="C429" s="7" t="s">
        <v>1323</v>
      </c>
      <c r="D429" s="7" t="s">
        <v>1792</v>
      </c>
      <c r="E429" s="7" t="s">
        <v>1695</v>
      </c>
      <c r="F429" s="36">
        <v>43983</v>
      </c>
      <c r="G429" s="36">
        <v>44681</v>
      </c>
      <c r="H429" s="36">
        <v>44895</v>
      </c>
      <c r="I429" s="36">
        <v>44895</v>
      </c>
      <c r="J429" s="7" t="s">
        <v>1699</v>
      </c>
      <c r="K429" s="8">
        <v>0</v>
      </c>
      <c r="L429" s="8">
        <v>0</v>
      </c>
      <c r="M429" s="8">
        <v>0</v>
      </c>
      <c r="N429" s="8">
        <v>4200</v>
      </c>
      <c r="O429" s="8">
        <v>0</v>
      </c>
      <c r="P429" s="8">
        <v>0</v>
      </c>
      <c r="Q429" s="8">
        <v>0</v>
      </c>
      <c r="R429" s="8">
        <f t="shared" si="88"/>
        <v>4200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7">
        <v>0</v>
      </c>
      <c r="AB429" s="8">
        <v>0</v>
      </c>
      <c r="AC429" s="7">
        <v>1.7840830000000001</v>
      </c>
      <c r="AD429" s="7" t="s">
        <v>1226</v>
      </c>
      <c r="AE429" s="8">
        <v>0</v>
      </c>
      <c r="AF429" s="8">
        <v>0</v>
      </c>
      <c r="AG429" s="8">
        <v>0</v>
      </c>
      <c r="AH429" s="8">
        <v>0</v>
      </c>
      <c r="AI429" s="7" t="s">
        <v>1736</v>
      </c>
      <c r="AJ429" s="7">
        <f t="shared" ca="1" si="89"/>
        <v>2</v>
      </c>
      <c r="AK429" s="100">
        <f>(+AA429*AB429)/$AB$1103</f>
        <v>0</v>
      </c>
      <c r="AL429" s="97">
        <f>AC429/$AE$1103*AE429</f>
        <v>0</v>
      </c>
    </row>
    <row r="430" spans="1:38" x14ac:dyDescent="0.3">
      <c r="A430" s="7" t="s">
        <v>2026</v>
      </c>
      <c r="B430" s="7" t="s">
        <v>1320</v>
      </c>
      <c r="C430" s="7" t="s">
        <v>1323</v>
      </c>
      <c r="D430" s="7" t="s">
        <v>1792</v>
      </c>
      <c r="E430" s="7" t="s">
        <v>1775</v>
      </c>
      <c r="F430" s="36">
        <v>44090</v>
      </c>
      <c r="G430" s="36">
        <v>44666</v>
      </c>
      <c r="I430" s="36">
        <v>44773</v>
      </c>
      <c r="J430" s="7" t="s">
        <v>1696</v>
      </c>
      <c r="K430" s="8">
        <v>0</v>
      </c>
      <c r="L430" s="8">
        <v>0</v>
      </c>
      <c r="M430" s="8">
        <v>-6511.8884150000004</v>
      </c>
      <c r="N430" s="8">
        <v>0</v>
      </c>
      <c r="O430" s="8">
        <v>0</v>
      </c>
      <c r="P430" s="8">
        <v>0</v>
      </c>
      <c r="Q430" s="8">
        <v>0</v>
      </c>
      <c r="R430" s="8">
        <f t="shared" si="88"/>
        <v>-6511.8884150000004</v>
      </c>
      <c r="S430" s="8">
        <v>0</v>
      </c>
      <c r="T430" s="8">
        <v>0</v>
      </c>
      <c r="U430" s="8">
        <v>-6400</v>
      </c>
      <c r="V430" s="8">
        <v>0</v>
      </c>
      <c r="W430" s="8">
        <v>0</v>
      </c>
      <c r="X430" s="8">
        <v>0</v>
      </c>
      <c r="Y430" s="8">
        <v>0</v>
      </c>
      <c r="Z430" s="8">
        <v>-7873.9056170000003</v>
      </c>
      <c r="AA430" s="7">
        <v>0</v>
      </c>
      <c r="AB430" s="8">
        <v>0</v>
      </c>
      <c r="AC430" s="7">
        <v>1.7084170000000001</v>
      </c>
      <c r="AD430" s="7" t="s">
        <v>1226</v>
      </c>
      <c r="AE430" s="8">
        <v>0</v>
      </c>
      <c r="AF430" s="8">
        <v>0</v>
      </c>
      <c r="AG430" s="8">
        <v>0</v>
      </c>
      <c r="AH430" s="8">
        <v>0</v>
      </c>
      <c r="AI430" s="7" t="s">
        <v>1736</v>
      </c>
      <c r="AJ430" s="7">
        <f t="shared" ca="1" si="89"/>
        <v>1</v>
      </c>
      <c r="AK430" s="96">
        <f>(+AA430*AB430)/$AB$1102</f>
        <v>0</v>
      </c>
      <c r="AL430" s="97">
        <f>AC430/$AE$1102*AE430</f>
        <v>0</v>
      </c>
    </row>
    <row r="431" spans="1:38" x14ac:dyDescent="0.3">
      <c r="A431" s="7" t="s">
        <v>2027</v>
      </c>
      <c r="B431" s="7" t="s">
        <v>1320</v>
      </c>
      <c r="C431" s="7" t="s">
        <v>1323</v>
      </c>
      <c r="D431" s="7" t="s">
        <v>1694</v>
      </c>
      <c r="E431" s="7" t="s">
        <v>1322</v>
      </c>
      <c r="F431" s="36">
        <v>44259</v>
      </c>
      <c r="G431" s="36">
        <v>45172</v>
      </c>
      <c r="H431" s="36">
        <v>45172</v>
      </c>
      <c r="I431" s="36">
        <v>45172</v>
      </c>
      <c r="J431" s="7" t="s">
        <v>1239</v>
      </c>
      <c r="K431" s="8">
        <v>252598.12627099999</v>
      </c>
      <c r="L431" s="8">
        <v>1149.7865420000001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f t="shared" si="88"/>
        <v>253747.91281299997</v>
      </c>
      <c r="S431" s="8">
        <v>0</v>
      </c>
      <c r="T431" s="8">
        <v>1644.041604</v>
      </c>
      <c r="U431" s="8">
        <v>0</v>
      </c>
      <c r="V431" s="8">
        <v>248355.958396</v>
      </c>
      <c r="W431" s="8">
        <v>0</v>
      </c>
      <c r="X431" s="8">
        <v>0</v>
      </c>
      <c r="Y431" s="8">
        <v>0</v>
      </c>
      <c r="Z431" s="8">
        <v>0</v>
      </c>
      <c r="AA431" s="7">
        <v>0.67397300000000004</v>
      </c>
      <c r="AB431" s="8">
        <v>0</v>
      </c>
      <c r="AC431" s="7">
        <v>2.6440000000000001</v>
      </c>
      <c r="AD431" s="7" t="s">
        <v>1226</v>
      </c>
      <c r="AE431" s="8">
        <v>0</v>
      </c>
      <c r="AF431" s="8">
        <v>0</v>
      </c>
      <c r="AG431" s="8">
        <v>0</v>
      </c>
      <c r="AH431" s="8">
        <v>0</v>
      </c>
      <c r="AI431" s="7" t="s">
        <v>1194</v>
      </c>
      <c r="AJ431" s="7">
        <f t="shared" ca="1" si="89"/>
        <v>1</v>
      </c>
      <c r="AK431" s="96">
        <f t="shared" si="90"/>
        <v>0</v>
      </c>
      <c r="AL431" s="97">
        <f t="shared" si="91"/>
        <v>0</v>
      </c>
    </row>
    <row r="432" spans="1:38" x14ac:dyDescent="0.3">
      <c r="A432" s="7" t="s">
        <v>2028</v>
      </c>
      <c r="B432" s="7" t="s">
        <v>1320</v>
      </c>
      <c r="C432" s="7" t="s">
        <v>1323</v>
      </c>
      <c r="D432" s="7" t="s">
        <v>1694</v>
      </c>
      <c r="E432" s="7" t="s">
        <v>1695</v>
      </c>
      <c r="F432" s="36">
        <v>42801</v>
      </c>
      <c r="G432" s="36">
        <v>43896</v>
      </c>
      <c r="H432" s="36">
        <v>44895</v>
      </c>
      <c r="I432" s="36">
        <v>44895</v>
      </c>
      <c r="J432" s="7" t="s">
        <v>1699</v>
      </c>
      <c r="K432" s="8">
        <v>0</v>
      </c>
      <c r="L432" s="8">
        <v>0</v>
      </c>
      <c r="M432" s="8">
        <v>0</v>
      </c>
      <c r="N432" s="8">
        <v>671612.90339999995</v>
      </c>
      <c r="O432" s="8">
        <v>0</v>
      </c>
      <c r="P432" s="8">
        <v>0</v>
      </c>
      <c r="Q432" s="8">
        <v>0</v>
      </c>
      <c r="R432" s="8">
        <f t="shared" si="88"/>
        <v>671612.90339999995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7">
        <v>0</v>
      </c>
      <c r="AB432" s="8">
        <v>0</v>
      </c>
      <c r="AC432" s="7">
        <v>7</v>
      </c>
      <c r="AD432" s="7" t="s">
        <v>1226</v>
      </c>
      <c r="AE432" s="8">
        <v>0</v>
      </c>
      <c r="AF432" s="8">
        <v>0</v>
      </c>
      <c r="AG432" s="8">
        <v>0</v>
      </c>
      <c r="AH432" s="8">
        <v>0</v>
      </c>
      <c r="AI432" s="7" t="s">
        <v>1194</v>
      </c>
      <c r="AJ432" s="7">
        <f t="shared" ca="1" si="89"/>
        <v>1</v>
      </c>
      <c r="AK432" s="100">
        <f>(+AA432*AB432)/$AB$1103</f>
        <v>0</v>
      </c>
      <c r="AL432" s="97">
        <f>AC432/$AE$1103*AE432</f>
        <v>0</v>
      </c>
    </row>
    <row r="433" spans="1:38" x14ac:dyDescent="0.3">
      <c r="A433" s="7" t="s">
        <v>2029</v>
      </c>
      <c r="B433" s="7" t="s">
        <v>1320</v>
      </c>
      <c r="C433" s="7" t="s">
        <v>1323</v>
      </c>
      <c r="D433" s="7" t="s">
        <v>1694</v>
      </c>
      <c r="E433" s="7" t="s">
        <v>1695</v>
      </c>
      <c r="F433" s="36">
        <v>42801</v>
      </c>
      <c r="G433" s="36">
        <v>43896</v>
      </c>
      <c r="H433" s="36">
        <v>44895</v>
      </c>
      <c r="I433" s="36">
        <v>44895</v>
      </c>
      <c r="J433" s="7" t="s">
        <v>1696</v>
      </c>
      <c r="K433" s="8">
        <v>0</v>
      </c>
      <c r="L433" s="8">
        <v>0</v>
      </c>
      <c r="M433" s="8">
        <v>264118.97407499998</v>
      </c>
      <c r="N433" s="8">
        <v>0</v>
      </c>
      <c r="O433" s="8">
        <v>0</v>
      </c>
      <c r="P433" s="8">
        <v>0</v>
      </c>
      <c r="Q433" s="8">
        <v>0</v>
      </c>
      <c r="R433" s="8">
        <f t="shared" si="88"/>
        <v>264118.97407499998</v>
      </c>
      <c r="S433" s="8">
        <v>0</v>
      </c>
      <c r="T433" s="8">
        <v>0</v>
      </c>
      <c r="U433" s="8">
        <v>150000</v>
      </c>
      <c r="V433" s="8">
        <v>0</v>
      </c>
      <c r="W433" s="8">
        <v>0</v>
      </c>
      <c r="X433" s="8">
        <v>0</v>
      </c>
      <c r="Y433" s="8">
        <v>0</v>
      </c>
      <c r="Z433" s="8">
        <v>145330.28118699999</v>
      </c>
      <c r="AA433" s="7">
        <v>0</v>
      </c>
      <c r="AB433" s="8">
        <v>0</v>
      </c>
      <c r="AC433" s="7">
        <v>2.920417</v>
      </c>
      <c r="AD433" s="7" t="s">
        <v>1697</v>
      </c>
      <c r="AE433" s="8">
        <v>0</v>
      </c>
      <c r="AF433" s="8">
        <v>0</v>
      </c>
      <c r="AG433" s="8">
        <v>0</v>
      </c>
      <c r="AH433" s="8">
        <v>0</v>
      </c>
      <c r="AI433" s="7" t="s">
        <v>1194</v>
      </c>
      <c r="AJ433" s="7">
        <f t="shared" ca="1" si="89"/>
        <v>1</v>
      </c>
      <c r="AK433" s="96">
        <f t="shared" ref="AK433:AK435" si="96">(+AA433*AB433)/$AB$1102</f>
        <v>0</v>
      </c>
      <c r="AL433" s="97">
        <f t="shared" ref="AL433:AL435" si="97">AC433/$AE$1102*AE433</f>
        <v>0</v>
      </c>
    </row>
    <row r="434" spans="1:38" x14ac:dyDescent="0.3">
      <c r="A434" s="7" t="s">
        <v>2030</v>
      </c>
      <c r="B434" s="7" t="s">
        <v>1320</v>
      </c>
      <c r="C434" s="7" t="s">
        <v>1323</v>
      </c>
      <c r="D434" s="7" t="s">
        <v>1694</v>
      </c>
      <c r="E434" s="7" t="s">
        <v>1695</v>
      </c>
      <c r="F434" s="36">
        <v>42801</v>
      </c>
      <c r="G434" s="36">
        <v>43896</v>
      </c>
      <c r="H434" s="36">
        <v>44895</v>
      </c>
      <c r="I434" s="36">
        <v>44895</v>
      </c>
      <c r="J434" s="7" t="s">
        <v>1696</v>
      </c>
      <c r="K434" s="8">
        <v>0</v>
      </c>
      <c r="L434" s="8">
        <v>0</v>
      </c>
      <c r="M434" s="8">
        <v>72706.468664999993</v>
      </c>
      <c r="N434" s="8">
        <v>0</v>
      </c>
      <c r="O434" s="8">
        <v>0</v>
      </c>
      <c r="P434" s="8">
        <v>0</v>
      </c>
      <c r="Q434" s="8">
        <v>0</v>
      </c>
      <c r="R434" s="8">
        <f t="shared" si="88"/>
        <v>72706.468664999993</v>
      </c>
      <c r="S434" s="8">
        <v>0</v>
      </c>
      <c r="T434" s="8">
        <v>0</v>
      </c>
      <c r="U434" s="8">
        <v>50000</v>
      </c>
      <c r="V434" s="8">
        <v>0</v>
      </c>
      <c r="W434" s="8">
        <v>0</v>
      </c>
      <c r="X434" s="8">
        <v>0</v>
      </c>
      <c r="Y434" s="8">
        <v>0</v>
      </c>
      <c r="Z434" s="8">
        <v>35093.591489999999</v>
      </c>
      <c r="AA434" s="7">
        <v>0</v>
      </c>
      <c r="AB434" s="8">
        <v>0</v>
      </c>
      <c r="AC434" s="7">
        <v>2.920417</v>
      </c>
      <c r="AD434" s="7" t="s">
        <v>1697</v>
      </c>
      <c r="AE434" s="8">
        <v>0</v>
      </c>
      <c r="AF434" s="8">
        <v>0</v>
      </c>
      <c r="AG434" s="8">
        <v>0</v>
      </c>
      <c r="AH434" s="8">
        <v>0</v>
      </c>
      <c r="AI434" s="7" t="s">
        <v>1194</v>
      </c>
      <c r="AJ434" s="7">
        <f t="shared" ca="1" si="89"/>
        <v>1</v>
      </c>
      <c r="AK434" s="96">
        <f t="shared" si="96"/>
        <v>0</v>
      </c>
      <c r="AL434" s="97">
        <f t="shared" si="97"/>
        <v>0</v>
      </c>
    </row>
    <row r="435" spans="1:38" x14ac:dyDescent="0.3">
      <c r="A435" s="7" t="s">
        <v>2031</v>
      </c>
      <c r="B435" s="7" t="s">
        <v>1320</v>
      </c>
      <c r="C435" s="7" t="s">
        <v>1323</v>
      </c>
      <c r="D435" s="7" t="s">
        <v>1694</v>
      </c>
      <c r="E435" s="7" t="s">
        <v>1695</v>
      </c>
      <c r="F435" s="36">
        <v>42801</v>
      </c>
      <c r="G435" s="36">
        <v>43896</v>
      </c>
      <c r="H435" s="36">
        <v>44895</v>
      </c>
      <c r="I435" s="36">
        <v>44895</v>
      </c>
      <c r="J435" s="7" t="s">
        <v>1696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f t="shared" si="88"/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0</v>
      </c>
      <c r="Y435" s="8">
        <v>0</v>
      </c>
      <c r="Z435" s="8">
        <v>-162215.791474</v>
      </c>
      <c r="AA435" s="7">
        <v>0</v>
      </c>
      <c r="AB435" s="8">
        <v>0</v>
      </c>
      <c r="AC435" s="7">
        <v>7</v>
      </c>
      <c r="AD435" s="7" t="s">
        <v>1226</v>
      </c>
      <c r="AE435" s="8">
        <v>0</v>
      </c>
      <c r="AF435" s="8">
        <v>0</v>
      </c>
      <c r="AG435" s="8">
        <v>0</v>
      </c>
      <c r="AH435" s="8">
        <v>0</v>
      </c>
      <c r="AI435" s="7" t="s">
        <v>1194</v>
      </c>
      <c r="AJ435" s="7">
        <f t="shared" ca="1" si="89"/>
        <v>1</v>
      </c>
      <c r="AK435" s="96">
        <f t="shared" si="96"/>
        <v>0</v>
      </c>
      <c r="AL435" s="97">
        <f t="shared" si="97"/>
        <v>0</v>
      </c>
    </row>
    <row r="436" spans="1:38" x14ac:dyDescent="0.3">
      <c r="A436" s="7" t="s">
        <v>2031</v>
      </c>
      <c r="B436" s="7" t="s">
        <v>1320</v>
      </c>
      <c r="C436" s="7" t="s">
        <v>1323</v>
      </c>
      <c r="D436" s="7" t="s">
        <v>1694</v>
      </c>
      <c r="E436" s="7" t="s">
        <v>1695</v>
      </c>
      <c r="F436" s="36">
        <v>42801</v>
      </c>
      <c r="G436" s="36">
        <v>43896</v>
      </c>
      <c r="H436" s="36">
        <v>44895</v>
      </c>
      <c r="I436" s="36">
        <v>44895</v>
      </c>
      <c r="J436" s="7" t="s">
        <v>1699</v>
      </c>
      <c r="K436" s="8">
        <v>0</v>
      </c>
      <c r="L436" s="8">
        <v>0</v>
      </c>
      <c r="M436" s="8">
        <v>0</v>
      </c>
      <c r="N436" s="8">
        <v>559677.41949999996</v>
      </c>
      <c r="O436" s="8">
        <v>0</v>
      </c>
      <c r="P436" s="8">
        <v>0</v>
      </c>
      <c r="Q436" s="8">
        <v>0</v>
      </c>
      <c r="R436" s="8">
        <f t="shared" si="88"/>
        <v>559677.41949999996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7">
        <v>0</v>
      </c>
      <c r="AB436" s="8">
        <v>0</v>
      </c>
      <c r="AC436" s="7">
        <v>7</v>
      </c>
      <c r="AD436" s="7" t="s">
        <v>1226</v>
      </c>
      <c r="AE436" s="8">
        <v>0</v>
      </c>
      <c r="AF436" s="8">
        <v>0</v>
      </c>
      <c r="AG436" s="8">
        <v>0</v>
      </c>
      <c r="AH436" s="8">
        <v>0</v>
      </c>
      <c r="AI436" s="7" t="s">
        <v>1194</v>
      </c>
      <c r="AJ436" s="7">
        <f t="shared" ca="1" si="89"/>
        <v>2</v>
      </c>
      <c r="AK436" s="100">
        <f t="shared" ref="AK436:AK441" si="98">(+AA436*AB436)/$AB$1103</f>
        <v>0</v>
      </c>
      <c r="AL436" s="97">
        <f t="shared" ref="AL436:AL441" si="99">AC436/$AE$1103*AE436</f>
        <v>0</v>
      </c>
    </row>
    <row r="437" spans="1:38" x14ac:dyDescent="0.3">
      <c r="A437" s="7" t="s">
        <v>2032</v>
      </c>
      <c r="B437" s="7" t="s">
        <v>1320</v>
      </c>
      <c r="C437" s="7" t="s">
        <v>1323</v>
      </c>
      <c r="D437" s="7" t="s">
        <v>1694</v>
      </c>
      <c r="E437" s="7" t="s">
        <v>1695</v>
      </c>
      <c r="F437" s="36">
        <v>42801</v>
      </c>
      <c r="G437" s="36">
        <v>43896</v>
      </c>
      <c r="H437" s="36">
        <v>44895</v>
      </c>
      <c r="I437" s="36">
        <v>44895</v>
      </c>
      <c r="J437" s="7" t="s">
        <v>1699</v>
      </c>
      <c r="K437" s="8">
        <v>0</v>
      </c>
      <c r="L437" s="8">
        <v>0</v>
      </c>
      <c r="M437" s="8">
        <v>0</v>
      </c>
      <c r="N437" s="8">
        <v>559677.41949999996</v>
      </c>
      <c r="O437" s="8">
        <v>0</v>
      </c>
      <c r="P437" s="8">
        <v>0</v>
      </c>
      <c r="Q437" s="8">
        <v>0</v>
      </c>
      <c r="R437" s="8">
        <f t="shared" si="88"/>
        <v>559677.41949999996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7">
        <v>0</v>
      </c>
      <c r="AB437" s="8">
        <v>0</v>
      </c>
      <c r="AC437" s="7">
        <v>7</v>
      </c>
      <c r="AD437" s="7" t="s">
        <v>1226</v>
      </c>
      <c r="AE437" s="8">
        <v>0</v>
      </c>
      <c r="AF437" s="8">
        <v>0</v>
      </c>
      <c r="AG437" s="8">
        <v>0</v>
      </c>
      <c r="AH437" s="8">
        <v>0</v>
      </c>
      <c r="AI437" s="7" t="s">
        <v>1194</v>
      </c>
      <c r="AJ437" s="7">
        <f t="shared" ca="1" si="89"/>
        <v>1</v>
      </c>
      <c r="AK437" s="100">
        <f t="shared" si="98"/>
        <v>0</v>
      </c>
      <c r="AL437" s="97">
        <f t="shared" si="99"/>
        <v>0</v>
      </c>
    </row>
    <row r="438" spans="1:38" x14ac:dyDescent="0.3">
      <c r="A438" s="7" t="s">
        <v>2033</v>
      </c>
      <c r="B438" s="7" t="s">
        <v>1320</v>
      </c>
      <c r="C438" s="7" t="s">
        <v>1323</v>
      </c>
      <c r="D438" s="7" t="s">
        <v>1694</v>
      </c>
      <c r="E438" s="7" t="s">
        <v>1695</v>
      </c>
      <c r="F438" s="36">
        <v>42801</v>
      </c>
      <c r="G438" s="36">
        <v>43045</v>
      </c>
      <c r="H438" s="36">
        <v>44895</v>
      </c>
      <c r="I438" s="36">
        <v>44895</v>
      </c>
      <c r="J438" s="7" t="s">
        <v>1699</v>
      </c>
      <c r="K438" s="8">
        <v>0</v>
      </c>
      <c r="L438" s="8">
        <v>0</v>
      </c>
      <c r="M438" s="8">
        <v>0</v>
      </c>
      <c r="N438" s="8">
        <v>559677.41949999996</v>
      </c>
      <c r="O438" s="8">
        <v>0</v>
      </c>
      <c r="P438" s="8">
        <v>167903.225806</v>
      </c>
      <c r="Q438" s="8">
        <v>0</v>
      </c>
      <c r="R438" s="8">
        <f t="shared" si="88"/>
        <v>727580.64530600002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7">
        <v>0</v>
      </c>
      <c r="AB438" s="8">
        <v>0</v>
      </c>
      <c r="AC438" s="7">
        <v>7</v>
      </c>
      <c r="AD438" s="7" t="s">
        <v>1226</v>
      </c>
      <c r="AE438" s="8">
        <v>0</v>
      </c>
      <c r="AF438" s="8">
        <v>0</v>
      </c>
      <c r="AG438" s="8">
        <v>0</v>
      </c>
      <c r="AH438" s="8">
        <v>0</v>
      </c>
      <c r="AI438" s="7" t="s">
        <v>1194</v>
      </c>
      <c r="AJ438" s="7">
        <f t="shared" ca="1" si="89"/>
        <v>1</v>
      </c>
      <c r="AK438" s="100">
        <f t="shared" si="98"/>
        <v>0</v>
      </c>
      <c r="AL438" s="97">
        <f t="shared" si="99"/>
        <v>0</v>
      </c>
    </row>
    <row r="439" spans="1:38" x14ac:dyDescent="0.3">
      <c r="A439" s="7" t="s">
        <v>2034</v>
      </c>
      <c r="B439" s="7" t="s">
        <v>1320</v>
      </c>
      <c r="C439" s="7" t="s">
        <v>1323</v>
      </c>
      <c r="D439" s="7" t="s">
        <v>1694</v>
      </c>
      <c r="E439" s="7" t="s">
        <v>1695</v>
      </c>
      <c r="F439" s="36">
        <v>42801</v>
      </c>
      <c r="G439" s="36">
        <v>43896</v>
      </c>
      <c r="H439" s="36">
        <v>44895</v>
      </c>
      <c r="I439" s="36">
        <v>44895</v>
      </c>
      <c r="J439" s="7" t="s">
        <v>1699</v>
      </c>
      <c r="K439" s="8">
        <v>0</v>
      </c>
      <c r="L439" s="8">
        <v>0</v>
      </c>
      <c r="M439" s="8">
        <v>0</v>
      </c>
      <c r="N439" s="8">
        <v>559677.41949999996</v>
      </c>
      <c r="O439" s="8">
        <v>0</v>
      </c>
      <c r="P439" s="8">
        <v>0</v>
      </c>
      <c r="Q439" s="8">
        <v>0</v>
      </c>
      <c r="R439" s="8">
        <f t="shared" si="88"/>
        <v>559677.41949999996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7">
        <v>0</v>
      </c>
      <c r="AB439" s="8">
        <v>0</v>
      </c>
      <c r="AC439" s="7">
        <v>7</v>
      </c>
      <c r="AD439" s="7" t="s">
        <v>1226</v>
      </c>
      <c r="AE439" s="8">
        <v>0</v>
      </c>
      <c r="AF439" s="8">
        <v>0</v>
      </c>
      <c r="AG439" s="8">
        <v>0</v>
      </c>
      <c r="AH439" s="8">
        <v>0</v>
      </c>
      <c r="AI439" s="7" t="s">
        <v>1194</v>
      </c>
      <c r="AJ439" s="7">
        <f t="shared" ca="1" si="89"/>
        <v>1</v>
      </c>
      <c r="AK439" s="100">
        <f t="shared" si="98"/>
        <v>0</v>
      </c>
      <c r="AL439" s="97">
        <f t="shared" si="99"/>
        <v>0</v>
      </c>
    </row>
    <row r="440" spans="1:38" x14ac:dyDescent="0.3">
      <c r="A440" s="7" t="s">
        <v>2035</v>
      </c>
      <c r="B440" s="7" t="s">
        <v>1320</v>
      </c>
      <c r="C440" s="7" t="s">
        <v>1323</v>
      </c>
      <c r="D440" s="7" t="s">
        <v>1694</v>
      </c>
      <c r="E440" s="7" t="s">
        <v>1695</v>
      </c>
      <c r="F440" s="36">
        <v>44259</v>
      </c>
      <c r="G440" s="36">
        <v>44868</v>
      </c>
      <c r="H440" s="36">
        <v>44895</v>
      </c>
      <c r="I440" s="36">
        <v>44895</v>
      </c>
      <c r="J440" s="7" t="s">
        <v>1699</v>
      </c>
      <c r="K440" s="8">
        <v>0</v>
      </c>
      <c r="L440" s="8">
        <v>0</v>
      </c>
      <c r="M440" s="8">
        <v>0</v>
      </c>
      <c r="N440" s="8">
        <v>4895.5657600000004</v>
      </c>
      <c r="O440" s="8">
        <v>0</v>
      </c>
      <c r="P440" s="8">
        <v>0</v>
      </c>
      <c r="Q440" s="8">
        <v>0</v>
      </c>
      <c r="R440" s="8">
        <f t="shared" si="88"/>
        <v>4895.5657600000004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7">
        <v>0</v>
      </c>
      <c r="AB440" s="8">
        <v>0</v>
      </c>
      <c r="AC440" s="7">
        <v>2.0506669999999998</v>
      </c>
      <c r="AD440" s="7" t="s">
        <v>1226</v>
      </c>
      <c r="AE440" s="8">
        <v>0</v>
      </c>
      <c r="AF440" s="8">
        <v>0</v>
      </c>
      <c r="AG440" s="8">
        <v>0</v>
      </c>
      <c r="AH440" s="8">
        <v>0</v>
      </c>
      <c r="AI440" s="7" t="s">
        <v>1194</v>
      </c>
      <c r="AJ440" s="7">
        <f t="shared" ca="1" si="89"/>
        <v>1</v>
      </c>
      <c r="AK440" s="100">
        <f t="shared" si="98"/>
        <v>0</v>
      </c>
      <c r="AL440" s="97">
        <f t="shared" si="99"/>
        <v>0</v>
      </c>
    </row>
    <row r="441" spans="1:38" x14ac:dyDescent="0.3">
      <c r="A441" s="7" t="s">
        <v>2036</v>
      </c>
      <c r="B441" s="7" t="s">
        <v>1320</v>
      </c>
      <c r="C441" s="7" t="s">
        <v>1323</v>
      </c>
      <c r="D441" s="7" t="s">
        <v>1694</v>
      </c>
      <c r="E441" s="7" t="s">
        <v>1695</v>
      </c>
      <c r="F441" s="36">
        <v>42801</v>
      </c>
      <c r="G441" s="36">
        <v>43896</v>
      </c>
      <c r="H441" s="36">
        <v>43896</v>
      </c>
      <c r="I441" s="36">
        <v>43896</v>
      </c>
      <c r="J441" s="7" t="s">
        <v>1699</v>
      </c>
      <c r="K441" s="8">
        <v>0</v>
      </c>
      <c r="L441" s="8">
        <v>0</v>
      </c>
      <c r="M441" s="8">
        <v>0</v>
      </c>
      <c r="N441" s="8">
        <v>-1090322.5804999999</v>
      </c>
      <c r="O441" s="8">
        <v>0</v>
      </c>
      <c r="P441" s="8">
        <v>0</v>
      </c>
      <c r="Q441" s="8">
        <v>0</v>
      </c>
      <c r="R441" s="8">
        <f t="shared" si="88"/>
        <v>-1090322.5804999999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7">
        <v>0</v>
      </c>
      <c r="AB441" s="8">
        <v>0</v>
      </c>
      <c r="AC441" s="7">
        <v>7</v>
      </c>
      <c r="AD441" s="7" t="s">
        <v>1226</v>
      </c>
      <c r="AE441" s="8">
        <v>0</v>
      </c>
      <c r="AF441" s="8">
        <v>0</v>
      </c>
      <c r="AG441" s="8">
        <v>0</v>
      </c>
      <c r="AH441" s="8">
        <v>0</v>
      </c>
      <c r="AI441" s="7" t="s">
        <v>1194</v>
      </c>
      <c r="AJ441" s="7">
        <f t="shared" ca="1" si="89"/>
        <v>1</v>
      </c>
      <c r="AK441" s="100">
        <f t="shared" si="98"/>
        <v>0</v>
      </c>
      <c r="AL441" s="97">
        <f t="shared" si="99"/>
        <v>0</v>
      </c>
    </row>
    <row r="442" spans="1:38" x14ac:dyDescent="0.3">
      <c r="A442" s="7" t="s">
        <v>2037</v>
      </c>
      <c r="B442" s="7" t="s">
        <v>1320</v>
      </c>
      <c r="C442" s="7" t="s">
        <v>1323</v>
      </c>
      <c r="D442" s="7" t="s">
        <v>1694</v>
      </c>
      <c r="E442" s="7" t="s">
        <v>1322</v>
      </c>
      <c r="F442" s="36">
        <v>44409</v>
      </c>
      <c r="G442" s="36">
        <v>45138</v>
      </c>
      <c r="H442" s="36">
        <v>45138</v>
      </c>
      <c r="I442" s="36">
        <v>45138</v>
      </c>
      <c r="J442" s="7" t="s">
        <v>1239</v>
      </c>
      <c r="K442" s="8">
        <v>566473.39413599996</v>
      </c>
      <c r="L442" s="8">
        <v>41962.366924000002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f t="shared" si="88"/>
        <v>608435.76105999993</v>
      </c>
      <c r="S442" s="8">
        <v>0</v>
      </c>
      <c r="T442" s="8">
        <v>45198.707796000002</v>
      </c>
      <c r="U442" s="8">
        <v>0</v>
      </c>
      <c r="V442" s="8">
        <v>554801.29220400006</v>
      </c>
      <c r="W442" s="8">
        <v>0</v>
      </c>
      <c r="X442" s="8">
        <v>0</v>
      </c>
      <c r="Y442" s="8">
        <v>0</v>
      </c>
      <c r="Z442" s="8">
        <v>0</v>
      </c>
      <c r="AA442" s="7">
        <v>0.58082199999999995</v>
      </c>
      <c r="AB442" s="8">
        <v>341974.19223599997</v>
      </c>
      <c r="AC442" s="7">
        <v>7</v>
      </c>
      <c r="AD442" s="7" t="s">
        <v>1226</v>
      </c>
      <c r="AE442" s="8">
        <v>350000</v>
      </c>
      <c r="AF442" s="8">
        <v>0</v>
      </c>
      <c r="AG442" s="8">
        <v>350000</v>
      </c>
      <c r="AH442" s="8">
        <v>0</v>
      </c>
      <c r="AI442" s="7" t="s">
        <v>1194</v>
      </c>
      <c r="AJ442" s="7">
        <f t="shared" ca="1" si="89"/>
        <v>1</v>
      </c>
      <c r="AK442" s="96">
        <f t="shared" si="90"/>
        <v>1.3306045122548275E-3</v>
      </c>
      <c r="AL442" s="97">
        <f t="shared" si="91"/>
        <v>1.5574735421670836E-2</v>
      </c>
    </row>
    <row r="443" spans="1:38" x14ac:dyDescent="0.3">
      <c r="A443" s="7" t="s">
        <v>2038</v>
      </c>
      <c r="B443" s="7" t="s">
        <v>1320</v>
      </c>
      <c r="C443" s="7" t="s">
        <v>1323</v>
      </c>
      <c r="D443" s="7" t="s">
        <v>1694</v>
      </c>
      <c r="E443" s="7" t="s">
        <v>1695</v>
      </c>
      <c r="F443" s="36">
        <v>42801</v>
      </c>
      <c r="G443" s="36">
        <v>43896</v>
      </c>
      <c r="H443" s="36">
        <v>44895</v>
      </c>
      <c r="I443" s="36">
        <v>44895</v>
      </c>
      <c r="J443" s="7" t="s">
        <v>1699</v>
      </c>
      <c r="K443" s="8">
        <v>0</v>
      </c>
      <c r="L443" s="8">
        <v>0</v>
      </c>
      <c r="M443" s="8">
        <v>0</v>
      </c>
      <c r="N443" s="8">
        <v>509677.41950000002</v>
      </c>
      <c r="O443" s="8">
        <v>0</v>
      </c>
      <c r="P443" s="8">
        <v>0</v>
      </c>
      <c r="Q443" s="8">
        <v>0</v>
      </c>
      <c r="R443" s="8">
        <f t="shared" si="88"/>
        <v>509677.41950000002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7">
        <v>0</v>
      </c>
      <c r="AB443" s="8">
        <v>0</v>
      </c>
      <c r="AC443" s="7">
        <v>7</v>
      </c>
      <c r="AD443" s="7" t="s">
        <v>1226</v>
      </c>
      <c r="AE443" s="8">
        <v>0</v>
      </c>
      <c r="AF443" s="8">
        <v>0</v>
      </c>
      <c r="AG443" s="8">
        <v>0</v>
      </c>
      <c r="AH443" s="8">
        <v>0</v>
      </c>
      <c r="AI443" s="7" t="s">
        <v>1194</v>
      </c>
      <c r="AJ443" s="7">
        <f t="shared" ca="1" si="89"/>
        <v>1</v>
      </c>
      <c r="AK443" s="100">
        <f t="shared" ref="AK443:AK444" si="100">(+AA443*AB443)/$AB$1103</f>
        <v>0</v>
      </c>
      <c r="AL443" s="97">
        <f t="shared" ref="AL443:AL444" si="101">AC443/$AE$1103*AE443</f>
        <v>0</v>
      </c>
    </row>
    <row r="444" spans="1:38" x14ac:dyDescent="0.3">
      <c r="A444" s="7" t="s">
        <v>2039</v>
      </c>
      <c r="B444" s="7" t="s">
        <v>1320</v>
      </c>
      <c r="C444" s="7" t="s">
        <v>1323</v>
      </c>
      <c r="D444" s="7" t="s">
        <v>1694</v>
      </c>
      <c r="E444" s="7" t="s">
        <v>1695</v>
      </c>
      <c r="F444" s="36">
        <v>42801</v>
      </c>
      <c r="G444" s="36">
        <v>43896</v>
      </c>
      <c r="H444" s="36">
        <v>44895</v>
      </c>
      <c r="I444" s="36">
        <v>44895</v>
      </c>
      <c r="J444" s="7" t="s">
        <v>1699</v>
      </c>
      <c r="K444" s="8">
        <v>0</v>
      </c>
      <c r="L444" s="8">
        <v>0</v>
      </c>
      <c r="M444" s="8">
        <v>0</v>
      </c>
      <c r="N444" s="8">
        <v>421078.31791243918</v>
      </c>
      <c r="O444" s="8">
        <v>0</v>
      </c>
      <c r="P444" s="8">
        <v>0</v>
      </c>
      <c r="Q444" s="8">
        <v>0</v>
      </c>
      <c r="R444" s="8">
        <f t="shared" si="88"/>
        <v>421078.31791243918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7">
        <v>0</v>
      </c>
      <c r="AB444" s="8">
        <v>0</v>
      </c>
      <c r="AC444" s="7">
        <v>7</v>
      </c>
      <c r="AD444" s="7" t="s">
        <v>1226</v>
      </c>
      <c r="AE444" s="8">
        <v>0</v>
      </c>
      <c r="AF444" s="8">
        <v>0</v>
      </c>
      <c r="AG444" s="8">
        <v>0</v>
      </c>
      <c r="AH444" s="8">
        <v>0</v>
      </c>
      <c r="AI444" s="7" t="s">
        <v>1194</v>
      </c>
      <c r="AJ444" s="7">
        <f t="shared" ca="1" si="89"/>
        <v>1</v>
      </c>
      <c r="AK444" s="100">
        <f t="shared" si="100"/>
        <v>0</v>
      </c>
      <c r="AL444" s="97">
        <f t="shared" si="101"/>
        <v>0</v>
      </c>
    </row>
    <row r="445" spans="1:38" x14ac:dyDescent="0.3">
      <c r="A445" s="7" t="s">
        <v>2040</v>
      </c>
      <c r="B445" s="7" t="s">
        <v>1320</v>
      </c>
      <c r="C445" s="7" t="s">
        <v>1323</v>
      </c>
      <c r="D445" s="7" t="s">
        <v>1694</v>
      </c>
      <c r="E445" s="7" t="s">
        <v>1695</v>
      </c>
      <c r="F445" s="36">
        <v>42801</v>
      </c>
      <c r="G445" s="36">
        <v>43896</v>
      </c>
      <c r="H445" s="36">
        <v>44895</v>
      </c>
      <c r="I445" s="36">
        <v>44895</v>
      </c>
      <c r="J445" s="7" t="s">
        <v>1696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f t="shared" si="88"/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7">
        <v>0</v>
      </c>
      <c r="AB445" s="8">
        <v>18808.973851504717</v>
      </c>
      <c r="AC445" s="7">
        <v>7</v>
      </c>
      <c r="AD445" s="7" t="s">
        <v>1226</v>
      </c>
      <c r="AE445" s="8">
        <v>0</v>
      </c>
      <c r="AF445" s="8">
        <v>0</v>
      </c>
      <c r="AG445" s="8">
        <v>0</v>
      </c>
      <c r="AH445" s="8">
        <v>0</v>
      </c>
      <c r="AI445" s="7" t="s">
        <v>1194</v>
      </c>
      <c r="AJ445" s="7">
        <f t="shared" ca="1" si="89"/>
        <v>1</v>
      </c>
      <c r="AK445" s="96">
        <f>(+AA445*AB445)/$AB$1102</f>
        <v>0</v>
      </c>
      <c r="AL445" s="97">
        <f>AC445/$AE$1102*AE445</f>
        <v>0</v>
      </c>
    </row>
    <row r="446" spans="1:38" x14ac:dyDescent="0.3">
      <c r="A446" s="7" t="s">
        <v>2040</v>
      </c>
      <c r="B446" s="7" t="s">
        <v>1320</v>
      </c>
      <c r="C446" s="7" t="s">
        <v>1323</v>
      </c>
      <c r="D446" s="7" t="s">
        <v>1694</v>
      </c>
      <c r="E446" s="7" t="s">
        <v>1695</v>
      </c>
      <c r="F446" s="36">
        <v>42801</v>
      </c>
      <c r="G446" s="36">
        <v>43896</v>
      </c>
      <c r="H446" s="36">
        <v>44895</v>
      </c>
      <c r="I446" s="36">
        <v>44895</v>
      </c>
      <c r="J446" s="7" t="s">
        <v>1699</v>
      </c>
      <c r="K446" s="8">
        <v>0</v>
      </c>
      <c r="L446" s="8">
        <v>0</v>
      </c>
      <c r="M446" s="8">
        <v>0</v>
      </c>
      <c r="N446" s="8">
        <v>421078.31791243918</v>
      </c>
      <c r="O446" s="8">
        <v>0</v>
      </c>
      <c r="P446" s="8">
        <v>0</v>
      </c>
      <c r="Q446" s="8">
        <v>0</v>
      </c>
      <c r="R446" s="8">
        <f t="shared" si="88"/>
        <v>421078.31791243918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7">
        <v>0</v>
      </c>
      <c r="AB446" s="8">
        <v>0</v>
      </c>
      <c r="AC446" s="7">
        <v>7</v>
      </c>
      <c r="AD446" s="7" t="s">
        <v>1226</v>
      </c>
      <c r="AE446" s="8">
        <v>0</v>
      </c>
      <c r="AF446" s="8">
        <v>0</v>
      </c>
      <c r="AG446" s="8">
        <v>0</v>
      </c>
      <c r="AH446" s="8">
        <v>0</v>
      </c>
      <c r="AI446" s="7" t="s">
        <v>1194</v>
      </c>
      <c r="AJ446" s="7">
        <f t="shared" ca="1" si="89"/>
        <v>2</v>
      </c>
      <c r="AK446" s="100">
        <f>(+AA446*AB446)/$AB$1103</f>
        <v>0</v>
      </c>
      <c r="AL446" s="97">
        <f>AC446/$AE$1103*AE446</f>
        <v>0</v>
      </c>
    </row>
    <row r="447" spans="1:38" x14ac:dyDescent="0.3">
      <c r="A447" s="7" t="s">
        <v>2041</v>
      </c>
      <c r="B447" s="7" t="s">
        <v>1320</v>
      </c>
      <c r="C447" s="7" t="s">
        <v>1323</v>
      </c>
      <c r="D447" s="7" t="s">
        <v>1780</v>
      </c>
      <c r="E447" s="7" t="s">
        <v>1322</v>
      </c>
      <c r="F447" s="36">
        <v>44409</v>
      </c>
      <c r="G447" s="36">
        <v>45138</v>
      </c>
      <c r="H447" s="36">
        <v>45138</v>
      </c>
      <c r="I447" s="36">
        <v>45138</v>
      </c>
      <c r="J447" s="7" t="s">
        <v>1696</v>
      </c>
      <c r="K447" s="8">
        <v>0</v>
      </c>
      <c r="L447" s="8">
        <v>0</v>
      </c>
      <c r="M447" s="8">
        <v>5185.2</v>
      </c>
      <c r="N447" s="8">
        <v>0</v>
      </c>
      <c r="O447" s="8">
        <v>0</v>
      </c>
      <c r="P447" s="8">
        <v>0</v>
      </c>
      <c r="Q447" s="8">
        <v>0</v>
      </c>
      <c r="R447" s="8">
        <f t="shared" si="88"/>
        <v>5185.2</v>
      </c>
      <c r="S447" s="8">
        <v>0</v>
      </c>
      <c r="T447" s="8">
        <v>0</v>
      </c>
      <c r="U447" s="8">
        <v>5185.2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7">
        <v>0.58082199999999995</v>
      </c>
      <c r="AB447" s="8">
        <v>3007.486308</v>
      </c>
      <c r="AC447" s="7">
        <v>2.2879999999999998</v>
      </c>
      <c r="AD447" s="7" t="s">
        <v>1226</v>
      </c>
      <c r="AE447" s="8">
        <v>3024.7</v>
      </c>
      <c r="AF447" s="8">
        <v>0</v>
      </c>
      <c r="AG447" s="8">
        <v>3024.7</v>
      </c>
      <c r="AH447" s="8">
        <v>0</v>
      </c>
      <c r="AI447" s="7" t="s">
        <v>1730</v>
      </c>
      <c r="AJ447" s="7">
        <f t="shared" ca="1" si="89"/>
        <v>1</v>
      </c>
      <c r="AK447" s="96">
        <f>(+AA447*AB447)/$AB$1102</f>
        <v>1.5309499103651858E-6</v>
      </c>
      <c r="AL447" s="97">
        <f>AC447/$AE$1102*AE447</f>
        <v>5.9216127424403691E-6</v>
      </c>
    </row>
    <row r="448" spans="1:38" x14ac:dyDescent="0.3">
      <c r="A448" s="7" t="s">
        <v>2042</v>
      </c>
      <c r="B448" s="7" t="s">
        <v>194</v>
      </c>
      <c r="C448" s="7" t="s">
        <v>1323</v>
      </c>
      <c r="D448" s="7" t="s">
        <v>1324</v>
      </c>
      <c r="E448" s="7" t="s">
        <v>1322</v>
      </c>
      <c r="F448" s="36">
        <v>44287</v>
      </c>
      <c r="G448" s="36">
        <v>45382</v>
      </c>
      <c r="H448" s="36">
        <v>45382</v>
      </c>
      <c r="I448" s="36">
        <v>46477</v>
      </c>
      <c r="J448" s="7" t="s">
        <v>1239</v>
      </c>
      <c r="K448" s="8">
        <v>201743.30474399999</v>
      </c>
      <c r="L448" s="8">
        <v>72019.693975999995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f t="shared" si="88"/>
        <v>273762.99871999997</v>
      </c>
      <c r="S448" s="8">
        <v>0</v>
      </c>
      <c r="T448" s="8">
        <v>74233.471848999994</v>
      </c>
      <c r="U448" s="8">
        <v>0</v>
      </c>
      <c r="V448" s="8">
        <v>125766.52815100001</v>
      </c>
      <c r="W448" s="8">
        <v>0</v>
      </c>
      <c r="X448" s="8">
        <v>0</v>
      </c>
      <c r="Y448" s="8">
        <v>0</v>
      </c>
      <c r="Z448" s="8">
        <v>0</v>
      </c>
      <c r="AA448" s="7">
        <v>4.2493150000000002</v>
      </c>
      <c r="AB448" s="8">
        <v>975026.22536599997</v>
      </c>
      <c r="AC448" s="7">
        <v>7</v>
      </c>
      <c r="AD448" s="7" t="s">
        <v>1226</v>
      </c>
      <c r="AE448" s="8">
        <v>1150000</v>
      </c>
      <c r="AF448" s="8">
        <v>0</v>
      </c>
      <c r="AG448" s="8">
        <v>1150000</v>
      </c>
      <c r="AH448" s="8">
        <v>0</v>
      </c>
      <c r="AI448" s="7" t="s">
        <v>1758</v>
      </c>
      <c r="AJ448" s="7">
        <f t="shared" ca="1" si="89"/>
        <v>1</v>
      </c>
      <c r="AK448" s="96">
        <f t="shared" si="90"/>
        <v>2.7755421372047711E-2</v>
      </c>
      <c r="AL448" s="97">
        <f t="shared" si="91"/>
        <v>5.1174130671204181E-2</v>
      </c>
    </row>
    <row r="449" spans="1:38" x14ac:dyDescent="0.3">
      <c r="A449" s="7" t="s">
        <v>2043</v>
      </c>
      <c r="B449" s="7" t="s">
        <v>194</v>
      </c>
      <c r="C449" s="7" t="s">
        <v>1323</v>
      </c>
      <c r="D449" s="7" t="s">
        <v>1852</v>
      </c>
      <c r="E449" s="7" t="s">
        <v>1695</v>
      </c>
      <c r="F449" s="36">
        <v>44378</v>
      </c>
      <c r="G449" s="36">
        <v>45473</v>
      </c>
      <c r="H449" s="36">
        <v>44409</v>
      </c>
      <c r="I449" s="36">
        <v>44409</v>
      </c>
      <c r="J449" s="7" t="s">
        <v>1239</v>
      </c>
      <c r="K449" s="8">
        <v>542923.09156800003</v>
      </c>
      <c r="L449" s="8">
        <v>76547.566166000004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f t="shared" si="88"/>
        <v>619470.65773400001</v>
      </c>
      <c r="S449" s="8">
        <v>0</v>
      </c>
      <c r="T449" s="8">
        <v>79583.330073999998</v>
      </c>
      <c r="U449" s="8">
        <v>0</v>
      </c>
      <c r="V449" s="8">
        <v>520416.669926</v>
      </c>
      <c r="W449" s="8">
        <v>0</v>
      </c>
      <c r="X449" s="8">
        <v>0</v>
      </c>
      <c r="Y449" s="8">
        <v>0</v>
      </c>
      <c r="Z449" s="8">
        <v>0</v>
      </c>
      <c r="AA449" s="7">
        <v>0</v>
      </c>
      <c r="AB449" s="8">
        <v>852006.674764</v>
      </c>
      <c r="AC449" s="7">
        <v>7</v>
      </c>
      <c r="AD449" s="7" t="s">
        <v>1226</v>
      </c>
      <c r="AE449" s="8">
        <v>900000</v>
      </c>
      <c r="AF449" s="8">
        <v>0</v>
      </c>
      <c r="AG449" s="8">
        <v>900000</v>
      </c>
      <c r="AH449" s="8">
        <v>0</v>
      </c>
      <c r="AI449" s="7" t="s">
        <v>1781</v>
      </c>
      <c r="AJ449" s="7">
        <f t="shared" ca="1" si="89"/>
        <v>1</v>
      </c>
      <c r="AK449" s="96">
        <f t="shared" si="90"/>
        <v>0</v>
      </c>
      <c r="AL449" s="97">
        <f t="shared" si="91"/>
        <v>4.0049319655725009E-2</v>
      </c>
    </row>
    <row r="450" spans="1:38" x14ac:dyDescent="0.3">
      <c r="A450" s="7" t="s">
        <v>2044</v>
      </c>
      <c r="B450" s="7" t="s">
        <v>1320</v>
      </c>
      <c r="C450" s="7" t="s">
        <v>1323</v>
      </c>
      <c r="D450" s="7" t="s">
        <v>1852</v>
      </c>
      <c r="E450" s="7" t="s">
        <v>1322</v>
      </c>
      <c r="F450" s="36">
        <v>44409</v>
      </c>
      <c r="G450" s="36">
        <v>45443</v>
      </c>
      <c r="H450" s="36">
        <v>45443</v>
      </c>
      <c r="I450" s="36">
        <v>45443</v>
      </c>
      <c r="J450" s="7" t="s">
        <v>1239</v>
      </c>
      <c r="K450" s="8">
        <v>568141.16206799995</v>
      </c>
      <c r="L450" s="8">
        <v>82050.184680000006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f t="shared" si="88"/>
        <v>650191.34674800001</v>
      </c>
      <c r="S450" s="8">
        <v>0</v>
      </c>
      <c r="T450" s="8">
        <v>83331.923895</v>
      </c>
      <c r="U450" s="8">
        <v>0</v>
      </c>
      <c r="V450" s="8">
        <v>533810.93320500001</v>
      </c>
      <c r="W450" s="8">
        <v>0</v>
      </c>
      <c r="X450" s="8">
        <v>0</v>
      </c>
      <c r="Y450" s="8">
        <v>0</v>
      </c>
      <c r="Z450" s="8">
        <v>0</v>
      </c>
      <c r="AA450" s="7">
        <v>1.4164380000000001</v>
      </c>
      <c r="AB450" s="8">
        <v>2601712.0812340002</v>
      </c>
      <c r="AC450" s="7">
        <v>2.8813330000000001</v>
      </c>
      <c r="AD450" s="7" t="s">
        <v>1226</v>
      </c>
      <c r="AE450" s="8">
        <v>2777142.8569499999</v>
      </c>
      <c r="AF450" s="8">
        <v>0</v>
      </c>
      <c r="AG450" s="8">
        <v>2777142.8569499999</v>
      </c>
      <c r="AH450" s="8">
        <v>0</v>
      </c>
      <c r="AI450" s="7" t="s">
        <v>1976</v>
      </c>
      <c r="AJ450" s="7">
        <f t="shared" ca="1" si="89"/>
        <v>1</v>
      </c>
      <c r="AK450" s="96">
        <f t="shared" si="90"/>
        <v>2.4687061821536564E-2</v>
      </c>
      <c r="AL450" s="97">
        <f t="shared" si="91"/>
        <v>5.086818793920881E-2</v>
      </c>
    </row>
    <row r="451" spans="1:38" x14ac:dyDescent="0.3">
      <c r="A451" s="7" t="s">
        <v>2045</v>
      </c>
      <c r="B451" s="7" t="s">
        <v>194</v>
      </c>
      <c r="C451" s="7" t="s">
        <v>1323</v>
      </c>
      <c r="D451" s="7" t="s">
        <v>1324</v>
      </c>
      <c r="E451" s="7" t="s">
        <v>1739</v>
      </c>
      <c r="F451" s="36">
        <v>44470</v>
      </c>
      <c r="G451" s="36">
        <v>44926</v>
      </c>
      <c r="I451" s="36">
        <v>44926</v>
      </c>
      <c r="J451" s="7" t="s">
        <v>1239</v>
      </c>
      <c r="K451" s="8">
        <v>593302.5</v>
      </c>
      <c r="L451" s="8">
        <v>8268.0041000000001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f t="shared" ref="R451:R514" si="102">K451+L451+M451+N451+O451+P451+Q451</f>
        <v>601570.50410000002</v>
      </c>
      <c r="S451" s="8">
        <v>0</v>
      </c>
      <c r="T451" s="8">
        <v>5661.8283949999995</v>
      </c>
      <c r="U451" s="8">
        <v>0</v>
      </c>
      <c r="V451" s="8">
        <v>594338.17160500004</v>
      </c>
      <c r="W451" s="8">
        <v>0</v>
      </c>
      <c r="X451" s="8">
        <v>0</v>
      </c>
      <c r="Y451" s="8">
        <v>0</v>
      </c>
      <c r="Z451" s="8">
        <v>0</v>
      </c>
      <c r="AA451" s="7">
        <v>0</v>
      </c>
      <c r="AB451" s="8">
        <v>200000.002825</v>
      </c>
      <c r="AC451" s="7">
        <v>1.754</v>
      </c>
      <c r="AD451" s="7" t="s">
        <v>1226</v>
      </c>
      <c r="AE451" s="8">
        <v>0</v>
      </c>
      <c r="AF451" s="8">
        <v>0</v>
      </c>
      <c r="AG451" s="8">
        <v>0</v>
      </c>
      <c r="AH451" s="8">
        <v>0</v>
      </c>
      <c r="AI451" s="7" t="s">
        <v>1781</v>
      </c>
      <c r="AJ451" s="7">
        <f t="shared" ref="AJ451:AJ514" ca="1" si="103">IF(A451=OFFSET(A451,-1,0),OFFSET(AJ451,-1,0)+1,1)</f>
        <v>1</v>
      </c>
      <c r="AK451" s="96">
        <f t="shared" si="90"/>
        <v>0</v>
      </c>
      <c r="AL451" s="97">
        <f t="shared" si="91"/>
        <v>0</v>
      </c>
    </row>
    <row r="452" spans="1:38" x14ac:dyDescent="0.3">
      <c r="A452" s="7" t="s">
        <v>2045</v>
      </c>
      <c r="B452" s="7" t="s">
        <v>194</v>
      </c>
      <c r="C452" s="7" t="s">
        <v>1323</v>
      </c>
      <c r="D452" s="7" t="s">
        <v>1324</v>
      </c>
      <c r="E452" s="7" t="s">
        <v>1739</v>
      </c>
      <c r="F452" s="36">
        <v>44470</v>
      </c>
      <c r="G452" s="36">
        <v>44926</v>
      </c>
      <c r="I452" s="36">
        <v>44926</v>
      </c>
      <c r="J452" s="7" t="s">
        <v>1699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f t="shared" si="102"/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7">
        <v>0</v>
      </c>
      <c r="AB452" s="8">
        <v>0</v>
      </c>
      <c r="AC452" s="7">
        <v>1.754</v>
      </c>
      <c r="AD452" s="7" t="s">
        <v>1226</v>
      </c>
      <c r="AE452" s="8">
        <v>50000</v>
      </c>
      <c r="AF452" s="8">
        <v>0</v>
      </c>
      <c r="AG452" s="8">
        <v>50000</v>
      </c>
      <c r="AH452" s="8">
        <v>0</v>
      </c>
      <c r="AI452" s="7" t="s">
        <v>1781</v>
      </c>
      <c r="AJ452" s="7">
        <f t="shared" ca="1" si="103"/>
        <v>2</v>
      </c>
      <c r="AK452" s="100">
        <f>(+AA452*AB452)/$AB$1103</f>
        <v>0</v>
      </c>
      <c r="AL452" s="97">
        <f>AC452/$AE$1103*AE452</f>
        <v>1.0528276169237995E-2</v>
      </c>
    </row>
    <row r="453" spans="1:38" x14ac:dyDescent="0.3">
      <c r="A453" s="7" t="s">
        <v>2046</v>
      </c>
      <c r="B453" s="7" t="s">
        <v>194</v>
      </c>
      <c r="C453" s="7" t="s">
        <v>1323</v>
      </c>
      <c r="D453" s="7" t="s">
        <v>1852</v>
      </c>
      <c r="E453" s="7" t="s">
        <v>1322</v>
      </c>
      <c r="F453" s="36">
        <v>44287</v>
      </c>
      <c r="G453" s="36">
        <v>45382</v>
      </c>
      <c r="H453" s="36">
        <v>45382</v>
      </c>
      <c r="I453" s="36">
        <v>45382</v>
      </c>
      <c r="J453" s="7" t="s">
        <v>1239</v>
      </c>
      <c r="K453" s="8">
        <v>596995.02203999995</v>
      </c>
      <c r="L453" s="8">
        <v>79690.410015000001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f t="shared" si="102"/>
        <v>676685.43205499998</v>
      </c>
      <c r="S453" s="8">
        <v>0</v>
      </c>
      <c r="T453" s="8">
        <v>70422.809175000002</v>
      </c>
      <c r="U453" s="8">
        <v>0</v>
      </c>
      <c r="V453" s="8">
        <v>529577.19082500006</v>
      </c>
      <c r="W453" s="8">
        <v>0</v>
      </c>
      <c r="X453" s="8">
        <v>0</v>
      </c>
      <c r="Y453" s="8">
        <v>0</v>
      </c>
      <c r="Z453" s="8">
        <v>0</v>
      </c>
      <c r="AA453" s="7">
        <v>1.249315</v>
      </c>
      <c r="AB453" s="8">
        <v>899417.59949499997</v>
      </c>
      <c r="AC453" s="7">
        <v>7</v>
      </c>
      <c r="AD453" s="7" t="s">
        <v>1226</v>
      </c>
      <c r="AE453" s="8">
        <v>750000</v>
      </c>
      <c r="AF453" s="8">
        <v>200000</v>
      </c>
      <c r="AG453" s="8">
        <v>950000</v>
      </c>
      <c r="AH453" s="8">
        <v>0</v>
      </c>
      <c r="AI453" s="7" t="s">
        <v>1781</v>
      </c>
      <c r="AJ453" s="7">
        <f t="shared" ca="1" si="103"/>
        <v>1</v>
      </c>
      <c r="AK453" s="96">
        <f t="shared" ref="AK453:AK514" si="104">(+AA453*AB453)/$AB$1101</f>
        <v>7.5274163388170572E-3</v>
      </c>
      <c r="AL453" s="97">
        <f t="shared" ref="AL453:AL514" si="105">AC453/$AE$1101*AE453</f>
        <v>3.3374433046437509E-2</v>
      </c>
    </row>
    <row r="454" spans="1:38" x14ac:dyDescent="0.3">
      <c r="A454" s="7" t="s">
        <v>2047</v>
      </c>
      <c r="B454" s="7" t="s">
        <v>194</v>
      </c>
      <c r="C454" s="7" t="s">
        <v>1432</v>
      </c>
      <c r="D454" s="7" t="s">
        <v>1852</v>
      </c>
      <c r="E454" s="7" t="s">
        <v>1322</v>
      </c>
      <c r="F454" s="36">
        <v>44378</v>
      </c>
      <c r="G454" s="36">
        <v>45473</v>
      </c>
      <c r="H454" s="36">
        <v>45473</v>
      </c>
      <c r="I454" s="36">
        <v>45473</v>
      </c>
      <c r="J454" s="7" t="s">
        <v>1239</v>
      </c>
      <c r="K454" s="8">
        <v>542923.09199999995</v>
      </c>
      <c r="L454" s="8">
        <v>76547.566099999996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f t="shared" si="102"/>
        <v>619470.65809999988</v>
      </c>
      <c r="S454" s="8">
        <v>0</v>
      </c>
      <c r="T454" s="8">
        <v>79583.33</v>
      </c>
      <c r="U454" s="8">
        <v>0</v>
      </c>
      <c r="V454" s="8">
        <v>520416.67</v>
      </c>
      <c r="W454" s="8">
        <v>0</v>
      </c>
      <c r="X454" s="8">
        <v>0</v>
      </c>
      <c r="Y454" s="8">
        <v>0</v>
      </c>
      <c r="Z454" s="8">
        <v>0</v>
      </c>
      <c r="AA454" s="7">
        <v>1.4986299999999999</v>
      </c>
      <c r="AB454" s="8">
        <v>852006.67460000003</v>
      </c>
      <c r="AC454" s="7">
        <v>7</v>
      </c>
      <c r="AD454" s="7" t="s">
        <v>1226</v>
      </c>
      <c r="AE454" s="8">
        <v>900000</v>
      </c>
      <c r="AF454" s="8">
        <v>0</v>
      </c>
      <c r="AG454" s="8">
        <v>900000</v>
      </c>
      <c r="AH454" s="8">
        <v>0</v>
      </c>
      <c r="AI454" s="7" t="s">
        <v>1781</v>
      </c>
      <c r="AJ454" s="7">
        <f t="shared" ca="1" si="103"/>
        <v>1</v>
      </c>
      <c r="AK454" s="96">
        <f t="shared" si="104"/>
        <v>8.5536213434178957E-3</v>
      </c>
      <c r="AL454" s="97">
        <f t="shared" si="105"/>
        <v>4.0049319655725009E-2</v>
      </c>
    </row>
    <row r="455" spans="1:38" x14ac:dyDescent="0.3">
      <c r="A455" s="7" t="s">
        <v>2048</v>
      </c>
      <c r="B455" s="7" t="s">
        <v>1320</v>
      </c>
      <c r="C455" s="7" t="s">
        <v>1323</v>
      </c>
      <c r="D455" s="7" t="s">
        <v>1792</v>
      </c>
      <c r="E455" s="7" t="s">
        <v>1695</v>
      </c>
      <c r="F455" s="36">
        <v>43221</v>
      </c>
      <c r="G455" s="36">
        <v>44681</v>
      </c>
      <c r="H455" s="36">
        <v>44895</v>
      </c>
      <c r="I455" s="36">
        <v>44895</v>
      </c>
      <c r="J455" s="7" t="s">
        <v>1696</v>
      </c>
      <c r="K455" s="8">
        <v>0</v>
      </c>
      <c r="L455" s="8">
        <v>0</v>
      </c>
      <c r="M455" s="8">
        <v>1481.5663460000001</v>
      </c>
      <c r="N455" s="8">
        <v>0</v>
      </c>
      <c r="O455" s="8">
        <v>0</v>
      </c>
      <c r="P455" s="8">
        <v>0</v>
      </c>
      <c r="Q455" s="8">
        <v>0</v>
      </c>
      <c r="R455" s="8">
        <f t="shared" si="102"/>
        <v>1481.5663460000001</v>
      </c>
      <c r="S455" s="8">
        <v>0</v>
      </c>
      <c r="T455" s="8">
        <v>0</v>
      </c>
      <c r="U455" s="8">
        <v>1481.568</v>
      </c>
      <c r="V455" s="8">
        <v>0</v>
      </c>
      <c r="W455" s="8">
        <v>0</v>
      </c>
      <c r="X455" s="8">
        <v>0</v>
      </c>
      <c r="Y455" s="8">
        <v>0</v>
      </c>
      <c r="Z455" s="8">
        <v>9.2261999999999997E-2</v>
      </c>
      <c r="AA455" s="7">
        <v>0</v>
      </c>
      <c r="AB455" s="8">
        <v>0</v>
      </c>
      <c r="AC455" s="7">
        <v>2.0449999999999999</v>
      </c>
      <c r="AD455" s="7" t="s">
        <v>1226</v>
      </c>
      <c r="AE455" s="8">
        <v>0</v>
      </c>
      <c r="AF455" s="8">
        <v>0</v>
      </c>
      <c r="AG455" s="8">
        <v>0</v>
      </c>
      <c r="AH455" s="8">
        <v>0</v>
      </c>
      <c r="AI455" s="7" t="s">
        <v>1736</v>
      </c>
      <c r="AJ455" s="7">
        <f t="shared" ca="1" si="103"/>
        <v>1</v>
      </c>
      <c r="AK455" s="96">
        <f>(+AA455*AB455)/$AB$1102</f>
        <v>0</v>
      </c>
      <c r="AL455" s="97">
        <f>AC455/$AE$1102*AE455</f>
        <v>0</v>
      </c>
    </row>
    <row r="456" spans="1:38" x14ac:dyDescent="0.3">
      <c r="A456" s="7" t="s">
        <v>2048</v>
      </c>
      <c r="B456" s="7" t="s">
        <v>1320</v>
      </c>
      <c r="C456" s="7" t="s">
        <v>1323</v>
      </c>
      <c r="D456" s="7" t="s">
        <v>1792</v>
      </c>
      <c r="E456" s="7" t="s">
        <v>1695</v>
      </c>
      <c r="F456" s="36">
        <v>43221</v>
      </c>
      <c r="G456" s="36">
        <v>44681</v>
      </c>
      <c r="H456" s="36">
        <v>44895</v>
      </c>
      <c r="I456" s="36">
        <v>44895</v>
      </c>
      <c r="J456" s="7" t="s">
        <v>1699</v>
      </c>
      <c r="K456" s="8">
        <v>0</v>
      </c>
      <c r="L456" s="8">
        <v>0</v>
      </c>
      <c r="M456" s="8">
        <v>0</v>
      </c>
      <c r="N456" s="8">
        <v>2592.59</v>
      </c>
      <c r="O456" s="8">
        <v>0</v>
      </c>
      <c r="P456" s="8">
        <v>0</v>
      </c>
      <c r="Q456" s="8">
        <v>0</v>
      </c>
      <c r="R456" s="8">
        <f t="shared" si="102"/>
        <v>2592.59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7">
        <v>0</v>
      </c>
      <c r="AB456" s="8">
        <v>0</v>
      </c>
      <c r="AC456" s="7">
        <v>2.0449999999999999</v>
      </c>
      <c r="AD456" s="7" t="s">
        <v>1226</v>
      </c>
      <c r="AE456" s="8">
        <v>0</v>
      </c>
      <c r="AF456" s="8">
        <v>0</v>
      </c>
      <c r="AG456" s="8">
        <v>0</v>
      </c>
      <c r="AH456" s="8">
        <v>0</v>
      </c>
      <c r="AI456" s="7" t="s">
        <v>1736</v>
      </c>
      <c r="AJ456" s="7">
        <f t="shared" ca="1" si="103"/>
        <v>2</v>
      </c>
      <c r="AK456" s="100">
        <f>(+AA456*AB456)/$AB$1103</f>
        <v>0</v>
      </c>
      <c r="AL456" s="97">
        <f>AC456/$AE$1103*AE456</f>
        <v>0</v>
      </c>
    </row>
    <row r="457" spans="1:38" x14ac:dyDescent="0.3">
      <c r="A457" s="7" t="s">
        <v>2049</v>
      </c>
      <c r="B457" s="7" t="s">
        <v>1320</v>
      </c>
      <c r="C457" s="7" t="s">
        <v>1323</v>
      </c>
      <c r="D457" s="7" t="s">
        <v>1792</v>
      </c>
      <c r="E457" s="7" t="s">
        <v>1695</v>
      </c>
      <c r="F457" s="36">
        <v>43221</v>
      </c>
      <c r="G457" s="36">
        <v>44681</v>
      </c>
      <c r="H457" s="36">
        <v>44895</v>
      </c>
      <c r="I457" s="36">
        <v>44895</v>
      </c>
      <c r="J457" s="7" t="s">
        <v>1696</v>
      </c>
      <c r="K457" s="8">
        <v>0</v>
      </c>
      <c r="L457" s="8">
        <v>0</v>
      </c>
      <c r="M457" s="8">
        <v>1481.5663460000001</v>
      </c>
      <c r="N457" s="8">
        <v>0</v>
      </c>
      <c r="O457" s="8">
        <v>0</v>
      </c>
      <c r="P457" s="8">
        <v>0</v>
      </c>
      <c r="Q457" s="8">
        <v>0</v>
      </c>
      <c r="R457" s="8">
        <f t="shared" si="102"/>
        <v>1481.5663460000001</v>
      </c>
      <c r="S457" s="8">
        <v>0</v>
      </c>
      <c r="T457" s="8">
        <v>0</v>
      </c>
      <c r="U457" s="8">
        <v>1481.568</v>
      </c>
      <c r="V457" s="8">
        <v>0</v>
      </c>
      <c r="W457" s="8">
        <v>0</v>
      </c>
      <c r="X457" s="8">
        <v>0</v>
      </c>
      <c r="Y457" s="8">
        <v>0</v>
      </c>
      <c r="Z457" s="8">
        <v>9.2261999999999997E-2</v>
      </c>
      <c r="AA457" s="7">
        <v>0</v>
      </c>
      <c r="AB457" s="8">
        <v>0</v>
      </c>
      <c r="AC457" s="7">
        <v>2.0449999999999999</v>
      </c>
      <c r="AD457" s="7" t="s">
        <v>1226</v>
      </c>
      <c r="AE457" s="8">
        <v>0</v>
      </c>
      <c r="AF457" s="8">
        <v>0</v>
      </c>
      <c r="AG457" s="8">
        <v>0</v>
      </c>
      <c r="AH457" s="8">
        <v>0</v>
      </c>
      <c r="AI457" s="7" t="s">
        <v>1736</v>
      </c>
      <c r="AJ457" s="7">
        <f t="shared" ca="1" si="103"/>
        <v>1</v>
      </c>
      <c r="AK457" s="96">
        <f>(+AA457*AB457)/$AB$1102</f>
        <v>0</v>
      </c>
      <c r="AL457" s="97">
        <f>AC457/$AE$1102*AE457</f>
        <v>0</v>
      </c>
    </row>
    <row r="458" spans="1:38" x14ac:dyDescent="0.3">
      <c r="A458" s="7" t="s">
        <v>2049</v>
      </c>
      <c r="B458" s="7" t="s">
        <v>1320</v>
      </c>
      <c r="C458" s="7" t="s">
        <v>1323</v>
      </c>
      <c r="D458" s="7" t="s">
        <v>1792</v>
      </c>
      <c r="E458" s="7" t="s">
        <v>1695</v>
      </c>
      <c r="F458" s="36">
        <v>43221</v>
      </c>
      <c r="G458" s="36">
        <v>44681</v>
      </c>
      <c r="H458" s="36">
        <v>44895</v>
      </c>
      <c r="I458" s="36">
        <v>44895</v>
      </c>
      <c r="J458" s="7" t="s">
        <v>1699</v>
      </c>
      <c r="K458" s="8">
        <v>0</v>
      </c>
      <c r="L458" s="8">
        <v>0</v>
      </c>
      <c r="M458" s="8">
        <v>0</v>
      </c>
      <c r="N458" s="8">
        <v>2592.59</v>
      </c>
      <c r="O458" s="8">
        <v>0</v>
      </c>
      <c r="P458" s="8">
        <v>0</v>
      </c>
      <c r="Q458" s="8">
        <v>0</v>
      </c>
      <c r="R458" s="8">
        <f t="shared" si="102"/>
        <v>2592.59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7">
        <v>0</v>
      </c>
      <c r="AB458" s="8">
        <v>0</v>
      </c>
      <c r="AC458" s="7">
        <v>2.0449999999999999</v>
      </c>
      <c r="AD458" s="7" t="s">
        <v>1226</v>
      </c>
      <c r="AE458" s="8">
        <v>0</v>
      </c>
      <c r="AF458" s="8">
        <v>0</v>
      </c>
      <c r="AG458" s="8">
        <v>0</v>
      </c>
      <c r="AH458" s="8">
        <v>0</v>
      </c>
      <c r="AI458" s="7" t="s">
        <v>1736</v>
      </c>
      <c r="AJ458" s="7">
        <f t="shared" ca="1" si="103"/>
        <v>2</v>
      </c>
      <c r="AK458" s="100">
        <f>(+AA458*AB458)/$AB$1103</f>
        <v>0</v>
      </c>
      <c r="AL458" s="97">
        <f>AC458/$AE$1103*AE458</f>
        <v>0</v>
      </c>
    </row>
    <row r="459" spans="1:38" x14ac:dyDescent="0.3">
      <c r="A459" s="7" t="s">
        <v>2050</v>
      </c>
      <c r="B459" s="7" t="s">
        <v>1320</v>
      </c>
      <c r="C459" s="7" t="s">
        <v>1323</v>
      </c>
      <c r="D459" s="7" t="s">
        <v>1792</v>
      </c>
      <c r="E459" s="7" t="s">
        <v>1695</v>
      </c>
      <c r="F459" s="36">
        <v>43221</v>
      </c>
      <c r="G459" s="36">
        <v>44681</v>
      </c>
      <c r="H459" s="36">
        <v>44895</v>
      </c>
      <c r="I459" s="36">
        <v>44895</v>
      </c>
      <c r="J459" s="7" t="s">
        <v>1696</v>
      </c>
      <c r="K459" s="8">
        <v>0</v>
      </c>
      <c r="L459" s="8">
        <v>0</v>
      </c>
      <c r="M459" s="8">
        <v>1481.5663460000001</v>
      </c>
      <c r="N459" s="8">
        <v>0</v>
      </c>
      <c r="O459" s="8">
        <v>0</v>
      </c>
      <c r="P459" s="8">
        <v>0</v>
      </c>
      <c r="Q459" s="8">
        <v>0</v>
      </c>
      <c r="R459" s="8">
        <f t="shared" si="102"/>
        <v>1481.5663460000001</v>
      </c>
      <c r="S459" s="8">
        <v>0</v>
      </c>
      <c r="T459" s="8">
        <v>0</v>
      </c>
      <c r="U459" s="8">
        <v>1481.568</v>
      </c>
      <c r="V459" s="8">
        <v>0</v>
      </c>
      <c r="W459" s="8">
        <v>0</v>
      </c>
      <c r="X459" s="8">
        <v>0</v>
      </c>
      <c r="Y459" s="8">
        <v>0</v>
      </c>
      <c r="Z459" s="8">
        <v>9.2261999999999997E-2</v>
      </c>
      <c r="AA459" s="7">
        <v>0</v>
      </c>
      <c r="AB459" s="8">
        <v>0</v>
      </c>
      <c r="AC459" s="7">
        <v>2.0449999999999999</v>
      </c>
      <c r="AD459" s="7" t="s">
        <v>1226</v>
      </c>
      <c r="AE459" s="8">
        <v>0</v>
      </c>
      <c r="AF459" s="8">
        <v>0</v>
      </c>
      <c r="AG459" s="8">
        <v>0</v>
      </c>
      <c r="AH459" s="8">
        <v>0</v>
      </c>
      <c r="AI459" s="7" t="s">
        <v>1736</v>
      </c>
      <c r="AJ459" s="7">
        <f t="shared" ca="1" si="103"/>
        <v>1</v>
      </c>
      <c r="AK459" s="96">
        <f>(+AA459*AB459)/$AB$1102</f>
        <v>0</v>
      </c>
      <c r="AL459" s="97">
        <f>AC459/$AE$1102*AE459</f>
        <v>0</v>
      </c>
    </row>
    <row r="460" spans="1:38" x14ac:dyDescent="0.3">
      <c r="A460" s="7" t="s">
        <v>2050</v>
      </c>
      <c r="B460" s="7" t="s">
        <v>1320</v>
      </c>
      <c r="C460" s="7" t="s">
        <v>1323</v>
      </c>
      <c r="D460" s="7" t="s">
        <v>1792</v>
      </c>
      <c r="E460" s="7" t="s">
        <v>1695</v>
      </c>
      <c r="F460" s="36">
        <v>43221</v>
      </c>
      <c r="G460" s="36">
        <v>44681</v>
      </c>
      <c r="H460" s="36">
        <v>44895</v>
      </c>
      <c r="I460" s="36">
        <v>44895</v>
      </c>
      <c r="J460" s="7" t="s">
        <v>1699</v>
      </c>
      <c r="K460" s="8">
        <v>0</v>
      </c>
      <c r="L460" s="8">
        <v>0</v>
      </c>
      <c r="M460" s="8">
        <v>0</v>
      </c>
      <c r="N460" s="8">
        <v>2592.59</v>
      </c>
      <c r="O460" s="8">
        <v>0</v>
      </c>
      <c r="P460" s="8">
        <v>0</v>
      </c>
      <c r="Q460" s="8">
        <v>0</v>
      </c>
      <c r="R460" s="8">
        <f t="shared" si="102"/>
        <v>2592.59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7">
        <v>0</v>
      </c>
      <c r="AB460" s="8">
        <v>0</v>
      </c>
      <c r="AC460" s="7">
        <v>2.0449999999999999</v>
      </c>
      <c r="AD460" s="7" t="s">
        <v>1226</v>
      </c>
      <c r="AE460" s="8">
        <v>0</v>
      </c>
      <c r="AF460" s="8">
        <v>0</v>
      </c>
      <c r="AG460" s="8">
        <v>0</v>
      </c>
      <c r="AH460" s="8">
        <v>0</v>
      </c>
      <c r="AI460" s="7" t="s">
        <v>1736</v>
      </c>
      <c r="AJ460" s="7">
        <f t="shared" ca="1" si="103"/>
        <v>2</v>
      </c>
      <c r="AK460" s="100">
        <f>(+AA460*AB460)/$AB$1103</f>
        <v>0</v>
      </c>
      <c r="AL460" s="97">
        <f>AC460/$AE$1103*AE460</f>
        <v>0</v>
      </c>
    </row>
    <row r="461" spans="1:38" x14ac:dyDescent="0.3">
      <c r="A461" s="7" t="s">
        <v>2051</v>
      </c>
      <c r="B461" s="7" t="s">
        <v>1320</v>
      </c>
      <c r="C461" s="7" t="s">
        <v>1323</v>
      </c>
      <c r="D461" s="7" t="s">
        <v>1792</v>
      </c>
      <c r="E461" s="7" t="s">
        <v>1695</v>
      </c>
      <c r="F461" s="36">
        <v>43221</v>
      </c>
      <c r="G461" s="36">
        <v>44681</v>
      </c>
      <c r="H461" s="36">
        <v>44895</v>
      </c>
      <c r="I461" s="36">
        <v>44895</v>
      </c>
      <c r="J461" s="7" t="s">
        <v>1696</v>
      </c>
      <c r="K461" s="8">
        <v>0</v>
      </c>
      <c r="L461" s="8">
        <v>0</v>
      </c>
      <c r="M461" s="8">
        <v>1481.5663460000001</v>
      </c>
      <c r="N461" s="8">
        <v>0</v>
      </c>
      <c r="O461" s="8">
        <v>0</v>
      </c>
      <c r="P461" s="8">
        <v>0</v>
      </c>
      <c r="Q461" s="8">
        <v>0</v>
      </c>
      <c r="R461" s="8">
        <f t="shared" si="102"/>
        <v>1481.5663460000001</v>
      </c>
      <c r="S461" s="8">
        <v>0</v>
      </c>
      <c r="T461" s="8">
        <v>0</v>
      </c>
      <c r="U461" s="8">
        <v>1481.568</v>
      </c>
      <c r="V461" s="8">
        <v>0</v>
      </c>
      <c r="W461" s="8">
        <v>0</v>
      </c>
      <c r="X461" s="8">
        <v>0</v>
      </c>
      <c r="Y461" s="8">
        <v>0</v>
      </c>
      <c r="Z461" s="8">
        <v>9.2261999999999997E-2</v>
      </c>
      <c r="AA461" s="7">
        <v>0</v>
      </c>
      <c r="AB461" s="8">
        <v>0</v>
      </c>
      <c r="AC461" s="7">
        <v>2.0449999999999999</v>
      </c>
      <c r="AD461" s="7" t="s">
        <v>1226</v>
      </c>
      <c r="AE461" s="8">
        <v>0</v>
      </c>
      <c r="AF461" s="8">
        <v>0</v>
      </c>
      <c r="AG461" s="8">
        <v>0</v>
      </c>
      <c r="AH461" s="8">
        <v>0</v>
      </c>
      <c r="AI461" s="7" t="s">
        <v>1736</v>
      </c>
      <c r="AJ461" s="7">
        <f t="shared" ca="1" si="103"/>
        <v>1</v>
      </c>
      <c r="AK461" s="96">
        <f>(+AA461*AB461)/$AB$1102</f>
        <v>0</v>
      </c>
      <c r="AL461" s="97">
        <f>AC461/$AE$1102*AE461</f>
        <v>0</v>
      </c>
    </row>
    <row r="462" spans="1:38" x14ac:dyDescent="0.3">
      <c r="A462" s="7" t="s">
        <v>2051</v>
      </c>
      <c r="B462" s="7" t="s">
        <v>1320</v>
      </c>
      <c r="C462" s="7" t="s">
        <v>1323</v>
      </c>
      <c r="D462" s="7" t="s">
        <v>1792</v>
      </c>
      <c r="E462" s="7" t="s">
        <v>1695</v>
      </c>
      <c r="F462" s="36">
        <v>43221</v>
      </c>
      <c r="G462" s="36">
        <v>44681</v>
      </c>
      <c r="H462" s="36">
        <v>44895</v>
      </c>
      <c r="I462" s="36">
        <v>44895</v>
      </c>
      <c r="J462" s="7" t="s">
        <v>1699</v>
      </c>
      <c r="K462" s="8">
        <v>0</v>
      </c>
      <c r="L462" s="8">
        <v>0</v>
      </c>
      <c r="M462" s="8">
        <v>0</v>
      </c>
      <c r="N462" s="8">
        <v>2592.59</v>
      </c>
      <c r="O462" s="8">
        <v>0</v>
      </c>
      <c r="P462" s="8">
        <v>0</v>
      </c>
      <c r="Q462" s="8">
        <v>0</v>
      </c>
      <c r="R462" s="8">
        <f t="shared" si="102"/>
        <v>2592.59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7">
        <v>0</v>
      </c>
      <c r="AB462" s="8">
        <v>0</v>
      </c>
      <c r="AC462" s="7">
        <v>2.0449999999999999</v>
      </c>
      <c r="AD462" s="7" t="s">
        <v>1226</v>
      </c>
      <c r="AE462" s="8">
        <v>0</v>
      </c>
      <c r="AF462" s="8">
        <v>0</v>
      </c>
      <c r="AG462" s="8">
        <v>0</v>
      </c>
      <c r="AH462" s="8">
        <v>0</v>
      </c>
      <c r="AI462" s="7" t="s">
        <v>1736</v>
      </c>
      <c r="AJ462" s="7">
        <f t="shared" ca="1" si="103"/>
        <v>2</v>
      </c>
      <c r="AK462" s="100">
        <f>(+AA462*AB462)/$AB$1103</f>
        <v>0</v>
      </c>
      <c r="AL462" s="97">
        <f>AC462/$AE$1103*AE462</f>
        <v>0</v>
      </c>
    </row>
    <row r="463" spans="1:38" x14ac:dyDescent="0.3">
      <c r="A463" s="7" t="s">
        <v>2052</v>
      </c>
      <c r="B463" s="7" t="s">
        <v>1320</v>
      </c>
      <c r="C463" s="7" t="s">
        <v>1323</v>
      </c>
      <c r="D463" s="7" t="s">
        <v>1792</v>
      </c>
      <c r="E463" s="7" t="s">
        <v>1695</v>
      </c>
      <c r="F463" s="36">
        <v>43983</v>
      </c>
      <c r="G463" s="36">
        <v>44681</v>
      </c>
      <c r="H463" s="36">
        <v>44895</v>
      </c>
      <c r="I463" s="36">
        <v>44895</v>
      </c>
      <c r="J463" s="7" t="s">
        <v>1696</v>
      </c>
      <c r="K463" s="8">
        <v>0</v>
      </c>
      <c r="L463" s="8">
        <v>0</v>
      </c>
      <c r="M463" s="8">
        <v>28.388807</v>
      </c>
      <c r="N463" s="8">
        <v>0</v>
      </c>
      <c r="O463" s="8">
        <v>0</v>
      </c>
      <c r="P463" s="8">
        <v>0</v>
      </c>
      <c r="Q463" s="8">
        <v>0</v>
      </c>
      <c r="R463" s="8">
        <f t="shared" si="102"/>
        <v>28.388807</v>
      </c>
      <c r="S463" s="8">
        <v>0</v>
      </c>
      <c r="T463" s="8">
        <v>0</v>
      </c>
      <c r="U463" s="8">
        <v>28.394880000000001</v>
      </c>
      <c r="V463" s="8">
        <v>0</v>
      </c>
      <c r="W463" s="8">
        <v>0</v>
      </c>
      <c r="X463" s="8">
        <v>0</v>
      </c>
      <c r="Y463" s="8">
        <v>27.869775000000001</v>
      </c>
      <c r="Z463" s="8">
        <v>0</v>
      </c>
      <c r="AA463" s="7">
        <v>0</v>
      </c>
      <c r="AB463" s="8">
        <v>6.2979999999999998E-3</v>
      </c>
      <c r="AC463" s="7">
        <v>2.0449999999999999</v>
      </c>
      <c r="AD463" s="7" t="s">
        <v>1226</v>
      </c>
      <c r="AE463" s="8">
        <v>0</v>
      </c>
      <c r="AF463" s="8">
        <v>0</v>
      </c>
      <c r="AG463" s="8">
        <v>0</v>
      </c>
      <c r="AH463" s="8">
        <v>0</v>
      </c>
      <c r="AI463" s="7" t="s">
        <v>1760</v>
      </c>
      <c r="AJ463" s="7">
        <f t="shared" ca="1" si="103"/>
        <v>1</v>
      </c>
      <c r="AK463" s="96">
        <f>(+AA463*AB463)/$AB$1102</f>
        <v>0</v>
      </c>
      <c r="AL463" s="97">
        <f>AC463/$AE$1102*AE463</f>
        <v>0</v>
      </c>
    </row>
    <row r="464" spans="1:38" x14ac:dyDescent="0.3">
      <c r="A464" s="7" t="s">
        <v>2052</v>
      </c>
      <c r="B464" s="7" t="s">
        <v>1320</v>
      </c>
      <c r="C464" s="7" t="s">
        <v>1323</v>
      </c>
      <c r="D464" s="7" t="s">
        <v>1792</v>
      </c>
      <c r="E464" s="7" t="s">
        <v>1695</v>
      </c>
      <c r="F464" s="36">
        <v>43983</v>
      </c>
      <c r="G464" s="36">
        <v>44681</v>
      </c>
      <c r="H464" s="36">
        <v>44895</v>
      </c>
      <c r="I464" s="36">
        <v>44895</v>
      </c>
      <c r="J464" s="7" t="s">
        <v>1699</v>
      </c>
      <c r="K464" s="8">
        <v>0</v>
      </c>
      <c r="L464" s="8">
        <v>0</v>
      </c>
      <c r="M464" s="8">
        <v>0</v>
      </c>
      <c r="N464" s="8">
        <v>8.6419200000000007</v>
      </c>
      <c r="O464" s="8">
        <v>0</v>
      </c>
      <c r="P464" s="8">
        <v>0</v>
      </c>
      <c r="Q464" s="8">
        <v>0</v>
      </c>
      <c r="R464" s="8">
        <f t="shared" si="102"/>
        <v>8.6419200000000007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7">
        <v>0</v>
      </c>
      <c r="AB464" s="8">
        <v>0</v>
      </c>
      <c r="AC464" s="7">
        <v>2.0449999999999999</v>
      </c>
      <c r="AD464" s="7" t="s">
        <v>1226</v>
      </c>
      <c r="AE464" s="8">
        <v>0</v>
      </c>
      <c r="AF464" s="8">
        <v>0</v>
      </c>
      <c r="AG464" s="8">
        <v>0</v>
      </c>
      <c r="AH464" s="8">
        <v>0</v>
      </c>
      <c r="AI464" s="7" t="s">
        <v>1760</v>
      </c>
      <c r="AJ464" s="7">
        <f t="shared" ca="1" si="103"/>
        <v>2</v>
      </c>
      <c r="AK464" s="100">
        <f>(+AA464*AB464)/$AB$1103</f>
        <v>0</v>
      </c>
      <c r="AL464" s="97">
        <f>AC464/$AE$1103*AE464</f>
        <v>0</v>
      </c>
    </row>
    <row r="465" spans="1:38" x14ac:dyDescent="0.3">
      <c r="A465" s="7" t="s">
        <v>2053</v>
      </c>
      <c r="B465" s="7" t="s">
        <v>194</v>
      </c>
      <c r="C465" s="7" t="s">
        <v>1323</v>
      </c>
      <c r="D465" s="7" t="s">
        <v>1852</v>
      </c>
      <c r="E465" s="7" t="s">
        <v>1322</v>
      </c>
      <c r="F465" s="36">
        <v>44287</v>
      </c>
      <c r="G465" s="36">
        <v>45382</v>
      </c>
      <c r="H465" s="36">
        <v>45382</v>
      </c>
      <c r="I465" s="36">
        <v>45382</v>
      </c>
      <c r="J465" s="7" t="s">
        <v>1239</v>
      </c>
      <c r="K465" s="8">
        <v>528437.04001800006</v>
      </c>
      <c r="L465" s="8">
        <v>66048.672485000003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f t="shared" si="102"/>
        <v>594485.71250300005</v>
      </c>
      <c r="S465" s="8">
        <v>0</v>
      </c>
      <c r="T465" s="8">
        <v>69137.898178999996</v>
      </c>
      <c r="U465" s="8">
        <v>0</v>
      </c>
      <c r="V465" s="8">
        <v>480862.10199</v>
      </c>
      <c r="W465" s="8">
        <v>0</v>
      </c>
      <c r="X465" s="8">
        <v>0</v>
      </c>
      <c r="Y465" s="8">
        <v>0</v>
      </c>
      <c r="Z465" s="8">
        <v>-48715.089006000002</v>
      </c>
      <c r="AA465" s="7">
        <v>1.249315</v>
      </c>
      <c r="AB465" s="8">
        <v>716127.23519399995</v>
      </c>
      <c r="AC465" s="7">
        <v>7</v>
      </c>
      <c r="AD465" s="7" t="s">
        <v>1726</v>
      </c>
      <c r="AE465" s="8">
        <v>750000.00022499997</v>
      </c>
      <c r="AF465" s="8">
        <v>0</v>
      </c>
      <c r="AG465" s="8">
        <v>750000.00022499997</v>
      </c>
      <c r="AH465" s="8">
        <v>0</v>
      </c>
      <c r="AI465" s="7" t="s">
        <v>1781</v>
      </c>
      <c r="AJ465" s="7">
        <f t="shared" ca="1" si="103"/>
        <v>1</v>
      </c>
      <c r="AK465" s="96">
        <f t="shared" si="104"/>
        <v>5.9934204688654952E-3</v>
      </c>
      <c r="AL465" s="97">
        <f t="shared" si="105"/>
        <v>3.337443305644984E-2</v>
      </c>
    </row>
    <row r="466" spans="1:38" x14ac:dyDescent="0.3">
      <c r="A466" s="7" t="s">
        <v>2054</v>
      </c>
      <c r="B466" s="7" t="s">
        <v>194</v>
      </c>
      <c r="C466" s="7" t="s">
        <v>1323</v>
      </c>
      <c r="D466" s="7" t="s">
        <v>1852</v>
      </c>
      <c r="E466" s="7" t="s">
        <v>1322</v>
      </c>
      <c r="F466" s="36">
        <v>44866</v>
      </c>
      <c r="G466" s="36">
        <v>45382</v>
      </c>
      <c r="H466" s="36">
        <v>45382</v>
      </c>
      <c r="I466" s="36">
        <v>45382</v>
      </c>
      <c r="J466" s="7" t="s">
        <v>1239</v>
      </c>
      <c r="K466" s="8">
        <v>1269.82</v>
      </c>
      <c r="L466" s="8">
        <v>30.702627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f t="shared" si="102"/>
        <v>1300.5226269999998</v>
      </c>
      <c r="S466" s="8">
        <v>0</v>
      </c>
      <c r="T466" s="8">
        <v>15.840563</v>
      </c>
      <c r="U466" s="8">
        <v>0</v>
      </c>
      <c r="V466" s="8">
        <v>1269.8794370000001</v>
      </c>
      <c r="W466" s="8">
        <v>0</v>
      </c>
      <c r="X466" s="8">
        <v>10793.450328000001</v>
      </c>
      <c r="Y466" s="8">
        <v>0</v>
      </c>
      <c r="Z466" s="8">
        <v>0</v>
      </c>
      <c r="AA466" s="7">
        <v>1.249315</v>
      </c>
      <c r="AB466" s="8">
        <v>9523.5708909999994</v>
      </c>
      <c r="AC466" s="7">
        <v>1.8726670000000001</v>
      </c>
      <c r="AD466" s="7" t="s">
        <v>1226</v>
      </c>
      <c r="AE466" s="8">
        <v>9642.9</v>
      </c>
      <c r="AF466" s="8">
        <v>0</v>
      </c>
      <c r="AG466" s="8">
        <v>9642.9</v>
      </c>
      <c r="AH466" s="8">
        <v>0</v>
      </c>
      <c r="AI466" s="7" t="s">
        <v>1760</v>
      </c>
      <c r="AJ466" s="7">
        <f t="shared" ca="1" si="103"/>
        <v>1</v>
      </c>
      <c r="AK466" s="96">
        <f t="shared" si="104"/>
        <v>7.970478137079689E-5</v>
      </c>
      <c r="AL466" s="97">
        <f t="shared" si="105"/>
        <v>1.1479495809304761E-4</v>
      </c>
    </row>
    <row r="467" spans="1:38" x14ac:dyDescent="0.3">
      <c r="A467" s="7" t="s">
        <v>2055</v>
      </c>
      <c r="B467" s="7" t="s">
        <v>194</v>
      </c>
      <c r="C467" s="7" t="s">
        <v>1323</v>
      </c>
      <c r="D467" s="7" t="s">
        <v>2056</v>
      </c>
      <c r="E467" s="7" t="s">
        <v>1322</v>
      </c>
      <c r="F467" s="36">
        <v>42736</v>
      </c>
      <c r="G467" s="36">
        <v>46752</v>
      </c>
      <c r="H467" s="36">
        <v>46752</v>
      </c>
      <c r="I467" s="36">
        <v>46752</v>
      </c>
      <c r="J467" s="7" t="s">
        <v>1696</v>
      </c>
      <c r="K467" s="8">
        <v>0</v>
      </c>
      <c r="L467" s="8">
        <v>0</v>
      </c>
      <c r="M467" s="8">
        <v>616583.6979741801</v>
      </c>
      <c r="N467" s="8">
        <v>0</v>
      </c>
      <c r="O467" s="8">
        <v>0</v>
      </c>
      <c r="P467" s="8">
        <v>0</v>
      </c>
      <c r="Q467" s="8">
        <v>0</v>
      </c>
      <c r="R467" s="8">
        <f t="shared" si="102"/>
        <v>616583.6979741801</v>
      </c>
      <c r="S467" s="8">
        <v>0</v>
      </c>
      <c r="T467" s="8">
        <v>0</v>
      </c>
      <c r="U467" s="8">
        <v>616583.70330000005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7">
        <v>5.0027400000000002</v>
      </c>
      <c r="AB467" s="8">
        <v>531558.97784522292</v>
      </c>
      <c r="AC467" s="7">
        <v>3.8116669999999999</v>
      </c>
      <c r="AD467" s="7" t="s">
        <v>1226</v>
      </c>
      <c r="AE467" s="8">
        <v>585972.21900000004</v>
      </c>
      <c r="AF467" s="8">
        <v>0</v>
      </c>
      <c r="AG467" s="8">
        <v>585972.21900000004</v>
      </c>
      <c r="AH467" s="8">
        <v>0</v>
      </c>
      <c r="AI467" s="7" t="s">
        <v>1758</v>
      </c>
      <c r="AJ467" s="7">
        <f t="shared" ca="1" si="103"/>
        <v>1</v>
      </c>
      <c r="AK467" s="96">
        <f>(+AA467*AB467)/$AB$1102</f>
        <v>2.330631731542414E-3</v>
      </c>
      <c r="AL467" s="97">
        <f>AC467/$AE$1102*AE467</f>
        <v>1.9111450706571025E-3</v>
      </c>
    </row>
    <row r="468" spans="1:38" x14ac:dyDescent="0.3">
      <c r="A468" s="7" t="s">
        <v>2057</v>
      </c>
      <c r="B468" s="7" t="s">
        <v>194</v>
      </c>
      <c r="C468" s="7" t="s">
        <v>1323</v>
      </c>
      <c r="D468" s="7" t="s">
        <v>1324</v>
      </c>
      <c r="E468" s="7" t="s">
        <v>1322</v>
      </c>
      <c r="F468" s="36">
        <v>44378</v>
      </c>
      <c r="G468" s="36">
        <v>45473</v>
      </c>
      <c r="H468" s="36">
        <v>45473</v>
      </c>
      <c r="I468" s="36">
        <v>45473</v>
      </c>
      <c r="J468" s="7" t="s">
        <v>1239</v>
      </c>
      <c r="K468" s="8">
        <v>594691.16980799998</v>
      </c>
      <c r="L468" s="8">
        <v>87554.750769999999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f t="shared" si="102"/>
        <v>682245.92057800002</v>
      </c>
      <c r="S468" s="8">
        <v>0</v>
      </c>
      <c r="T468" s="8">
        <v>90700.663566000003</v>
      </c>
      <c r="U468" s="8">
        <v>0</v>
      </c>
      <c r="V468" s="8">
        <v>539299.33643400006</v>
      </c>
      <c r="W468" s="8">
        <v>0</v>
      </c>
      <c r="X468" s="8">
        <v>0</v>
      </c>
      <c r="Y468" s="8">
        <v>0</v>
      </c>
      <c r="Z468" s="8">
        <v>0</v>
      </c>
      <c r="AA468" s="7">
        <v>1.4986299999999999</v>
      </c>
      <c r="AB468" s="8">
        <v>993011.10554899997</v>
      </c>
      <c r="AC468" s="7">
        <v>7</v>
      </c>
      <c r="AD468" s="7" t="s">
        <v>1226</v>
      </c>
      <c r="AE468" s="8">
        <v>1050000</v>
      </c>
      <c r="AF468" s="8">
        <v>0</v>
      </c>
      <c r="AG468" s="8">
        <v>1050000</v>
      </c>
      <c r="AH468" s="8">
        <v>0</v>
      </c>
      <c r="AI468" s="7" t="s">
        <v>1758</v>
      </c>
      <c r="AJ468" s="7">
        <f t="shared" ca="1" si="103"/>
        <v>1</v>
      </c>
      <c r="AK468" s="96">
        <f t="shared" si="104"/>
        <v>9.9692188334822782E-3</v>
      </c>
      <c r="AL468" s="97">
        <f t="shared" si="105"/>
        <v>4.6724206265012509E-2</v>
      </c>
    </row>
    <row r="469" spans="1:38" x14ac:dyDescent="0.3">
      <c r="A469" s="7" t="s">
        <v>2058</v>
      </c>
      <c r="B469" s="7" t="s">
        <v>194</v>
      </c>
      <c r="C469" s="7" t="s">
        <v>1323</v>
      </c>
      <c r="D469" s="7" t="s">
        <v>1324</v>
      </c>
      <c r="E469" s="7" t="s">
        <v>1750</v>
      </c>
      <c r="F469" s="36">
        <v>43466</v>
      </c>
      <c r="G469" s="36">
        <v>44561</v>
      </c>
      <c r="H469" s="36">
        <v>45657</v>
      </c>
      <c r="I469" s="36">
        <v>45657</v>
      </c>
      <c r="J469" s="7" t="s">
        <v>1239</v>
      </c>
      <c r="K469" s="8">
        <v>517086.47</v>
      </c>
      <c r="L469" s="8">
        <v>38327.096773999998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f t="shared" si="102"/>
        <v>555413.56677399995</v>
      </c>
      <c r="S469" s="8">
        <v>0</v>
      </c>
      <c r="T469" s="8">
        <v>35709.674072000002</v>
      </c>
      <c r="U469" s="8">
        <v>0</v>
      </c>
      <c r="V469" s="8">
        <v>504290.32592799998</v>
      </c>
      <c r="W469" s="8">
        <v>0</v>
      </c>
      <c r="X469" s="8">
        <v>0</v>
      </c>
      <c r="Y469" s="8">
        <v>0</v>
      </c>
      <c r="Z469" s="8">
        <v>1551259.4067770001</v>
      </c>
      <c r="AA469" s="7">
        <v>2.0027400000000002</v>
      </c>
      <c r="AB469" s="8">
        <v>1046969.080849</v>
      </c>
      <c r="AC469" s="7">
        <v>3</v>
      </c>
      <c r="AD469" s="7" t="s">
        <v>1697</v>
      </c>
      <c r="AE469" s="8">
        <v>1080000</v>
      </c>
      <c r="AF469" s="8">
        <v>0</v>
      </c>
      <c r="AG469" s="8">
        <v>1080000</v>
      </c>
      <c r="AH469" s="8">
        <v>0</v>
      </c>
      <c r="AI469" s="7" t="s">
        <v>1758</v>
      </c>
      <c r="AJ469" s="7">
        <f t="shared" ca="1" si="103"/>
        <v>1</v>
      </c>
      <c r="AK469" s="96">
        <f t="shared" si="104"/>
        <v>1.4046593995783396E-2</v>
      </c>
      <c r="AL469" s="97">
        <f t="shared" si="105"/>
        <v>2.0596792965801431E-2</v>
      </c>
    </row>
    <row r="470" spans="1:38" x14ac:dyDescent="0.3">
      <c r="A470" s="7" t="s">
        <v>2059</v>
      </c>
      <c r="B470" s="7" t="s">
        <v>194</v>
      </c>
      <c r="C470" s="7" t="s">
        <v>1323</v>
      </c>
      <c r="D470" s="7" t="s">
        <v>1852</v>
      </c>
      <c r="E470" s="7" t="s">
        <v>1322</v>
      </c>
      <c r="F470" s="36">
        <v>44562</v>
      </c>
      <c r="G470" s="36">
        <v>45657</v>
      </c>
      <c r="H470" s="36">
        <v>45657</v>
      </c>
      <c r="I470" s="36">
        <v>45657</v>
      </c>
      <c r="J470" s="7" t="s">
        <v>1239</v>
      </c>
      <c r="K470" s="8">
        <v>46916.7</v>
      </c>
      <c r="L470" s="8">
        <v>8166.2256269999998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f t="shared" si="102"/>
        <v>55082.925626999997</v>
      </c>
      <c r="S470" s="8">
        <v>0</v>
      </c>
      <c r="T470" s="8">
        <v>7603.2834089999997</v>
      </c>
      <c r="U470" s="8">
        <v>0</v>
      </c>
      <c r="V470" s="8">
        <v>44245.716590999997</v>
      </c>
      <c r="W470" s="8">
        <v>0</v>
      </c>
      <c r="X470" s="8">
        <v>140750.09687400001</v>
      </c>
      <c r="Y470" s="8">
        <v>0</v>
      </c>
      <c r="Z470" s="8">
        <v>0</v>
      </c>
      <c r="AA470" s="7">
        <v>2.0027400000000002</v>
      </c>
      <c r="AB470" s="8">
        <v>96504.380283000006</v>
      </c>
      <c r="AC470" s="7">
        <v>7</v>
      </c>
      <c r="AD470" s="7" t="s">
        <v>1226</v>
      </c>
      <c r="AE470" s="8">
        <v>103698</v>
      </c>
      <c r="AF470" s="8">
        <v>0</v>
      </c>
      <c r="AG470" s="8">
        <v>103698</v>
      </c>
      <c r="AH470" s="8">
        <v>0</v>
      </c>
      <c r="AI470" s="7" t="s">
        <v>1781</v>
      </c>
      <c r="AJ470" s="7">
        <f t="shared" ca="1" si="103"/>
        <v>1</v>
      </c>
      <c r="AK470" s="96">
        <f t="shared" si="104"/>
        <v>1.2947448720746816E-3</v>
      </c>
      <c r="AL470" s="97">
        <f t="shared" si="105"/>
        <v>4.614482610732636E-3</v>
      </c>
    </row>
    <row r="471" spans="1:38" x14ac:dyDescent="0.3">
      <c r="A471" s="7" t="s">
        <v>2060</v>
      </c>
      <c r="B471" s="7" t="s">
        <v>1320</v>
      </c>
      <c r="C471" s="7" t="s">
        <v>1323</v>
      </c>
      <c r="D471" s="7" t="s">
        <v>1792</v>
      </c>
      <c r="E471" s="7" t="s">
        <v>1695</v>
      </c>
      <c r="F471" s="36">
        <v>43221</v>
      </c>
      <c r="G471" s="36">
        <v>44681</v>
      </c>
      <c r="H471" s="36">
        <v>44869</v>
      </c>
      <c r="I471" s="36">
        <v>44869</v>
      </c>
      <c r="J471" s="7" t="s">
        <v>1696</v>
      </c>
      <c r="K471" s="8">
        <v>0</v>
      </c>
      <c r="L471" s="8">
        <v>0</v>
      </c>
      <c r="M471" s="8">
        <v>1481.5663460000001</v>
      </c>
      <c r="N471" s="8">
        <v>0</v>
      </c>
      <c r="O471" s="8">
        <v>0</v>
      </c>
      <c r="P471" s="8">
        <v>0</v>
      </c>
      <c r="Q471" s="8">
        <v>0</v>
      </c>
      <c r="R471" s="8">
        <f t="shared" si="102"/>
        <v>1481.5663460000001</v>
      </c>
      <c r="S471" s="8">
        <v>0</v>
      </c>
      <c r="T471" s="8">
        <v>0</v>
      </c>
      <c r="U471" s="8">
        <v>1481.568</v>
      </c>
      <c r="V471" s="8">
        <v>0</v>
      </c>
      <c r="W471" s="8">
        <v>0</v>
      </c>
      <c r="X471" s="8">
        <v>0</v>
      </c>
      <c r="Y471" s="8">
        <v>0</v>
      </c>
      <c r="Z471" s="8">
        <v>9.2261999999999997E-2</v>
      </c>
      <c r="AA471" s="7">
        <v>0</v>
      </c>
      <c r="AB471" s="8">
        <v>0</v>
      </c>
      <c r="AC471" s="7">
        <v>2.0449999999999999</v>
      </c>
      <c r="AD471" s="7" t="s">
        <v>1226</v>
      </c>
      <c r="AE471" s="8">
        <v>0</v>
      </c>
      <c r="AF471" s="8">
        <v>0</v>
      </c>
      <c r="AG471" s="8">
        <v>0</v>
      </c>
      <c r="AH471" s="8">
        <v>0</v>
      </c>
      <c r="AI471" s="7" t="s">
        <v>1736</v>
      </c>
      <c r="AJ471" s="7">
        <f t="shared" ca="1" si="103"/>
        <v>1</v>
      </c>
      <c r="AK471" s="96">
        <f>(+AA471*AB471)/$AB$1102</f>
        <v>0</v>
      </c>
      <c r="AL471" s="97">
        <f>AC471/$AE$1102*AE471</f>
        <v>0</v>
      </c>
    </row>
    <row r="472" spans="1:38" x14ac:dyDescent="0.3">
      <c r="A472" s="7" t="s">
        <v>2060</v>
      </c>
      <c r="B472" s="7" t="s">
        <v>1320</v>
      </c>
      <c r="C472" s="7" t="s">
        <v>1323</v>
      </c>
      <c r="D472" s="7" t="s">
        <v>1792</v>
      </c>
      <c r="E472" s="7" t="s">
        <v>1695</v>
      </c>
      <c r="F472" s="36">
        <v>43221</v>
      </c>
      <c r="G472" s="36">
        <v>44681</v>
      </c>
      <c r="H472" s="36">
        <v>44869</v>
      </c>
      <c r="I472" s="36">
        <v>44869</v>
      </c>
      <c r="J472" s="7" t="s">
        <v>1699</v>
      </c>
      <c r="K472" s="8">
        <v>0</v>
      </c>
      <c r="L472" s="8">
        <v>0</v>
      </c>
      <c r="M472" s="8">
        <v>0</v>
      </c>
      <c r="N472" s="8">
        <v>2592.59</v>
      </c>
      <c r="O472" s="8">
        <v>0</v>
      </c>
      <c r="P472" s="8">
        <v>0</v>
      </c>
      <c r="Q472" s="8">
        <v>0</v>
      </c>
      <c r="R472" s="8">
        <f t="shared" si="102"/>
        <v>2592.59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7">
        <v>0</v>
      </c>
      <c r="AB472" s="8">
        <v>0</v>
      </c>
      <c r="AC472" s="7">
        <v>2.0449999999999999</v>
      </c>
      <c r="AD472" s="7" t="s">
        <v>1226</v>
      </c>
      <c r="AE472" s="8">
        <v>0</v>
      </c>
      <c r="AF472" s="8">
        <v>0</v>
      </c>
      <c r="AG472" s="8">
        <v>0</v>
      </c>
      <c r="AH472" s="8">
        <v>0</v>
      </c>
      <c r="AI472" s="7" t="s">
        <v>1736</v>
      </c>
      <c r="AJ472" s="7">
        <f t="shared" ca="1" si="103"/>
        <v>2</v>
      </c>
      <c r="AK472" s="100">
        <f>(+AA472*AB472)/$AB$1103</f>
        <v>0</v>
      </c>
      <c r="AL472" s="97">
        <f>AC472/$AE$1103*AE472</f>
        <v>0</v>
      </c>
    </row>
    <row r="473" spans="1:38" x14ac:dyDescent="0.3">
      <c r="A473" s="7" t="s">
        <v>2061</v>
      </c>
      <c r="B473" s="7" t="s">
        <v>1320</v>
      </c>
      <c r="C473" s="7" t="s">
        <v>1323</v>
      </c>
      <c r="D473" s="7" t="s">
        <v>1792</v>
      </c>
      <c r="E473" s="7" t="s">
        <v>1695</v>
      </c>
      <c r="F473" s="36">
        <v>43221</v>
      </c>
      <c r="G473" s="36">
        <v>44681</v>
      </c>
      <c r="H473" s="36">
        <v>44895</v>
      </c>
      <c r="I473" s="36">
        <v>44895</v>
      </c>
      <c r="J473" s="7" t="s">
        <v>1696</v>
      </c>
      <c r="K473" s="8">
        <v>0</v>
      </c>
      <c r="L473" s="8">
        <v>0</v>
      </c>
      <c r="M473" s="8">
        <v>1481.5663460000001</v>
      </c>
      <c r="N473" s="8">
        <v>0</v>
      </c>
      <c r="O473" s="8">
        <v>0</v>
      </c>
      <c r="P473" s="8">
        <v>0</v>
      </c>
      <c r="Q473" s="8">
        <v>0</v>
      </c>
      <c r="R473" s="8">
        <f t="shared" si="102"/>
        <v>1481.5663460000001</v>
      </c>
      <c r="S473" s="8">
        <v>0</v>
      </c>
      <c r="T473" s="8">
        <v>0</v>
      </c>
      <c r="U473" s="8">
        <v>1481.568</v>
      </c>
      <c r="V473" s="8">
        <v>0</v>
      </c>
      <c r="W473" s="8">
        <v>0</v>
      </c>
      <c r="X473" s="8">
        <v>0</v>
      </c>
      <c r="Y473" s="8">
        <v>0</v>
      </c>
      <c r="Z473" s="8">
        <v>9.2261999999999997E-2</v>
      </c>
      <c r="AA473" s="7">
        <v>0</v>
      </c>
      <c r="AB473" s="8">
        <v>0</v>
      </c>
      <c r="AC473" s="7">
        <v>2.0449999999999999</v>
      </c>
      <c r="AD473" s="7" t="s">
        <v>1226</v>
      </c>
      <c r="AE473" s="8">
        <v>0</v>
      </c>
      <c r="AF473" s="8">
        <v>0</v>
      </c>
      <c r="AG473" s="8">
        <v>0</v>
      </c>
      <c r="AH473" s="8">
        <v>0</v>
      </c>
      <c r="AI473" s="7" t="s">
        <v>1736</v>
      </c>
      <c r="AJ473" s="7">
        <f t="shared" ca="1" si="103"/>
        <v>1</v>
      </c>
      <c r="AK473" s="96">
        <f>(+AA473*AB473)/$AB$1102</f>
        <v>0</v>
      </c>
      <c r="AL473" s="97">
        <f>AC473/$AE$1102*AE473</f>
        <v>0</v>
      </c>
    </row>
    <row r="474" spans="1:38" x14ac:dyDescent="0.3">
      <c r="A474" s="7" t="s">
        <v>2061</v>
      </c>
      <c r="B474" s="7" t="s">
        <v>1320</v>
      </c>
      <c r="C474" s="7" t="s">
        <v>1323</v>
      </c>
      <c r="D474" s="7" t="s">
        <v>1792</v>
      </c>
      <c r="E474" s="7" t="s">
        <v>1695</v>
      </c>
      <c r="F474" s="36">
        <v>43221</v>
      </c>
      <c r="G474" s="36">
        <v>44681</v>
      </c>
      <c r="H474" s="36">
        <v>44895</v>
      </c>
      <c r="I474" s="36">
        <v>44895</v>
      </c>
      <c r="J474" s="7" t="s">
        <v>1699</v>
      </c>
      <c r="K474" s="8">
        <v>0</v>
      </c>
      <c r="L474" s="8">
        <v>0</v>
      </c>
      <c r="M474" s="8">
        <v>0</v>
      </c>
      <c r="N474" s="8">
        <v>2592.59</v>
      </c>
      <c r="O474" s="8">
        <v>0</v>
      </c>
      <c r="P474" s="8">
        <v>0</v>
      </c>
      <c r="Q474" s="8">
        <v>0</v>
      </c>
      <c r="R474" s="8">
        <f t="shared" si="102"/>
        <v>2592.59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7">
        <v>0</v>
      </c>
      <c r="AB474" s="8">
        <v>0</v>
      </c>
      <c r="AC474" s="7">
        <v>2.0449999999999999</v>
      </c>
      <c r="AD474" s="7" t="s">
        <v>1226</v>
      </c>
      <c r="AE474" s="8">
        <v>0</v>
      </c>
      <c r="AF474" s="8">
        <v>0</v>
      </c>
      <c r="AG474" s="8">
        <v>0</v>
      </c>
      <c r="AH474" s="8">
        <v>0</v>
      </c>
      <c r="AI474" s="7" t="s">
        <v>1736</v>
      </c>
      <c r="AJ474" s="7">
        <f t="shared" ca="1" si="103"/>
        <v>2</v>
      </c>
      <c r="AK474" s="100">
        <f>(+AA474*AB474)/$AB$1103</f>
        <v>0</v>
      </c>
      <c r="AL474" s="97">
        <f>AC474/$AE$1103*AE474</f>
        <v>0</v>
      </c>
    </row>
    <row r="475" spans="1:38" x14ac:dyDescent="0.3">
      <c r="A475" s="7" t="s">
        <v>2062</v>
      </c>
      <c r="B475" s="7" t="s">
        <v>1320</v>
      </c>
      <c r="C475" s="7" t="s">
        <v>1323</v>
      </c>
      <c r="D475" s="7" t="s">
        <v>1792</v>
      </c>
      <c r="E475" s="7" t="s">
        <v>1739</v>
      </c>
      <c r="F475" s="36">
        <v>43983</v>
      </c>
      <c r="G475" s="36">
        <v>44681</v>
      </c>
      <c r="J475" s="7" t="s">
        <v>1696</v>
      </c>
      <c r="K475" s="8">
        <v>0</v>
      </c>
      <c r="L475" s="8">
        <v>0</v>
      </c>
      <c r="M475" s="8">
        <v>1486.412433</v>
      </c>
      <c r="N475" s="8">
        <v>0</v>
      </c>
      <c r="O475" s="8">
        <v>0</v>
      </c>
      <c r="P475" s="8">
        <v>0</v>
      </c>
      <c r="Q475" s="8">
        <v>0</v>
      </c>
      <c r="R475" s="8">
        <f t="shared" si="102"/>
        <v>1486.412433</v>
      </c>
      <c r="S475" s="8">
        <v>0</v>
      </c>
      <c r="T475" s="8">
        <v>0</v>
      </c>
      <c r="U475" s="8">
        <v>1486.4102399999999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7">
        <v>0</v>
      </c>
      <c r="AB475" s="8">
        <v>0</v>
      </c>
      <c r="AC475" s="7">
        <v>1.7840830000000001</v>
      </c>
      <c r="AD475" s="7" t="s">
        <v>1226</v>
      </c>
      <c r="AE475" s="8">
        <v>0</v>
      </c>
      <c r="AF475" s="8">
        <v>0</v>
      </c>
      <c r="AG475" s="8">
        <v>0</v>
      </c>
      <c r="AH475" s="8">
        <v>0</v>
      </c>
      <c r="AI475" s="7" t="s">
        <v>1976</v>
      </c>
      <c r="AJ475" s="7">
        <f t="shared" ca="1" si="103"/>
        <v>1</v>
      </c>
      <c r="AK475" s="96">
        <f>(+AA475*AB475)/$AB$1102</f>
        <v>0</v>
      </c>
      <c r="AL475" s="97">
        <f>AC475/$AE$1102*AE475</f>
        <v>0</v>
      </c>
    </row>
    <row r="476" spans="1:38" x14ac:dyDescent="0.3">
      <c r="A476" s="7" t="s">
        <v>2062</v>
      </c>
      <c r="B476" s="7" t="s">
        <v>1320</v>
      </c>
      <c r="C476" s="7" t="s">
        <v>1323</v>
      </c>
      <c r="D476" s="7" t="s">
        <v>1792</v>
      </c>
      <c r="E476" s="7" t="s">
        <v>1739</v>
      </c>
      <c r="F476" s="36">
        <v>43983</v>
      </c>
      <c r="G476" s="36">
        <v>44681</v>
      </c>
      <c r="J476" s="7" t="s">
        <v>1699</v>
      </c>
      <c r="K476" s="8">
        <v>0</v>
      </c>
      <c r="L476" s="8">
        <v>0</v>
      </c>
      <c r="M476" s="8">
        <v>0</v>
      </c>
      <c r="N476" s="8">
        <v>2602.4479200000001</v>
      </c>
      <c r="O476" s="8">
        <v>0</v>
      </c>
      <c r="P476" s="8">
        <v>0</v>
      </c>
      <c r="Q476" s="8">
        <v>0</v>
      </c>
      <c r="R476" s="8">
        <f t="shared" si="102"/>
        <v>2602.4479200000001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7">
        <v>0</v>
      </c>
      <c r="AB476" s="8">
        <v>0</v>
      </c>
      <c r="AC476" s="7">
        <v>1.7840830000000001</v>
      </c>
      <c r="AD476" s="7" t="s">
        <v>1226</v>
      </c>
      <c r="AE476" s="8">
        <v>1.23</v>
      </c>
      <c r="AF476" s="8">
        <v>0</v>
      </c>
      <c r="AG476" s="8">
        <v>1.23</v>
      </c>
      <c r="AH476" s="8">
        <v>0</v>
      </c>
      <c r="AI476" s="7" t="s">
        <v>1976</v>
      </c>
      <c r="AJ476" s="7">
        <f t="shared" ca="1" si="103"/>
        <v>2</v>
      </c>
      <c r="AK476" s="100">
        <f>(+AA476*AB476)/$AB$1103</f>
        <v>0</v>
      </c>
      <c r="AL476" s="97">
        <f>AC476/$AE$1103*AE476</f>
        <v>2.6343764875024442E-7</v>
      </c>
    </row>
    <row r="477" spans="1:38" x14ac:dyDescent="0.3">
      <c r="A477" s="7" t="s">
        <v>2063</v>
      </c>
      <c r="B477" s="7" t="s">
        <v>1320</v>
      </c>
      <c r="C477" s="7" t="s">
        <v>1323</v>
      </c>
      <c r="D477" s="7" t="s">
        <v>1792</v>
      </c>
      <c r="E477" s="7" t="s">
        <v>1739</v>
      </c>
      <c r="F477" s="36">
        <v>43983</v>
      </c>
      <c r="G477" s="36">
        <v>44681</v>
      </c>
      <c r="I477" s="36">
        <v>45443</v>
      </c>
      <c r="J477" s="7" t="s">
        <v>1696</v>
      </c>
      <c r="K477" s="8">
        <v>0</v>
      </c>
      <c r="L477" s="8">
        <v>0</v>
      </c>
      <c r="M477" s="8">
        <v>4088.8609449999999</v>
      </c>
      <c r="N477" s="8">
        <v>0</v>
      </c>
      <c r="O477" s="8">
        <v>0</v>
      </c>
      <c r="P477" s="8">
        <v>0</v>
      </c>
      <c r="Q477" s="8">
        <v>0</v>
      </c>
      <c r="R477" s="8">
        <f t="shared" si="102"/>
        <v>4088.8609449999999</v>
      </c>
      <c r="S477" s="8">
        <v>0</v>
      </c>
      <c r="T477" s="8">
        <v>0</v>
      </c>
      <c r="U477" s="8">
        <v>4088.8581600000002</v>
      </c>
      <c r="V477" s="8">
        <v>0</v>
      </c>
      <c r="W477" s="8">
        <v>0</v>
      </c>
      <c r="X477" s="8">
        <v>0</v>
      </c>
      <c r="Y477" s="8">
        <v>0</v>
      </c>
      <c r="Z477" s="8">
        <v>-6583.2446410000002</v>
      </c>
      <c r="AA477" s="7">
        <v>1.4164380000000001</v>
      </c>
      <c r="AB477" s="8">
        <v>20.668254000000001</v>
      </c>
      <c r="AC477" s="7">
        <v>1.7840830000000001</v>
      </c>
      <c r="AD477" s="7" t="s">
        <v>1226</v>
      </c>
      <c r="AE477" s="8">
        <v>20.91</v>
      </c>
      <c r="AF477" s="8">
        <v>0</v>
      </c>
      <c r="AG477" s="8">
        <v>20.91</v>
      </c>
      <c r="AH477" s="8">
        <v>0</v>
      </c>
      <c r="AI477" s="7" t="s">
        <v>1976</v>
      </c>
      <c r="AJ477" s="7">
        <f t="shared" ca="1" si="103"/>
        <v>1</v>
      </c>
      <c r="AK477" s="96">
        <f>(+AA477*AB477)/$AB$1102</f>
        <v>2.5657576027912503E-8</v>
      </c>
      <c r="AL477" s="97">
        <f>AC477/$AE$1102*AE477</f>
        <v>3.1920579243919509E-8</v>
      </c>
    </row>
    <row r="478" spans="1:38" x14ac:dyDescent="0.3">
      <c r="A478" s="7" t="s">
        <v>2064</v>
      </c>
      <c r="B478" s="7" t="s">
        <v>194</v>
      </c>
      <c r="C478" s="7" t="s">
        <v>1432</v>
      </c>
      <c r="D478" s="7" t="s">
        <v>1852</v>
      </c>
      <c r="E478" s="7" t="s">
        <v>1322</v>
      </c>
      <c r="F478" s="36">
        <v>44562</v>
      </c>
      <c r="G478" s="36">
        <v>45657</v>
      </c>
      <c r="H478" s="36">
        <v>45657</v>
      </c>
      <c r="I478" s="36">
        <v>45657</v>
      </c>
      <c r="J478" s="7" t="s">
        <v>1239</v>
      </c>
      <c r="K478" s="8">
        <v>542923</v>
      </c>
      <c r="L478" s="8">
        <v>94500.093900000007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f t="shared" si="102"/>
        <v>637423.09389999998</v>
      </c>
      <c r="S478" s="8">
        <v>0</v>
      </c>
      <c r="T478" s="8">
        <v>87985.689899999998</v>
      </c>
      <c r="U478" s="8">
        <v>0</v>
      </c>
      <c r="V478" s="8">
        <v>512014.3101</v>
      </c>
      <c r="W478" s="8">
        <v>0</v>
      </c>
      <c r="X478" s="8">
        <v>1628769.2747</v>
      </c>
      <c r="Y478" s="8">
        <v>0</v>
      </c>
      <c r="Z478" s="8">
        <v>0</v>
      </c>
      <c r="AA478" s="7">
        <v>2.0027400000000002</v>
      </c>
      <c r="AB478" s="8">
        <v>1116754.9646000001</v>
      </c>
      <c r="AC478" s="7">
        <v>7</v>
      </c>
      <c r="AD478" s="7" t="s">
        <v>1226</v>
      </c>
      <c r="AE478" s="8">
        <v>1200000</v>
      </c>
      <c r="AF478" s="8">
        <v>0</v>
      </c>
      <c r="AG478" s="8">
        <v>1200000</v>
      </c>
      <c r="AH478" s="8">
        <v>0</v>
      </c>
      <c r="AI478" s="7" t="s">
        <v>1781</v>
      </c>
      <c r="AJ478" s="7">
        <f t="shared" ca="1" si="103"/>
        <v>1</v>
      </c>
      <c r="AK478" s="96">
        <f t="shared" si="104"/>
        <v>1.4982871860734609E-2</v>
      </c>
      <c r="AL478" s="97">
        <f t="shared" si="105"/>
        <v>5.3399092874300016E-2</v>
      </c>
    </row>
    <row r="479" spans="1:38" x14ac:dyDescent="0.3">
      <c r="A479" s="7" t="s">
        <v>2065</v>
      </c>
      <c r="B479" s="7" t="s">
        <v>194</v>
      </c>
      <c r="C479" s="7" t="s">
        <v>1323</v>
      </c>
      <c r="D479" s="7" t="s">
        <v>1324</v>
      </c>
      <c r="E479" s="7" t="s">
        <v>1322</v>
      </c>
      <c r="F479" s="36">
        <v>44562</v>
      </c>
      <c r="G479" s="36">
        <v>45657</v>
      </c>
      <c r="H479" s="36">
        <v>45657</v>
      </c>
      <c r="I479" s="36">
        <v>45657</v>
      </c>
      <c r="J479" s="7" t="s">
        <v>1239</v>
      </c>
      <c r="K479" s="8">
        <v>594691.17000000004</v>
      </c>
      <c r="L479" s="8">
        <v>105727.049724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f t="shared" si="102"/>
        <v>700418.21972400008</v>
      </c>
      <c r="S479" s="8">
        <v>0</v>
      </c>
      <c r="T479" s="8">
        <v>98246.847641</v>
      </c>
      <c r="U479" s="8">
        <v>0</v>
      </c>
      <c r="V479" s="8">
        <v>501753.152359</v>
      </c>
      <c r="W479" s="8">
        <v>0</v>
      </c>
      <c r="X479" s="8">
        <v>1784073.5094089999</v>
      </c>
      <c r="Y479" s="8">
        <v>0</v>
      </c>
      <c r="Z479" s="8">
        <v>0</v>
      </c>
      <c r="AA479" s="7">
        <v>2.0027400000000002</v>
      </c>
      <c r="AB479" s="8">
        <v>1282320.35705</v>
      </c>
      <c r="AC479" s="7">
        <v>7</v>
      </c>
      <c r="AD479" s="7" t="s">
        <v>1226</v>
      </c>
      <c r="AE479" s="8">
        <v>1380000</v>
      </c>
      <c r="AF479" s="8">
        <v>0</v>
      </c>
      <c r="AG479" s="8">
        <v>1380000</v>
      </c>
      <c r="AH479" s="8">
        <v>0</v>
      </c>
      <c r="AI479" s="7" t="s">
        <v>1758</v>
      </c>
      <c r="AJ479" s="7">
        <f t="shared" ca="1" si="103"/>
        <v>1</v>
      </c>
      <c r="AK479" s="96">
        <f t="shared" si="104"/>
        <v>1.7204169404318043E-2</v>
      </c>
      <c r="AL479" s="97">
        <f t="shared" si="105"/>
        <v>6.1408956805445017E-2</v>
      </c>
    </row>
    <row r="480" spans="1:38" x14ac:dyDescent="0.3">
      <c r="A480" s="7" t="s">
        <v>2066</v>
      </c>
      <c r="B480" s="7" t="s">
        <v>194</v>
      </c>
      <c r="C480" s="7" t="s">
        <v>1769</v>
      </c>
      <c r="D480" s="7" t="s">
        <v>1324</v>
      </c>
      <c r="E480" s="7" t="s">
        <v>1322</v>
      </c>
      <c r="F480" s="36">
        <v>44562</v>
      </c>
      <c r="G480" s="36">
        <v>45657</v>
      </c>
      <c r="H480" s="36">
        <v>45657</v>
      </c>
      <c r="I480" s="36">
        <v>46752</v>
      </c>
      <c r="J480" s="7" t="s">
        <v>1239</v>
      </c>
      <c r="K480" s="8">
        <v>491638.29</v>
      </c>
      <c r="L480" s="8">
        <v>189999.66332699999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f t="shared" si="102"/>
        <v>681637.95332699991</v>
      </c>
      <c r="S480" s="8">
        <v>0</v>
      </c>
      <c r="T480" s="8">
        <v>175269.91522200001</v>
      </c>
      <c r="U480" s="8">
        <v>0</v>
      </c>
      <c r="V480" s="8">
        <v>424730.08477800002</v>
      </c>
      <c r="W480" s="8">
        <v>0</v>
      </c>
      <c r="X480" s="8">
        <v>2949829.7598370002</v>
      </c>
      <c r="Y480" s="8">
        <v>0</v>
      </c>
      <c r="Z480" s="8">
        <v>0</v>
      </c>
      <c r="AA480" s="7">
        <v>5.0027400000000002</v>
      </c>
      <c r="AB480" s="8">
        <v>2525099.675059</v>
      </c>
      <c r="AC480" s="7">
        <v>7</v>
      </c>
      <c r="AD480" s="7" t="s">
        <v>1226</v>
      </c>
      <c r="AE480" s="8">
        <v>3000000</v>
      </c>
      <c r="AF480" s="8">
        <v>0</v>
      </c>
      <c r="AG480" s="8">
        <v>3000000</v>
      </c>
      <c r="AH480" s="8">
        <v>0</v>
      </c>
      <c r="AI480" s="7" t="s">
        <v>1758</v>
      </c>
      <c r="AJ480" s="7">
        <f t="shared" ca="1" si="103"/>
        <v>1</v>
      </c>
      <c r="AK480" s="96">
        <f t="shared" si="104"/>
        <v>8.4625073729785449E-2</v>
      </c>
      <c r="AL480" s="97">
        <f t="shared" si="105"/>
        <v>0.13349773218575003</v>
      </c>
    </row>
    <row r="481" spans="1:38" x14ac:dyDescent="0.3">
      <c r="A481" s="7" t="s">
        <v>2067</v>
      </c>
      <c r="B481" s="7" t="s">
        <v>194</v>
      </c>
      <c r="C481" s="7" t="s">
        <v>1323</v>
      </c>
      <c r="D481" s="7" t="s">
        <v>1324</v>
      </c>
      <c r="E481" s="7" t="s">
        <v>1322</v>
      </c>
      <c r="F481" s="36">
        <v>44562</v>
      </c>
      <c r="G481" s="36">
        <v>45657</v>
      </c>
      <c r="H481" s="36">
        <v>45657</v>
      </c>
      <c r="I481" s="36">
        <v>46752</v>
      </c>
      <c r="J481" s="7" t="s">
        <v>1239</v>
      </c>
      <c r="K481" s="8">
        <v>164833.54</v>
      </c>
      <c r="L481" s="8">
        <v>62537.548368999996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f t="shared" si="102"/>
        <v>227371.088369</v>
      </c>
      <c r="S481" s="8">
        <v>0</v>
      </c>
      <c r="T481" s="8">
        <v>47807.800264999998</v>
      </c>
      <c r="U481" s="8">
        <v>0</v>
      </c>
      <c r="V481" s="8">
        <v>152192.199735</v>
      </c>
      <c r="W481" s="8">
        <v>0</v>
      </c>
      <c r="X481" s="8">
        <v>989001.21392100002</v>
      </c>
      <c r="Y481" s="8">
        <v>0</v>
      </c>
      <c r="Z481" s="8">
        <v>0</v>
      </c>
      <c r="AA481" s="7">
        <v>5.0027400000000002</v>
      </c>
      <c r="AB481" s="8">
        <v>836809.01418599999</v>
      </c>
      <c r="AC481" s="7">
        <v>7</v>
      </c>
      <c r="AD481" s="7" t="s">
        <v>1226</v>
      </c>
      <c r="AE481" s="8">
        <v>1000000</v>
      </c>
      <c r="AF481" s="8">
        <v>0</v>
      </c>
      <c r="AG481" s="8">
        <v>1000000</v>
      </c>
      <c r="AH481" s="8">
        <v>0</v>
      </c>
      <c r="AI481" s="7" t="s">
        <v>1758</v>
      </c>
      <c r="AJ481" s="7">
        <f t="shared" ca="1" si="103"/>
        <v>1</v>
      </c>
      <c r="AK481" s="96">
        <f t="shared" si="104"/>
        <v>2.8044447204479048E-2</v>
      </c>
      <c r="AL481" s="97">
        <f t="shared" si="105"/>
        <v>4.449924406191668E-2</v>
      </c>
    </row>
    <row r="482" spans="1:38" x14ac:dyDescent="0.3">
      <c r="A482" s="7" t="s">
        <v>2068</v>
      </c>
      <c r="B482" s="7" t="s">
        <v>194</v>
      </c>
      <c r="C482" s="7" t="s">
        <v>1323</v>
      </c>
      <c r="D482" s="7" t="s">
        <v>1852</v>
      </c>
      <c r="E482" s="7" t="s">
        <v>1695</v>
      </c>
      <c r="F482" s="36">
        <v>44562</v>
      </c>
      <c r="G482" s="36">
        <v>45657</v>
      </c>
      <c r="H482" s="36">
        <v>44869</v>
      </c>
      <c r="I482" s="36">
        <v>44869</v>
      </c>
      <c r="J482" s="7" t="s">
        <v>1239</v>
      </c>
      <c r="K482" s="8">
        <v>502470.810215</v>
      </c>
      <c r="L482" s="8">
        <v>91710.928425000006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f t="shared" si="102"/>
        <v>594181.73864</v>
      </c>
      <c r="S482" s="8">
        <v>0</v>
      </c>
      <c r="T482" s="8">
        <v>81219.091274999999</v>
      </c>
      <c r="U482" s="8">
        <v>0</v>
      </c>
      <c r="V482" s="8">
        <v>468780.90872499999</v>
      </c>
      <c r="W482" s="8">
        <v>0</v>
      </c>
      <c r="X482" s="8">
        <v>0</v>
      </c>
      <c r="Y482" s="8">
        <v>0</v>
      </c>
      <c r="Z482" s="8">
        <v>502470.810215</v>
      </c>
      <c r="AA482" s="7">
        <v>0</v>
      </c>
      <c r="AB482" s="8">
        <v>0</v>
      </c>
      <c r="AC482" s="7">
        <v>7</v>
      </c>
      <c r="AD482" s="7" t="s">
        <v>1226</v>
      </c>
      <c r="AE482" s="8">
        <v>0</v>
      </c>
      <c r="AF482" s="8">
        <v>0</v>
      </c>
      <c r="AG482" s="8">
        <v>0</v>
      </c>
      <c r="AH482" s="8">
        <v>0</v>
      </c>
      <c r="AI482" s="7" t="s">
        <v>1781</v>
      </c>
      <c r="AJ482" s="7">
        <f t="shared" ca="1" si="103"/>
        <v>1</v>
      </c>
      <c r="AK482" s="96">
        <f t="shared" si="104"/>
        <v>0</v>
      </c>
      <c r="AL482" s="97">
        <f t="shared" si="105"/>
        <v>0</v>
      </c>
    </row>
    <row r="483" spans="1:38" x14ac:dyDescent="0.3">
      <c r="A483" s="7" t="s">
        <v>2069</v>
      </c>
      <c r="B483" s="7" t="s">
        <v>194</v>
      </c>
      <c r="C483" s="7" t="s">
        <v>1323</v>
      </c>
      <c r="D483" s="7" t="s">
        <v>1852</v>
      </c>
      <c r="E483" s="7" t="s">
        <v>1773</v>
      </c>
      <c r="F483" s="36">
        <v>44869</v>
      </c>
      <c r="G483" s="36">
        <v>45660</v>
      </c>
      <c r="H483" s="36">
        <v>45660</v>
      </c>
      <c r="I483" s="36">
        <v>45660</v>
      </c>
      <c r="J483" s="7" t="s">
        <v>1239</v>
      </c>
      <c r="K483" s="8">
        <v>74106</v>
      </c>
      <c r="L483" s="8">
        <v>3919.4148399999999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f t="shared" si="102"/>
        <v>78025.414839999998</v>
      </c>
      <c r="S483" s="8">
        <v>0</v>
      </c>
      <c r="T483" s="8">
        <v>2386.5824750000002</v>
      </c>
      <c r="U483" s="8">
        <v>0</v>
      </c>
      <c r="V483" s="8">
        <v>67613.417524999997</v>
      </c>
      <c r="W483" s="8">
        <v>0</v>
      </c>
      <c r="X483" s="8">
        <v>0</v>
      </c>
      <c r="Y483" s="8">
        <v>0</v>
      </c>
      <c r="Z483" s="8">
        <v>1014082.005625</v>
      </c>
      <c r="AA483" s="7">
        <v>2.0109590000000002</v>
      </c>
      <c r="AB483" s="8">
        <v>1009876.401375</v>
      </c>
      <c r="AC483" s="7">
        <v>2.4066670000000001</v>
      </c>
      <c r="AD483" s="7" t="s">
        <v>1226</v>
      </c>
      <c r="AE483" s="8">
        <v>840000</v>
      </c>
      <c r="AF483" s="8">
        <v>0</v>
      </c>
      <c r="AG483" s="8">
        <v>840000</v>
      </c>
      <c r="AH483" s="8">
        <v>0</v>
      </c>
      <c r="AI483" s="7" t="s">
        <v>1781</v>
      </c>
      <c r="AJ483" s="7">
        <f t="shared" ca="1" si="103"/>
        <v>1</v>
      </c>
      <c r="AK483" s="96">
        <f t="shared" si="104"/>
        <v>1.3604545626413956E-2</v>
      </c>
      <c r="AL483" s="97">
        <f t="shared" si="105"/>
        <v>1.2851383465051297E-2</v>
      </c>
    </row>
    <row r="484" spans="1:38" x14ac:dyDescent="0.3">
      <c r="A484" s="7" t="s">
        <v>2070</v>
      </c>
      <c r="B484" s="7" t="s">
        <v>194</v>
      </c>
      <c r="C484" s="7" t="s">
        <v>1323</v>
      </c>
      <c r="D484" s="7" t="s">
        <v>1852</v>
      </c>
      <c r="E484" s="7" t="s">
        <v>1322</v>
      </c>
      <c r="F484" s="36">
        <v>44562</v>
      </c>
      <c r="G484" s="36">
        <v>45657</v>
      </c>
      <c r="H484" s="36">
        <v>45657</v>
      </c>
      <c r="I484" s="36">
        <v>45657</v>
      </c>
      <c r="J484" s="7" t="s">
        <v>1239</v>
      </c>
      <c r="K484" s="8">
        <v>542923.09</v>
      </c>
      <c r="L484" s="8">
        <v>94500.094041000004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f t="shared" si="102"/>
        <v>637423.18404099997</v>
      </c>
      <c r="S484" s="8">
        <v>0</v>
      </c>
      <c r="T484" s="8">
        <v>87985.69008</v>
      </c>
      <c r="U484" s="8">
        <v>0</v>
      </c>
      <c r="V484" s="8">
        <v>512014.30992000003</v>
      </c>
      <c r="W484" s="8">
        <v>0</v>
      </c>
      <c r="X484" s="8">
        <v>1628769.274713</v>
      </c>
      <c r="Y484" s="8">
        <v>0</v>
      </c>
      <c r="Z484" s="8">
        <v>0</v>
      </c>
      <c r="AA484" s="7">
        <v>2.0027400000000002</v>
      </c>
      <c r="AB484" s="8">
        <v>1116754.9647929999</v>
      </c>
      <c r="AC484" s="7">
        <v>7</v>
      </c>
      <c r="AD484" s="7" t="s">
        <v>1226</v>
      </c>
      <c r="AE484" s="8">
        <v>1200000</v>
      </c>
      <c r="AF484" s="8">
        <v>0</v>
      </c>
      <c r="AG484" s="8">
        <v>1200000</v>
      </c>
      <c r="AH484" s="8">
        <v>0</v>
      </c>
      <c r="AI484" s="7" t="s">
        <v>1781</v>
      </c>
      <c r="AJ484" s="7">
        <f t="shared" ca="1" si="103"/>
        <v>1</v>
      </c>
      <c r="AK484" s="96">
        <f t="shared" si="104"/>
        <v>1.4982871863323978E-2</v>
      </c>
      <c r="AL484" s="97">
        <f t="shared" si="105"/>
        <v>5.3399092874300016E-2</v>
      </c>
    </row>
    <row r="485" spans="1:38" x14ac:dyDescent="0.3">
      <c r="A485" s="7" t="s">
        <v>2071</v>
      </c>
      <c r="B485" s="7" t="s">
        <v>194</v>
      </c>
      <c r="C485" s="7" t="s">
        <v>1323</v>
      </c>
      <c r="D485" s="7" t="s">
        <v>1324</v>
      </c>
      <c r="E485" s="7" t="s">
        <v>1322</v>
      </c>
      <c r="F485" s="36">
        <v>44287</v>
      </c>
      <c r="G485" s="36">
        <v>45382</v>
      </c>
      <c r="H485" s="36">
        <v>45382</v>
      </c>
      <c r="I485" s="36">
        <v>45382</v>
      </c>
      <c r="J485" s="7" t="s">
        <v>1239</v>
      </c>
      <c r="K485" s="8">
        <v>542923.09156800003</v>
      </c>
      <c r="L485" s="8">
        <v>67333.608901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f t="shared" si="102"/>
        <v>610256.70046900003</v>
      </c>
      <c r="S485" s="8">
        <v>0</v>
      </c>
      <c r="T485" s="8">
        <v>70422.809181000004</v>
      </c>
      <c r="U485" s="8">
        <v>0</v>
      </c>
      <c r="V485" s="8">
        <v>529577.19081900001</v>
      </c>
      <c r="W485" s="8">
        <v>0</v>
      </c>
      <c r="X485" s="8">
        <v>0</v>
      </c>
      <c r="Y485" s="8">
        <v>0</v>
      </c>
      <c r="Z485" s="8">
        <v>0</v>
      </c>
      <c r="AA485" s="7">
        <v>1.249315</v>
      </c>
      <c r="AB485" s="8">
        <v>716127.23498399998</v>
      </c>
      <c r="AC485" s="7">
        <v>7</v>
      </c>
      <c r="AD485" s="7" t="s">
        <v>1226</v>
      </c>
      <c r="AE485" s="8">
        <v>750000</v>
      </c>
      <c r="AF485" s="8">
        <v>0</v>
      </c>
      <c r="AG485" s="8">
        <v>750000</v>
      </c>
      <c r="AH485" s="8">
        <v>0</v>
      </c>
      <c r="AI485" s="7" t="s">
        <v>1758</v>
      </c>
      <c r="AJ485" s="7">
        <f t="shared" ca="1" si="103"/>
        <v>1</v>
      </c>
      <c r="AK485" s="96">
        <f t="shared" si="104"/>
        <v>5.993420467107961E-3</v>
      </c>
      <c r="AL485" s="97">
        <f t="shared" si="105"/>
        <v>3.3374433046437509E-2</v>
      </c>
    </row>
    <row r="486" spans="1:38" x14ac:dyDescent="0.3">
      <c r="A486" s="7" t="s">
        <v>2072</v>
      </c>
      <c r="B486" s="7" t="s">
        <v>194</v>
      </c>
      <c r="C486" s="7" t="s">
        <v>1323</v>
      </c>
      <c r="D486" s="7" t="s">
        <v>2056</v>
      </c>
      <c r="E486" s="7" t="s">
        <v>1322</v>
      </c>
      <c r="F486" s="36">
        <v>43101</v>
      </c>
      <c r="G486" s="36">
        <v>47118</v>
      </c>
      <c r="H486" s="36">
        <v>47118</v>
      </c>
      <c r="I486" s="36">
        <v>47118</v>
      </c>
      <c r="J486" s="7" t="s">
        <v>1696</v>
      </c>
      <c r="K486" s="8">
        <v>0</v>
      </c>
      <c r="L486" s="8">
        <v>0</v>
      </c>
      <c r="M486" s="8">
        <v>455735.77097780432</v>
      </c>
      <c r="N486" s="8">
        <v>0</v>
      </c>
      <c r="O486" s="8">
        <v>0</v>
      </c>
      <c r="P486" s="8">
        <v>0</v>
      </c>
      <c r="Q486" s="8">
        <v>0</v>
      </c>
      <c r="R486" s="8">
        <f t="shared" si="102"/>
        <v>455735.77097780432</v>
      </c>
      <c r="S486" s="8">
        <v>0</v>
      </c>
      <c r="T486" s="8">
        <v>0</v>
      </c>
      <c r="U486" s="8">
        <v>455735.7807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7">
        <v>6.0054790000000002</v>
      </c>
      <c r="AB486" s="8">
        <v>462890.26494380209</v>
      </c>
      <c r="AC486" s="7">
        <v>3.8116669999999999</v>
      </c>
      <c r="AD486" s="7" t="s">
        <v>1226</v>
      </c>
      <c r="AE486" s="8">
        <v>519731.8812</v>
      </c>
      <c r="AF486" s="8">
        <v>0</v>
      </c>
      <c r="AG486" s="8">
        <v>519731.8812</v>
      </c>
      <c r="AH486" s="8">
        <v>0</v>
      </c>
      <c r="AI486" s="7" t="s">
        <v>1758</v>
      </c>
      <c r="AJ486" s="7">
        <f t="shared" ca="1" si="103"/>
        <v>1</v>
      </c>
      <c r="AK486" s="96">
        <f>(+AA486*AB486)/$AB$1102</f>
        <v>2.4363516083325152E-3</v>
      </c>
      <c r="AL486" s="97">
        <f>AC486/$AE$1102*AE486</f>
        <v>1.6951025844089082E-3</v>
      </c>
    </row>
    <row r="487" spans="1:38" x14ac:dyDescent="0.3">
      <c r="A487" s="7" t="s">
        <v>2073</v>
      </c>
      <c r="B487" s="7" t="s">
        <v>194</v>
      </c>
      <c r="C487" s="7" t="s">
        <v>1769</v>
      </c>
      <c r="D487" s="7" t="s">
        <v>1324</v>
      </c>
      <c r="E487" s="7" t="s">
        <v>1322</v>
      </c>
      <c r="F487" s="36">
        <v>44378</v>
      </c>
      <c r="G487" s="36">
        <v>45473</v>
      </c>
      <c r="H487" s="36">
        <v>45473</v>
      </c>
      <c r="I487" s="36">
        <v>46568</v>
      </c>
      <c r="J487" s="7" t="s">
        <v>1239</v>
      </c>
      <c r="K487" s="8">
        <v>381549.91954799998</v>
      </c>
      <c r="L487" s="8">
        <v>125993.15595099999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f t="shared" si="102"/>
        <v>507543.07549899997</v>
      </c>
      <c r="S487" s="8">
        <v>0</v>
      </c>
      <c r="T487" s="8">
        <v>128742.160018</v>
      </c>
      <c r="U487" s="8">
        <v>0</v>
      </c>
      <c r="V487" s="8">
        <v>471257.839982</v>
      </c>
      <c r="W487" s="8">
        <v>0</v>
      </c>
      <c r="X487" s="8">
        <v>0</v>
      </c>
      <c r="Y487" s="8">
        <v>0</v>
      </c>
      <c r="Z487" s="8">
        <v>0</v>
      </c>
      <c r="AA487" s="7">
        <v>4.4986300000000004</v>
      </c>
      <c r="AB487" s="8">
        <v>1581187.2913919999</v>
      </c>
      <c r="AC487" s="7">
        <v>7</v>
      </c>
      <c r="AD487" s="7" t="s">
        <v>1226</v>
      </c>
      <c r="AE487" s="8">
        <v>1800000</v>
      </c>
      <c r="AF487" s="8">
        <v>0</v>
      </c>
      <c r="AG487" s="8">
        <v>1800000</v>
      </c>
      <c r="AH487" s="8">
        <v>0</v>
      </c>
      <c r="AI487" s="7" t="s">
        <v>1758</v>
      </c>
      <c r="AJ487" s="7">
        <f t="shared" ca="1" si="103"/>
        <v>1</v>
      </c>
      <c r="AK487" s="96">
        <f t="shared" si="104"/>
        <v>4.7651457821522941E-2</v>
      </c>
      <c r="AL487" s="97">
        <f t="shared" si="105"/>
        <v>8.0098639311450018E-2</v>
      </c>
    </row>
    <row r="488" spans="1:38" x14ac:dyDescent="0.3">
      <c r="A488" s="7" t="s">
        <v>2074</v>
      </c>
      <c r="B488" s="7" t="s">
        <v>1320</v>
      </c>
      <c r="C488" s="7" t="s">
        <v>1323</v>
      </c>
      <c r="D488" s="7" t="s">
        <v>1792</v>
      </c>
      <c r="E488" s="7" t="s">
        <v>1695</v>
      </c>
      <c r="F488" s="36">
        <v>43221</v>
      </c>
      <c r="G488" s="36">
        <v>44681</v>
      </c>
      <c r="H488" s="36">
        <v>44895</v>
      </c>
      <c r="I488" s="36">
        <v>44895</v>
      </c>
      <c r="J488" s="7" t="s">
        <v>1696</v>
      </c>
      <c r="K488" s="8">
        <v>0</v>
      </c>
      <c r="L488" s="8">
        <v>0</v>
      </c>
      <c r="M488" s="8">
        <v>1481.5663460000001</v>
      </c>
      <c r="N488" s="8">
        <v>0</v>
      </c>
      <c r="O488" s="8">
        <v>0</v>
      </c>
      <c r="P488" s="8">
        <v>0</v>
      </c>
      <c r="Q488" s="8">
        <v>0</v>
      </c>
      <c r="R488" s="8">
        <f t="shared" si="102"/>
        <v>1481.5663460000001</v>
      </c>
      <c r="S488" s="8">
        <v>0</v>
      </c>
      <c r="T488" s="8">
        <v>0</v>
      </c>
      <c r="U488" s="8">
        <v>1481.568</v>
      </c>
      <c r="V488" s="8">
        <v>0</v>
      </c>
      <c r="W488" s="8">
        <v>0</v>
      </c>
      <c r="X488" s="8">
        <v>0</v>
      </c>
      <c r="Y488" s="8">
        <v>0</v>
      </c>
      <c r="Z488" s="8">
        <v>9.2261999999999997E-2</v>
      </c>
      <c r="AA488" s="7">
        <v>0</v>
      </c>
      <c r="AB488" s="8">
        <v>0</v>
      </c>
      <c r="AC488" s="7">
        <v>2.0449999999999999</v>
      </c>
      <c r="AD488" s="7" t="s">
        <v>1226</v>
      </c>
      <c r="AE488" s="8">
        <v>0</v>
      </c>
      <c r="AF488" s="8">
        <v>0</v>
      </c>
      <c r="AG488" s="8">
        <v>0</v>
      </c>
      <c r="AH488" s="8">
        <v>0</v>
      </c>
      <c r="AI488" s="7" t="s">
        <v>1736</v>
      </c>
      <c r="AJ488" s="7">
        <f t="shared" ca="1" si="103"/>
        <v>1</v>
      </c>
      <c r="AK488" s="96">
        <f>(+AA488*AB488)/$AB$1102</f>
        <v>0</v>
      </c>
      <c r="AL488" s="97">
        <f>AC488/$AE$1102*AE488</f>
        <v>0</v>
      </c>
    </row>
    <row r="489" spans="1:38" x14ac:dyDescent="0.3">
      <c r="A489" s="7" t="s">
        <v>2074</v>
      </c>
      <c r="B489" s="7" t="s">
        <v>1320</v>
      </c>
      <c r="C489" s="7" t="s">
        <v>1323</v>
      </c>
      <c r="D489" s="7" t="s">
        <v>1792</v>
      </c>
      <c r="E489" s="7" t="s">
        <v>1695</v>
      </c>
      <c r="F489" s="36">
        <v>43221</v>
      </c>
      <c r="G489" s="36">
        <v>44681</v>
      </c>
      <c r="H489" s="36">
        <v>44895</v>
      </c>
      <c r="I489" s="36">
        <v>44895</v>
      </c>
      <c r="J489" s="7" t="s">
        <v>1699</v>
      </c>
      <c r="K489" s="8">
        <v>0</v>
      </c>
      <c r="L489" s="8">
        <v>0</v>
      </c>
      <c r="M489" s="8">
        <v>0</v>
      </c>
      <c r="N489" s="8">
        <v>2592.59</v>
      </c>
      <c r="O489" s="8">
        <v>0</v>
      </c>
      <c r="P489" s="8">
        <v>0</v>
      </c>
      <c r="Q489" s="8">
        <v>0</v>
      </c>
      <c r="R489" s="8">
        <f t="shared" si="102"/>
        <v>2592.59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7">
        <v>0</v>
      </c>
      <c r="AB489" s="8">
        <v>0</v>
      </c>
      <c r="AC489" s="7">
        <v>2.0449999999999999</v>
      </c>
      <c r="AD489" s="7" t="s">
        <v>1226</v>
      </c>
      <c r="AE489" s="8">
        <v>0</v>
      </c>
      <c r="AF489" s="8">
        <v>0</v>
      </c>
      <c r="AG489" s="8">
        <v>0</v>
      </c>
      <c r="AH489" s="8">
        <v>0</v>
      </c>
      <c r="AI489" s="7" t="s">
        <v>1736</v>
      </c>
      <c r="AJ489" s="7">
        <f t="shared" ca="1" si="103"/>
        <v>2</v>
      </c>
      <c r="AK489" s="100">
        <f>(+AA489*AB489)/$AB$1103</f>
        <v>0</v>
      </c>
      <c r="AL489" s="97">
        <f>AC489/$AE$1103*AE489</f>
        <v>0</v>
      </c>
    </row>
    <row r="490" spans="1:38" x14ac:dyDescent="0.3">
      <c r="A490" s="7" t="s">
        <v>2075</v>
      </c>
      <c r="B490" s="7" t="s">
        <v>1320</v>
      </c>
      <c r="C490" s="7" t="s">
        <v>1323</v>
      </c>
      <c r="D490" s="7" t="s">
        <v>1792</v>
      </c>
      <c r="E490" s="7" t="s">
        <v>1695</v>
      </c>
      <c r="F490" s="36">
        <v>43221</v>
      </c>
      <c r="G490" s="36">
        <v>44681</v>
      </c>
      <c r="H490" s="36">
        <v>44895</v>
      </c>
      <c r="I490" s="36">
        <v>44895</v>
      </c>
      <c r="J490" s="7" t="s">
        <v>1696</v>
      </c>
      <c r="K490" s="8">
        <v>0</v>
      </c>
      <c r="L490" s="8">
        <v>0</v>
      </c>
      <c r="M490" s="8">
        <v>1481.5663460000001</v>
      </c>
      <c r="N490" s="8">
        <v>0</v>
      </c>
      <c r="O490" s="8">
        <v>0</v>
      </c>
      <c r="P490" s="8">
        <v>0</v>
      </c>
      <c r="Q490" s="8">
        <v>0</v>
      </c>
      <c r="R490" s="8">
        <f t="shared" si="102"/>
        <v>1481.5663460000001</v>
      </c>
      <c r="S490" s="8">
        <v>0</v>
      </c>
      <c r="T490" s="8">
        <v>0</v>
      </c>
      <c r="U490" s="8">
        <v>1481.568</v>
      </c>
      <c r="V490" s="8">
        <v>0</v>
      </c>
      <c r="W490" s="8">
        <v>0</v>
      </c>
      <c r="X490" s="8">
        <v>0</v>
      </c>
      <c r="Y490" s="8">
        <v>0</v>
      </c>
      <c r="Z490" s="8">
        <v>9.2261999999999997E-2</v>
      </c>
      <c r="AA490" s="7">
        <v>0</v>
      </c>
      <c r="AB490" s="8">
        <v>0</v>
      </c>
      <c r="AC490" s="7">
        <v>2.0449999999999999</v>
      </c>
      <c r="AD490" s="7" t="s">
        <v>1226</v>
      </c>
      <c r="AE490" s="8">
        <v>0</v>
      </c>
      <c r="AF490" s="8">
        <v>0</v>
      </c>
      <c r="AG490" s="8">
        <v>0</v>
      </c>
      <c r="AH490" s="8">
        <v>0</v>
      </c>
      <c r="AI490" s="7" t="s">
        <v>1736</v>
      </c>
      <c r="AJ490" s="7">
        <f t="shared" ca="1" si="103"/>
        <v>1</v>
      </c>
      <c r="AK490" s="96">
        <f>(+AA490*AB490)/$AB$1102</f>
        <v>0</v>
      </c>
      <c r="AL490" s="97">
        <f>AC490/$AE$1102*AE490</f>
        <v>0</v>
      </c>
    </row>
    <row r="491" spans="1:38" x14ac:dyDescent="0.3">
      <c r="A491" s="7" t="s">
        <v>2075</v>
      </c>
      <c r="B491" s="7" t="s">
        <v>1320</v>
      </c>
      <c r="C491" s="7" t="s">
        <v>1323</v>
      </c>
      <c r="D491" s="7" t="s">
        <v>1792</v>
      </c>
      <c r="E491" s="7" t="s">
        <v>1695</v>
      </c>
      <c r="F491" s="36">
        <v>43221</v>
      </c>
      <c r="G491" s="36">
        <v>44681</v>
      </c>
      <c r="H491" s="36">
        <v>44895</v>
      </c>
      <c r="I491" s="36">
        <v>44895</v>
      </c>
      <c r="J491" s="7" t="s">
        <v>1699</v>
      </c>
      <c r="K491" s="8">
        <v>0</v>
      </c>
      <c r="L491" s="8">
        <v>0</v>
      </c>
      <c r="M491" s="8">
        <v>0</v>
      </c>
      <c r="N491" s="8">
        <v>2592.59</v>
      </c>
      <c r="O491" s="8">
        <v>0</v>
      </c>
      <c r="P491" s="8">
        <v>0</v>
      </c>
      <c r="Q491" s="8">
        <v>0</v>
      </c>
      <c r="R491" s="8">
        <f t="shared" si="102"/>
        <v>2592.59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7">
        <v>0</v>
      </c>
      <c r="AB491" s="8">
        <v>0</v>
      </c>
      <c r="AC491" s="7">
        <v>2.0449999999999999</v>
      </c>
      <c r="AD491" s="7" t="s">
        <v>1226</v>
      </c>
      <c r="AE491" s="8">
        <v>0</v>
      </c>
      <c r="AF491" s="8">
        <v>0</v>
      </c>
      <c r="AG491" s="8">
        <v>0</v>
      </c>
      <c r="AH491" s="8">
        <v>0</v>
      </c>
      <c r="AI491" s="7" t="s">
        <v>1736</v>
      </c>
      <c r="AJ491" s="7">
        <f t="shared" ca="1" si="103"/>
        <v>2</v>
      </c>
      <c r="AK491" s="100">
        <f>(+AA491*AB491)/$AB$1103</f>
        <v>0</v>
      </c>
      <c r="AL491" s="97">
        <f>AC491/$AE$1103*AE491</f>
        <v>0</v>
      </c>
    </row>
    <row r="492" spans="1:38" x14ac:dyDescent="0.3">
      <c r="A492" s="7" t="s">
        <v>2076</v>
      </c>
      <c r="B492" s="7" t="s">
        <v>1320</v>
      </c>
      <c r="C492" s="7" t="s">
        <v>1323</v>
      </c>
      <c r="D492" s="7" t="s">
        <v>1792</v>
      </c>
      <c r="E492" s="7" t="s">
        <v>1695</v>
      </c>
      <c r="F492" s="36">
        <v>43221</v>
      </c>
      <c r="G492" s="36">
        <v>44681</v>
      </c>
      <c r="H492" s="36">
        <v>44895</v>
      </c>
      <c r="I492" s="36">
        <v>44895</v>
      </c>
      <c r="J492" s="7" t="s">
        <v>1696</v>
      </c>
      <c r="K492" s="8">
        <v>0</v>
      </c>
      <c r="L492" s="8">
        <v>0</v>
      </c>
      <c r="M492" s="8">
        <v>1481.5663460000001</v>
      </c>
      <c r="N492" s="8">
        <v>0</v>
      </c>
      <c r="O492" s="8">
        <v>0</v>
      </c>
      <c r="P492" s="8">
        <v>0</v>
      </c>
      <c r="Q492" s="8">
        <v>0</v>
      </c>
      <c r="R492" s="8">
        <f t="shared" si="102"/>
        <v>1481.5663460000001</v>
      </c>
      <c r="S492" s="8">
        <v>0</v>
      </c>
      <c r="T492" s="8">
        <v>0</v>
      </c>
      <c r="U492" s="8">
        <v>1481.568</v>
      </c>
      <c r="V492" s="8">
        <v>0</v>
      </c>
      <c r="W492" s="8">
        <v>0</v>
      </c>
      <c r="X492" s="8">
        <v>0</v>
      </c>
      <c r="Y492" s="8">
        <v>0</v>
      </c>
      <c r="Z492" s="8">
        <v>9.2261999999999997E-2</v>
      </c>
      <c r="AA492" s="7">
        <v>0</v>
      </c>
      <c r="AB492" s="8">
        <v>0</v>
      </c>
      <c r="AC492" s="7">
        <v>2.0449999999999999</v>
      </c>
      <c r="AD492" s="7" t="s">
        <v>1226</v>
      </c>
      <c r="AE492" s="8">
        <v>0</v>
      </c>
      <c r="AF492" s="8">
        <v>0</v>
      </c>
      <c r="AG492" s="8">
        <v>0</v>
      </c>
      <c r="AH492" s="8">
        <v>0</v>
      </c>
      <c r="AI492" s="7" t="s">
        <v>1736</v>
      </c>
      <c r="AJ492" s="7">
        <f t="shared" ca="1" si="103"/>
        <v>1</v>
      </c>
      <c r="AK492" s="96">
        <f>(+AA492*AB492)/$AB$1102</f>
        <v>0</v>
      </c>
      <c r="AL492" s="97">
        <f>AC492/$AE$1102*AE492</f>
        <v>0</v>
      </c>
    </row>
    <row r="493" spans="1:38" x14ac:dyDescent="0.3">
      <c r="A493" s="7" t="s">
        <v>2076</v>
      </c>
      <c r="B493" s="7" t="s">
        <v>1320</v>
      </c>
      <c r="C493" s="7" t="s">
        <v>1323</v>
      </c>
      <c r="D493" s="7" t="s">
        <v>1792</v>
      </c>
      <c r="E493" s="7" t="s">
        <v>1695</v>
      </c>
      <c r="F493" s="36">
        <v>43221</v>
      </c>
      <c r="G493" s="36">
        <v>44681</v>
      </c>
      <c r="H493" s="36">
        <v>44895</v>
      </c>
      <c r="I493" s="36">
        <v>44895</v>
      </c>
      <c r="J493" s="7" t="s">
        <v>1699</v>
      </c>
      <c r="K493" s="8">
        <v>0</v>
      </c>
      <c r="L493" s="8">
        <v>0</v>
      </c>
      <c r="M493" s="8">
        <v>0</v>
      </c>
      <c r="N493" s="8">
        <v>2592.59</v>
      </c>
      <c r="O493" s="8">
        <v>0</v>
      </c>
      <c r="P493" s="8">
        <v>0</v>
      </c>
      <c r="Q493" s="8">
        <v>0</v>
      </c>
      <c r="R493" s="8">
        <f t="shared" si="102"/>
        <v>2592.59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7">
        <v>0</v>
      </c>
      <c r="AB493" s="8">
        <v>0</v>
      </c>
      <c r="AC493" s="7">
        <v>2.0449999999999999</v>
      </c>
      <c r="AD493" s="7" t="s">
        <v>1226</v>
      </c>
      <c r="AE493" s="8">
        <v>0</v>
      </c>
      <c r="AF493" s="8">
        <v>0</v>
      </c>
      <c r="AG493" s="8">
        <v>0</v>
      </c>
      <c r="AH493" s="8">
        <v>0</v>
      </c>
      <c r="AI493" s="7" t="s">
        <v>1736</v>
      </c>
      <c r="AJ493" s="7">
        <f t="shared" ca="1" si="103"/>
        <v>2</v>
      </c>
      <c r="AK493" s="100">
        <f>(+AA493*AB493)/$AB$1103</f>
        <v>0</v>
      </c>
      <c r="AL493" s="97">
        <f>AC493/$AE$1103*AE493</f>
        <v>0</v>
      </c>
    </row>
    <row r="494" spans="1:38" x14ac:dyDescent="0.3">
      <c r="A494" s="7" t="s">
        <v>2077</v>
      </c>
      <c r="B494" s="7" t="s">
        <v>1320</v>
      </c>
      <c r="C494" s="7" t="s">
        <v>1323</v>
      </c>
      <c r="D494" s="7" t="s">
        <v>1792</v>
      </c>
      <c r="E494" s="7" t="s">
        <v>1695</v>
      </c>
      <c r="F494" s="36">
        <v>43983</v>
      </c>
      <c r="G494" s="36">
        <v>44681</v>
      </c>
      <c r="H494" s="36">
        <v>44895</v>
      </c>
      <c r="I494" s="36">
        <v>44895</v>
      </c>
      <c r="J494" s="7" t="s">
        <v>1696</v>
      </c>
      <c r="K494" s="8">
        <v>0</v>
      </c>
      <c r="L494" s="8">
        <v>0</v>
      </c>
      <c r="M494" s="8">
        <v>1481.5129609999999</v>
      </c>
      <c r="N494" s="8">
        <v>0</v>
      </c>
      <c r="O494" s="8">
        <v>0</v>
      </c>
      <c r="P494" s="8">
        <v>0</v>
      </c>
      <c r="Q494" s="8">
        <v>0</v>
      </c>
      <c r="R494" s="8">
        <f t="shared" si="102"/>
        <v>1481.5129609999999</v>
      </c>
      <c r="S494" s="8">
        <v>0</v>
      </c>
      <c r="T494" s="8">
        <v>0</v>
      </c>
      <c r="U494" s="8">
        <v>1481.518</v>
      </c>
      <c r="V494" s="8">
        <v>0</v>
      </c>
      <c r="W494" s="8">
        <v>0</v>
      </c>
      <c r="X494" s="8">
        <v>0</v>
      </c>
      <c r="Y494" s="8">
        <v>0</v>
      </c>
      <c r="Z494" s="8">
        <v>4.5254000000000003E-2</v>
      </c>
      <c r="AA494" s="7">
        <v>0</v>
      </c>
      <c r="AB494" s="8">
        <v>0</v>
      </c>
      <c r="AC494" s="7">
        <v>1.7840830000000001</v>
      </c>
      <c r="AD494" s="7" t="s">
        <v>1226</v>
      </c>
      <c r="AE494" s="8">
        <v>0</v>
      </c>
      <c r="AF494" s="8">
        <v>0</v>
      </c>
      <c r="AG494" s="8">
        <v>0</v>
      </c>
      <c r="AH494" s="8">
        <v>0</v>
      </c>
      <c r="AI494" s="7" t="s">
        <v>1736</v>
      </c>
      <c r="AJ494" s="7">
        <f t="shared" ca="1" si="103"/>
        <v>1</v>
      </c>
      <c r="AK494" s="96">
        <f>(+AA494*AB494)/$AB$1102</f>
        <v>0</v>
      </c>
      <c r="AL494" s="97">
        <f>AC494/$AE$1102*AE494</f>
        <v>0</v>
      </c>
    </row>
    <row r="495" spans="1:38" x14ac:dyDescent="0.3">
      <c r="A495" s="7" t="s">
        <v>2077</v>
      </c>
      <c r="B495" s="7" t="s">
        <v>1320</v>
      </c>
      <c r="C495" s="7" t="s">
        <v>1323</v>
      </c>
      <c r="D495" s="7" t="s">
        <v>1792</v>
      </c>
      <c r="E495" s="7" t="s">
        <v>1695</v>
      </c>
      <c r="F495" s="36">
        <v>43983</v>
      </c>
      <c r="G495" s="36">
        <v>44681</v>
      </c>
      <c r="H495" s="36">
        <v>44895</v>
      </c>
      <c r="I495" s="36">
        <v>44895</v>
      </c>
      <c r="J495" s="7" t="s">
        <v>1699</v>
      </c>
      <c r="K495" s="8">
        <v>0</v>
      </c>
      <c r="L495" s="8">
        <v>0</v>
      </c>
      <c r="M495" s="8">
        <v>0</v>
      </c>
      <c r="N495" s="8">
        <v>2592.59</v>
      </c>
      <c r="O495" s="8">
        <v>0</v>
      </c>
      <c r="P495" s="8">
        <v>0</v>
      </c>
      <c r="Q495" s="8">
        <v>0</v>
      </c>
      <c r="R495" s="8">
        <f t="shared" si="102"/>
        <v>2592.59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7">
        <v>0</v>
      </c>
      <c r="AB495" s="8">
        <v>0</v>
      </c>
      <c r="AC495" s="7">
        <v>1.7840830000000001</v>
      </c>
      <c r="AD495" s="7" t="s">
        <v>1226</v>
      </c>
      <c r="AE495" s="8">
        <v>0</v>
      </c>
      <c r="AF495" s="8">
        <v>0</v>
      </c>
      <c r="AG495" s="8">
        <v>0</v>
      </c>
      <c r="AH495" s="8">
        <v>0</v>
      </c>
      <c r="AI495" s="7" t="s">
        <v>1736</v>
      </c>
      <c r="AJ495" s="7">
        <f t="shared" ca="1" si="103"/>
        <v>2</v>
      </c>
      <c r="AK495" s="100">
        <f>(+AA495*AB495)/$AB$1103</f>
        <v>0</v>
      </c>
      <c r="AL495" s="97">
        <f>AC495/$AE$1103*AE495</f>
        <v>0</v>
      </c>
    </row>
    <row r="496" spans="1:38" x14ac:dyDescent="0.3">
      <c r="A496" s="7" t="s">
        <v>2078</v>
      </c>
      <c r="B496" s="7" t="s">
        <v>1320</v>
      </c>
      <c r="C496" s="7" t="s">
        <v>1805</v>
      </c>
      <c r="D496" s="7" t="s">
        <v>1780</v>
      </c>
      <c r="E496" s="7" t="s">
        <v>1773</v>
      </c>
      <c r="F496" s="36">
        <v>44866</v>
      </c>
      <c r="G496" s="36">
        <v>45961</v>
      </c>
      <c r="H496" s="36">
        <v>45961</v>
      </c>
      <c r="I496" s="36">
        <v>45961</v>
      </c>
      <c r="J496" s="7" t="s">
        <v>1696</v>
      </c>
      <c r="K496" s="8">
        <v>0</v>
      </c>
      <c r="L496" s="8">
        <v>0</v>
      </c>
      <c r="M496" s="8">
        <v>9999.9967949999991</v>
      </c>
      <c r="N496" s="8">
        <v>0</v>
      </c>
      <c r="O496" s="8">
        <v>0</v>
      </c>
      <c r="P496" s="8">
        <v>0</v>
      </c>
      <c r="Q496" s="8">
        <v>0</v>
      </c>
      <c r="R496" s="8">
        <f t="shared" si="102"/>
        <v>9999.9967949999991</v>
      </c>
      <c r="S496" s="8">
        <v>0</v>
      </c>
      <c r="T496" s="8">
        <v>0</v>
      </c>
      <c r="U496" s="8">
        <v>10000</v>
      </c>
      <c r="V496" s="8">
        <v>0</v>
      </c>
      <c r="W496" s="8">
        <v>0</v>
      </c>
      <c r="X496" s="8">
        <v>0</v>
      </c>
      <c r="Y496" s="8">
        <v>172362.15630900001</v>
      </c>
      <c r="Z496" s="8">
        <v>0</v>
      </c>
      <c r="AA496" s="7">
        <v>2.8356159999999999</v>
      </c>
      <c r="AB496" s="8">
        <v>163187.51310400001</v>
      </c>
      <c r="AC496" s="7">
        <v>3</v>
      </c>
      <c r="AD496" s="7" t="s">
        <v>1226</v>
      </c>
      <c r="AE496" s="8">
        <v>170000</v>
      </c>
      <c r="AF496" s="8">
        <v>0</v>
      </c>
      <c r="AG496" s="8">
        <v>170000</v>
      </c>
      <c r="AH496" s="8">
        <v>0</v>
      </c>
      <c r="AI496" s="7" t="s">
        <v>1758</v>
      </c>
      <c r="AJ496" s="7">
        <f t="shared" ca="1" si="103"/>
        <v>1</v>
      </c>
      <c r="AK496" s="96">
        <f>(+AA496*AB496)/$AB$1102</f>
        <v>4.0555392336425524E-4</v>
      </c>
      <c r="AL496" s="97">
        <f>AC496/$AE$1102*AE496</f>
        <v>4.3638704772498222E-4</v>
      </c>
    </row>
    <row r="497" spans="1:38" x14ac:dyDescent="0.3">
      <c r="A497" s="7" t="s">
        <v>2079</v>
      </c>
      <c r="B497" s="7" t="s">
        <v>194</v>
      </c>
      <c r="C497" s="7" t="s">
        <v>1805</v>
      </c>
      <c r="D497" s="7" t="s">
        <v>1780</v>
      </c>
      <c r="E497" s="7" t="s">
        <v>1695</v>
      </c>
      <c r="F497" s="36">
        <v>44866</v>
      </c>
      <c r="G497" s="36">
        <v>45961</v>
      </c>
      <c r="H497" s="36">
        <v>44869</v>
      </c>
      <c r="I497" s="36">
        <v>44869</v>
      </c>
      <c r="J497" s="7" t="s">
        <v>1239</v>
      </c>
      <c r="K497" s="8">
        <v>41.98</v>
      </c>
      <c r="L497" s="8">
        <v>3.363362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f t="shared" si="102"/>
        <v>45.343361999999999</v>
      </c>
      <c r="S497" s="8">
        <v>0</v>
      </c>
      <c r="T497" s="8">
        <v>0</v>
      </c>
      <c r="U497" s="8">
        <v>0</v>
      </c>
      <c r="V497" s="8">
        <v>416.67</v>
      </c>
      <c r="W497" s="8">
        <v>0</v>
      </c>
      <c r="X497" s="8">
        <v>20152.778032999999</v>
      </c>
      <c r="Y497" s="8">
        <v>0</v>
      </c>
      <c r="Z497" s="8">
        <v>-20110.793078999999</v>
      </c>
      <c r="AA497" s="7">
        <v>0</v>
      </c>
      <c r="AB497" s="8">
        <v>0</v>
      </c>
      <c r="AC497" s="7">
        <v>2.0449999999999999</v>
      </c>
      <c r="AD497" s="7" t="s">
        <v>1226</v>
      </c>
      <c r="AE497" s="8">
        <v>0</v>
      </c>
      <c r="AF497" s="8">
        <v>0</v>
      </c>
      <c r="AG497" s="8">
        <v>0</v>
      </c>
      <c r="AH497" s="8">
        <v>0</v>
      </c>
      <c r="AI497" s="7" t="s">
        <v>1760</v>
      </c>
      <c r="AJ497" s="7">
        <f t="shared" ca="1" si="103"/>
        <v>1</v>
      </c>
      <c r="AK497" s="96">
        <f t="shared" si="104"/>
        <v>0</v>
      </c>
      <c r="AL497" s="97">
        <f t="shared" si="105"/>
        <v>0</v>
      </c>
    </row>
    <row r="498" spans="1:38" x14ac:dyDescent="0.3">
      <c r="A498" s="7" t="s">
        <v>2080</v>
      </c>
      <c r="B498" s="7" t="s">
        <v>194</v>
      </c>
      <c r="C498" s="7" t="s">
        <v>1805</v>
      </c>
      <c r="D498" s="7" t="s">
        <v>1780</v>
      </c>
      <c r="E498" s="7" t="s">
        <v>1773</v>
      </c>
      <c r="F498" s="36">
        <v>44869</v>
      </c>
      <c r="G498" s="36">
        <v>45964</v>
      </c>
      <c r="H498" s="36">
        <v>45964</v>
      </c>
      <c r="I498" s="36">
        <v>46329</v>
      </c>
      <c r="J498" s="7" t="s">
        <v>1239</v>
      </c>
      <c r="K498" s="8">
        <v>992.97</v>
      </c>
      <c r="L498" s="8">
        <v>113.79892100000001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f t="shared" si="102"/>
        <v>1106.7689210000001</v>
      </c>
      <c r="S498" s="8">
        <v>0</v>
      </c>
      <c r="T498" s="8">
        <v>63.748778999999999</v>
      </c>
      <c r="U498" s="8">
        <v>0</v>
      </c>
      <c r="V498" s="8">
        <v>1056.251221</v>
      </c>
      <c r="W498" s="8">
        <v>0</v>
      </c>
      <c r="X498" s="8">
        <v>0</v>
      </c>
      <c r="Y498" s="8">
        <v>0</v>
      </c>
      <c r="Z498" s="8">
        <v>25085.488245</v>
      </c>
      <c r="AA498" s="7">
        <v>3.843836</v>
      </c>
      <c r="AB498" s="8">
        <v>23654.551978</v>
      </c>
      <c r="AC498" s="7">
        <v>3</v>
      </c>
      <c r="AD498" s="7" t="s">
        <v>1226</v>
      </c>
      <c r="AE498" s="8">
        <v>25040</v>
      </c>
      <c r="AF498" s="8">
        <v>0</v>
      </c>
      <c r="AG498" s="8">
        <v>25040</v>
      </c>
      <c r="AH498" s="8">
        <v>0</v>
      </c>
      <c r="AI498" s="7" t="s">
        <v>1760</v>
      </c>
      <c r="AJ498" s="7">
        <f t="shared" ca="1" si="103"/>
        <v>1</v>
      </c>
      <c r="AK498" s="96">
        <f t="shared" si="104"/>
        <v>6.0910501928054632E-4</v>
      </c>
      <c r="AL498" s="97">
        <f t="shared" si="105"/>
        <v>4.775404591330258E-4</v>
      </c>
    </row>
    <row r="499" spans="1:38" x14ac:dyDescent="0.3">
      <c r="A499" s="7" t="s">
        <v>2081</v>
      </c>
      <c r="B499" s="7" t="s">
        <v>194</v>
      </c>
      <c r="C499" s="7" t="s">
        <v>1432</v>
      </c>
      <c r="D499" s="7" t="s">
        <v>1780</v>
      </c>
      <c r="E499" s="7" t="s">
        <v>1322</v>
      </c>
      <c r="F499" s="36">
        <v>44866</v>
      </c>
      <c r="G499" s="36">
        <v>45961</v>
      </c>
      <c r="H499" s="36">
        <v>45961</v>
      </c>
      <c r="I499" s="36">
        <v>46326</v>
      </c>
      <c r="J499" s="7" t="s">
        <v>1239</v>
      </c>
      <c r="K499" s="8">
        <v>4167.7700000000004</v>
      </c>
      <c r="L499" s="8">
        <v>329.84673299999997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f t="shared" si="102"/>
        <v>4497.6167330000007</v>
      </c>
      <c r="S499" s="8">
        <v>0</v>
      </c>
      <c r="T499" s="8">
        <v>166.67486400000001</v>
      </c>
      <c r="U499" s="8">
        <v>0</v>
      </c>
      <c r="V499" s="8">
        <v>4277.769456</v>
      </c>
      <c r="W499" s="8">
        <v>0</v>
      </c>
      <c r="X499" s="8">
        <v>100026.543483</v>
      </c>
      <c r="Y499" s="8">
        <v>0</v>
      </c>
      <c r="Z499" s="8">
        <v>0</v>
      </c>
      <c r="AA499" s="7">
        <v>3.8356159999999999</v>
      </c>
      <c r="AB499" s="8">
        <v>95748.774027000007</v>
      </c>
      <c r="AC499" s="7">
        <v>2.0449999999999999</v>
      </c>
      <c r="AD499" s="7" t="s">
        <v>1226</v>
      </c>
      <c r="AE499" s="8">
        <v>99555.576767999999</v>
      </c>
      <c r="AF499" s="8">
        <v>0</v>
      </c>
      <c r="AG499" s="8">
        <v>99555.576767999999</v>
      </c>
      <c r="AH499" s="8">
        <v>0</v>
      </c>
      <c r="AI499" s="7" t="s">
        <v>1758</v>
      </c>
      <c r="AJ499" s="7">
        <f t="shared" ca="1" si="103"/>
        <v>1</v>
      </c>
      <c r="AK499" s="96">
        <f t="shared" si="104"/>
        <v>2.4602596564222354E-3</v>
      </c>
      <c r="AL499" s="97">
        <f t="shared" si="105"/>
        <v>1.2942360675032589E-3</v>
      </c>
    </row>
    <row r="500" spans="1:38" x14ac:dyDescent="0.3">
      <c r="A500" s="7" t="s">
        <v>2082</v>
      </c>
      <c r="B500" s="7" t="s">
        <v>194</v>
      </c>
      <c r="C500" s="7" t="s">
        <v>1432</v>
      </c>
      <c r="D500" s="7" t="s">
        <v>1780</v>
      </c>
      <c r="E500" s="7" t="s">
        <v>1773</v>
      </c>
      <c r="F500" s="36">
        <v>44869</v>
      </c>
      <c r="G500" s="36">
        <v>45964</v>
      </c>
      <c r="H500" s="36">
        <v>45964</v>
      </c>
      <c r="I500" s="36">
        <v>46329</v>
      </c>
      <c r="J500" s="7" t="s">
        <v>1239</v>
      </c>
      <c r="K500" s="8">
        <v>951.33</v>
      </c>
      <c r="L500" s="8">
        <v>114.00205800000001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f t="shared" si="102"/>
        <v>1065.332058</v>
      </c>
      <c r="S500" s="8">
        <v>0</v>
      </c>
      <c r="T500" s="8">
        <v>59.910697999999996</v>
      </c>
      <c r="U500" s="8">
        <v>0</v>
      </c>
      <c r="V500" s="8">
        <v>78.978188000000003</v>
      </c>
      <c r="W500" s="8">
        <v>0</v>
      </c>
      <c r="X500" s="8">
        <v>24033.723346999999</v>
      </c>
      <c r="Y500" s="8">
        <v>0</v>
      </c>
      <c r="Z500" s="8">
        <v>0</v>
      </c>
      <c r="AA500" s="7">
        <v>3.843836</v>
      </c>
      <c r="AB500" s="8">
        <v>23954.745158999998</v>
      </c>
      <c r="AC500" s="7">
        <v>3</v>
      </c>
      <c r="AD500" s="7" t="s">
        <v>1226</v>
      </c>
      <c r="AE500" s="8">
        <v>26362.646486000001</v>
      </c>
      <c r="AF500" s="8">
        <v>0</v>
      </c>
      <c r="AG500" s="8">
        <v>26362.646486000001</v>
      </c>
      <c r="AH500" s="8">
        <v>0</v>
      </c>
      <c r="AI500" s="7" t="s">
        <v>1781</v>
      </c>
      <c r="AJ500" s="7">
        <f t="shared" ca="1" si="103"/>
        <v>1</v>
      </c>
      <c r="AK500" s="96">
        <f t="shared" si="104"/>
        <v>6.1683499757271391E-4</v>
      </c>
      <c r="AL500" s="97">
        <f t="shared" si="105"/>
        <v>5.0276478861366173E-4</v>
      </c>
    </row>
    <row r="501" spans="1:38" x14ac:dyDescent="0.3">
      <c r="A501" s="7" t="s">
        <v>2083</v>
      </c>
      <c r="B501" s="7" t="s">
        <v>194</v>
      </c>
      <c r="C501" s="7" t="s">
        <v>1805</v>
      </c>
      <c r="D501" s="7" t="s">
        <v>1780</v>
      </c>
      <c r="E501" s="7" t="s">
        <v>1322</v>
      </c>
      <c r="F501" s="36">
        <v>44805</v>
      </c>
      <c r="G501" s="36">
        <v>45900</v>
      </c>
      <c r="H501" s="36">
        <v>45900</v>
      </c>
      <c r="I501" s="36">
        <v>45900</v>
      </c>
      <c r="J501" s="7" t="s">
        <v>1239</v>
      </c>
      <c r="K501" s="8">
        <v>25.4</v>
      </c>
      <c r="L501" s="8">
        <v>2.2999999999999998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f t="shared" si="102"/>
        <v>27.7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228.50846000000001</v>
      </c>
      <c r="Y501" s="8">
        <v>0</v>
      </c>
      <c r="Z501" s="8">
        <v>0</v>
      </c>
      <c r="AA501" s="7">
        <v>2.6684929999999998</v>
      </c>
      <c r="AB501" s="8">
        <v>230.80846</v>
      </c>
      <c r="AC501" s="7">
        <v>3</v>
      </c>
      <c r="AD501" s="7" t="s">
        <v>1226</v>
      </c>
      <c r="AE501" s="8">
        <v>0</v>
      </c>
      <c r="AF501" s="8">
        <v>250</v>
      </c>
      <c r="AG501" s="8">
        <v>250</v>
      </c>
      <c r="AH501" s="8">
        <v>0</v>
      </c>
      <c r="AI501" s="7" t="s">
        <v>2084</v>
      </c>
      <c r="AJ501" s="7">
        <f t="shared" ca="1" si="103"/>
        <v>1</v>
      </c>
      <c r="AK501" s="96">
        <f t="shared" si="104"/>
        <v>4.1260111070606007E-6</v>
      </c>
      <c r="AL501" s="97">
        <f t="shared" si="105"/>
        <v>0</v>
      </c>
    </row>
    <row r="502" spans="1:38" x14ac:dyDescent="0.3">
      <c r="A502" s="7" t="s">
        <v>2085</v>
      </c>
      <c r="B502" s="7" t="s">
        <v>194</v>
      </c>
      <c r="C502" s="7" t="s">
        <v>1805</v>
      </c>
      <c r="D502" s="7" t="s">
        <v>1324</v>
      </c>
      <c r="E502" s="7" t="s">
        <v>1322</v>
      </c>
      <c r="F502" s="36">
        <v>44805</v>
      </c>
      <c r="G502" s="36">
        <v>45900</v>
      </c>
      <c r="H502" s="36">
        <v>45900</v>
      </c>
      <c r="I502" s="36">
        <v>45900</v>
      </c>
      <c r="J502" s="7" t="s">
        <v>1239</v>
      </c>
      <c r="K502" s="8">
        <v>747.39</v>
      </c>
      <c r="L502" s="8">
        <v>62.886349000000003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f t="shared" si="102"/>
        <v>810.27634899999998</v>
      </c>
      <c r="S502" s="8">
        <v>0</v>
      </c>
      <c r="T502" s="8">
        <v>45.215716</v>
      </c>
      <c r="U502" s="8">
        <v>0</v>
      </c>
      <c r="V502" s="8">
        <v>695.52428399999997</v>
      </c>
      <c r="W502" s="8">
        <v>0</v>
      </c>
      <c r="X502" s="8">
        <v>6726.5490149999996</v>
      </c>
      <c r="Y502" s="8">
        <v>0</v>
      </c>
      <c r="Z502" s="8">
        <v>0</v>
      </c>
      <c r="AA502" s="7">
        <v>2.6684929999999998</v>
      </c>
      <c r="AB502" s="8">
        <v>6034.4747310000002</v>
      </c>
      <c r="AC502" s="7">
        <v>3</v>
      </c>
      <c r="AD502" s="7" t="s">
        <v>1226</v>
      </c>
      <c r="AE502" s="8">
        <v>5925.92</v>
      </c>
      <c r="AF502" s="8">
        <v>375.01</v>
      </c>
      <c r="AG502" s="8">
        <v>6300.93</v>
      </c>
      <c r="AH502" s="8">
        <v>0</v>
      </c>
      <c r="AI502" s="7" t="s">
        <v>2086</v>
      </c>
      <c r="AJ502" s="7">
        <f t="shared" ca="1" si="103"/>
        <v>1</v>
      </c>
      <c r="AK502" s="96">
        <f t="shared" si="104"/>
        <v>1.0787433773173882E-4</v>
      </c>
      <c r="AL502" s="97">
        <f t="shared" si="105"/>
        <v>1.1301384015916854E-4</v>
      </c>
    </row>
    <row r="503" spans="1:38" x14ac:dyDescent="0.3">
      <c r="A503" s="7" t="s">
        <v>2087</v>
      </c>
      <c r="B503" s="7" t="s">
        <v>194</v>
      </c>
      <c r="C503" s="7" t="s">
        <v>1805</v>
      </c>
      <c r="D503" s="7" t="s">
        <v>1780</v>
      </c>
      <c r="E503" s="7" t="s">
        <v>1322</v>
      </c>
      <c r="F503" s="36">
        <v>44805</v>
      </c>
      <c r="G503" s="36">
        <v>45900</v>
      </c>
      <c r="H503" s="36">
        <v>45900</v>
      </c>
      <c r="I503" s="36">
        <v>46265</v>
      </c>
      <c r="J503" s="7" t="s">
        <v>1239</v>
      </c>
      <c r="K503" s="8">
        <v>7722.48</v>
      </c>
      <c r="L503" s="8">
        <v>601.705017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f t="shared" si="102"/>
        <v>8324.1850169999998</v>
      </c>
      <c r="S503" s="8">
        <v>0</v>
      </c>
      <c r="T503" s="8">
        <v>455.62653299999999</v>
      </c>
      <c r="U503" s="8">
        <v>0</v>
      </c>
      <c r="V503" s="8">
        <v>6951.3734670000003</v>
      </c>
      <c r="W503" s="8">
        <v>0</v>
      </c>
      <c r="X503" s="8">
        <v>92669.799041000006</v>
      </c>
      <c r="Y503" s="8">
        <v>0</v>
      </c>
      <c r="Z503" s="8">
        <v>0</v>
      </c>
      <c r="AA503" s="7">
        <v>3.6684929999999998</v>
      </c>
      <c r="AB503" s="8">
        <v>85718.425573999994</v>
      </c>
      <c r="AC503" s="7">
        <v>2.0449999999999999</v>
      </c>
      <c r="AD503" s="7" t="s">
        <v>1226</v>
      </c>
      <c r="AE503" s="8">
        <v>89256</v>
      </c>
      <c r="AF503" s="8">
        <v>0</v>
      </c>
      <c r="AG503" s="8">
        <v>89256</v>
      </c>
      <c r="AH503" s="8">
        <v>0</v>
      </c>
      <c r="AI503" s="7" t="s">
        <v>1760</v>
      </c>
      <c r="AJ503" s="7">
        <f t="shared" ca="1" si="103"/>
        <v>1</v>
      </c>
      <c r="AK503" s="96">
        <f t="shared" si="104"/>
        <v>2.1065631451819972E-3</v>
      </c>
      <c r="AL503" s="97">
        <f t="shared" si="105"/>
        <v>1.1603401656772056E-3</v>
      </c>
    </row>
    <row r="504" spans="1:38" x14ac:dyDescent="0.3">
      <c r="A504" s="7" t="s">
        <v>2088</v>
      </c>
      <c r="B504" s="7" t="s">
        <v>194</v>
      </c>
      <c r="C504" s="7" t="s">
        <v>1805</v>
      </c>
      <c r="D504" s="7" t="s">
        <v>1780</v>
      </c>
      <c r="E504" s="7" t="s">
        <v>1773</v>
      </c>
      <c r="F504" s="36">
        <v>44866</v>
      </c>
      <c r="G504" s="36">
        <v>45900</v>
      </c>
      <c r="H504" s="36">
        <v>45900</v>
      </c>
      <c r="I504" s="36">
        <v>47361</v>
      </c>
      <c r="J504" s="7" t="s">
        <v>1239</v>
      </c>
      <c r="K504" s="8">
        <v>2802.97</v>
      </c>
      <c r="L504" s="8">
        <v>541.60924799999998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f t="shared" si="102"/>
        <v>3344.579248</v>
      </c>
      <c r="S504" s="8">
        <v>0</v>
      </c>
      <c r="T504" s="8">
        <v>270.849265</v>
      </c>
      <c r="U504" s="8">
        <v>0</v>
      </c>
      <c r="V504" s="8">
        <v>346.41073499999999</v>
      </c>
      <c r="W504" s="8">
        <v>0</v>
      </c>
      <c r="X504" s="8">
        <v>114921.60060600001</v>
      </c>
      <c r="Y504" s="8">
        <v>0</v>
      </c>
      <c r="Z504" s="8">
        <v>0</v>
      </c>
      <c r="AA504" s="7">
        <v>6.671233</v>
      </c>
      <c r="AB504" s="8">
        <v>114575.189871</v>
      </c>
      <c r="AC504" s="7">
        <v>2.8357969999999999</v>
      </c>
      <c r="AD504" s="7" t="s">
        <v>1226</v>
      </c>
      <c r="AE504" s="8">
        <v>129876.16</v>
      </c>
      <c r="AF504" s="8">
        <v>0</v>
      </c>
      <c r="AG504" s="8">
        <v>129876.16</v>
      </c>
      <c r="AH504" s="8">
        <v>0</v>
      </c>
      <c r="AI504" s="7" t="s">
        <v>1781</v>
      </c>
      <c r="AJ504" s="7">
        <f t="shared" ca="1" si="103"/>
        <v>1</v>
      </c>
      <c r="AK504" s="96">
        <f t="shared" si="104"/>
        <v>5.1204637541497101E-3</v>
      </c>
      <c r="AL504" s="97">
        <f t="shared" si="105"/>
        <v>2.3413113563142112E-3</v>
      </c>
    </row>
    <row r="505" spans="1:38" x14ac:dyDescent="0.3">
      <c r="A505" s="7" t="s">
        <v>2089</v>
      </c>
      <c r="B505" s="7" t="s">
        <v>1768</v>
      </c>
      <c r="C505" s="7" t="s">
        <v>1805</v>
      </c>
      <c r="D505" s="7" t="s">
        <v>1780</v>
      </c>
      <c r="E505" s="7" t="s">
        <v>1733</v>
      </c>
      <c r="F505" s="36">
        <v>44805</v>
      </c>
      <c r="G505" s="36">
        <v>46265</v>
      </c>
      <c r="H505" s="36">
        <v>46265</v>
      </c>
      <c r="I505" s="36">
        <v>47726</v>
      </c>
      <c r="J505" s="7" t="s">
        <v>1696</v>
      </c>
      <c r="K505" s="8">
        <v>0</v>
      </c>
      <c r="L505" s="8">
        <v>0</v>
      </c>
      <c r="M505" s="8">
        <v>44937.998147999999</v>
      </c>
      <c r="N505" s="8">
        <v>0</v>
      </c>
      <c r="O505" s="8">
        <v>0</v>
      </c>
      <c r="P505" s="8">
        <v>0</v>
      </c>
      <c r="Q505" s="8">
        <v>0</v>
      </c>
      <c r="R505" s="8">
        <f t="shared" si="102"/>
        <v>44937.998147999999</v>
      </c>
      <c r="S505" s="8">
        <v>0</v>
      </c>
      <c r="T505" s="8">
        <v>0</v>
      </c>
      <c r="U505" s="8">
        <v>9876</v>
      </c>
      <c r="V505" s="8">
        <v>0</v>
      </c>
      <c r="W505" s="8">
        <v>0</v>
      </c>
      <c r="X505" s="8">
        <v>0</v>
      </c>
      <c r="Y505" s="8">
        <v>984660.52742099995</v>
      </c>
      <c r="Z505" s="8">
        <v>0</v>
      </c>
      <c r="AA505" s="7">
        <v>7.671233</v>
      </c>
      <c r="AB505" s="8">
        <v>980203.76556900004</v>
      </c>
      <c r="AC505" s="7">
        <v>1.658067</v>
      </c>
      <c r="AD505" s="7" t="s">
        <v>1226</v>
      </c>
      <c r="AE505" s="8">
        <v>1068636</v>
      </c>
      <c r="AF505" s="8">
        <v>0</v>
      </c>
      <c r="AG505" s="8">
        <v>1068636</v>
      </c>
      <c r="AH505" s="8">
        <v>0</v>
      </c>
      <c r="AI505" s="7" t="s">
        <v>2090</v>
      </c>
      <c r="AJ505" s="7">
        <f t="shared" ca="1" si="103"/>
        <v>1</v>
      </c>
      <c r="AK505" s="96">
        <f>(+AA505*AB505)/$AB$1102</f>
        <v>6.5901576717273388E-3</v>
      </c>
      <c r="AL505" s="97">
        <f>AC505/$AE$1102*AE505</f>
        <v>1.5161199138212142E-3</v>
      </c>
    </row>
    <row r="506" spans="1:38" x14ac:dyDescent="0.3">
      <c r="A506" s="7" t="s">
        <v>2091</v>
      </c>
      <c r="B506" s="7" t="s">
        <v>194</v>
      </c>
      <c r="C506" s="7" t="s">
        <v>1432</v>
      </c>
      <c r="D506" s="7" t="s">
        <v>1324</v>
      </c>
      <c r="E506" s="7" t="s">
        <v>1322</v>
      </c>
      <c r="F506" s="36">
        <v>44805</v>
      </c>
      <c r="G506" s="36">
        <v>45900</v>
      </c>
      <c r="H506" s="36">
        <v>45900</v>
      </c>
      <c r="I506" s="36">
        <v>46996</v>
      </c>
      <c r="J506" s="7" t="s">
        <v>1239</v>
      </c>
      <c r="K506" s="8">
        <v>28996.19</v>
      </c>
      <c r="L506" s="8">
        <v>4025.7170270000001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f t="shared" si="102"/>
        <v>33021.907027000001</v>
      </c>
      <c r="S506" s="8">
        <v>0</v>
      </c>
      <c r="T506" s="8">
        <v>3000.0001499999998</v>
      </c>
      <c r="U506" s="8">
        <v>0</v>
      </c>
      <c r="V506" s="8">
        <v>1000.00005</v>
      </c>
      <c r="W506" s="8">
        <v>0</v>
      </c>
      <c r="X506" s="8">
        <v>521931.54281999997</v>
      </c>
      <c r="Y506" s="8">
        <v>0</v>
      </c>
      <c r="Z506" s="8">
        <v>0</v>
      </c>
      <c r="AA506" s="7">
        <v>5.671233</v>
      </c>
      <c r="AB506" s="8">
        <v>520931.54277</v>
      </c>
      <c r="AC506" s="7">
        <v>2.318333</v>
      </c>
      <c r="AD506" s="7" t="s">
        <v>1226</v>
      </c>
      <c r="AE506" s="8">
        <v>572000.02859999996</v>
      </c>
      <c r="AF506" s="8">
        <v>0</v>
      </c>
      <c r="AG506" s="8">
        <v>572000.02859999996</v>
      </c>
      <c r="AH506" s="8">
        <v>0</v>
      </c>
      <c r="AI506" s="7" t="s">
        <v>1760</v>
      </c>
      <c r="AJ506" s="7">
        <f t="shared" ca="1" si="103"/>
        <v>1</v>
      </c>
      <c r="AK506" s="96">
        <f t="shared" si="104"/>
        <v>1.979113708757349E-2</v>
      </c>
      <c r="AL506" s="97">
        <f t="shared" si="105"/>
        <v>8.429978384746184E-3</v>
      </c>
    </row>
    <row r="507" spans="1:38" x14ac:dyDescent="0.3">
      <c r="A507" s="7" t="s">
        <v>2092</v>
      </c>
      <c r="B507" s="7" t="s">
        <v>194</v>
      </c>
      <c r="C507" s="7" t="s">
        <v>1769</v>
      </c>
      <c r="D507" s="7" t="s">
        <v>1324</v>
      </c>
      <c r="E507" s="7" t="s">
        <v>1322</v>
      </c>
      <c r="F507" s="36">
        <v>44805</v>
      </c>
      <c r="G507" s="36">
        <v>45900</v>
      </c>
      <c r="H507" s="36">
        <v>45900</v>
      </c>
      <c r="I507" s="36">
        <v>45900</v>
      </c>
      <c r="J507" s="7" t="s">
        <v>1239</v>
      </c>
      <c r="K507" s="8">
        <v>7943.46</v>
      </c>
      <c r="L507" s="8">
        <v>670.61364000000003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f t="shared" si="102"/>
        <v>8614.0736400000005</v>
      </c>
      <c r="S507" s="8">
        <v>0</v>
      </c>
      <c r="T507" s="8">
        <v>457.809594</v>
      </c>
      <c r="U507" s="8">
        <v>0</v>
      </c>
      <c r="V507" s="8">
        <v>7042.1904059999997</v>
      </c>
      <c r="W507" s="8">
        <v>0</v>
      </c>
      <c r="X507" s="8">
        <v>71491.062395999994</v>
      </c>
      <c r="Y507" s="8">
        <v>0</v>
      </c>
      <c r="Z507" s="8">
        <v>0</v>
      </c>
      <c r="AA507" s="7">
        <v>2.6684929999999998</v>
      </c>
      <c r="AB507" s="8">
        <v>64517.691989999999</v>
      </c>
      <c r="AC507" s="7">
        <v>3</v>
      </c>
      <c r="AD507" s="7" t="s">
        <v>1226</v>
      </c>
      <c r="AE507" s="8">
        <v>60000</v>
      </c>
      <c r="AF507" s="8">
        <v>7500</v>
      </c>
      <c r="AG507" s="8">
        <v>67500</v>
      </c>
      <c r="AH507" s="8">
        <v>0</v>
      </c>
      <c r="AI507" s="7" t="s">
        <v>1781</v>
      </c>
      <c r="AJ507" s="7">
        <f t="shared" ca="1" si="103"/>
        <v>1</v>
      </c>
      <c r="AK507" s="96">
        <f t="shared" si="104"/>
        <v>1.1533403660882048E-3</v>
      </c>
      <c r="AL507" s="97">
        <f t="shared" si="105"/>
        <v>1.1442662758778574E-3</v>
      </c>
    </row>
    <row r="508" spans="1:38" x14ac:dyDescent="0.3">
      <c r="A508" s="7" t="s">
        <v>2093</v>
      </c>
      <c r="B508" s="7" t="s">
        <v>194</v>
      </c>
      <c r="C508" s="7" t="s">
        <v>1805</v>
      </c>
      <c r="D508" s="7" t="s">
        <v>1780</v>
      </c>
      <c r="E508" s="7" t="s">
        <v>1322</v>
      </c>
      <c r="F508" s="36">
        <v>44805</v>
      </c>
      <c r="G508" s="36">
        <v>46265</v>
      </c>
      <c r="H508" s="36">
        <v>46265</v>
      </c>
      <c r="I508" s="36">
        <v>47726</v>
      </c>
      <c r="J508" s="7" t="s">
        <v>1239</v>
      </c>
      <c r="K508" s="8">
        <v>749.76</v>
      </c>
      <c r="L508" s="8">
        <v>96.891626000000002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f t="shared" si="102"/>
        <v>846.65162599999996</v>
      </c>
      <c r="S508" s="8">
        <v>0</v>
      </c>
      <c r="T508" s="8">
        <v>73.032948000000005</v>
      </c>
      <c r="U508" s="8">
        <v>0</v>
      </c>
      <c r="V508" s="8">
        <v>726.96705199999997</v>
      </c>
      <c r="W508" s="8">
        <v>0</v>
      </c>
      <c r="X508" s="8">
        <v>17994.31148</v>
      </c>
      <c r="Y508" s="8">
        <v>0</v>
      </c>
      <c r="Z508" s="8">
        <v>0</v>
      </c>
      <c r="AA508" s="7">
        <v>7.671233</v>
      </c>
      <c r="AB508" s="8">
        <v>17267.344428</v>
      </c>
      <c r="AC508" s="7">
        <v>1.658067</v>
      </c>
      <c r="AD508" s="7" t="s">
        <v>1226</v>
      </c>
      <c r="AE508" s="8">
        <v>18400</v>
      </c>
      <c r="AF508" s="8">
        <v>0</v>
      </c>
      <c r="AG508" s="8">
        <v>18400</v>
      </c>
      <c r="AH508" s="8">
        <v>0</v>
      </c>
      <c r="AI508" s="7" t="s">
        <v>1760</v>
      </c>
      <c r="AJ508" s="7">
        <f t="shared" ca="1" si="103"/>
        <v>1</v>
      </c>
      <c r="AK508" s="96">
        <f t="shared" si="104"/>
        <v>8.8736710917319231E-4</v>
      </c>
      <c r="AL508" s="97">
        <f t="shared" si="105"/>
        <v>1.9394317101625484E-4</v>
      </c>
    </row>
    <row r="509" spans="1:38" x14ac:dyDescent="0.3">
      <c r="A509" s="7" t="s">
        <v>2094</v>
      </c>
      <c r="B509" s="7" t="s">
        <v>194</v>
      </c>
      <c r="C509" s="7" t="s">
        <v>1432</v>
      </c>
      <c r="D509" s="7" t="s">
        <v>1780</v>
      </c>
      <c r="E509" s="7" t="s">
        <v>1322</v>
      </c>
      <c r="F509" s="36">
        <v>44805</v>
      </c>
      <c r="G509" s="36">
        <v>45900</v>
      </c>
      <c r="H509" s="36">
        <v>45900</v>
      </c>
      <c r="I509" s="36">
        <v>45900</v>
      </c>
      <c r="J509" s="7" t="s">
        <v>1239</v>
      </c>
      <c r="K509" s="8">
        <v>3446.43</v>
      </c>
      <c r="L509" s="8">
        <v>292.782555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f t="shared" si="102"/>
        <v>3739.2125550000001</v>
      </c>
      <c r="S509" s="8">
        <v>0</v>
      </c>
      <c r="T509" s="8">
        <v>180.85309799999999</v>
      </c>
      <c r="U509" s="8">
        <v>0</v>
      </c>
      <c r="V509" s="8">
        <v>2781.9469020000001</v>
      </c>
      <c r="W509" s="8">
        <v>0</v>
      </c>
      <c r="X509" s="8">
        <v>31017.932862000001</v>
      </c>
      <c r="Y509" s="8">
        <v>0</v>
      </c>
      <c r="Z509" s="8">
        <v>0</v>
      </c>
      <c r="AA509" s="7">
        <v>2.6684929999999998</v>
      </c>
      <c r="AB509" s="8">
        <v>28291.035960000001</v>
      </c>
      <c r="AC509" s="7">
        <v>3</v>
      </c>
      <c r="AD509" s="7" t="s">
        <v>1226</v>
      </c>
      <c r="AE509" s="8">
        <v>23702.400000000001</v>
      </c>
      <c r="AF509" s="8">
        <v>6000</v>
      </c>
      <c r="AG509" s="8">
        <v>29702.400000000001</v>
      </c>
      <c r="AH509" s="8">
        <v>0</v>
      </c>
      <c r="AI509" s="7" t="s">
        <v>1781</v>
      </c>
      <c r="AJ509" s="7">
        <f t="shared" ca="1" si="103"/>
        <v>1</v>
      </c>
      <c r="AK509" s="96">
        <f t="shared" si="104"/>
        <v>5.0574025146743256E-4</v>
      </c>
      <c r="AL509" s="97">
        <f t="shared" si="105"/>
        <v>4.5203094962278879E-4</v>
      </c>
    </row>
    <row r="510" spans="1:38" x14ac:dyDescent="0.3">
      <c r="A510" s="7" t="s">
        <v>2095</v>
      </c>
      <c r="B510" s="7" t="s">
        <v>1320</v>
      </c>
      <c r="C510" s="7" t="s">
        <v>1769</v>
      </c>
      <c r="D510" s="7" t="s">
        <v>1324</v>
      </c>
      <c r="E510" s="7" t="s">
        <v>1322</v>
      </c>
      <c r="F510" s="36">
        <v>44743</v>
      </c>
      <c r="G510" s="36">
        <v>45838</v>
      </c>
      <c r="H510" s="36">
        <v>45838</v>
      </c>
      <c r="I510" s="36">
        <v>46934</v>
      </c>
      <c r="J510" s="7" t="s">
        <v>1239</v>
      </c>
      <c r="K510" s="8">
        <v>10383.1</v>
      </c>
      <c r="L510" s="8">
        <v>1375.90987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f t="shared" si="102"/>
        <v>11759.00987</v>
      </c>
      <c r="S510" s="8">
        <v>0</v>
      </c>
      <c r="T510" s="8">
        <v>1154.4301800000001</v>
      </c>
      <c r="U510" s="8">
        <v>0</v>
      </c>
      <c r="V510" s="8">
        <v>9956.0698200000006</v>
      </c>
      <c r="W510" s="8">
        <v>0</v>
      </c>
      <c r="X510" s="8">
        <v>124596.90478</v>
      </c>
      <c r="Y510" s="8">
        <v>0</v>
      </c>
      <c r="Z510" s="8">
        <v>0</v>
      </c>
      <c r="AA510" s="7">
        <v>5.5013699999999996</v>
      </c>
      <c r="AB510" s="8">
        <v>114640.83495999999</v>
      </c>
      <c r="AC510" s="7">
        <v>2.318333</v>
      </c>
      <c r="AD510" s="7" t="s">
        <v>1226</v>
      </c>
      <c r="AE510" s="8">
        <v>122215.5</v>
      </c>
      <c r="AF510" s="8">
        <v>0</v>
      </c>
      <c r="AG510" s="8">
        <v>122215.5</v>
      </c>
      <c r="AH510" s="8">
        <v>0</v>
      </c>
      <c r="AI510" s="7" t="s">
        <v>1760</v>
      </c>
      <c r="AJ510" s="7">
        <f t="shared" ca="1" si="103"/>
        <v>1</v>
      </c>
      <c r="AK510" s="96">
        <f t="shared" si="104"/>
        <v>4.2249618994698989E-3</v>
      </c>
      <c r="AL510" s="97">
        <f t="shared" si="105"/>
        <v>1.8011782723203651E-3</v>
      </c>
    </row>
    <row r="511" spans="1:38" x14ac:dyDescent="0.3">
      <c r="A511" s="7" t="s">
        <v>2096</v>
      </c>
      <c r="B511" s="7" t="s">
        <v>194</v>
      </c>
      <c r="C511" s="7" t="s">
        <v>1805</v>
      </c>
      <c r="D511" s="7" t="s">
        <v>1324</v>
      </c>
      <c r="E511" s="7" t="s">
        <v>1695</v>
      </c>
      <c r="F511" s="36">
        <v>44743</v>
      </c>
      <c r="G511" s="36">
        <v>45838</v>
      </c>
      <c r="H511" s="36">
        <v>44835</v>
      </c>
      <c r="I511" s="36">
        <v>44835</v>
      </c>
      <c r="J511" s="7" t="s">
        <v>1239</v>
      </c>
      <c r="K511" s="8">
        <v>2127.8108160000002</v>
      </c>
      <c r="L511" s="8">
        <v>180.85309799999999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f t="shared" si="102"/>
        <v>2308.6639140000002</v>
      </c>
      <c r="S511" s="8">
        <v>0</v>
      </c>
      <c r="T511" s="8">
        <v>122.268354</v>
      </c>
      <c r="U511" s="8">
        <v>0</v>
      </c>
      <c r="V511" s="8">
        <v>2099.8316460000001</v>
      </c>
      <c r="W511" s="8">
        <v>0</v>
      </c>
      <c r="X511" s="8">
        <v>25533.729836999999</v>
      </c>
      <c r="Y511" s="8">
        <v>0</v>
      </c>
      <c r="Z511" s="8">
        <v>-23405.919021000002</v>
      </c>
      <c r="AA511" s="7">
        <v>0</v>
      </c>
      <c r="AB511" s="8">
        <v>0</v>
      </c>
      <c r="AC511" s="7">
        <v>3</v>
      </c>
      <c r="AD511" s="7" t="s">
        <v>1226</v>
      </c>
      <c r="AE511" s="8">
        <v>0</v>
      </c>
      <c r="AF511" s="8">
        <v>0</v>
      </c>
      <c r="AG511" s="8">
        <v>0</v>
      </c>
      <c r="AH511" s="8">
        <v>0</v>
      </c>
      <c r="AI511" s="7" t="s">
        <v>1781</v>
      </c>
      <c r="AJ511" s="7">
        <f t="shared" ca="1" si="103"/>
        <v>1</v>
      </c>
      <c r="AK511" s="96">
        <f t="shared" si="104"/>
        <v>0</v>
      </c>
      <c r="AL511" s="97">
        <f t="shared" si="105"/>
        <v>0</v>
      </c>
    </row>
    <row r="512" spans="1:38" x14ac:dyDescent="0.3">
      <c r="A512" s="7" t="s">
        <v>2097</v>
      </c>
      <c r="B512" s="7" t="s">
        <v>194</v>
      </c>
      <c r="C512" s="7" t="s">
        <v>1805</v>
      </c>
      <c r="D512" s="7" t="s">
        <v>1324</v>
      </c>
      <c r="E512" s="7" t="s">
        <v>1773</v>
      </c>
      <c r="F512" s="36">
        <v>44835</v>
      </c>
      <c r="G512" s="36">
        <v>45565</v>
      </c>
      <c r="H512" s="36">
        <v>45565</v>
      </c>
      <c r="I512" s="36">
        <v>45565</v>
      </c>
      <c r="J512" s="7" t="s">
        <v>1239</v>
      </c>
      <c r="K512" s="8">
        <v>3622.68</v>
      </c>
      <c r="L512" s="8">
        <v>134.20882800000001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f t="shared" si="102"/>
        <v>3756.8888279999996</v>
      </c>
      <c r="S512" s="8">
        <v>0</v>
      </c>
      <c r="T512" s="8">
        <v>150.054078</v>
      </c>
      <c r="U512" s="8">
        <v>0</v>
      </c>
      <c r="V512" s="8">
        <v>3553.9859219999998</v>
      </c>
      <c r="W512" s="8">
        <v>0</v>
      </c>
      <c r="X512" s="8">
        <v>0</v>
      </c>
      <c r="Y512" s="8">
        <v>0</v>
      </c>
      <c r="Z512" s="8">
        <v>28981.523409000001</v>
      </c>
      <c r="AA512" s="7">
        <v>1.750685</v>
      </c>
      <c r="AB512" s="8">
        <v>25455.516657</v>
      </c>
      <c r="AC512" s="7">
        <v>2.0147849999999998</v>
      </c>
      <c r="AD512" s="7" t="s">
        <v>1226</v>
      </c>
      <c r="AE512" s="8">
        <v>25928.28</v>
      </c>
      <c r="AF512" s="8">
        <v>0</v>
      </c>
      <c r="AG512" s="8">
        <v>25928.28</v>
      </c>
      <c r="AH512" s="8">
        <v>0</v>
      </c>
      <c r="AI512" s="7" t="s">
        <v>1781</v>
      </c>
      <c r="AJ512" s="7">
        <f t="shared" ca="1" si="103"/>
        <v>1</v>
      </c>
      <c r="AK512" s="96">
        <f t="shared" si="104"/>
        <v>2.9853999990082063E-4</v>
      </c>
      <c r="AL512" s="97">
        <f t="shared" si="105"/>
        <v>3.3209092684913553E-4</v>
      </c>
    </row>
    <row r="513" spans="1:38" x14ac:dyDescent="0.3">
      <c r="A513" s="7" t="s">
        <v>2098</v>
      </c>
      <c r="B513" s="7" t="s">
        <v>194</v>
      </c>
      <c r="C513" s="7" t="s">
        <v>1323</v>
      </c>
      <c r="D513" s="7" t="s">
        <v>1324</v>
      </c>
      <c r="E513" s="7" t="s">
        <v>1322</v>
      </c>
      <c r="F513" s="36">
        <v>44287</v>
      </c>
      <c r="G513" s="36">
        <v>45382</v>
      </c>
      <c r="H513" s="36">
        <v>45382</v>
      </c>
      <c r="I513" s="36">
        <v>45382</v>
      </c>
      <c r="J513" s="7" t="s">
        <v>1239</v>
      </c>
      <c r="K513" s="8">
        <v>264407.34236399998</v>
      </c>
      <c r="L513" s="8">
        <v>67333.608901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f t="shared" si="102"/>
        <v>331740.95126499998</v>
      </c>
      <c r="S513" s="8">
        <v>0</v>
      </c>
      <c r="T513" s="8">
        <v>70422.809181000004</v>
      </c>
      <c r="U513" s="8">
        <v>0</v>
      </c>
      <c r="V513" s="8">
        <v>529577.19081900001</v>
      </c>
      <c r="W513" s="8">
        <v>0</v>
      </c>
      <c r="X513" s="8">
        <v>0</v>
      </c>
      <c r="Y513" s="8">
        <v>0</v>
      </c>
      <c r="Z513" s="8">
        <v>0</v>
      </c>
      <c r="AA513" s="7">
        <v>1.249315</v>
      </c>
      <c r="AB513" s="8">
        <v>716127.23498499999</v>
      </c>
      <c r="AC513" s="7">
        <v>7</v>
      </c>
      <c r="AD513" s="7" t="s">
        <v>1226</v>
      </c>
      <c r="AE513" s="8">
        <v>750000</v>
      </c>
      <c r="AF513" s="8">
        <v>0</v>
      </c>
      <c r="AG513" s="8">
        <v>750000</v>
      </c>
      <c r="AH513" s="8">
        <v>0</v>
      </c>
      <c r="AI513" s="7" t="s">
        <v>1758</v>
      </c>
      <c r="AJ513" s="7">
        <f t="shared" ca="1" si="103"/>
        <v>1</v>
      </c>
      <c r="AK513" s="96">
        <f t="shared" si="104"/>
        <v>5.9934204671163302E-3</v>
      </c>
      <c r="AL513" s="97">
        <f t="shared" si="105"/>
        <v>3.3374433046437509E-2</v>
      </c>
    </row>
    <row r="514" spans="1:38" x14ac:dyDescent="0.3">
      <c r="A514" s="7" t="s">
        <v>2099</v>
      </c>
      <c r="B514" s="7" t="s">
        <v>1320</v>
      </c>
      <c r="C514" s="7" t="s">
        <v>1323</v>
      </c>
      <c r="D514" s="7" t="s">
        <v>1324</v>
      </c>
      <c r="E514" s="7" t="s">
        <v>1322</v>
      </c>
      <c r="F514" s="36">
        <v>44197</v>
      </c>
      <c r="G514" s="36">
        <v>45291</v>
      </c>
      <c r="H514" s="36">
        <v>45291</v>
      </c>
      <c r="I514" s="36">
        <v>45291</v>
      </c>
      <c r="J514" s="7" t="s">
        <v>1239</v>
      </c>
      <c r="K514" s="8">
        <v>3191.968652</v>
      </c>
      <c r="L514" s="8">
        <v>142.39721299999999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f t="shared" si="102"/>
        <v>3334.3658650000002</v>
      </c>
      <c r="S514" s="8">
        <v>0</v>
      </c>
      <c r="T514" s="8">
        <v>150.358338</v>
      </c>
      <c r="U514" s="8">
        <v>0</v>
      </c>
      <c r="V514" s="8">
        <v>3183.0496619999999</v>
      </c>
      <c r="W514" s="8">
        <v>0</v>
      </c>
      <c r="X514" s="8">
        <v>0</v>
      </c>
      <c r="Y514" s="8">
        <v>0</v>
      </c>
      <c r="Z514" s="8">
        <v>0.13789199999999999</v>
      </c>
      <c r="AA514" s="7">
        <v>1</v>
      </c>
      <c r="AB514" s="8">
        <v>3279.8189699999998</v>
      </c>
      <c r="AC514" s="7">
        <v>3</v>
      </c>
      <c r="AD514" s="7" t="s">
        <v>1226</v>
      </c>
      <c r="AE514" s="8">
        <v>3333.36</v>
      </c>
      <c r="AF514" s="8">
        <v>0</v>
      </c>
      <c r="AG514" s="8">
        <v>3333.36</v>
      </c>
      <c r="AH514" s="8">
        <v>0</v>
      </c>
      <c r="AI514" s="7" t="s">
        <v>1194</v>
      </c>
      <c r="AJ514" s="7">
        <f t="shared" ca="1" si="103"/>
        <v>1</v>
      </c>
      <c r="AK514" s="96">
        <f t="shared" si="104"/>
        <v>2.1971640019159053E-5</v>
      </c>
      <c r="AL514" s="97">
        <f t="shared" si="105"/>
        <v>6.3570857222670238E-5</v>
      </c>
    </row>
    <row r="515" spans="1:38" x14ac:dyDescent="0.3">
      <c r="A515" s="7" t="s">
        <v>2100</v>
      </c>
      <c r="B515" s="7" t="s">
        <v>1320</v>
      </c>
      <c r="C515" s="7" t="s">
        <v>1323</v>
      </c>
      <c r="D515" s="7" t="s">
        <v>1324</v>
      </c>
      <c r="E515" s="7" t="s">
        <v>1322</v>
      </c>
      <c r="F515" s="36">
        <v>44287</v>
      </c>
      <c r="G515" s="36">
        <v>45382</v>
      </c>
      <c r="H515" s="36">
        <v>45382</v>
      </c>
      <c r="I515" s="36">
        <v>45382</v>
      </c>
      <c r="J515" s="7" t="s">
        <v>1696</v>
      </c>
      <c r="K515" s="8">
        <v>0</v>
      </c>
      <c r="L515" s="8">
        <v>0</v>
      </c>
      <c r="M515" s="8">
        <v>22222.080000000002</v>
      </c>
      <c r="N515" s="8">
        <v>0</v>
      </c>
      <c r="O515" s="8">
        <v>0</v>
      </c>
      <c r="P515" s="8">
        <v>0</v>
      </c>
      <c r="Q515" s="8">
        <v>0</v>
      </c>
      <c r="R515" s="8">
        <f t="shared" ref="R515:R578" si="106">K515+L515+M515+N515+O515+P515+Q515</f>
        <v>22222.080000000002</v>
      </c>
      <c r="S515" s="8">
        <v>0</v>
      </c>
      <c r="T515" s="8">
        <v>0</v>
      </c>
      <c r="U515" s="8">
        <v>22222.080000000002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7">
        <v>1.249315</v>
      </c>
      <c r="AB515" s="8">
        <v>27297.905190000001</v>
      </c>
      <c r="AC515" s="7">
        <v>3</v>
      </c>
      <c r="AD515" s="7" t="s">
        <v>1226</v>
      </c>
      <c r="AE515" s="8">
        <v>27777.599999999999</v>
      </c>
      <c r="AF515" s="8">
        <v>0</v>
      </c>
      <c r="AG515" s="8">
        <v>27777.599999999999</v>
      </c>
      <c r="AH515" s="8">
        <v>0</v>
      </c>
      <c r="AI515" s="7" t="s">
        <v>1730</v>
      </c>
      <c r="AJ515" s="7">
        <f t="shared" ref="AJ515:AJ578" ca="1" si="107">IF(A515=OFFSET(A515,-1,0),OFFSET(AJ515,-1,0)+1,1)</f>
        <v>1</v>
      </c>
      <c r="AK515" s="96">
        <f>(+AA515*AB515)/$AB$1102</f>
        <v>2.9889285979917408E-5</v>
      </c>
      <c r="AL515" s="97">
        <f>AC515/$AE$1102*AE515</f>
        <v>7.1304616805208614E-5</v>
      </c>
    </row>
    <row r="516" spans="1:38" x14ac:dyDescent="0.3">
      <c r="A516" s="7" t="s">
        <v>2101</v>
      </c>
      <c r="B516" s="7" t="s">
        <v>194</v>
      </c>
      <c r="C516" s="7" t="s">
        <v>1323</v>
      </c>
      <c r="D516" s="7" t="s">
        <v>1852</v>
      </c>
      <c r="E516" s="7" t="s">
        <v>1322</v>
      </c>
      <c r="F516" s="36">
        <v>44805</v>
      </c>
      <c r="G516" s="36">
        <v>45657</v>
      </c>
      <c r="H516" s="36">
        <v>45657</v>
      </c>
      <c r="I516" s="36">
        <v>45657</v>
      </c>
      <c r="J516" s="7" t="s">
        <v>1239</v>
      </c>
      <c r="K516" s="8">
        <v>8749.43</v>
      </c>
      <c r="L516" s="8">
        <v>469.73523899999998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f t="shared" si="106"/>
        <v>9219.1652389999999</v>
      </c>
      <c r="S516" s="8">
        <v>0</v>
      </c>
      <c r="T516" s="8">
        <v>359.03086000000002</v>
      </c>
      <c r="U516" s="8">
        <v>0</v>
      </c>
      <c r="V516" s="8">
        <v>8640.9691399999992</v>
      </c>
      <c r="W516" s="8">
        <v>0</v>
      </c>
      <c r="X516" s="8">
        <v>61246.013408999999</v>
      </c>
      <c r="Y516" s="8">
        <v>0</v>
      </c>
      <c r="Z516" s="8">
        <v>0</v>
      </c>
      <c r="AA516" s="7">
        <v>2.0027400000000002</v>
      </c>
      <c r="AB516" s="8">
        <v>52605.044268999998</v>
      </c>
      <c r="AC516" s="7">
        <v>2.5253329999999998</v>
      </c>
      <c r="AD516" s="7" t="s">
        <v>1226</v>
      </c>
      <c r="AE516" s="8">
        <v>54000</v>
      </c>
      <c r="AF516" s="8">
        <v>0</v>
      </c>
      <c r="AG516" s="8">
        <v>54000</v>
      </c>
      <c r="AH516" s="8">
        <v>0</v>
      </c>
      <c r="AI516" s="7" t="s">
        <v>1730</v>
      </c>
      <c r="AJ516" s="7">
        <f t="shared" ca="1" si="107"/>
        <v>1</v>
      </c>
      <c r="AK516" s="96">
        <f t="shared" ref="AK516:AK579" si="108">(+AA516*AB516)/$AB$1101</f>
        <v>7.0577222622243479E-4</v>
      </c>
      <c r="AL516" s="97">
        <f t="shared" ref="AL516:AL579" si="109">AC516/$AE$1101*AE516</f>
        <v>8.6689601617843698E-4</v>
      </c>
    </row>
    <row r="517" spans="1:38" x14ac:dyDescent="0.3">
      <c r="A517" s="7" t="s">
        <v>2102</v>
      </c>
      <c r="B517" s="7" t="s">
        <v>1768</v>
      </c>
      <c r="C517" s="7" t="s">
        <v>1323</v>
      </c>
      <c r="D517" s="7" t="s">
        <v>1324</v>
      </c>
      <c r="E517" s="7" t="s">
        <v>1322</v>
      </c>
      <c r="F517" s="36">
        <v>44682</v>
      </c>
      <c r="G517" s="36">
        <v>46507</v>
      </c>
      <c r="H517" s="36">
        <v>46507</v>
      </c>
      <c r="I517" s="36">
        <v>46507</v>
      </c>
      <c r="J517" s="7" t="s">
        <v>1696</v>
      </c>
      <c r="K517" s="8">
        <v>0</v>
      </c>
      <c r="L517" s="8">
        <v>0</v>
      </c>
      <c r="M517" s="8">
        <v>1975295.9945380001</v>
      </c>
      <c r="N517" s="8">
        <v>0</v>
      </c>
      <c r="O517" s="8">
        <v>0</v>
      </c>
      <c r="P517" s="8">
        <v>0</v>
      </c>
      <c r="Q517" s="8">
        <v>0</v>
      </c>
      <c r="R517" s="8">
        <f t="shared" si="106"/>
        <v>1975295.9945380001</v>
      </c>
      <c r="S517" s="8">
        <v>0</v>
      </c>
      <c r="T517" s="8">
        <v>0</v>
      </c>
      <c r="U517" s="8">
        <v>1975296</v>
      </c>
      <c r="V517" s="8">
        <v>0</v>
      </c>
      <c r="W517" s="8">
        <v>0</v>
      </c>
      <c r="X517" s="8">
        <v>0</v>
      </c>
      <c r="Y517" s="8">
        <v>14048730.576574</v>
      </c>
      <c r="Z517" s="8">
        <v>0</v>
      </c>
      <c r="AA517" s="7">
        <v>4.3315070000000002</v>
      </c>
      <c r="AB517" s="8">
        <v>12262841.391112</v>
      </c>
      <c r="AC517" s="7">
        <v>2.181667</v>
      </c>
      <c r="AD517" s="7" t="s">
        <v>1226</v>
      </c>
      <c r="AE517" s="8">
        <v>12839424</v>
      </c>
      <c r="AF517" s="8">
        <v>0</v>
      </c>
      <c r="AG517" s="8">
        <v>12839424</v>
      </c>
      <c r="AH517" s="8">
        <v>0</v>
      </c>
      <c r="AI517" s="7" t="s">
        <v>1758</v>
      </c>
      <c r="AJ517" s="7">
        <f t="shared" ca="1" si="107"/>
        <v>1</v>
      </c>
      <c r="AK517" s="96">
        <f>(+AA517*AB517)/$AB$1102</f>
        <v>4.655264876167322E-2</v>
      </c>
      <c r="AL517" s="97">
        <f>AC517/$AE$1102*AE517</f>
        <v>2.3968214312419529E-2</v>
      </c>
    </row>
    <row r="518" spans="1:38" x14ac:dyDescent="0.3">
      <c r="A518" s="7" t="s">
        <v>2103</v>
      </c>
      <c r="B518" s="7" t="s">
        <v>1768</v>
      </c>
      <c r="C518" s="7" t="s">
        <v>1323</v>
      </c>
      <c r="D518" s="7" t="s">
        <v>1324</v>
      </c>
      <c r="E518" s="7" t="s">
        <v>1322</v>
      </c>
      <c r="F518" s="36">
        <v>44317</v>
      </c>
      <c r="G518" s="36">
        <v>46142</v>
      </c>
      <c r="H518" s="36">
        <v>46142</v>
      </c>
      <c r="I518" s="36">
        <v>46142</v>
      </c>
      <c r="J518" s="7" t="s">
        <v>1239</v>
      </c>
      <c r="K518" s="8">
        <v>23414.550576000001</v>
      </c>
      <c r="L518" s="8">
        <v>2121.9197720000002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f t="shared" si="106"/>
        <v>25536.470348000003</v>
      </c>
      <c r="S518" s="8">
        <v>0</v>
      </c>
      <c r="T518" s="8">
        <v>2035.402394</v>
      </c>
      <c r="U518" s="8">
        <v>0</v>
      </c>
      <c r="V518" s="8">
        <v>22655.797606</v>
      </c>
      <c r="W518" s="8">
        <v>0</v>
      </c>
      <c r="X518" s="8">
        <v>70243.652881999995</v>
      </c>
      <c r="Y518" s="8">
        <v>0</v>
      </c>
      <c r="Z518" s="8">
        <v>0</v>
      </c>
      <c r="AA518" s="7">
        <v>3.3315070000000002</v>
      </c>
      <c r="AB518" s="8">
        <v>47587.855276000002</v>
      </c>
      <c r="AC518" s="7">
        <v>2.181667</v>
      </c>
      <c r="AD518" s="7" t="s">
        <v>1226</v>
      </c>
      <c r="AE518" s="8">
        <v>49382.400000000001</v>
      </c>
      <c r="AF518" s="8">
        <v>0</v>
      </c>
      <c r="AG518" s="8">
        <v>49382.400000000001</v>
      </c>
      <c r="AH518" s="8">
        <v>0</v>
      </c>
      <c r="AI518" s="7" t="s">
        <v>1736</v>
      </c>
      <c r="AJ518" s="7">
        <f t="shared" ca="1" si="107"/>
        <v>1</v>
      </c>
      <c r="AK518" s="96">
        <f t="shared" si="108"/>
        <v>1.0620610059248789E-3</v>
      </c>
      <c r="AL518" s="97">
        <f t="shared" si="109"/>
        <v>6.8488120611374167E-4</v>
      </c>
    </row>
    <row r="519" spans="1:38" x14ac:dyDescent="0.3">
      <c r="A519" s="7" t="s">
        <v>2104</v>
      </c>
      <c r="B519" s="7" t="s">
        <v>1768</v>
      </c>
      <c r="C519" s="7" t="s">
        <v>1323</v>
      </c>
      <c r="D519" s="7" t="s">
        <v>1324</v>
      </c>
      <c r="E519" s="7" t="s">
        <v>1322</v>
      </c>
      <c r="F519" s="36">
        <v>44197</v>
      </c>
      <c r="G519" s="36">
        <v>46022</v>
      </c>
      <c r="H519" s="36">
        <v>46022</v>
      </c>
      <c r="I519" s="36">
        <v>46022</v>
      </c>
      <c r="J519" s="7" t="s">
        <v>1239</v>
      </c>
      <c r="K519" s="8">
        <v>28097.46</v>
      </c>
      <c r="L519" s="8">
        <v>2447.0792459999998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f t="shared" si="106"/>
        <v>30544.539246</v>
      </c>
      <c r="S519" s="8">
        <v>0</v>
      </c>
      <c r="T519" s="8">
        <v>2368.9334859999999</v>
      </c>
      <c r="U519" s="8">
        <v>0</v>
      </c>
      <c r="V519" s="8">
        <v>27260.506514000001</v>
      </c>
      <c r="W519" s="8">
        <v>0</v>
      </c>
      <c r="X519" s="8">
        <v>70243.652881999995</v>
      </c>
      <c r="Y519" s="8">
        <v>0</v>
      </c>
      <c r="Z519" s="8">
        <v>0</v>
      </c>
      <c r="AA519" s="7">
        <v>3.0027400000000002</v>
      </c>
      <c r="AB519" s="8">
        <v>42983.146368000002</v>
      </c>
      <c r="AC519" s="7">
        <v>2.181667</v>
      </c>
      <c r="AD519" s="7" t="s">
        <v>1226</v>
      </c>
      <c r="AE519" s="8">
        <v>44444.160000000003</v>
      </c>
      <c r="AF519" s="8">
        <v>0</v>
      </c>
      <c r="AG519" s="8">
        <v>44444.160000000003</v>
      </c>
      <c r="AH519" s="8">
        <v>0</v>
      </c>
      <c r="AI519" s="7" t="s">
        <v>1736</v>
      </c>
      <c r="AJ519" s="7">
        <f t="shared" ca="1" si="107"/>
        <v>1</v>
      </c>
      <c r="AK519" s="96">
        <f t="shared" si="108"/>
        <v>8.6462648292607279E-4</v>
      </c>
      <c r="AL519" s="97">
        <f t="shared" si="109"/>
        <v>6.1639308550236757E-4</v>
      </c>
    </row>
    <row r="520" spans="1:38" x14ac:dyDescent="0.3">
      <c r="A520" s="7" t="s">
        <v>2105</v>
      </c>
      <c r="B520" s="7" t="s">
        <v>1768</v>
      </c>
      <c r="C520" s="7" t="s">
        <v>1323</v>
      </c>
      <c r="D520" s="7" t="s">
        <v>1324</v>
      </c>
      <c r="E520" s="7" t="s">
        <v>1322</v>
      </c>
      <c r="F520" s="36">
        <v>44562</v>
      </c>
      <c r="G520" s="36">
        <v>46387</v>
      </c>
      <c r="H520" s="36">
        <v>46387</v>
      </c>
      <c r="I520" s="36">
        <v>46387</v>
      </c>
      <c r="J520" s="7" t="s">
        <v>1239</v>
      </c>
      <c r="K520" s="8">
        <v>14048.730192000001</v>
      </c>
      <c r="L520" s="8">
        <v>1371.6563000000001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f t="shared" si="106"/>
        <v>15420.386492000001</v>
      </c>
      <c r="S520" s="8">
        <v>0</v>
      </c>
      <c r="T520" s="8">
        <v>1268.5770620000001</v>
      </c>
      <c r="U520" s="8">
        <v>0</v>
      </c>
      <c r="V520" s="8">
        <v>13546.142938000001</v>
      </c>
      <c r="W520" s="8">
        <v>0</v>
      </c>
      <c r="X520" s="8">
        <v>70243.652881999995</v>
      </c>
      <c r="Y520" s="8">
        <v>0</v>
      </c>
      <c r="Z520" s="8">
        <v>0</v>
      </c>
      <c r="AA520" s="7">
        <v>4.0027400000000002</v>
      </c>
      <c r="AB520" s="8">
        <v>56697.509943999998</v>
      </c>
      <c r="AC520" s="7">
        <v>2.181667</v>
      </c>
      <c r="AD520" s="7" t="s">
        <v>1226</v>
      </c>
      <c r="AE520" s="8">
        <v>59258.879999999997</v>
      </c>
      <c r="AF520" s="8">
        <v>0</v>
      </c>
      <c r="AG520" s="8">
        <v>59258.879999999997</v>
      </c>
      <c r="AH520" s="8">
        <v>0</v>
      </c>
      <c r="AI520" s="7" t="s">
        <v>1736</v>
      </c>
      <c r="AJ520" s="7">
        <f t="shared" ca="1" si="107"/>
        <v>1</v>
      </c>
      <c r="AK520" s="96">
        <f t="shared" si="108"/>
        <v>1.5203163588117332E-3</v>
      </c>
      <c r="AL520" s="97">
        <f t="shared" si="109"/>
        <v>8.2185744733648996E-4</v>
      </c>
    </row>
    <row r="521" spans="1:38" x14ac:dyDescent="0.3">
      <c r="A521" s="7" t="s">
        <v>2106</v>
      </c>
      <c r="B521" s="7" t="s">
        <v>1768</v>
      </c>
      <c r="C521" s="7" t="s">
        <v>1323</v>
      </c>
      <c r="D521" s="7" t="s">
        <v>1324</v>
      </c>
      <c r="E521" s="7" t="s">
        <v>1322</v>
      </c>
      <c r="F521" s="36">
        <v>44075</v>
      </c>
      <c r="G521" s="36">
        <v>45900</v>
      </c>
      <c r="H521" s="36">
        <v>45900</v>
      </c>
      <c r="I521" s="36">
        <v>45900</v>
      </c>
      <c r="J521" s="7" t="s">
        <v>1696</v>
      </c>
      <c r="K521" s="8">
        <v>0</v>
      </c>
      <c r="L521" s="8">
        <v>0</v>
      </c>
      <c r="M521" s="8">
        <v>51851.519660999998</v>
      </c>
      <c r="N521" s="8">
        <v>0</v>
      </c>
      <c r="O521" s="8">
        <v>0</v>
      </c>
      <c r="P521" s="8">
        <v>0</v>
      </c>
      <c r="Q521" s="8">
        <v>0</v>
      </c>
      <c r="R521" s="8">
        <f t="shared" si="106"/>
        <v>51851.519660999998</v>
      </c>
      <c r="S521" s="8">
        <v>0</v>
      </c>
      <c r="T521" s="8">
        <v>0</v>
      </c>
      <c r="U521" s="8">
        <v>51851.519999999997</v>
      </c>
      <c r="V521" s="8">
        <v>0</v>
      </c>
      <c r="W521" s="8">
        <v>0</v>
      </c>
      <c r="X521" s="8">
        <v>0</v>
      </c>
      <c r="Y521" s="8">
        <v>105365.479324</v>
      </c>
      <c r="Z521" s="8">
        <v>0</v>
      </c>
      <c r="AA521" s="7">
        <v>2.6684929999999998</v>
      </c>
      <c r="AB521" s="8">
        <v>57621.858984999999</v>
      </c>
      <c r="AC521" s="7">
        <v>2.181667</v>
      </c>
      <c r="AD521" s="7" t="s">
        <v>1226</v>
      </c>
      <c r="AE521" s="8">
        <v>59258.879999999997</v>
      </c>
      <c r="AF521" s="8">
        <v>0</v>
      </c>
      <c r="AG521" s="8">
        <v>59258.879999999997</v>
      </c>
      <c r="AH521" s="8">
        <v>0</v>
      </c>
      <c r="AI521" s="7" t="s">
        <v>2107</v>
      </c>
      <c r="AJ521" s="7">
        <f t="shared" ca="1" si="107"/>
        <v>1</v>
      </c>
      <c r="AK521" s="96">
        <f>(+AA521*AB521)/$AB$1102</f>
        <v>1.3476204666902029E-4</v>
      </c>
      <c r="AL521" s="97">
        <f>AC521/$AE$1102*AE521</f>
        <v>1.1062252759578245E-4</v>
      </c>
    </row>
    <row r="522" spans="1:38" x14ac:dyDescent="0.3">
      <c r="A522" s="7" t="s">
        <v>2108</v>
      </c>
      <c r="B522" s="7" t="s">
        <v>1320</v>
      </c>
      <c r="C522" s="7" t="s">
        <v>1323</v>
      </c>
      <c r="D522" s="7" t="s">
        <v>1792</v>
      </c>
      <c r="E522" s="7" t="s">
        <v>1322</v>
      </c>
      <c r="F522" s="36">
        <v>44197</v>
      </c>
      <c r="G522" s="36">
        <v>47848</v>
      </c>
      <c r="H522" s="36">
        <v>47848</v>
      </c>
      <c r="I522" s="36">
        <v>47848</v>
      </c>
      <c r="J522" s="7" t="s">
        <v>1239</v>
      </c>
      <c r="K522" s="8">
        <v>320355.38061599998</v>
      </c>
      <c r="L522" s="8">
        <v>56426.741524999998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f t="shared" si="106"/>
        <v>376782.122141</v>
      </c>
      <c r="S522" s="8">
        <v>0</v>
      </c>
      <c r="T522" s="8">
        <v>56935.635760999998</v>
      </c>
      <c r="U522" s="8">
        <v>0</v>
      </c>
      <c r="V522" s="8">
        <v>298617.64423899999</v>
      </c>
      <c r="W522" s="8">
        <v>0</v>
      </c>
      <c r="X522" s="8">
        <v>0</v>
      </c>
      <c r="Y522" s="8">
        <v>0</v>
      </c>
      <c r="Z522" s="8">
        <v>0</v>
      </c>
      <c r="AA522" s="7">
        <v>8.0054789999999993</v>
      </c>
      <c r="AB522" s="8">
        <v>2621882.5174989998</v>
      </c>
      <c r="AC522" s="7">
        <v>2.0449999999999999</v>
      </c>
      <c r="AD522" s="7" t="s">
        <v>1226</v>
      </c>
      <c r="AE522" s="8">
        <v>2844426.2400000002</v>
      </c>
      <c r="AF522" s="8">
        <v>0</v>
      </c>
      <c r="AG522" s="8">
        <v>2844426.2400000002</v>
      </c>
      <c r="AH522" s="8">
        <v>0</v>
      </c>
      <c r="AI522" s="7" t="s">
        <v>1758</v>
      </c>
      <c r="AJ522" s="7">
        <f t="shared" ca="1" si="107"/>
        <v>1</v>
      </c>
      <c r="AK522" s="96">
        <f t="shared" si="108"/>
        <v>0.1406090104575311</v>
      </c>
      <c r="AL522" s="97">
        <f t="shared" si="109"/>
        <v>3.6977928817986366E-2</v>
      </c>
    </row>
    <row r="523" spans="1:38" x14ac:dyDescent="0.3">
      <c r="A523" s="7" t="s">
        <v>2109</v>
      </c>
      <c r="B523" s="7" t="s">
        <v>1768</v>
      </c>
      <c r="C523" s="7" t="s">
        <v>1323</v>
      </c>
      <c r="D523" s="7" t="s">
        <v>1324</v>
      </c>
      <c r="E523" s="7" t="s">
        <v>1739</v>
      </c>
      <c r="F523" s="36">
        <v>43831</v>
      </c>
      <c r="G523" s="36">
        <v>44926</v>
      </c>
      <c r="I523" s="36">
        <v>44926</v>
      </c>
      <c r="J523" s="7" t="s">
        <v>1696</v>
      </c>
      <c r="K523" s="8">
        <v>0</v>
      </c>
      <c r="L523" s="8">
        <v>0</v>
      </c>
      <c r="M523" s="8">
        <v>7085.7142960000001</v>
      </c>
      <c r="N523" s="8">
        <v>0</v>
      </c>
      <c r="O523" s="8">
        <v>0</v>
      </c>
      <c r="P523" s="8">
        <v>0</v>
      </c>
      <c r="Q523" s="8">
        <v>0</v>
      </c>
      <c r="R523" s="8">
        <f t="shared" si="106"/>
        <v>7085.7142960000001</v>
      </c>
      <c r="S523" s="8">
        <v>0</v>
      </c>
      <c r="T523" s="8">
        <v>0</v>
      </c>
      <c r="U523" s="8">
        <v>7285.714293</v>
      </c>
      <c r="V523" s="8">
        <v>0</v>
      </c>
      <c r="W523" s="8">
        <v>0</v>
      </c>
      <c r="X523" s="8">
        <v>0</v>
      </c>
      <c r="Y523" s="8">
        <v>0</v>
      </c>
      <c r="Z523" s="8">
        <v>7142.1600250000001</v>
      </c>
      <c r="AA523" s="7">
        <v>0</v>
      </c>
      <c r="AB523" s="8">
        <v>0</v>
      </c>
      <c r="AC523" s="7">
        <v>3</v>
      </c>
      <c r="AD523" s="7" t="s">
        <v>1226</v>
      </c>
      <c r="AE523" s="8">
        <v>0</v>
      </c>
      <c r="AF523" s="8">
        <v>0</v>
      </c>
      <c r="AG523" s="8">
        <v>0</v>
      </c>
      <c r="AH523" s="8">
        <v>0</v>
      </c>
      <c r="AI523" s="7" t="s">
        <v>1736</v>
      </c>
      <c r="AJ523" s="7">
        <f t="shared" ca="1" si="107"/>
        <v>1</v>
      </c>
      <c r="AK523" s="96">
        <f>(+AA523*AB523)/$AB$1102</f>
        <v>0</v>
      </c>
      <c r="AL523" s="97">
        <f>AC523/$AE$1102*AE523</f>
        <v>0</v>
      </c>
    </row>
    <row r="524" spans="1:38" x14ac:dyDescent="0.3">
      <c r="A524" s="7" t="s">
        <v>2109</v>
      </c>
      <c r="B524" s="7" t="s">
        <v>1768</v>
      </c>
      <c r="C524" s="7" t="s">
        <v>1323</v>
      </c>
      <c r="D524" s="7" t="s">
        <v>1324</v>
      </c>
      <c r="E524" s="7" t="s">
        <v>1739</v>
      </c>
      <c r="F524" s="36">
        <v>43831</v>
      </c>
      <c r="G524" s="36">
        <v>44926</v>
      </c>
      <c r="I524" s="36">
        <v>44926</v>
      </c>
      <c r="J524" s="7" t="s">
        <v>1699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f t="shared" si="106"/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7">
        <v>0</v>
      </c>
      <c r="AB524" s="8">
        <v>0</v>
      </c>
      <c r="AC524" s="7">
        <v>3</v>
      </c>
      <c r="AD524" s="7" t="s">
        <v>1226</v>
      </c>
      <c r="AE524" s="8">
        <v>428.57142900000002</v>
      </c>
      <c r="AF524" s="8">
        <v>0</v>
      </c>
      <c r="AG524" s="8">
        <v>428.57142900000002</v>
      </c>
      <c r="AH524" s="8">
        <v>0</v>
      </c>
      <c r="AI524" s="7" t="s">
        <v>1736</v>
      </c>
      <c r="AJ524" s="7">
        <f t="shared" ca="1" si="107"/>
        <v>2</v>
      </c>
      <c r="AK524" s="100">
        <f>(+AA524*AB524)/$AB$1103</f>
        <v>0</v>
      </c>
      <c r="AL524" s="97">
        <f>AC524/$AE$1103*AE524</f>
        <v>1.5434840465531266E-4</v>
      </c>
    </row>
    <row r="525" spans="1:38" x14ac:dyDescent="0.3">
      <c r="A525" s="7" t="s">
        <v>2110</v>
      </c>
      <c r="B525" s="7" t="s">
        <v>1768</v>
      </c>
      <c r="C525" s="7" t="s">
        <v>1323</v>
      </c>
      <c r="D525" s="7" t="s">
        <v>1324</v>
      </c>
      <c r="E525" s="7" t="s">
        <v>1750</v>
      </c>
      <c r="F525" s="36">
        <v>43831</v>
      </c>
      <c r="G525" s="36">
        <v>44926</v>
      </c>
      <c r="H525" s="36">
        <v>45322</v>
      </c>
      <c r="I525" s="36">
        <v>44926</v>
      </c>
      <c r="J525" s="7" t="s">
        <v>1696</v>
      </c>
      <c r="K525" s="8">
        <v>0</v>
      </c>
      <c r="L525" s="8">
        <v>0</v>
      </c>
      <c r="M525" s="8">
        <v>3888.6375840000001</v>
      </c>
      <c r="N525" s="8">
        <v>0</v>
      </c>
      <c r="O525" s="8">
        <v>0</v>
      </c>
      <c r="P525" s="8">
        <v>0</v>
      </c>
      <c r="Q525" s="8">
        <v>0</v>
      </c>
      <c r="R525" s="8">
        <f t="shared" si="106"/>
        <v>3888.6375840000001</v>
      </c>
      <c r="S525" s="8">
        <v>0</v>
      </c>
      <c r="T525" s="8">
        <v>0</v>
      </c>
      <c r="U525" s="8">
        <v>4200.0010000000002</v>
      </c>
      <c r="V525" s="8">
        <v>0</v>
      </c>
      <c r="W525" s="8">
        <v>0</v>
      </c>
      <c r="X525" s="8">
        <v>0</v>
      </c>
      <c r="Y525" s="8">
        <v>0</v>
      </c>
      <c r="Z525" s="8">
        <v>-2656.7742600000001</v>
      </c>
      <c r="AA525" s="7">
        <v>0</v>
      </c>
      <c r="AB525" s="8">
        <v>3853.50594</v>
      </c>
      <c r="AC525" s="7">
        <v>2.4066670000000001</v>
      </c>
      <c r="AD525" s="7" t="s">
        <v>2111</v>
      </c>
      <c r="AE525" s="8">
        <v>3900</v>
      </c>
      <c r="AF525" s="8">
        <v>0</v>
      </c>
      <c r="AG525" s="8">
        <v>3900</v>
      </c>
      <c r="AH525" s="8">
        <v>0</v>
      </c>
      <c r="AI525" s="7" t="s">
        <v>1736</v>
      </c>
      <c r="AJ525" s="7">
        <f t="shared" ca="1" si="107"/>
        <v>1</v>
      </c>
      <c r="AK525" s="96">
        <f t="shared" ref="AK525:AK526" si="110">(+AA525*AB525)/$AB$1102</f>
        <v>0</v>
      </c>
      <c r="AL525" s="97">
        <f t="shared" ref="AL525:AL526" si="111">AC525/$AE$1102*AE525</f>
        <v>8.0312341122545998E-6</v>
      </c>
    </row>
    <row r="526" spans="1:38" x14ac:dyDescent="0.3">
      <c r="A526" s="7" t="s">
        <v>2112</v>
      </c>
      <c r="B526" s="7" t="s">
        <v>1768</v>
      </c>
      <c r="C526" s="7" t="s">
        <v>1323</v>
      </c>
      <c r="D526" s="7" t="s">
        <v>1324</v>
      </c>
      <c r="E526" s="7" t="s">
        <v>1739</v>
      </c>
      <c r="F526" s="36">
        <v>43831</v>
      </c>
      <c r="G526" s="36">
        <v>44926</v>
      </c>
      <c r="I526" s="36">
        <v>44926</v>
      </c>
      <c r="J526" s="7" t="s">
        <v>1696</v>
      </c>
      <c r="K526" s="8">
        <v>0</v>
      </c>
      <c r="L526" s="8">
        <v>0</v>
      </c>
      <c r="M526" s="8">
        <v>5142.8549560000001</v>
      </c>
      <c r="N526" s="8">
        <v>0</v>
      </c>
      <c r="O526" s="8">
        <v>0</v>
      </c>
      <c r="P526" s="8">
        <v>0</v>
      </c>
      <c r="Q526" s="8">
        <v>0</v>
      </c>
      <c r="R526" s="8">
        <f t="shared" si="106"/>
        <v>5142.8549560000001</v>
      </c>
      <c r="S526" s="8">
        <v>0</v>
      </c>
      <c r="T526" s="8">
        <v>0</v>
      </c>
      <c r="U526" s="8">
        <v>5142.8571480000001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7">
        <v>0</v>
      </c>
      <c r="AB526" s="8">
        <v>0</v>
      </c>
      <c r="AC526" s="7">
        <v>3</v>
      </c>
      <c r="AD526" s="7" t="s">
        <v>1226</v>
      </c>
      <c r="AE526" s="8">
        <v>0</v>
      </c>
      <c r="AF526" s="8">
        <v>0</v>
      </c>
      <c r="AG526" s="8">
        <v>0</v>
      </c>
      <c r="AH526" s="8">
        <v>0</v>
      </c>
      <c r="AI526" s="7" t="s">
        <v>1781</v>
      </c>
      <c r="AJ526" s="7">
        <f t="shared" ca="1" si="107"/>
        <v>1</v>
      </c>
      <c r="AK526" s="96">
        <f t="shared" si="110"/>
        <v>0</v>
      </c>
      <c r="AL526" s="97">
        <f t="shared" si="111"/>
        <v>0</v>
      </c>
    </row>
    <row r="527" spans="1:38" x14ac:dyDescent="0.3">
      <c r="A527" s="7" t="s">
        <v>2112</v>
      </c>
      <c r="B527" s="7" t="s">
        <v>1768</v>
      </c>
      <c r="C527" s="7" t="s">
        <v>1323</v>
      </c>
      <c r="D527" s="7" t="s">
        <v>1324</v>
      </c>
      <c r="E527" s="7" t="s">
        <v>1739</v>
      </c>
      <c r="F527" s="36">
        <v>43831</v>
      </c>
      <c r="G527" s="36">
        <v>44926</v>
      </c>
      <c r="I527" s="36">
        <v>44926</v>
      </c>
      <c r="J527" s="7" t="s">
        <v>1699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f t="shared" si="106"/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7">
        <v>0</v>
      </c>
      <c r="AB527" s="8">
        <v>0</v>
      </c>
      <c r="AC527" s="7">
        <v>3</v>
      </c>
      <c r="AD527" s="7" t="s">
        <v>1226</v>
      </c>
      <c r="AE527" s="8">
        <v>428.57142900000002</v>
      </c>
      <c r="AF527" s="8">
        <v>0</v>
      </c>
      <c r="AG527" s="8">
        <v>428.57142900000002</v>
      </c>
      <c r="AH527" s="8">
        <v>0</v>
      </c>
      <c r="AI527" s="7" t="s">
        <v>1781</v>
      </c>
      <c r="AJ527" s="7">
        <f t="shared" ca="1" si="107"/>
        <v>2</v>
      </c>
      <c r="AK527" s="100">
        <f>(+AA527*AB527)/$AB$1103</f>
        <v>0</v>
      </c>
      <c r="AL527" s="97">
        <f>AC527/$AE$1103*AE527</f>
        <v>1.5434840465531266E-4</v>
      </c>
    </row>
    <row r="528" spans="1:38" x14ac:dyDescent="0.3">
      <c r="A528" s="7" t="s">
        <v>2113</v>
      </c>
      <c r="B528" s="7" t="s">
        <v>194</v>
      </c>
      <c r="C528" s="7" t="s">
        <v>1323</v>
      </c>
      <c r="D528" s="7" t="s">
        <v>1324</v>
      </c>
      <c r="E528" s="7" t="s">
        <v>1322</v>
      </c>
      <c r="F528" s="36">
        <v>44562</v>
      </c>
      <c r="G528" s="36">
        <v>45657</v>
      </c>
      <c r="H528" s="36">
        <v>45657</v>
      </c>
      <c r="I528" s="36">
        <v>45657</v>
      </c>
      <c r="J528" s="7" t="s">
        <v>1696</v>
      </c>
      <c r="K528" s="8">
        <v>0</v>
      </c>
      <c r="L528" s="8">
        <v>0</v>
      </c>
      <c r="M528" s="8">
        <v>888883.19746000005</v>
      </c>
      <c r="N528" s="8">
        <v>0</v>
      </c>
      <c r="O528" s="8">
        <v>0</v>
      </c>
      <c r="P528" s="8">
        <v>0</v>
      </c>
      <c r="Q528" s="8">
        <v>0</v>
      </c>
      <c r="R528" s="8">
        <f t="shared" si="106"/>
        <v>888883.19746000005</v>
      </c>
      <c r="S528" s="8">
        <v>0</v>
      </c>
      <c r="T528" s="8">
        <v>0</v>
      </c>
      <c r="U528" s="8">
        <v>888883.19999999995</v>
      </c>
      <c r="V528" s="8">
        <v>0</v>
      </c>
      <c r="W528" s="8">
        <v>0</v>
      </c>
      <c r="X528" s="8">
        <v>0</v>
      </c>
      <c r="Y528" s="8">
        <v>2553497.084307</v>
      </c>
      <c r="Z528" s="8">
        <v>0</v>
      </c>
      <c r="AA528" s="7">
        <v>2.0027400000000002</v>
      </c>
      <c r="AB528" s="8">
        <v>1727703.351767</v>
      </c>
      <c r="AC528" s="7">
        <v>3</v>
      </c>
      <c r="AD528" s="7" t="s">
        <v>1226</v>
      </c>
      <c r="AE528" s="8">
        <v>1777766.3999999999</v>
      </c>
      <c r="AF528" s="8">
        <v>0</v>
      </c>
      <c r="AG528" s="8">
        <v>1777766.3999999999</v>
      </c>
      <c r="AH528" s="8">
        <v>0</v>
      </c>
      <c r="AI528" s="7" t="s">
        <v>1758</v>
      </c>
      <c r="AJ528" s="7">
        <f t="shared" ca="1" si="107"/>
        <v>1</v>
      </c>
      <c r="AK528" s="96">
        <f t="shared" ref="AK528:AK529" si="112">(+AA528*AB528)/$AB$1102</f>
        <v>3.0325502965746162E-3</v>
      </c>
      <c r="AL528" s="97">
        <f t="shared" ref="AL528:AL529" si="113">AC528/$AE$1102*AE528</f>
        <v>4.5634954755333513E-3</v>
      </c>
    </row>
    <row r="529" spans="1:38" x14ac:dyDescent="0.3">
      <c r="A529" s="7" t="s">
        <v>2114</v>
      </c>
      <c r="B529" s="7" t="s">
        <v>1768</v>
      </c>
      <c r="C529" s="7" t="s">
        <v>1323</v>
      </c>
      <c r="D529" s="7" t="s">
        <v>1324</v>
      </c>
      <c r="E529" s="7" t="s">
        <v>1739</v>
      </c>
      <c r="F529" s="36">
        <v>43831</v>
      </c>
      <c r="G529" s="36">
        <v>44926</v>
      </c>
      <c r="I529" s="36">
        <v>44926</v>
      </c>
      <c r="J529" s="7" t="s">
        <v>1696</v>
      </c>
      <c r="K529" s="8">
        <v>0</v>
      </c>
      <c r="L529" s="8">
        <v>0</v>
      </c>
      <c r="M529" s="8">
        <v>6200.8821200000002</v>
      </c>
      <c r="N529" s="8">
        <v>0</v>
      </c>
      <c r="O529" s="8">
        <v>0</v>
      </c>
      <c r="P529" s="8">
        <v>0</v>
      </c>
      <c r="Q529" s="8">
        <v>0</v>
      </c>
      <c r="R529" s="8">
        <f t="shared" si="106"/>
        <v>6200.8821200000002</v>
      </c>
      <c r="S529" s="8">
        <v>0</v>
      </c>
      <c r="T529" s="8">
        <v>0</v>
      </c>
      <c r="U529" s="8">
        <v>5142.8571480000001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7">
        <v>0</v>
      </c>
      <c r="AB529" s="8">
        <v>0</v>
      </c>
      <c r="AC529" s="7">
        <v>3</v>
      </c>
      <c r="AD529" s="7" t="s">
        <v>1226</v>
      </c>
      <c r="AE529" s="8">
        <v>0</v>
      </c>
      <c r="AF529" s="8">
        <v>0</v>
      </c>
      <c r="AG529" s="8">
        <v>0</v>
      </c>
      <c r="AH529" s="8">
        <v>0</v>
      </c>
      <c r="AI529" s="7" t="s">
        <v>1736</v>
      </c>
      <c r="AJ529" s="7">
        <f t="shared" ca="1" si="107"/>
        <v>1</v>
      </c>
      <c r="AK529" s="96">
        <f t="shared" si="112"/>
        <v>0</v>
      </c>
      <c r="AL529" s="97">
        <f t="shared" si="113"/>
        <v>0</v>
      </c>
    </row>
    <row r="530" spans="1:38" x14ac:dyDescent="0.3">
      <c r="A530" s="7" t="s">
        <v>2114</v>
      </c>
      <c r="B530" s="7" t="s">
        <v>1768</v>
      </c>
      <c r="C530" s="7" t="s">
        <v>1323</v>
      </c>
      <c r="D530" s="7" t="s">
        <v>1324</v>
      </c>
      <c r="E530" s="7" t="s">
        <v>1739</v>
      </c>
      <c r="F530" s="36">
        <v>43831</v>
      </c>
      <c r="G530" s="36">
        <v>44926</v>
      </c>
      <c r="I530" s="36">
        <v>44926</v>
      </c>
      <c r="J530" s="7" t="s">
        <v>1699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f t="shared" si="106"/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7">
        <v>0</v>
      </c>
      <c r="AB530" s="8">
        <v>0</v>
      </c>
      <c r="AC530" s="7">
        <v>3</v>
      </c>
      <c r="AD530" s="7" t="s">
        <v>1226</v>
      </c>
      <c r="AE530" s="8">
        <v>428.57142900000002</v>
      </c>
      <c r="AF530" s="8">
        <v>0</v>
      </c>
      <c r="AG530" s="8">
        <v>428.57142900000002</v>
      </c>
      <c r="AH530" s="8">
        <v>0</v>
      </c>
      <c r="AI530" s="7" t="s">
        <v>1736</v>
      </c>
      <c r="AJ530" s="7">
        <f t="shared" ca="1" si="107"/>
        <v>2</v>
      </c>
      <c r="AK530" s="100">
        <f>(+AA530*AB530)/$AB$1103</f>
        <v>0</v>
      </c>
      <c r="AL530" s="97">
        <f>AC530/$AE$1103*AE530</f>
        <v>1.5434840465531266E-4</v>
      </c>
    </row>
    <row r="531" spans="1:38" x14ac:dyDescent="0.3">
      <c r="A531" s="7" t="s">
        <v>2115</v>
      </c>
      <c r="B531" s="7" t="s">
        <v>1768</v>
      </c>
      <c r="C531" s="7" t="s">
        <v>1323</v>
      </c>
      <c r="D531" s="7" t="s">
        <v>1324</v>
      </c>
      <c r="E531" s="7" t="s">
        <v>1739</v>
      </c>
      <c r="F531" s="36">
        <v>43831</v>
      </c>
      <c r="G531" s="36">
        <v>44926</v>
      </c>
      <c r="I531" s="36">
        <v>44926</v>
      </c>
      <c r="J531" s="7" t="s">
        <v>1696</v>
      </c>
      <c r="K531" s="8">
        <v>0</v>
      </c>
      <c r="L531" s="8">
        <v>0</v>
      </c>
      <c r="M531" s="8">
        <v>5142.8575819999996</v>
      </c>
      <c r="N531" s="8">
        <v>0</v>
      </c>
      <c r="O531" s="8">
        <v>0</v>
      </c>
      <c r="P531" s="8">
        <v>0</v>
      </c>
      <c r="Q531" s="8">
        <v>0</v>
      </c>
      <c r="R531" s="8">
        <f t="shared" si="106"/>
        <v>5142.8575819999996</v>
      </c>
      <c r="S531" s="8">
        <v>0</v>
      </c>
      <c r="T531" s="8">
        <v>0</v>
      </c>
      <c r="U531" s="8">
        <v>5142.8571480000001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7">
        <v>0</v>
      </c>
      <c r="AB531" s="8">
        <v>0</v>
      </c>
      <c r="AC531" s="7">
        <v>3</v>
      </c>
      <c r="AD531" s="7" t="s">
        <v>1226</v>
      </c>
      <c r="AE531" s="8">
        <v>0</v>
      </c>
      <c r="AF531" s="8">
        <v>0</v>
      </c>
      <c r="AG531" s="8">
        <v>0</v>
      </c>
      <c r="AH531" s="8">
        <v>0</v>
      </c>
      <c r="AI531" s="7" t="s">
        <v>1736</v>
      </c>
      <c r="AJ531" s="7">
        <f t="shared" ca="1" si="107"/>
        <v>1</v>
      </c>
      <c r="AK531" s="96">
        <f>(+AA531*AB531)/$AB$1102</f>
        <v>0</v>
      </c>
      <c r="AL531" s="97">
        <f>AC531/$AE$1102*AE531</f>
        <v>0</v>
      </c>
    </row>
    <row r="532" spans="1:38" x14ac:dyDescent="0.3">
      <c r="A532" s="7" t="s">
        <v>2115</v>
      </c>
      <c r="B532" s="7" t="s">
        <v>1768</v>
      </c>
      <c r="C532" s="7" t="s">
        <v>1323</v>
      </c>
      <c r="D532" s="7" t="s">
        <v>1324</v>
      </c>
      <c r="E532" s="7" t="s">
        <v>1739</v>
      </c>
      <c r="F532" s="36">
        <v>43831</v>
      </c>
      <c r="G532" s="36">
        <v>44926</v>
      </c>
      <c r="I532" s="36">
        <v>44926</v>
      </c>
      <c r="J532" s="7" t="s">
        <v>1699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f t="shared" si="106"/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7">
        <v>0</v>
      </c>
      <c r="AB532" s="8">
        <v>0</v>
      </c>
      <c r="AC532" s="7">
        <v>3</v>
      </c>
      <c r="AD532" s="7" t="s">
        <v>1226</v>
      </c>
      <c r="AE532" s="8">
        <v>428.57142900000002</v>
      </c>
      <c r="AF532" s="8">
        <v>0</v>
      </c>
      <c r="AG532" s="8">
        <v>428.57142900000002</v>
      </c>
      <c r="AH532" s="8">
        <v>0</v>
      </c>
      <c r="AI532" s="7" t="s">
        <v>1736</v>
      </c>
      <c r="AJ532" s="7">
        <f t="shared" ca="1" si="107"/>
        <v>2</v>
      </c>
      <c r="AK532" s="100">
        <f>(+AA532*AB532)/$AB$1103</f>
        <v>0</v>
      </c>
      <c r="AL532" s="97">
        <f>AC532/$AE$1103*AE532</f>
        <v>1.5434840465531266E-4</v>
      </c>
    </row>
    <row r="533" spans="1:38" x14ac:dyDescent="0.3">
      <c r="A533" s="7" t="s">
        <v>2116</v>
      </c>
      <c r="B533" s="7" t="s">
        <v>1320</v>
      </c>
      <c r="C533" s="7" t="s">
        <v>1323</v>
      </c>
      <c r="D533" s="7" t="s">
        <v>1324</v>
      </c>
      <c r="E533" s="7" t="s">
        <v>1773</v>
      </c>
      <c r="F533" s="36">
        <v>44867</v>
      </c>
      <c r="G533" s="36">
        <v>44927</v>
      </c>
      <c r="H533" s="36">
        <v>44927</v>
      </c>
      <c r="I533" s="36">
        <v>45261</v>
      </c>
      <c r="J533" s="7" t="s">
        <v>1696</v>
      </c>
      <c r="K533" s="8">
        <v>0</v>
      </c>
      <c r="L533" s="8">
        <v>0</v>
      </c>
      <c r="M533" s="8">
        <v>126.43547599999999</v>
      </c>
      <c r="N533" s="8">
        <v>0</v>
      </c>
      <c r="O533" s="8">
        <v>0</v>
      </c>
      <c r="P533" s="8">
        <v>0</v>
      </c>
      <c r="Q533" s="8">
        <v>0</v>
      </c>
      <c r="R533" s="8">
        <f t="shared" si="106"/>
        <v>126.43547599999999</v>
      </c>
      <c r="S533" s="8">
        <v>0</v>
      </c>
      <c r="T533" s="8">
        <v>0</v>
      </c>
      <c r="U533" s="8">
        <v>128.58000000000001</v>
      </c>
      <c r="V533" s="8">
        <v>0</v>
      </c>
      <c r="W533" s="8">
        <v>0</v>
      </c>
      <c r="X533" s="8">
        <v>0</v>
      </c>
      <c r="Y533" s="8">
        <v>827.63551500000005</v>
      </c>
      <c r="Z533" s="8">
        <v>0</v>
      </c>
      <c r="AA533" s="7">
        <v>0.91780799999999996</v>
      </c>
      <c r="AB533" s="8">
        <v>701.41099099999997</v>
      </c>
      <c r="AC533" s="7">
        <v>1.9614549999999999</v>
      </c>
      <c r="AD533" s="7" t="s">
        <v>1226</v>
      </c>
      <c r="AE533" s="8">
        <v>707.19</v>
      </c>
      <c r="AF533" s="8">
        <v>0</v>
      </c>
      <c r="AG533" s="8">
        <v>707.19</v>
      </c>
      <c r="AH533" s="8">
        <v>0</v>
      </c>
      <c r="AI533" s="7" t="s">
        <v>1760</v>
      </c>
      <c r="AJ533" s="7">
        <f t="shared" ca="1" si="107"/>
        <v>1</v>
      </c>
      <c r="AK533" s="96">
        <f t="shared" ref="AK533:AK534" si="114">(+AA533*AB533)/$AB$1102</f>
        <v>5.6420726068241295E-7</v>
      </c>
      <c r="AL533" s="97">
        <f t="shared" ref="AL533:AL534" si="115">AC533/$AE$1102*AE533</f>
        <v>1.1869054818812225E-6</v>
      </c>
    </row>
    <row r="534" spans="1:38" x14ac:dyDescent="0.3">
      <c r="A534" s="7" t="s">
        <v>2117</v>
      </c>
      <c r="B534" s="7" t="s">
        <v>1320</v>
      </c>
      <c r="C534" s="7" t="s">
        <v>1323</v>
      </c>
      <c r="D534" s="7" t="s">
        <v>1792</v>
      </c>
      <c r="E534" s="7" t="s">
        <v>1695</v>
      </c>
      <c r="F534" s="36">
        <v>41913</v>
      </c>
      <c r="G534" s="36">
        <v>44104</v>
      </c>
      <c r="H534" s="36">
        <v>44895</v>
      </c>
      <c r="I534" s="36">
        <v>44895</v>
      </c>
      <c r="J534" s="7" t="s">
        <v>1696</v>
      </c>
      <c r="K534" s="8">
        <v>0</v>
      </c>
      <c r="L534" s="8">
        <v>0</v>
      </c>
      <c r="M534" s="8">
        <v>37499.986668999998</v>
      </c>
      <c r="N534" s="8">
        <v>0</v>
      </c>
      <c r="O534" s="8">
        <v>0</v>
      </c>
      <c r="P534" s="8">
        <v>0</v>
      </c>
      <c r="Q534" s="8">
        <v>0</v>
      </c>
      <c r="R534" s="8">
        <f t="shared" si="106"/>
        <v>37499.986668999998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-237.19017099999999</v>
      </c>
      <c r="AA534" s="7">
        <v>0</v>
      </c>
      <c r="AB534" s="8">
        <v>0</v>
      </c>
      <c r="AC534" s="7">
        <v>2.2879999999999998</v>
      </c>
      <c r="AD534" s="7" t="s">
        <v>1697</v>
      </c>
      <c r="AE534" s="8">
        <v>0</v>
      </c>
      <c r="AF534" s="8">
        <v>0</v>
      </c>
      <c r="AG534" s="8">
        <v>0</v>
      </c>
      <c r="AH534" s="8">
        <v>0</v>
      </c>
      <c r="AI534" s="7" t="s">
        <v>1758</v>
      </c>
      <c r="AJ534" s="7">
        <f t="shared" ca="1" si="107"/>
        <v>1</v>
      </c>
      <c r="AK534" s="96">
        <f t="shared" si="114"/>
        <v>0</v>
      </c>
      <c r="AL534" s="97">
        <f t="shared" si="115"/>
        <v>0</v>
      </c>
    </row>
    <row r="535" spans="1:38" x14ac:dyDescent="0.3">
      <c r="A535" s="7" t="s">
        <v>2117</v>
      </c>
      <c r="B535" s="7" t="s">
        <v>1320</v>
      </c>
      <c r="C535" s="7" t="s">
        <v>1323</v>
      </c>
      <c r="D535" s="7" t="s">
        <v>1792</v>
      </c>
      <c r="E535" s="7" t="s">
        <v>1695</v>
      </c>
      <c r="F535" s="36">
        <v>41913</v>
      </c>
      <c r="G535" s="36">
        <v>44104</v>
      </c>
      <c r="H535" s="36">
        <v>44895</v>
      </c>
      <c r="I535" s="36">
        <v>44895</v>
      </c>
      <c r="J535" s="7" t="s">
        <v>1699</v>
      </c>
      <c r="K535" s="8">
        <v>0</v>
      </c>
      <c r="L535" s="8">
        <v>0</v>
      </c>
      <c r="M535" s="8">
        <v>0</v>
      </c>
      <c r="N535" s="8">
        <v>49999.999991999997</v>
      </c>
      <c r="O535" s="8">
        <v>0</v>
      </c>
      <c r="P535" s="8">
        <v>0</v>
      </c>
      <c r="Q535" s="8">
        <v>0</v>
      </c>
      <c r="R535" s="8">
        <f t="shared" si="106"/>
        <v>49999.999991999997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7">
        <v>0</v>
      </c>
      <c r="AB535" s="8">
        <v>0</v>
      </c>
      <c r="AC535" s="7">
        <v>2.2879999999999998</v>
      </c>
      <c r="AD535" s="7" t="s">
        <v>1697</v>
      </c>
      <c r="AE535" s="8">
        <v>0</v>
      </c>
      <c r="AF535" s="8">
        <v>0</v>
      </c>
      <c r="AG535" s="8">
        <v>0</v>
      </c>
      <c r="AH535" s="8">
        <v>0</v>
      </c>
      <c r="AI535" s="7" t="s">
        <v>1758</v>
      </c>
      <c r="AJ535" s="7">
        <f t="shared" ca="1" si="107"/>
        <v>2</v>
      </c>
      <c r="AK535" s="100">
        <f>(+AA535*AB535)/$AB$1103</f>
        <v>0</v>
      </c>
      <c r="AL535" s="97">
        <f>AC535/$AE$1103*AE535</f>
        <v>0</v>
      </c>
    </row>
    <row r="536" spans="1:38" x14ac:dyDescent="0.3">
      <c r="A536" s="7" t="s">
        <v>2118</v>
      </c>
      <c r="B536" s="7" t="s">
        <v>1320</v>
      </c>
      <c r="C536" s="7" t="s">
        <v>1323</v>
      </c>
      <c r="D536" s="7" t="s">
        <v>1792</v>
      </c>
      <c r="E536" s="7" t="s">
        <v>1695</v>
      </c>
      <c r="F536" s="36">
        <v>41852</v>
      </c>
      <c r="G536" s="36">
        <v>44043</v>
      </c>
      <c r="H536" s="36">
        <v>44895</v>
      </c>
      <c r="I536" s="36">
        <v>44895</v>
      </c>
      <c r="J536" s="7" t="s">
        <v>1696</v>
      </c>
      <c r="K536" s="8">
        <v>0</v>
      </c>
      <c r="L536" s="8">
        <v>0</v>
      </c>
      <c r="M536" s="8">
        <v>109999.996747</v>
      </c>
      <c r="N536" s="8">
        <v>0</v>
      </c>
      <c r="O536" s="8">
        <v>0</v>
      </c>
      <c r="P536" s="8">
        <v>0</v>
      </c>
      <c r="Q536" s="8">
        <v>0</v>
      </c>
      <c r="R536" s="8">
        <f t="shared" si="106"/>
        <v>109999.996747</v>
      </c>
      <c r="S536" s="8">
        <v>0</v>
      </c>
      <c r="T536" s="8">
        <v>0</v>
      </c>
      <c r="U536" s="8">
        <v>110000</v>
      </c>
      <c r="V536" s="8">
        <v>0</v>
      </c>
      <c r="W536" s="8">
        <v>0</v>
      </c>
      <c r="X536" s="8">
        <v>0</v>
      </c>
      <c r="Y536" s="8">
        <v>0</v>
      </c>
      <c r="Z536" s="8">
        <v>-430566.30664999998</v>
      </c>
      <c r="AA536" s="7">
        <v>0</v>
      </c>
      <c r="AB536" s="8">
        <v>0</v>
      </c>
      <c r="AC536" s="7">
        <v>1.2149000000000001</v>
      </c>
      <c r="AD536" s="7" t="s">
        <v>1226</v>
      </c>
      <c r="AE536" s="8">
        <v>0</v>
      </c>
      <c r="AF536" s="8">
        <v>0</v>
      </c>
      <c r="AG536" s="8">
        <v>0</v>
      </c>
      <c r="AH536" s="8">
        <v>0</v>
      </c>
      <c r="AI536" s="7" t="s">
        <v>1758</v>
      </c>
      <c r="AJ536" s="7">
        <f t="shared" ca="1" si="107"/>
        <v>1</v>
      </c>
      <c r="AK536" s="96">
        <f t="shared" ref="AK536:AK538" si="116">(+AA536*AB536)/$AB$1102</f>
        <v>0</v>
      </c>
      <c r="AL536" s="97">
        <f t="shared" ref="AL536:AL538" si="117">AC536/$AE$1102*AE536</f>
        <v>0</v>
      </c>
    </row>
    <row r="537" spans="1:38" x14ac:dyDescent="0.3">
      <c r="A537" s="7" t="s">
        <v>2119</v>
      </c>
      <c r="B537" s="7" t="s">
        <v>1768</v>
      </c>
      <c r="C537" s="7" t="s">
        <v>1323</v>
      </c>
      <c r="D537" s="7" t="s">
        <v>1324</v>
      </c>
      <c r="E537" s="7" t="s">
        <v>1322</v>
      </c>
      <c r="F537" s="36">
        <v>44348</v>
      </c>
      <c r="G537" s="36">
        <v>45077</v>
      </c>
      <c r="H537" s="36">
        <v>45077</v>
      </c>
      <c r="I537" s="36">
        <v>45443</v>
      </c>
      <c r="J537" s="7" t="s">
        <v>1696</v>
      </c>
      <c r="K537" s="8">
        <v>0</v>
      </c>
      <c r="L537" s="8">
        <v>0</v>
      </c>
      <c r="M537" s="8">
        <v>5142.8571480000001</v>
      </c>
      <c r="N537" s="8">
        <v>0</v>
      </c>
      <c r="O537" s="8">
        <v>0</v>
      </c>
      <c r="P537" s="8">
        <v>0</v>
      </c>
      <c r="Q537" s="8">
        <v>0</v>
      </c>
      <c r="R537" s="8">
        <f t="shared" si="106"/>
        <v>5142.8571480000001</v>
      </c>
      <c r="S537" s="8">
        <v>0</v>
      </c>
      <c r="T537" s="8">
        <v>0</v>
      </c>
      <c r="U537" s="8">
        <v>5142.8571480000001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7">
        <v>1.4164380000000001</v>
      </c>
      <c r="AB537" s="8">
        <v>7142.1600239999998</v>
      </c>
      <c r="AC537" s="7">
        <v>3</v>
      </c>
      <c r="AD537" s="7" t="s">
        <v>1226</v>
      </c>
      <c r="AE537" s="8">
        <v>7285.714293</v>
      </c>
      <c r="AF537" s="8">
        <v>0</v>
      </c>
      <c r="AG537" s="8">
        <v>7285.714293</v>
      </c>
      <c r="AH537" s="8">
        <v>0</v>
      </c>
      <c r="AI537" s="7" t="s">
        <v>1781</v>
      </c>
      <c r="AJ537" s="7">
        <f t="shared" ca="1" si="107"/>
        <v>1</v>
      </c>
      <c r="AK537" s="96">
        <f t="shared" si="116"/>
        <v>8.8662793586384892E-6</v>
      </c>
      <c r="AL537" s="97">
        <f t="shared" si="117"/>
        <v>1.870230206405868E-5</v>
      </c>
    </row>
    <row r="538" spans="1:38" x14ac:dyDescent="0.3">
      <c r="A538" s="7" t="s">
        <v>2120</v>
      </c>
      <c r="B538" s="7" t="s">
        <v>1320</v>
      </c>
      <c r="C538" s="7" t="s">
        <v>1323</v>
      </c>
      <c r="D538" s="7" t="s">
        <v>1324</v>
      </c>
      <c r="E538" s="7" t="s">
        <v>1739</v>
      </c>
      <c r="F538" s="36">
        <v>44501</v>
      </c>
      <c r="G538" s="36">
        <v>44926</v>
      </c>
      <c r="I538" s="36">
        <v>44926</v>
      </c>
      <c r="J538" s="7" t="s">
        <v>1696</v>
      </c>
      <c r="K538" s="8">
        <v>0</v>
      </c>
      <c r="L538" s="8">
        <v>0</v>
      </c>
      <c r="M538" s="8">
        <v>660000.01471999998</v>
      </c>
      <c r="N538" s="8">
        <v>0</v>
      </c>
      <c r="O538" s="8">
        <v>0</v>
      </c>
      <c r="P538" s="8">
        <v>0</v>
      </c>
      <c r="Q538" s="8">
        <v>0</v>
      </c>
      <c r="R538" s="8">
        <f t="shared" si="106"/>
        <v>660000.01471999998</v>
      </c>
      <c r="S538" s="8">
        <v>0</v>
      </c>
      <c r="T538" s="8">
        <v>0</v>
      </c>
      <c r="U538" s="8">
        <v>730000.01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7">
        <v>0</v>
      </c>
      <c r="AB538" s="8">
        <v>0</v>
      </c>
      <c r="AC538" s="7">
        <v>1.6946669999999999</v>
      </c>
      <c r="AD538" s="7" t="s">
        <v>1226</v>
      </c>
      <c r="AE538" s="8">
        <v>0</v>
      </c>
      <c r="AF538" s="8">
        <v>0</v>
      </c>
      <c r="AG538" s="8">
        <v>0</v>
      </c>
      <c r="AH538" s="8">
        <v>0</v>
      </c>
      <c r="AI538" s="7" t="s">
        <v>1758</v>
      </c>
      <c r="AJ538" s="7">
        <f t="shared" ca="1" si="107"/>
        <v>1</v>
      </c>
      <c r="AK538" s="96">
        <f t="shared" si="116"/>
        <v>0</v>
      </c>
      <c r="AL538" s="97">
        <f t="shared" si="117"/>
        <v>0</v>
      </c>
    </row>
    <row r="539" spans="1:38" x14ac:dyDescent="0.3">
      <c r="A539" s="7" t="s">
        <v>2120</v>
      </c>
      <c r="B539" s="7" t="s">
        <v>1320</v>
      </c>
      <c r="C539" s="7" t="s">
        <v>1323</v>
      </c>
      <c r="D539" s="7" t="s">
        <v>1324</v>
      </c>
      <c r="E539" s="7" t="s">
        <v>1739</v>
      </c>
      <c r="F539" s="36">
        <v>44501</v>
      </c>
      <c r="G539" s="36">
        <v>44926</v>
      </c>
      <c r="I539" s="36">
        <v>44926</v>
      </c>
      <c r="J539" s="7" t="s">
        <v>1699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f t="shared" si="106"/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7">
        <v>0</v>
      </c>
      <c r="AB539" s="8">
        <v>0</v>
      </c>
      <c r="AC539" s="7">
        <v>1.6946669999999999</v>
      </c>
      <c r="AD539" s="7" t="s">
        <v>1226</v>
      </c>
      <c r="AE539" s="8">
        <v>68571.429999999993</v>
      </c>
      <c r="AF539" s="8">
        <v>0</v>
      </c>
      <c r="AG539" s="8">
        <v>68571.429999999993</v>
      </c>
      <c r="AH539" s="8">
        <v>0</v>
      </c>
      <c r="AI539" s="7" t="s">
        <v>1758</v>
      </c>
      <c r="AJ539" s="7">
        <f t="shared" ca="1" si="107"/>
        <v>2</v>
      </c>
      <c r="AK539" s="100">
        <f>(+AA539*AB539)/$AB$1103</f>
        <v>0</v>
      </c>
      <c r="AL539" s="97">
        <f>AC539/$AE$1103*AE539</f>
        <v>1.3950354829855615E-2</v>
      </c>
    </row>
    <row r="540" spans="1:38" x14ac:dyDescent="0.3">
      <c r="A540" s="7" t="s">
        <v>2121</v>
      </c>
      <c r="B540" s="7" t="s">
        <v>1768</v>
      </c>
      <c r="C540" s="7" t="s">
        <v>1323</v>
      </c>
      <c r="D540" s="7" t="s">
        <v>1324</v>
      </c>
      <c r="E540" s="7" t="s">
        <v>1695</v>
      </c>
      <c r="F540" s="36">
        <v>43831</v>
      </c>
      <c r="G540" s="36">
        <v>44926</v>
      </c>
      <c r="H540" s="36">
        <v>44409</v>
      </c>
      <c r="I540" s="36">
        <v>44409</v>
      </c>
      <c r="J540" s="7" t="s">
        <v>1696</v>
      </c>
      <c r="K540" s="8">
        <v>0</v>
      </c>
      <c r="L540" s="8">
        <v>0</v>
      </c>
      <c r="M540" s="8">
        <v>660000</v>
      </c>
      <c r="N540" s="8">
        <v>0</v>
      </c>
      <c r="O540" s="8">
        <v>0</v>
      </c>
      <c r="P540" s="8">
        <v>0</v>
      </c>
      <c r="Q540" s="8">
        <v>0</v>
      </c>
      <c r="R540" s="8">
        <f t="shared" si="106"/>
        <v>660000</v>
      </c>
      <c r="S540" s="8">
        <v>0</v>
      </c>
      <c r="T540" s="8">
        <v>0</v>
      </c>
      <c r="U540" s="8">
        <v>720000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7">
        <v>0</v>
      </c>
      <c r="AB540" s="8">
        <v>0</v>
      </c>
      <c r="AC540" s="7">
        <v>3</v>
      </c>
      <c r="AD540" s="7" t="s">
        <v>1226</v>
      </c>
      <c r="AE540" s="8">
        <v>0</v>
      </c>
      <c r="AF540" s="8">
        <v>0</v>
      </c>
      <c r="AG540" s="8">
        <v>0</v>
      </c>
      <c r="AH540" s="8">
        <v>0</v>
      </c>
      <c r="AI540" s="7" t="s">
        <v>1758</v>
      </c>
      <c r="AJ540" s="7">
        <f t="shared" ca="1" si="107"/>
        <v>1</v>
      </c>
      <c r="AK540" s="96">
        <f t="shared" ref="AK540:AK542" si="118">(+AA540*AB540)/$AB$1102</f>
        <v>0</v>
      </c>
      <c r="AL540" s="97">
        <f t="shared" ref="AL540:AL542" si="119">AC540/$AE$1102*AE540</f>
        <v>0</v>
      </c>
    </row>
    <row r="541" spans="1:38" x14ac:dyDescent="0.3">
      <c r="A541" s="7" t="s">
        <v>2122</v>
      </c>
      <c r="B541" s="7" t="s">
        <v>1320</v>
      </c>
      <c r="C541" s="7" t="s">
        <v>1323</v>
      </c>
      <c r="D541" s="7" t="s">
        <v>1324</v>
      </c>
      <c r="E541" s="7" t="s">
        <v>1695</v>
      </c>
      <c r="F541" s="36">
        <v>44409</v>
      </c>
      <c r="G541" s="36">
        <v>44895</v>
      </c>
      <c r="H541" s="36">
        <v>44895</v>
      </c>
      <c r="I541" s="36">
        <v>44895</v>
      </c>
      <c r="J541" s="7" t="s">
        <v>1696</v>
      </c>
      <c r="K541" s="8">
        <v>0</v>
      </c>
      <c r="L541" s="8">
        <v>0</v>
      </c>
      <c r="M541" s="8">
        <v>560312.50323300005</v>
      </c>
      <c r="N541" s="8">
        <v>0</v>
      </c>
      <c r="O541" s="8">
        <v>0</v>
      </c>
      <c r="P541" s="8">
        <v>0</v>
      </c>
      <c r="Q541" s="8">
        <v>0</v>
      </c>
      <c r="R541" s="8">
        <f t="shared" si="106"/>
        <v>560312.50323300005</v>
      </c>
      <c r="S541" s="8">
        <v>0</v>
      </c>
      <c r="T541" s="8">
        <v>0</v>
      </c>
      <c r="U541" s="8">
        <v>440000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7">
        <v>0</v>
      </c>
      <c r="AB541" s="8">
        <v>0</v>
      </c>
      <c r="AC541" s="7">
        <v>1.8133330000000001</v>
      </c>
      <c r="AD541" s="7" t="s">
        <v>1226</v>
      </c>
      <c r="AE541" s="8">
        <v>0</v>
      </c>
      <c r="AF541" s="8">
        <v>0</v>
      </c>
      <c r="AG541" s="8">
        <v>0</v>
      </c>
      <c r="AH541" s="8">
        <v>0</v>
      </c>
      <c r="AI541" s="7" t="s">
        <v>1758</v>
      </c>
      <c r="AJ541" s="7">
        <f t="shared" ca="1" si="107"/>
        <v>1</v>
      </c>
      <c r="AK541" s="96">
        <f t="shared" si="118"/>
        <v>0</v>
      </c>
      <c r="AL541" s="97">
        <f t="shared" si="119"/>
        <v>0</v>
      </c>
    </row>
    <row r="542" spans="1:38" x14ac:dyDescent="0.3">
      <c r="A542" s="7" t="s">
        <v>2123</v>
      </c>
      <c r="B542" s="7" t="s">
        <v>1768</v>
      </c>
      <c r="C542" s="7" t="s">
        <v>1323</v>
      </c>
      <c r="D542" s="7" t="s">
        <v>1324</v>
      </c>
      <c r="E542" s="7" t="s">
        <v>1739</v>
      </c>
      <c r="F542" s="36">
        <v>43831</v>
      </c>
      <c r="G542" s="36">
        <v>44926</v>
      </c>
      <c r="I542" s="36">
        <v>44926</v>
      </c>
      <c r="J542" s="7" t="s">
        <v>1696</v>
      </c>
      <c r="K542" s="8">
        <v>0</v>
      </c>
      <c r="L542" s="8">
        <v>0</v>
      </c>
      <c r="M542" s="8">
        <v>600000.00389399996</v>
      </c>
      <c r="N542" s="8">
        <v>0</v>
      </c>
      <c r="O542" s="8">
        <v>0</v>
      </c>
      <c r="P542" s="8">
        <v>0</v>
      </c>
      <c r="Q542" s="8">
        <v>0</v>
      </c>
      <c r="R542" s="8">
        <f t="shared" si="106"/>
        <v>600000.00389399996</v>
      </c>
      <c r="S542" s="8">
        <v>0</v>
      </c>
      <c r="T542" s="8">
        <v>0</v>
      </c>
      <c r="U542" s="8">
        <v>600000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7">
        <v>0</v>
      </c>
      <c r="AB542" s="8">
        <v>0</v>
      </c>
      <c r="AC542" s="7">
        <v>3</v>
      </c>
      <c r="AD542" s="7" t="s">
        <v>1226</v>
      </c>
      <c r="AE542" s="8">
        <v>0</v>
      </c>
      <c r="AF542" s="8">
        <v>0</v>
      </c>
      <c r="AG542" s="8">
        <v>0</v>
      </c>
      <c r="AH542" s="8">
        <v>0</v>
      </c>
      <c r="AI542" s="7" t="s">
        <v>1758</v>
      </c>
      <c r="AJ542" s="7">
        <f t="shared" ca="1" si="107"/>
        <v>1</v>
      </c>
      <c r="AK542" s="96">
        <f t="shared" si="118"/>
        <v>0</v>
      </c>
      <c r="AL542" s="97">
        <f t="shared" si="119"/>
        <v>0</v>
      </c>
    </row>
    <row r="543" spans="1:38" x14ac:dyDescent="0.3">
      <c r="A543" s="7" t="s">
        <v>2123</v>
      </c>
      <c r="B543" s="7" t="s">
        <v>1768</v>
      </c>
      <c r="C543" s="7" t="s">
        <v>1323</v>
      </c>
      <c r="D543" s="7" t="s">
        <v>1324</v>
      </c>
      <c r="E543" s="7" t="s">
        <v>1739</v>
      </c>
      <c r="F543" s="36">
        <v>43831</v>
      </c>
      <c r="G543" s="36">
        <v>44926</v>
      </c>
      <c r="I543" s="36">
        <v>44926</v>
      </c>
      <c r="J543" s="7" t="s">
        <v>1699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f t="shared" si="106"/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7">
        <v>0</v>
      </c>
      <c r="AB543" s="8">
        <v>0</v>
      </c>
      <c r="AC543" s="7">
        <v>3</v>
      </c>
      <c r="AD543" s="7" t="s">
        <v>1226</v>
      </c>
      <c r="AE543" s="8">
        <v>50000</v>
      </c>
      <c r="AF543" s="8">
        <v>0</v>
      </c>
      <c r="AG543" s="8">
        <v>50000</v>
      </c>
      <c r="AH543" s="8">
        <v>0</v>
      </c>
      <c r="AI543" s="7" t="s">
        <v>1758</v>
      </c>
      <c r="AJ543" s="7">
        <f t="shared" ca="1" si="107"/>
        <v>2</v>
      </c>
      <c r="AK543" s="100">
        <f>(+AA543*AB543)/$AB$1103</f>
        <v>0</v>
      </c>
      <c r="AL543" s="97">
        <f>AC543/$AE$1103*AE543</f>
        <v>1.8007313858445829E-2</v>
      </c>
    </row>
    <row r="544" spans="1:38" x14ac:dyDescent="0.3">
      <c r="A544" s="7" t="s">
        <v>2124</v>
      </c>
      <c r="B544" s="7" t="s">
        <v>1320</v>
      </c>
      <c r="C544" s="7" t="s">
        <v>1323</v>
      </c>
      <c r="D544" s="7" t="s">
        <v>1324</v>
      </c>
      <c r="E544" s="7" t="s">
        <v>1695</v>
      </c>
      <c r="F544" s="36">
        <v>44440</v>
      </c>
      <c r="G544" s="36">
        <v>44895</v>
      </c>
      <c r="H544" s="36">
        <v>44895</v>
      </c>
      <c r="I544" s="36">
        <v>44895</v>
      </c>
      <c r="J544" s="7" t="s">
        <v>1696</v>
      </c>
      <c r="K544" s="8">
        <v>0</v>
      </c>
      <c r="L544" s="8">
        <v>0</v>
      </c>
      <c r="M544" s="8">
        <v>274999.96556899999</v>
      </c>
      <c r="N544" s="8">
        <v>0</v>
      </c>
      <c r="O544" s="8">
        <v>0</v>
      </c>
      <c r="P544" s="8">
        <v>0</v>
      </c>
      <c r="Q544" s="8">
        <v>0</v>
      </c>
      <c r="R544" s="8">
        <f t="shared" si="106"/>
        <v>274999.96556899999</v>
      </c>
      <c r="S544" s="8">
        <v>0</v>
      </c>
      <c r="T544" s="8">
        <v>0</v>
      </c>
      <c r="U544" s="8">
        <v>274999.89</v>
      </c>
      <c r="V544" s="8">
        <v>0</v>
      </c>
      <c r="W544" s="8">
        <v>0</v>
      </c>
      <c r="X544" s="8">
        <v>0</v>
      </c>
      <c r="Y544" s="8">
        <v>0</v>
      </c>
      <c r="Z544" s="8">
        <v>-901107.377675</v>
      </c>
      <c r="AA544" s="7">
        <v>0</v>
      </c>
      <c r="AB544" s="8">
        <v>0</v>
      </c>
      <c r="AC544" s="7">
        <v>1.754</v>
      </c>
      <c r="AD544" s="7" t="s">
        <v>1226</v>
      </c>
      <c r="AE544" s="8">
        <v>0</v>
      </c>
      <c r="AF544" s="8">
        <v>0</v>
      </c>
      <c r="AG544" s="8">
        <v>0</v>
      </c>
      <c r="AH544" s="8">
        <v>0</v>
      </c>
      <c r="AI544" s="7" t="s">
        <v>1758</v>
      </c>
      <c r="AJ544" s="7">
        <f t="shared" ca="1" si="107"/>
        <v>1</v>
      </c>
      <c r="AK544" s="96">
        <f t="shared" ref="AK544:AK545" si="120">(+AA544*AB544)/$AB$1102</f>
        <v>0</v>
      </c>
      <c r="AL544" s="97">
        <f t="shared" ref="AL544:AL545" si="121">AC544/$AE$1102*AE544</f>
        <v>0</v>
      </c>
    </row>
    <row r="545" spans="1:38" x14ac:dyDescent="0.3">
      <c r="A545" s="7" t="s">
        <v>2125</v>
      </c>
      <c r="B545" s="7" t="s">
        <v>1768</v>
      </c>
      <c r="C545" s="7" t="s">
        <v>1323</v>
      </c>
      <c r="D545" s="7" t="s">
        <v>1324</v>
      </c>
      <c r="E545" s="7" t="s">
        <v>1695</v>
      </c>
      <c r="F545" s="36">
        <v>43831</v>
      </c>
      <c r="G545" s="36">
        <v>44926</v>
      </c>
      <c r="H545" s="36">
        <v>44866</v>
      </c>
      <c r="I545" s="36">
        <v>44866</v>
      </c>
      <c r="J545" s="7" t="s">
        <v>1696</v>
      </c>
      <c r="K545" s="8">
        <v>0</v>
      </c>
      <c r="L545" s="8">
        <v>0</v>
      </c>
      <c r="M545" s="8">
        <v>499999.99561500002</v>
      </c>
      <c r="N545" s="8">
        <v>0</v>
      </c>
      <c r="O545" s="8">
        <v>0</v>
      </c>
      <c r="P545" s="8">
        <v>0</v>
      </c>
      <c r="Q545" s="8">
        <v>0</v>
      </c>
      <c r="R545" s="8">
        <f t="shared" si="106"/>
        <v>499999.99561500002</v>
      </c>
      <c r="S545" s="8">
        <v>0</v>
      </c>
      <c r="T545" s="8">
        <v>0</v>
      </c>
      <c r="U545" s="8">
        <v>500000</v>
      </c>
      <c r="V545" s="8">
        <v>0</v>
      </c>
      <c r="W545" s="8">
        <v>0</v>
      </c>
      <c r="X545" s="8">
        <v>0</v>
      </c>
      <c r="Y545" s="8">
        <v>0</v>
      </c>
      <c r="Z545" s="8">
        <v>-99875.311719999998</v>
      </c>
      <c r="AA545" s="7">
        <v>0</v>
      </c>
      <c r="AB545" s="8">
        <v>0</v>
      </c>
      <c r="AC545" s="7">
        <v>3</v>
      </c>
      <c r="AD545" s="7" t="s">
        <v>1226</v>
      </c>
      <c r="AE545" s="8">
        <v>0</v>
      </c>
      <c r="AF545" s="8">
        <v>0</v>
      </c>
      <c r="AG545" s="8">
        <v>0</v>
      </c>
      <c r="AH545" s="8">
        <v>0</v>
      </c>
      <c r="AI545" s="7" t="s">
        <v>1758</v>
      </c>
      <c r="AJ545" s="7">
        <f t="shared" ca="1" si="107"/>
        <v>1</v>
      </c>
      <c r="AK545" s="96">
        <f t="shared" si="120"/>
        <v>0</v>
      </c>
      <c r="AL545" s="97">
        <f t="shared" si="121"/>
        <v>0</v>
      </c>
    </row>
    <row r="546" spans="1:38" x14ac:dyDescent="0.3">
      <c r="A546" s="7" t="s">
        <v>2126</v>
      </c>
      <c r="B546" s="7" t="s">
        <v>1320</v>
      </c>
      <c r="C546" s="7" t="s">
        <v>1323</v>
      </c>
      <c r="D546" s="7" t="s">
        <v>1324</v>
      </c>
      <c r="E546" s="7" t="s">
        <v>1773</v>
      </c>
      <c r="F546" s="36">
        <v>44866</v>
      </c>
      <c r="G546" s="36">
        <v>44926</v>
      </c>
      <c r="H546" s="36">
        <v>44926</v>
      </c>
      <c r="I546" s="36">
        <v>44957</v>
      </c>
      <c r="J546" s="7" t="s">
        <v>1699</v>
      </c>
      <c r="K546" s="8">
        <v>0</v>
      </c>
      <c r="L546" s="8">
        <v>0</v>
      </c>
      <c r="M546" s="8">
        <v>0</v>
      </c>
      <c r="N546" s="8">
        <v>91000</v>
      </c>
      <c r="O546" s="8">
        <v>0</v>
      </c>
      <c r="P546" s="8">
        <v>0</v>
      </c>
      <c r="Q546" s="8">
        <v>0</v>
      </c>
      <c r="R546" s="8">
        <f t="shared" si="106"/>
        <v>91000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7">
        <v>8.4931999999999994E-2</v>
      </c>
      <c r="AB546" s="8">
        <v>0</v>
      </c>
      <c r="AC546" s="7">
        <v>1.9614549999999999</v>
      </c>
      <c r="AD546" s="7" t="s">
        <v>1226</v>
      </c>
      <c r="AE546" s="8">
        <v>45500</v>
      </c>
      <c r="AF546" s="8">
        <v>0</v>
      </c>
      <c r="AG546" s="8">
        <v>45500</v>
      </c>
      <c r="AH546" s="8">
        <v>0</v>
      </c>
      <c r="AI546" s="7" t="s">
        <v>1758</v>
      </c>
      <c r="AJ546" s="7">
        <f t="shared" ca="1" si="107"/>
        <v>1</v>
      </c>
      <c r="AK546" s="100">
        <f>(+AA546*AB546)/$AB$1103</f>
        <v>0</v>
      </c>
      <c r="AL546" s="97">
        <f>AC546/$AE$1103*AE546</f>
        <v>1.0713895860612752E-2</v>
      </c>
    </row>
    <row r="547" spans="1:38" x14ac:dyDescent="0.3">
      <c r="A547" s="7" t="s">
        <v>2127</v>
      </c>
      <c r="B547" s="7" t="s">
        <v>1320</v>
      </c>
      <c r="C547" s="7" t="s">
        <v>1323</v>
      </c>
      <c r="D547" s="7" t="s">
        <v>1324</v>
      </c>
      <c r="E547" s="7" t="s">
        <v>1695</v>
      </c>
      <c r="F547" s="36">
        <v>44440</v>
      </c>
      <c r="G547" s="36">
        <v>44804</v>
      </c>
      <c r="H547" s="36">
        <v>44895</v>
      </c>
      <c r="I547" s="36">
        <v>44895</v>
      </c>
      <c r="J547" s="7" t="s">
        <v>1696</v>
      </c>
      <c r="K547" s="8">
        <v>0</v>
      </c>
      <c r="L547" s="8">
        <v>0</v>
      </c>
      <c r="M547" s="8">
        <v>687500.05496400001</v>
      </c>
      <c r="N547" s="8">
        <v>0</v>
      </c>
      <c r="O547" s="8">
        <v>0</v>
      </c>
      <c r="P547" s="8">
        <v>0</v>
      </c>
      <c r="Q547" s="8">
        <v>0</v>
      </c>
      <c r="R547" s="8">
        <f t="shared" si="106"/>
        <v>687500.05496400001</v>
      </c>
      <c r="S547" s="8">
        <v>0</v>
      </c>
      <c r="T547" s="8">
        <v>0</v>
      </c>
      <c r="U547" s="8">
        <v>562500.044964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7">
        <v>0</v>
      </c>
      <c r="AB547" s="8">
        <v>0</v>
      </c>
      <c r="AC547" s="7">
        <v>1.8843639999999999</v>
      </c>
      <c r="AD547" s="7" t="s">
        <v>1697</v>
      </c>
      <c r="AE547" s="8">
        <v>0</v>
      </c>
      <c r="AF547" s="8">
        <v>0</v>
      </c>
      <c r="AG547" s="8">
        <v>0</v>
      </c>
      <c r="AH547" s="8">
        <v>0</v>
      </c>
      <c r="AI547" s="7" t="s">
        <v>1758</v>
      </c>
      <c r="AJ547" s="7">
        <f t="shared" ca="1" si="107"/>
        <v>1</v>
      </c>
      <c r="AK547" s="96">
        <f>(+AA547*AB547)/$AB$1102</f>
        <v>0</v>
      </c>
      <c r="AL547" s="97">
        <f>AC547/$AE$1102*AE547</f>
        <v>0</v>
      </c>
    </row>
    <row r="548" spans="1:38" x14ac:dyDescent="0.3">
      <c r="A548" s="7" t="s">
        <v>2128</v>
      </c>
      <c r="B548" s="7" t="s">
        <v>1768</v>
      </c>
      <c r="C548" s="7" t="s">
        <v>1323</v>
      </c>
      <c r="D548" s="7" t="s">
        <v>1324</v>
      </c>
      <c r="E548" s="7" t="s">
        <v>1739</v>
      </c>
      <c r="F548" s="36">
        <v>43831</v>
      </c>
      <c r="G548" s="36">
        <v>44926</v>
      </c>
      <c r="I548" s="36">
        <v>44926</v>
      </c>
      <c r="J548" s="7" t="s">
        <v>1239</v>
      </c>
      <c r="K548" s="8">
        <v>13214.43</v>
      </c>
      <c r="L548" s="8">
        <v>187.71222700000001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f t="shared" si="106"/>
        <v>13402.142227</v>
      </c>
      <c r="S548" s="8">
        <v>0</v>
      </c>
      <c r="T548" s="8">
        <v>221.65808200000001</v>
      </c>
      <c r="U548" s="8">
        <v>0</v>
      </c>
      <c r="V548" s="8">
        <v>13578.341918</v>
      </c>
      <c r="W548" s="8">
        <v>0</v>
      </c>
      <c r="X548" s="8">
        <v>0</v>
      </c>
      <c r="Y548" s="8">
        <v>0</v>
      </c>
      <c r="Z548" s="8">
        <v>0</v>
      </c>
      <c r="AA548" s="7">
        <v>0</v>
      </c>
      <c r="AB548" s="8">
        <v>0</v>
      </c>
      <c r="AC548" s="7">
        <v>3</v>
      </c>
      <c r="AD548" s="7" t="s">
        <v>1226</v>
      </c>
      <c r="AE548" s="8">
        <v>0</v>
      </c>
      <c r="AF548" s="8">
        <v>0</v>
      </c>
      <c r="AG548" s="8">
        <v>0</v>
      </c>
      <c r="AH548" s="8">
        <v>0</v>
      </c>
      <c r="AI548" s="7" t="s">
        <v>1781</v>
      </c>
      <c r="AJ548" s="7">
        <f t="shared" ca="1" si="107"/>
        <v>1</v>
      </c>
      <c r="AK548" s="96">
        <f t="shared" si="108"/>
        <v>0</v>
      </c>
      <c r="AL548" s="97">
        <f t="shared" si="109"/>
        <v>0</v>
      </c>
    </row>
    <row r="549" spans="1:38" x14ac:dyDescent="0.3">
      <c r="A549" s="7" t="s">
        <v>2128</v>
      </c>
      <c r="B549" s="7" t="s">
        <v>1768</v>
      </c>
      <c r="C549" s="7" t="s">
        <v>1323</v>
      </c>
      <c r="D549" s="7" t="s">
        <v>1324</v>
      </c>
      <c r="E549" s="7" t="s">
        <v>1739</v>
      </c>
      <c r="F549" s="36">
        <v>43831</v>
      </c>
      <c r="G549" s="36">
        <v>44926</v>
      </c>
      <c r="I549" s="36">
        <v>44926</v>
      </c>
      <c r="J549" s="7" t="s">
        <v>1699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f t="shared" si="106"/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7">
        <v>0</v>
      </c>
      <c r="AB549" s="8">
        <v>0</v>
      </c>
      <c r="AC549" s="7">
        <v>3</v>
      </c>
      <c r="AD549" s="7" t="s">
        <v>1226</v>
      </c>
      <c r="AE549" s="8">
        <v>1150</v>
      </c>
      <c r="AF549" s="8">
        <v>0</v>
      </c>
      <c r="AG549" s="8">
        <v>1150</v>
      </c>
      <c r="AH549" s="8">
        <v>0</v>
      </c>
      <c r="AI549" s="7" t="s">
        <v>1781</v>
      </c>
      <c r="AJ549" s="7">
        <f t="shared" ca="1" si="107"/>
        <v>2</v>
      </c>
      <c r="AK549" s="100">
        <f>(+AA549*AB549)/$AB$1103</f>
        <v>0</v>
      </c>
      <c r="AL549" s="97">
        <f>AC549/$AE$1103*AE549</f>
        <v>4.1416821874425407E-4</v>
      </c>
    </row>
    <row r="550" spans="1:38" x14ac:dyDescent="0.3">
      <c r="A550" s="7" t="s">
        <v>2129</v>
      </c>
      <c r="B550" s="7" t="s">
        <v>1320</v>
      </c>
      <c r="C550" s="7" t="s">
        <v>1323</v>
      </c>
      <c r="D550" s="7" t="s">
        <v>1324</v>
      </c>
      <c r="E550" s="7" t="s">
        <v>1695</v>
      </c>
      <c r="F550" s="36">
        <v>44440</v>
      </c>
      <c r="G550" s="36">
        <v>44895</v>
      </c>
      <c r="H550" s="36">
        <v>44895</v>
      </c>
      <c r="I550" s="36">
        <v>44895</v>
      </c>
      <c r="J550" s="7" t="s">
        <v>1696</v>
      </c>
      <c r="K550" s="8">
        <v>0</v>
      </c>
      <c r="L550" s="8">
        <v>0</v>
      </c>
      <c r="M550" s="8">
        <v>16026.596426</v>
      </c>
      <c r="N550" s="8">
        <v>0</v>
      </c>
      <c r="O550" s="8">
        <v>0</v>
      </c>
      <c r="P550" s="8">
        <v>0</v>
      </c>
      <c r="Q550" s="8">
        <v>0</v>
      </c>
      <c r="R550" s="8">
        <f t="shared" si="106"/>
        <v>16026.596426</v>
      </c>
      <c r="S550" s="8">
        <v>0</v>
      </c>
      <c r="T550" s="8">
        <v>0</v>
      </c>
      <c r="U550" s="8">
        <v>12650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7">
        <v>0</v>
      </c>
      <c r="AB550" s="8">
        <v>0</v>
      </c>
      <c r="AC550" s="7">
        <v>1.754</v>
      </c>
      <c r="AD550" s="7" t="s">
        <v>1226</v>
      </c>
      <c r="AE550" s="8">
        <v>0</v>
      </c>
      <c r="AF550" s="8">
        <v>0</v>
      </c>
      <c r="AG550" s="8">
        <v>0</v>
      </c>
      <c r="AH550" s="8">
        <v>0</v>
      </c>
      <c r="AI550" s="7" t="s">
        <v>1781</v>
      </c>
      <c r="AJ550" s="7">
        <f t="shared" ca="1" si="107"/>
        <v>1</v>
      </c>
      <c r="AK550" s="96">
        <f t="shared" ref="AK550:AK553" si="122">(+AA550*AB550)/$AB$1102</f>
        <v>0</v>
      </c>
      <c r="AL550" s="97">
        <f t="shared" ref="AL550:AL553" si="123">AC550/$AE$1102*AE550</f>
        <v>0</v>
      </c>
    </row>
    <row r="551" spans="1:38" x14ac:dyDescent="0.3">
      <c r="A551" s="7" t="s">
        <v>2130</v>
      </c>
      <c r="B551" s="7" t="s">
        <v>1768</v>
      </c>
      <c r="C551" s="7" t="s">
        <v>1323</v>
      </c>
      <c r="D551" s="7" t="s">
        <v>1324</v>
      </c>
      <c r="E551" s="7" t="s">
        <v>1695</v>
      </c>
      <c r="F551" s="36">
        <v>43831</v>
      </c>
      <c r="G551" s="36">
        <v>44926</v>
      </c>
      <c r="H551" s="36">
        <v>44409</v>
      </c>
      <c r="I551" s="36">
        <v>44409</v>
      </c>
      <c r="J551" s="7" t="s">
        <v>1696</v>
      </c>
      <c r="K551" s="8">
        <v>0</v>
      </c>
      <c r="L551" s="8">
        <v>0</v>
      </c>
      <c r="M551" s="8">
        <v>600000</v>
      </c>
      <c r="N551" s="8">
        <v>0</v>
      </c>
      <c r="O551" s="8">
        <v>0</v>
      </c>
      <c r="P551" s="8">
        <v>0</v>
      </c>
      <c r="Q551" s="8">
        <v>0</v>
      </c>
      <c r="R551" s="8">
        <f t="shared" si="106"/>
        <v>600000</v>
      </c>
      <c r="S551" s="8">
        <v>0</v>
      </c>
      <c r="T551" s="8">
        <v>0</v>
      </c>
      <c r="U551" s="8">
        <v>600000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7">
        <v>0</v>
      </c>
      <c r="AB551" s="8">
        <v>0</v>
      </c>
      <c r="AC551" s="7">
        <v>3</v>
      </c>
      <c r="AD551" s="7" t="s">
        <v>1226</v>
      </c>
      <c r="AE551" s="8">
        <v>0</v>
      </c>
      <c r="AF551" s="8">
        <v>0</v>
      </c>
      <c r="AG551" s="8">
        <v>0</v>
      </c>
      <c r="AH551" s="8">
        <v>0</v>
      </c>
      <c r="AI551" s="7" t="s">
        <v>1758</v>
      </c>
      <c r="AJ551" s="7">
        <f t="shared" ca="1" si="107"/>
        <v>1</v>
      </c>
      <c r="AK551" s="96">
        <f t="shared" si="122"/>
        <v>0</v>
      </c>
      <c r="AL551" s="97">
        <f t="shared" si="123"/>
        <v>0</v>
      </c>
    </row>
    <row r="552" spans="1:38" x14ac:dyDescent="0.3">
      <c r="A552" s="7" t="s">
        <v>2131</v>
      </c>
      <c r="B552" s="7" t="s">
        <v>1320</v>
      </c>
      <c r="C552" s="7" t="s">
        <v>1323</v>
      </c>
      <c r="D552" s="7" t="s">
        <v>1324</v>
      </c>
      <c r="E552" s="7" t="s">
        <v>1739</v>
      </c>
      <c r="F552" s="36">
        <v>44409</v>
      </c>
      <c r="G552" s="36">
        <v>44926</v>
      </c>
      <c r="I552" s="36">
        <v>45565</v>
      </c>
      <c r="J552" s="7" t="s">
        <v>1696</v>
      </c>
      <c r="K552" s="8">
        <v>0</v>
      </c>
      <c r="L552" s="8">
        <v>0</v>
      </c>
      <c r="M552" s="8">
        <v>544157.88836700004</v>
      </c>
      <c r="N552" s="8">
        <v>0</v>
      </c>
      <c r="O552" s="8">
        <v>0</v>
      </c>
      <c r="P552" s="8">
        <v>0</v>
      </c>
      <c r="Q552" s="8">
        <v>0</v>
      </c>
      <c r="R552" s="8">
        <f t="shared" si="106"/>
        <v>544157.88836700004</v>
      </c>
      <c r="S552" s="8">
        <v>0</v>
      </c>
      <c r="T552" s="8">
        <v>0</v>
      </c>
      <c r="U552" s="8">
        <v>600000</v>
      </c>
      <c r="V552" s="8">
        <v>0</v>
      </c>
      <c r="W552" s="8">
        <v>0</v>
      </c>
      <c r="X552" s="8">
        <v>0</v>
      </c>
      <c r="Y552" s="8">
        <v>0</v>
      </c>
      <c r="Z552" s="8">
        <v>-931696.72194099997</v>
      </c>
      <c r="AA552" s="7">
        <v>1.750685</v>
      </c>
      <c r="AB552" s="8">
        <v>99909.774233000004</v>
      </c>
      <c r="AC552" s="7">
        <v>2.169333</v>
      </c>
      <c r="AD552" s="7" t="s">
        <v>1697</v>
      </c>
      <c r="AE552" s="8">
        <v>100000</v>
      </c>
      <c r="AF552" s="8">
        <v>0</v>
      </c>
      <c r="AG552" s="8">
        <v>100000</v>
      </c>
      <c r="AH552" s="8">
        <v>0</v>
      </c>
      <c r="AI552" s="7" t="s">
        <v>1758</v>
      </c>
      <c r="AJ552" s="7">
        <f t="shared" ca="1" si="107"/>
        <v>1</v>
      </c>
      <c r="AK552" s="96">
        <f t="shared" si="122"/>
        <v>1.5329579893901763E-4</v>
      </c>
      <c r="AL552" s="97">
        <f t="shared" si="123"/>
        <v>1.8562133792203507E-4</v>
      </c>
    </row>
    <row r="553" spans="1:38" x14ac:dyDescent="0.3">
      <c r="A553" s="7" t="s">
        <v>2132</v>
      </c>
      <c r="B553" s="7" t="s">
        <v>1320</v>
      </c>
      <c r="C553" s="7" t="s">
        <v>1323</v>
      </c>
      <c r="D553" s="7" t="s">
        <v>1324</v>
      </c>
      <c r="E553" s="7" t="s">
        <v>1695</v>
      </c>
      <c r="F553" s="36">
        <v>44440</v>
      </c>
      <c r="G553" s="36">
        <v>44895</v>
      </c>
      <c r="H553" s="36">
        <v>44895</v>
      </c>
      <c r="I553" s="36">
        <v>44895</v>
      </c>
      <c r="J553" s="7" t="s">
        <v>1696</v>
      </c>
      <c r="K553" s="8">
        <v>0</v>
      </c>
      <c r="L553" s="8">
        <v>0</v>
      </c>
      <c r="M553" s="8">
        <v>549999.99666599999</v>
      </c>
      <c r="N553" s="8">
        <v>0</v>
      </c>
      <c r="O553" s="8">
        <v>0</v>
      </c>
      <c r="P553" s="8">
        <v>0</v>
      </c>
      <c r="Q553" s="8">
        <v>0</v>
      </c>
      <c r="R553" s="8">
        <f t="shared" si="106"/>
        <v>549999.99666599999</v>
      </c>
      <c r="S553" s="8">
        <v>0</v>
      </c>
      <c r="T553" s="8">
        <v>0</v>
      </c>
      <c r="U553" s="8">
        <v>550000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7">
        <v>0</v>
      </c>
      <c r="AB553" s="8">
        <v>0</v>
      </c>
      <c r="AC553" s="7">
        <v>1.754</v>
      </c>
      <c r="AD553" s="7" t="s">
        <v>1226</v>
      </c>
      <c r="AE553" s="8">
        <v>0</v>
      </c>
      <c r="AF553" s="8">
        <v>0</v>
      </c>
      <c r="AG553" s="8">
        <v>0</v>
      </c>
      <c r="AH553" s="8">
        <v>0</v>
      </c>
      <c r="AI553" s="7" t="s">
        <v>1758</v>
      </c>
      <c r="AJ553" s="7">
        <f t="shared" ca="1" si="107"/>
        <v>1</v>
      </c>
      <c r="AK553" s="96">
        <f t="shared" si="122"/>
        <v>0</v>
      </c>
      <c r="AL553" s="97">
        <f t="shared" si="123"/>
        <v>0</v>
      </c>
    </row>
    <row r="554" spans="1:38" x14ac:dyDescent="0.3">
      <c r="A554" s="7" t="s">
        <v>2133</v>
      </c>
      <c r="B554" s="7" t="s">
        <v>1768</v>
      </c>
      <c r="C554" s="7" t="s">
        <v>1769</v>
      </c>
      <c r="D554" s="7" t="s">
        <v>1324</v>
      </c>
      <c r="E554" s="7" t="s">
        <v>1322</v>
      </c>
      <c r="F554" s="36">
        <v>43831</v>
      </c>
      <c r="G554" s="36">
        <v>46022</v>
      </c>
      <c r="H554" s="36">
        <v>46022</v>
      </c>
      <c r="I554" s="36">
        <v>46022</v>
      </c>
      <c r="J554" s="7" t="s">
        <v>1239</v>
      </c>
      <c r="K554" s="8">
        <v>240307.24754400001</v>
      </c>
      <c r="L554" s="8">
        <v>19788.155019999998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f t="shared" si="106"/>
        <v>260095.40256400002</v>
      </c>
      <c r="S554" s="8">
        <v>0</v>
      </c>
      <c r="T554" s="8">
        <v>20245.826856</v>
      </c>
      <c r="U554" s="8">
        <v>0</v>
      </c>
      <c r="V554" s="8">
        <v>236897.03029200001</v>
      </c>
      <c r="W554" s="8">
        <v>0</v>
      </c>
      <c r="X554" s="8">
        <v>0</v>
      </c>
      <c r="Y554" s="8">
        <v>0</v>
      </c>
      <c r="Z554" s="8">
        <v>0</v>
      </c>
      <c r="AA554" s="7">
        <v>3.0027400000000002</v>
      </c>
      <c r="AB554" s="8">
        <v>744519.16570500005</v>
      </c>
      <c r="AC554" s="7">
        <v>2.318333</v>
      </c>
      <c r="AD554" s="7" t="s">
        <v>1226</v>
      </c>
      <c r="AE554" s="8">
        <v>771428.571444</v>
      </c>
      <c r="AF554" s="8">
        <v>0</v>
      </c>
      <c r="AG554" s="8">
        <v>771428.571444</v>
      </c>
      <c r="AH554" s="8">
        <v>0</v>
      </c>
      <c r="AI554" s="7" t="s">
        <v>1758</v>
      </c>
      <c r="AJ554" s="7">
        <f t="shared" ca="1" si="107"/>
        <v>1</v>
      </c>
      <c r="AK554" s="96">
        <f t="shared" si="108"/>
        <v>1.4976357993974392E-2</v>
      </c>
      <c r="AL554" s="97">
        <f t="shared" si="109"/>
        <v>1.1369101149461986E-2</v>
      </c>
    </row>
    <row r="555" spans="1:38" x14ac:dyDescent="0.3">
      <c r="A555" s="7" t="s">
        <v>2134</v>
      </c>
      <c r="B555" s="7" t="s">
        <v>1320</v>
      </c>
      <c r="C555" s="7" t="s">
        <v>1769</v>
      </c>
      <c r="D555" s="7" t="s">
        <v>1324</v>
      </c>
      <c r="E555" s="7" t="s">
        <v>1322</v>
      </c>
      <c r="F555" s="36">
        <v>44348</v>
      </c>
      <c r="G555" s="36">
        <v>45991</v>
      </c>
      <c r="H555" s="36">
        <v>45991</v>
      </c>
      <c r="I555" s="36">
        <v>45991</v>
      </c>
      <c r="J555" s="7" t="s">
        <v>1696</v>
      </c>
      <c r="K555" s="8">
        <v>0</v>
      </c>
      <c r="L555" s="8">
        <v>0</v>
      </c>
      <c r="M555" s="8">
        <v>154285.85999999999</v>
      </c>
      <c r="N555" s="8">
        <v>0</v>
      </c>
      <c r="O555" s="8">
        <v>0</v>
      </c>
      <c r="P555" s="8">
        <v>0</v>
      </c>
      <c r="Q555" s="8">
        <v>0</v>
      </c>
      <c r="R555" s="8">
        <f t="shared" si="106"/>
        <v>154285.85999999999</v>
      </c>
      <c r="S555" s="8">
        <v>0</v>
      </c>
      <c r="T555" s="8">
        <v>0</v>
      </c>
      <c r="U555" s="8">
        <v>154285.85999999999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7">
        <v>2.917808</v>
      </c>
      <c r="AB555" s="8">
        <v>858894.54212899995</v>
      </c>
      <c r="AC555" s="7">
        <v>2.1133329999999999</v>
      </c>
      <c r="AD555" s="7" t="s">
        <v>1226</v>
      </c>
      <c r="AE555" s="8">
        <v>912858.36499999999</v>
      </c>
      <c r="AF555" s="8">
        <v>0</v>
      </c>
      <c r="AG555" s="8">
        <v>912858.36499999999</v>
      </c>
      <c r="AH555" s="8">
        <v>0</v>
      </c>
      <c r="AI555" s="7" t="s">
        <v>1758</v>
      </c>
      <c r="AJ555" s="7">
        <f t="shared" ca="1" si="107"/>
        <v>1</v>
      </c>
      <c r="AK555" s="96">
        <f>(+AA555*AB555)/$AB$1102</f>
        <v>2.1963968825752414E-3</v>
      </c>
      <c r="AL555" s="97">
        <f>AC555/$AE$1102*AE555</f>
        <v>1.6507184678069384E-3</v>
      </c>
    </row>
    <row r="556" spans="1:38" x14ac:dyDescent="0.3">
      <c r="A556" s="7" t="s">
        <v>2135</v>
      </c>
      <c r="B556" s="7" t="s">
        <v>1768</v>
      </c>
      <c r="C556" s="7" t="s">
        <v>1769</v>
      </c>
      <c r="D556" s="7" t="s">
        <v>1324</v>
      </c>
      <c r="E556" s="7" t="s">
        <v>1322</v>
      </c>
      <c r="F556" s="36">
        <v>43831</v>
      </c>
      <c r="G556" s="36">
        <v>46022</v>
      </c>
      <c r="H556" s="36">
        <v>46022</v>
      </c>
      <c r="I556" s="36">
        <v>46022</v>
      </c>
      <c r="J556" s="7" t="s">
        <v>1239</v>
      </c>
      <c r="K556" s="8">
        <v>240307.24754400001</v>
      </c>
      <c r="L556" s="8">
        <v>19788.155019999998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f t="shared" si="106"/>
        <v>260095.40256400002</v>
      </c>
      <c r="S556" s="8">
        <v>0</v>
      </c>
      <c r="T556" s="8">
        <v>20245.826856</v>
      </c>
      <c r="U556" s="8">
        <v>0</v>
      </c>
      <c r="V556" s="8">
        <v>236897.03029200001</v>
      </c>
      <c r="W556" s="8">
        <v>0</v>
      </c>
      <c r="X556" s="8">
        <v>0</v>
      </c>
      <c r="Y556" s="8">
        <v>0</v>
      </c>
      <c r="Z556" s="8">
        <v>0</v>
      </c>
      <c r="AA556" s="7">
        <v>3.0027400000000002</v>
      </c>
      <c r="AB556" s="8">
        <v>744519.16570500005</v>
      </c>
      <c r="AC556" s="7">
        <v>2.318333</v>
      </c>
      <c r="AD556" s="7" t="s">
        <v>1226</v>
      </c>
      <c r="AE556" s="8">
        <v>771428.571444</v>
      </c>
      <c r="AF556" s="8">
        <v>0</v>
      </c>
      <c r="AG556" s="8">
        <v>771428.571444</v>
      </c>
      <c r="AH556" s="8">
        <v>0</v>
      </c>
      <c r="AI556" s="7" t="s">
        <v>1758</v>
      </c>
      <c r="AJ556" s="7">
        <f t="shared" ca="1" si="107"/>
        <v>1</v>
      </c>
      <c r="AK556" s="96">
        <f t="shared" si="108"/>
        <v>1.4976357993974392E-2</v>
      </c>
      <c r="AL556" s="97">
        <f t="shared" si="109"/>
        <v>1.1369101149461986E-2</v>
      </c>
    </row>
    <row r="557" spans="1:38" x14ac:dyDescent="0.3">
      <c r="A557" s="7" t="s">
        <v>2136</v>
      </c>
      <c r="B557" s="7" t="s">
        <v>1768</v>
      </c>
      <c r="C557" s="7" t="s">
        <v>1769</v>
      </c>
      <c r="D557" s="7" t="s">
        <v>1324</v>
      </c>
      <c r="E557" s="7" t="s">
        <v>1322</v>
      </c>
      <c r="F557" s="36">
        <v>43831</v>
      </c>
      <c r="G557" s="36">
        <v>46022</v>
      </c>
      <c r="H557" s="36">
        <v>46022</v>
      </c>
      <c r="I557" s="36">
        <v>46022</v>
      </c>
      <c r="J557" s="7" t="s">
        <v>1239</v>
      </c>
      <c r="K557" s="8">
        <v>240307.24754400001</v>
      </c>
      <c r="L557" s="8">
        <v>19788.155019999998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f t="shared" si="106"/>
        <v>260095.40256400002</v>
      </c>
      <c r="S557" s="8">
        <v>0</v>
      </c>
      <c r="T557" s="8">
        <v>20245.826856</v>
      </c>
      <c r="U557" s="8">
        <v>0</v>
      </c>
      <c r="V557" s="8">
        <v>236897.03029200001</v>
      </c>
      <c r="W557" s="8">
        <v>0</v>
      </c>
      <c r="X557" s="8">
        <v>0</v>
      </c>
      <c r="Y557" s="8">
        <v>0</v>
      </c>
      <c r="Z557" s="8">
        <v>0</v>
      </c>
      <c r="AA557" s="7">
        <v>3.0027400000000002</v>
      </c>
      <c r="AB557" s="8">
        <v>744519.16570500005</v>
      </c>
      <c r="AC557" s="7">
        <v>2.318333</v>
      </c>
      <c r="AD557" s="7" t="s">
        <v>1226</v>
      </c>
      <c r="AE557" s="8">
        <v>771428.571444</v>
      </c>
      <c r="AF557" s="8">
        <v>0</v>
      </c>
      <c r="AG557" s="8">
        <v>771428.571444</v>
      </c>
      <c r="AH557" s="8">
        <v>0</v>
      </c>
      <c r="AI557" s="7" t="s">
        <v>1758</v>
      </c>
      <c r="AJ557" s="7">
        <f t="shared" ca="1" si="107"/>
        <v>1</v>
      </c>
      <c r="AK557" s="96">
        <f t="shared" si="108"/>
        <v>1.4976357993974392E-2</v>
      </c>
      <c r="AL557" s="97">
        <f t="shared" si="109"/>
        <v>1.1369101149461986E-2</v>
      </c>
    </row>
    <row r="558" spans="1:38" x14ac:dyDescent="0.3">
      <c r="A558" s="7" t="s">
        <v>2137</v>
      </c>
      <c r="B558" s="7" t="s">
        <v>1768</v>
      </c>
      <c r="C558" s="7" t="s">
        <v>1323</v>
      </c>
      <c r="D558" s="7" t="s">
        <v>1324</v>
      </c>
      <c r="E558" s="7" t="s">
        <v>1739</v>
      </c>
      <c r="F558" s="36">
        <v>43831</v>
      </c>
      <c r="G558" s="36">
        <v>44926</v>
      </c>
      <c r="I558" s="36">
        <v>44926</v>
      </c>
      <c r="J558" s="7" t="s">
        <v>1696</v>
      </c>
      <c r="K558" s="8">
        <v>0</v>
      </c>
      <c r="L558" s="8">
        <v>0</v>
      </c>
      <c r="M558" s="8">
        <v>600000.00389399996</v>
      </c>
      <c r="N558" s="8">
        <v>0</v>
      </c>
      <c r="O558" s="8">
        <v>0</v>
      </c>
      <c r="P558" s="8">
        <v>0</v>
      </c>
      <c r="Q558" s="8">
        <v>0</v>
      </c>
      <c r="R558" s="8">
        <f t="shared" si="106"/>
        <v>600000.00389399996</v>
      </c>
      <c r="S558" s="8">
        <v>0</v>
      </c>
      <c r="T558" s="8">
        <v>0</v>
      </c>
      <c r="U558" s="8">
        <v>600000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7">
        <v>0</v>
      </c>
      <c r="AB558" s="8">
        <v>0</v>
      </c>
      <c r="AC558" s="7">
        <v>3</v>
      </c>
      <c r="AD558" s="7" t="s">
        <v>1226</v>
      </c>
      <c r="AE558" s="8">
        <v>0</v>
      </c>
      <c r="AF558" s="8">
        <v>0</v>
      </c>
      <c r="AG558" s="8">
        <v>0</v>
      </c>
      <c r="AH558" s="8">
        <v>0</v>
      </c>
      <c r="AI558" s="7" t="s">
        <v>1758</v>
      </c>
      <c r="AJ558" s="7">
        <f t="shared" ca="1" si="107"/>
        <v>1</v>
      </c>
      <c r="AK558" s="96">
        <f>(+AA558*AB558)/$AB$1102</f>
        <v>0</v>
      </c>
      <c r="AL558" s="97">
        <f>AC558/$AE$1102*AE558</f>
        <v>0</v>
      </c>
    </row>
    <row r="559" spans="1:38" x14ac:dyDescent="0.3">
      <c r="A559" s="7" t="s">
        <v>2137</v>
      </c>
      <c r="B559" s="7" t="s">
        <v>1768</v>
      </c>
      <c r="C559" s="7" t="s">
        <v>1323</v>
      </c>
      <c r="D559" s="7" t="s">
        <v>1324</v>
      </c>
      <c r="E559" s="7" t="s">
        <v>1739</v>
      </c>
      <c r="F559" s="36">
        <v>43831</v>
      </c>
      <c r="G559" s="36">
        <v>44926</v>
      </c>
      <c r="I559" s="36">
        <v>44926</v>
      </c>
      <c r="J559" s="7" t="s">
        <v>1699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f t="shared" si="106"/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7">
        <v>0</v>
      </c>
      <c r="AB559" s="8">
        <v>0</v>
      </c>
      <c r="AC559" s="7">
        <v>3</v>
      </c>
      <c r="AD559" s="7" t="s">
        <v>1226</v>
      </c>
      <c r="AE559" s="8">
        <v>50000</v>
      </c>
      <c r="AF559" s="8">
        <v>0</v>
      </c>
      <c r="AG559" s="8">
        <v>50000</v>
      </c>
      <c r="AH559" s="8">
        <v>0</v>
      </c>
      <c r="AI559" s="7" t="s">
        <v>1758</v>
      </c>
      <c r="AJ559" s="7">
        <f t="shared" ca="1" si="107"/>
        <v>2</v>
      </c>
      <c r="AK559" s="100">
        <f>(+AA559*AB559)/$AB$1103</f>
        <v>0</v>
      </c>
      <c r="AL559" s="97">
        <f>AC559/$AE$1103*AE559</f>
        <v>1.8007313858445829E-2</v>
      </c>
    </row>
    <row r="560" spans="1:38" x14ac:dyDescent="0.3">
      <c r="A560" s="7" t="s">
        <v>2138</v>
      </c>
      <c r="B560" s="7" t="s">
        <v>1320</v>
      </c>
      <c r="C560" s="7" t="s">
        <v>1323</v>
      </c>
      <c r="D560" s="7" t="s">
        <v>1324</v>
      </c>
      <c r="E560" s="7" t="s">
        <v>1322</v>
      </c>
      <c r="F560" s="36">
        <v>44501</v>
      </c>
      <c r="G560" s="36">
        <v>44926</v>
      </c>
      <c r="H560" s="36">
        <v>44926</v>
      </c>
      <c r="I560" s="36">
        <v>44926</v>
      </c>
      <c r="J560" s="7" t="s">
        <v>1696</v>
      </c>
      <c r="K560" s="8">
        <v>0</v>
      </c>
      <c r="L560" s="8">
        <v>0</v>
      </c>
      <c r="M560" s="8">
        <v>5142.8551630000002</v>
      </c>
      <c r="N560" s="8">
        <v>0</v>
      </c>
      <c r="O560" s="8">
        <v>0</v>
      </c>
      <c r="P560" s="8">
        <v>0</v>
      </c>
      <c r="Q560" s="8">
        <v>0</v>
      </c>
      <c r="R560" s="8">
        <f t="shared" si="106"/>
        <v>5142.8551630000002</v>
      </c>
      <c r="S560" s="8">
        <v>0</v>
      </c>
      <c r="T560" s="8">
        <v>0</v>
      </c>
      <c r="U560" s="8">
        <v>5142.8571480000001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7">
        <v>0</v>
      </c>
      <c r="AB560" s="8">
        <v>0</v>
      </c>
      <c r="AC560" s="7">
        <v>1.6946669999999999</v>
      </c>
      <c r="AD560" s="7" t="s">
        <v>1226</v>
      </c>
      <c r="AE560" s="8">
        <v>0</v>
      </c>
      <c r="AF560" s="8">
        <v>0</v>
      </c>
      <c r="AG560" s="8">
        <v>0</v>
      </c>
      <c r="AH560" s="8">
        <v>0</v>
      </c>
      <c r="AI560" s="7" t="s">
        <v>1760</v>
      </c>
      <c r="AJ560" s="7">
        <f t="shared" ca="1" si="107"/>
        <v>1</v>
      </c>
      <c r="AK560" s="96">
        <f t="shared" ref="AK560:AK561" si="124">(+AA560*AB560)/$AB$1102</f>
        <v>0</v>
      </c>
      <c r="AL560" s="97">
        <f t="shared" ref="AL560:AL561" si="125">AC560/$AE$1102*AE560</f>
        <v>0</v>
      </c>
    </row>
    <row r="561" spans="1:38" x14ac:dyDescent="0.3">
      <c r="A561" s="7" t="s">
        <v>2139</v>
      </c>
      <c r="B561" s="7" t="s">
        <v>1768</v>
      </c>
      <c r="C561" s="7" t="s">
        <v>1323</v>
      </c>
      <c r="D561" s="7" t="s">
        <v>1324</v>
      </c>
      <c r="E561" s="7" t="s">
        <v>1739</v>
      </c>
      <c r="F561" s="36">
        <v>43831</v>
      </c>
      <c r="G561" s="36">
        <v>44926</v>
      </c>
      <c r="I561" s="36">
        <v>44926</v>
      </c>
      <c r="J561" s="7" t="s">
        <v>1696</v>
      </c>
      <c r="K561" s="8">
        <v>0</v>
      </c>
      <c r="L561" s="8">
        <v>0</v>
      </c>
      <c r="M561" s="8">
        <v>600000.00389399996</v>
      </c>
      <c r="N561" s="8">
        <v>0</v>
      </c>
      <c r="O561" s="8">
        <v>0</v>
      </c>
      <c r="P561" s="8">
        <v>0</v>
      </c>
      <c r="Q561" s="8">
        <v>0</v>
      </c>
      <c r="R561" s="8">
        <f t="shared" si="106"/>
        <v>600000.00389399996</v>
      </c>
      <c r="S561" s="8">
        <v>0</v>
      </c>
      <c r="T561" s="8">
        <v>0</v>
      </c>
      <c r="U561" s="8">
        <v>600000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7">
        <v>0</v>
      </c>
      <c r="AB561" s="8">
        <v>0</v>
      </c>
      <c r="AC561" s="7">
        <v>3</v>
      </c>
      <c r="AD561" s="7" t="s">
        <v>1226</v>
      </c>
      <c r="AE561" s="8">
        <v>0</v>
      </c>
      <c r="AF561" s="8">
        <v>0</v>
      </c>
      <c r="AG561" s="8">
        <v>0</v>
      </c>
      <c r="AH561" s="8">
        <v>0</v>
      </c>
      <c r="AI561" s="7" t="s">
        <v>1758</v>
      </c>
      <c r="AJ561" s="7">
        <f t="shared" ca="1" si="107"/>
        <v>1</v>
      </c>
      <c r="AK561" s="96">
        <f t="shared" si="124"/>
        <v>0</v>
      </c>
      <c r="AL561" s="97">
        <f t="shared" si="125"/>
        <v>0</v>
      </c>
    </row>
    <row r="562" spans="1:38" x14ac:dyDescent="0.3">
      <c r="A562" s="7" t="s">
        <v>2139</v>
      </c>
      <c r="B562" s="7" t="s">
        <v>1768</v>
      </c>
      <c r="C562" s="7" t="s">
        <v>1323</v>
      </c>
      <c r="D562" s="7" t="s">
        <v>1324</v>
      </c>
      <c r="E562" s="7" t="s">
        <v>1739</v>
      </c>
      <c r="F562" s="36">
        <v>43831</v>
      </c>
      <c r="G562" s="36">
        <v>44926</v>
      </c>
      <c r="I562" s="36">
        <v>44926</v>
      </c>
      <c r="J562" s="7" t="s">
        <v>1699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f t="shared" si="106"/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7">
        <v>0</v>
      </c>
      <c r="AB562" s="8">
        <v>0</v>
      </c>
      <c r="AC562" s="7">
        <v>3</v>
      </c>
      <c r="AD562" s="7" t="s">
        <v>1226</v>
      </c>
      <c r="AE562" s="8">
        <v>50000</v>
      </c>
      <c r="AF562" s="8">
        <v>0</v>
      </c>
      <c r="AG562" s="8">
        <v>50000</v>
      </c>
      <c r="AH562" s="8">
        <v>0</v>
      </c>
      <c r="AI562" s="7" t="s">
        <v>1758</v>
      </c>
      <c r="AJ562" s="7">
        <f t="shared" ca="1" si="107"/>
        <v>2</v>
      </c>
      <c r="AK562" s="100">
        <f>(+AA562*AB562)/$AB$1103</f>
        <v>0</v>
      </c>
      <c r="AL562" s="97">
        <f>AC562/$AE$1103*AE562</f>
        <v>1.8007313858445829E-2</v>
      </c>
    </row>
    <row r="563" spans="1:38" x14ac:dyDescent="0.3">
      <c r="A563" s="7" t="s">
        <v>2140</v>
      </c>
      <c r="B563" s="7" t="s">
        <v>1768</v>
      </c>
      <c r="C563" s="7" t="s">
        <v>1769</v>
      </c>
      <c r="D563" s="7" t="s">
        <v>1324</v>
      </c>
      <c r="E563" s="7" t="s">
        <v>1322</v>
      </c>
      <c r="F563" s="36">
        <v>43831</v>
      </c>
      <c r="G563" s="36">
        <v>46022</v>
      </c>
      <c r="H563" s="36">
        <v>46022</v>
      </c>
      <c r="I563" s="36">
        <v>46022</v>
      </c>
      <c r="J563" s="7" t="s">
        <v>1239</v>
      </c>
      <c r="K563" s="8">
        <v>480614.49506400002</v>
      </c>
      <c r="L563" s="8">
        <v>39576.310038000003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f t="shared" si="106"/>
        <v>520190.80510200001</v>
      </c>
      <c r="S563" s="8">
        <v>0</v>
      </c>
      <c r="T563" s="8">
        <v>40491.653709999999</v>
      </c>
      <c r="U563" s="8">
        <v>0</v>
      </c>
      <c r="V563" s="8">
        <v>473794.06053800002</v>
      </c>
      <c r="W563" s="8">
        <v>0</v>
      </c>
      <c r="X563" s="8">
        <v>0</v>
      </c>
      <c r="Y563" s="8">
        <v>0</v>
      </c>
      <c r="Z563" s="8">
        <v>0</v>
      </c>
      <c r="AA563" s="7">
        <v>3.0027400000000002</v>
      </c>
      <c r="AB563" s="8">
        <v>1489038.331274</v>
      </c>
      <c r="AC563" s="7">
        <v>2.318333</v>
      </c>
      <c r="AD563" s="7" t="s">
        <v>1226</v>
      </c>
      <c r="AE563" s="8">
        <v>1542857.1427440001</v>
      </c>
      <c r="AF563" s="8">
        <v>0</v>
      </c>
      <c r="AG563" s="8">
        <v>1542857.1427440001</v>
      </c>
      <c r="AH563" s="8">
        <v>0</v>
      </c>
      <c r="AI563" s="7" t="s">
        <v>1758</v>
      </c>
      <c r="AJ563" s="7">
        <f t="shared" ca="1" si="107"/>
        <v>1</v>
      </c>
      <c r="AK563" s="96">
        <f t="shared" si="108"/>
        <v>2.9952715985213076E-2</v>
      </c>
      <c r="AL563" s="97">
        <f t="shared" si="109"/>
        <v>2.2738202296801738E-2</v>
      </c>
    </row>
    <row r="564" spans="1:38" x14ac:dyDescent="0.3">
      <c r="A564" s="7" t="s">
        <v>2141</v>
      </c>
      <c r="B564" s="7" t="s">
        <v>1320</v>
      </c>
      <c r="C564" s="7" t="s">
        <v>1769</v>
      </c>
      <c r="D564" s="7" t="s">
        <v>1324</v>
      </c>
      <c r="E564" s="7" t="s">
        <v>1322</v>
      </c>
      <c r="F564" s="36">
        <v>44501</v>
      </c>
      <c r="G564" s="36">
        <v>46022</v>
      </c>
      <c r="H564" s="36">
        <v>46022</v>
      </c>
      <c r="I564" s="36">
        <v>46022</v>
      </c>
      <c r="J564" s="7" t="s">
        <v>1239</v>
      </c>
      <c r="K564" s="8">
        <v>8219.9837399999997</v>
      </c>
      <c r="L564" s="8">
        <v>590.91700600000001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f t="shared" si="106"/>
        <v>8810.9007459999993</v>
      </c>
      <c r="S564" s="8">
        <v>0</v>
      </c>
      <c r="T564" s="8">
        <v>604.64504499999998</v>
      </c>
      <c r="U564" s="8">
        <v>0</v>
      </c>
      <c r="V564" s="8">
        <v>7966.8349550000003</v>
      </c>
      <c r="W564" s="8">
        <v>0</v>
      </c>
      <c r="X564" s="8">
        <v>0</v>
      </c>
      <c r="Y564" s="8">
        <v>0</v>
      </c>
      <c r="Z564" s="8">
        <v>0</v>
      </c>
      <c r="AA564" s="7">
        <v>3.0027400000000002</v>
      </c>
      <c r="AB564" s="8">
        <v>24912.304203</v>
      </c>
      <c r="AC564" s="7">
        <v>2.0677780000000001</v>
      </c>
      <c r="AD564" s="7" t="s">
        <v>1226</v>
      </c>
      <c r="AE564" s="8">
        <v>25714.44</v>
      </c>
      <c r="AF564" s="8">
        <v>0</v>
      </c>
      <c r="AG564" s="8">
        <v>25714.44</v>
      </c>
      <c r="AH564" s="8">
        <v>0</v>
      </c>
      <c r="AI564" s="7" t="s">
        <v>1760</v>
      </c>
      <c r="AJ564" s="7">
        <f t="shared" ca="1" si="107"/>
        <v>1</v>
      </c>
      <c r="AK564" s="96">
        <f t="shared" si="108"/>
        <v>5.0112287686459927E-4</v>
      </c>
      <c r="AL564" s="97">
        <f t="shared" si="109"/>
        <v>3.3801468970485034E-4</v>
      </c>
    </row>
    <row r="565" spans="1:38" x14ac:dyDescent="0.3">
      <c r="A565" s="7" t="s">
        <v>2142</v>
      </c>
      <c r="B565" s="7" t="s">
        <v>1768</v>
      </c>
      <c r="C565" s="7" t="s">
        <v>1769</v>
      </c>
      <c r="D565" s="7" t="s">
        <v>1324</v>
      </c>
      <c r="E565" s="7" t="s">
        <v>1695</v>
      </c>
      <c r="F565" s="36">
        <v>43831</v>
      </c>
      <c r="G565" s="36">
        <v>46022</v>
      </c>
      <c r="H565" s="36">
        <v>44409</v>
      </c>
      <c r="I565" s="36">
        <v>44409</v>
      </c>
      <c r="J565" s="7" t="s">
        <v>1239</v>
      </c>
      <c r="K565" s="8">
        <v>480614.49506400002</v>
      </c>
      <c r="L565" s="8">
        <v>39576.310038000003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f t="shared" si="106"/>
        <v>520190.80510200001</v>
      </c>
      <c r="S565" s="8">
        <v>0</v>
      </c>
      <c r="T565" s="8">
        <v>40491.653709999999</v>
      </c>
      <c r="U565" s="8">
        <v>0</v>
      </c>
      <c r="V565" s="8">
        <v>473794.06053800002</v>
      </c>
      <c r="W565" s="8">
        <v>0</v>
      </c>
      <c r="X565" s="8">
        <v>0</v>
      </c>
      <c r="Y565" s="8">
        <v>0</v>
      </c>
      <c r="Z565" s="8">
        <v>0</v>
      </c>
      <c r="AA565" s="7">
        <v>0</v>
      </c>
      <c r="AB565" s="8">
        <v>1489038.331274</v>
      </c>
      <c r="AC565" s="7">
        <v>2.318333</v>
      </c>
      <c r="AD565" s="7" t="s">
        <v>1226</v>
      </c>
      <c r="AE565" s="8">
        <v>1542857.1427440001</v>
      </c>
      <c r="AF565" s="8">
        <v>0</v>
      </c>
      <c r="AG565" s="8">
        <v>1542857.1427440001</v>
      </c>
      <c r="AH565" s="8">
        <v>0</v>
      </c>
      <c r="AI565" s="7" t="s">
        <v>1758</v>
      </c>
      <c r="AJ565" s="7">
        <f t="shared" ca="1" si="107"/>
        <v>1</v>
      </c>
      <c r="AK565" s="96">
        <f t="shared" si="108"/>
        <v>0</v>
      </c>
      <c r="AL565" s="97">
        <f t="shared" si="109"/>
        <v>2.2738202296801738E-2</v>
      </c>
    </row>
    <row r="566" spans="1:38" x14ac:dyDescent="0.3">
      <c r="A566" s="7" t="s">
        <v>2143</v>
      </c>
      <c r="B566" s="7" t="s">
        <v>1320</v>
      </c>
      <c r="C566" s="7" t="s">
        <v>1769</v>
      </c>
      <c r="D566" s="7" t="s">
        <v>1324</v>
      </c>
      <c r="E566" s="7" t="s">
        <v>1322</v>
      </c>
      <c r="F566" s="36">
        <v>44409</v>
      </c>
      <c r="G566" s="36">
        <v>45626</v>
      </c>
      <c r="H566" s="36">
        <v>45626</v>
      </c>
      <c r="I566" s="36">
        <v>45626</v>
      </c>
      <c r="J566" s="7" t="s">
        <v>1696</v>
      </c>
      <c r="K566" s="8">
        <v>0</v>
      </c>
      <c r="L566" s="8">
        <v>0</v>
      </c>
      <c r="M566" s="8">
        <v>360000</v>
      </c>
      <c r="N566" s="8">
        <v>0</v>
      </c>
      <c r="O566" s="8">
        <v>0</v>
      </c>
      <c r="P566" s="8">
        <v>0</v>
      </c>
      <c r="Q566" s="8">
        <v>0</v>
      </c>
      <c r="R566" s="8">
        <f t="shared" si="106"/>
        <v>360000</v>
      </c>
      <c r="S566" s="8">
        <v>0</v>
      </c>
      <c r="T566" s="8">
        <v>0</v>
      </c>
      <c r="U566" s="8">
        <v>360000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7">
        <v>1.917808</v>
      </c>
      <c r="AB566" s="8">
        <v>673337.50441199995</v>
      </c>
      <c r="AC566" s="7">
        <v>2.681667</v>
      </c>
      <c r="AD566" s="7" t="s">
        <v>1226</v>
      </c>
      <c r="AE566" s="8">
        <v>690000</v>
      </c>
      <c r="AF566" s="8">
        <v>0</v>
      </c>
      <c r="AG566" s="8">
        <v>690000</v>
      </c>
      <c r="AH566" s="8">
        <v>0</v>
      </c>
      <c r="AI566" s="7" t="s">
        <v>1758</v>
      </c>
      <c r="AJ566" s="7">
        <f t="shared" ca="1" si="107"/>
        <v>1</v>
      </c>
      <c r="AK566" s="96">
        <f>(+AA566*AB566)/$AB$1102</f>
        <v>1.1317544111197611E-3</v>
      </c>
      <c r="AL566" s="97">
        <f>AC566/$AE$1102*AE566</f>
        <v>1.5832723022096897E-3</v>
      </c>
    </row>
    <row r="567" spans="1:38" x14ac:dyDescent="0.3">
      <c r="A567" s="7" t="s">
        <v>2144</v>
      </c>
      <c r="B567" s="7" t="s">
        <v>1768</v>
      </c>
      <c r="C567" s="7" t="s">
        <v>1323</v>
      </c>
      <c r="D567" s="7" t="s">
        <v>1324</v>
      </c>
      <c r="E567" s="7" t="s">
        <v>1739</v>
      </c>
      <c r="F567" s="36">
        <v>43831</v>
      </c>
      <c r="G567" s="36">
        <v>44926</v>
      </c>
      <c r="I567" s="36">
        <v>44926</v>
      </c>
      <c r="J567" s="7" t="s">
        <v>1239</v>
      </c>
      <c r="K567" s="8">
        <v>13214.433985</v>
      </c>
      <c r="L567" s="8">
        <v>187.71222700000001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f t="shared" si="106"/>
        <v>13402.146212</v>
      </c>
      <c r="S567" s="8">
        <v>0</v>
      </c>
      <c r="T567" s="8">
        <v>221.65808200000001</v>
      </c>
      <c r="U567" s="8">
        <v>0</v>
      </c>
      <c r="V567" s="8">
        <v>13578.341918</v>
      </c>
      <c r="W567" s="8">
        <v>0</v>
      </c>
      <c r="X567" s="8">
        <v>0</v>
      </c>
      <c r="Y567" s="8">
        <v>0</v>
      </c>
      <c r="Z567" s="8">
        <v>0</v>
      </c>
      <c r="AA567" s="7">
        <v>0</v>
      </c>
      <c r="AB567" s="8">
        <v>0</v>
      </c>
      <c r="AC567" s="7">
        <v>3</v>
      </c>
      <c r="AD567" s="7" t="s">
        <v>1226</v>
      </c>
      <c r="AE567" s="8">
        <v>0</v>
      </c>
      <c r="AF567" s="8">
        <v>0</v>
      </c>
      <c r="AG567" s="8">
        <v>0</v>
      </c>
      <c r="AH567" s="8">
        <v>0</v>
      </c>
      <c r="AI567" s="7" t="s">
        <v>1781</v>
      </c>
      <c r="AJ567" s="7">
        <f t="shared" ca="1" si="107"/>
        <v>1</v>
      </c>
      <c r="AK567" s="96">
        <f t="shared" si="108"/>
        <v>0</v>
      </c>
      <c r="AL567" s="97">
        <f t="shared" si="109"/>
        <v>0</v>
      </c>
    </row>
    <row r="568" spans="1:38" x14ac:dyDescent="0.3">
      <c r="A568" s="7" t="s">
        <v>2144</v>
      </c>
      <c r="B568" s="7" t="s">
        <v>1768</v>
      </c>
      <c r="C568" s="7" t="s">
        <v>1323</v>
      </c>
      <c r="D568" s="7" t="s">
        <v>1324</v>
      </c>
      <c r="E568" s="7" t="s">
        <v>1739</v>
      </c>
      <c r="F568" s="36">
        <v>43831</v>
      </c>
      <c r="G568" s="36">
        <v>44926</v>
      </c>
      <c r="I568" s="36">
        <v>44926</v>
      </c>
      <c r="J568" s="7" t="s">
        <v>1699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f t="shared" si="106"/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7">
        <v>0</v>
      </c>
      <c r="AB568" s="8">
        <v>0</v>
      </c>
      <c r="AC568" s="7">
        <v>3</v>
      </c>
      <c r="AD568" s="7" t="s">
        <v>1226</v>
      </c>
      <c r="AE568" s="8">
        <v>1150</v>
      </c>
      <c r="AF568" s="8">
        <v>0</v>
      </c>
      <c r="AG568" s="8">
        <v>1150</v>
      </c>
      <c r="AH568" s="8">
        <v>0</v>
      </c>
      <c r="AI568" s="7" t="s">
        <v>1781</v>
      </c>
      <c r="AJ568" s="7">
        <f t="shared" ca="1" si="107"/>
        <v>2</v>
      </c>
      <c r="AK568" s="100">
        <f>(+AA568*AB568)/$AB$1103</f>
        <v>0</v>
      </c>
      <c r="AL568" s="97">
        <f>AC568/$AE$1103*AE568</f>
        <v>4.1416821874425407E-4</v>
      </c>
    </row>
    <row r="569" spans="1:38" x14ac:dyDescent="0.3">
      <c r="A569" s="7" t="s">
        <v>2145</v>
      </c>
      <c r="B569" s="7" t="s">
        <v>1768</v>
      </c>
      <c r="C569" s="7" t="s">
        <v>1323</v>
      </c>
      <c r="D569" s="7" t="s">
        <v>1324</v>
      </c>
      <c r="E569" s="7" t="s">
        <v>1695</v>
      </c>
      <c r="F569" s="36">
        <v>43831</v>
      </c>
      <c r="G569" s="36">
        <v>44926</v>
      </c>
      <c r="H569" s="36">
        <v>44440</v>
      </c>
      <c r="I569" s="36">
        <v>44440</v>
      </c>
      <c r="J569" s="7" t="s">
        <v>1239</v>
      </c>
      <c r="K569" s="8">
        <v>13214.431979999999</v>
      </c>
      <c r="L569" s="8">
        <v>187.71222700000001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f t="shared" si="106"/>
        <v>13402.144206999999</v>
      </c>
      <c r="S569" s="8">
        <v>0</v>
      </c>
      <c r="T569" s="8">
        <v>221.65808200000001</v>
      </c>
      <c r="U569" s="8">
        <v>0</v>
      </c>
      <c r="V569" s="8">
        <v>13578.341918</v>
      </c>
      <c r="W569" s="8">
        <v>0</v>
      </c>
      <c r="X569" s="8">
        <v>0</v>
      </c>
      <c r="Y569" s="8">
        <v>0</v>
      </c>
      <c r="Z569" s="8">
        <v>0</v>
      </c>
      <c r="AA569" s="7">
        <v>0</v>
      </c>
      <c r="AB569" s="8">
        <v>0</v>
      </c>
      <c r="AC569" s="7">
        <v>3</v>
      </c>
      <c r="AD569" s="7" t="s">
        <v>1226</v>
      </c>
      <c r="AE569" s="8">
        <v>0</v>
      </c>
      <c r="AF569" s="8">
        <v>0</v>
      </c>
      <c r="AG569" s="8">
        <v>0</v>
      </c>
      <c r="AH569" s="8">
        <v>0</v>
      </c>
      <c r="AI569" s="7" t="s">
        <v>1781</v>
      </c>
      <c r="AJ569" s="7">
        <f t="shared" ca="1" si="107"/>
        <v>1</v>
      </c>
      <c r="AK569" s="96">
        <f t="shared" si="108"/>
        <v>0</v>
      </c>
      <c r="AL569" s="97">
        <f t="shared" si="109"/>
        <v>0</v>
      </c>
    </row>
    <row r="570" spans="1:38" x14ac:dyDescent="0.3">
      <c r="A570" s="7" t="s">
        <v>2146</v>
      </c>
      <c r="B570" s="7" t="s">
        <v>1320</v>
      </c>
      <c r="C570" s="7" t="s">
        <v>1323</v>
      </c>
      <c r="D570" s="7" t="s">
        <v>1324</v>
      </c>
      <c r="E570" s="7" t="s">
        <v>1739</v>
      </c>
      <c r="F570" s="36">
        <v>44440</v>
      </c>
      <c r="G570" s="36">
        <v>44926</v>
      </c>
      <c r="I570" s="36">
        <v>44926</v>
      </c>
      <c r="J570" s="7" t="s">
        <v>1696</v>
      </c>
      <c r="K570" s="8">
        <v>0</v>
      </c>
      <c r="L570" s="8">
        <v>0</v>
      </c>
      <c r="M570" s="8">
        <v>15180.000872000001</v>
      </c>
      <c r="N570" s="8">
        <v>0</v>
      </c>
      <c r="O570" s="8">
        <v>0</v>
      </c>
      <c r="P570" s="8">
        <v>0</v>
      </c>
      <c r="Q570" s="8">
        <v>0</v>
      </c>
      <c r="R570" s="8">
        <f t="shared" si="106"/>
        <v>15180.000872000001</v>
      </c>
      <c r="S570" s="8">
        <v>0</v>
      </c>
      <c r="T570" s="8">
        <v>0</v>
      </c>
      <c r="U570" s="8">
        <v>15180.001200000001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7">
        <v>0</v>
      </c>
      <c r="AB570" s="8">
        <v>0</v>
      </c>
      <c r="AC570" s="7">
        <v>1.8133330000000001</v>
      </c>
      <c r="AD570" s="7" t="s">
        <v>1226</v>
      </c>
      <c r="AE570" s="8">
        <v>0</v>
      </c>
      <c r="AF570" s="8">
        <v>0</v>
      </c>
      <c r="AG570" s="8">
        <v>0</v>
      </c>
      <c r="AH570" s="8">
        <v>0</v>
      </c>
      <c r="AI570" s="7" t="s">
        <v>1781</v>
      </c>
      <c r="AJ570" s="7">
        <f t="shared" ca="1" si="107"/>
        <v>1</v>
      </c>
      <c r="AK570" s="96">
        <f>(+AA570*AB570)/$AB$1102</f>
        <v>0</v>
      </c>
      <c r="AL570" s="97">
        <f>AC570/$AE$1102*AE570</f>
        <v>0</v>
      </c>
    </row>
    <row r="571" spans="1:38" x14ac:dyDescent="0.3">
      <c r="A571" s="7" t="s">
        <v>2146</v>
      </c>
      <c r="B571" s="7" t="s">
        <v>1320</v>
      </c>
      <c r="C571" s="7" t="s">
        <v>1323</v>
      </c>
      <c r="D571" s="7" t="s">
        <v>1324</v>
      </c>
      <c r="E571" s="7" t="s">
        <v>1739</v>
      </c>
      <c r="F571" s="36">
        <v>44440</v>
      </c>
      <c r="G571" s="36">
        <v>44926</v>
      </c>
      <c r="I571" s="36">
        <v>44926</v>
      </c>
      <c r="J571" s="7" t="s">
        <v>1699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f t="shared" si="106"/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7">
        <v>0</v>
      </c>
      <c r="AB571" s="8">
        <v>0</v>
      </c>
      <c r="AC571" s="7">
        <v>1.8133330000000001</v>
      </c>
      <c r="AD571" s="7" t="s">
        <v>1226</v>
      </c>
      <c r="AE571" s="8">
        <v>1265.0001</v>
      </c>
      <c r="AF571" s="8">
        <v>0</v>
      </c>
      <c r="AG571" s="8">
        <v>1265.0001</v>
      </c>
      <c r="AH571" s="8">
        <v>0</v>
      </c>
      <c r="AI571" s="7" t="s">
        <v>1781</v>
      </c>
      <c r="AJ571" s="7">
        <f t="shared" ca="1" si="107"/>
        <v>2</v>
      </c>
      <c r="AK571" s="100">
        <f>(+AA571*AB571)/$AB$1103</f>
        <v>0</v>
      </c>
      <c r="AL571" s="97">
        <f>AC571/$AE$1103*AE571</f>
        <v>2.7537581792223494E-4</v>
      </c>
    </row>
    <row r="572" spans="1:38" x14ac:dyDescent="0.3">
      <c r="A572" s="7" t="s">
        <v>2147</v>
      </c>
      <c r="B572" s="7" t="s">
        <v>1320</v>
      </c>
      <c r="C572" s="7" t="s">
        <v>1769</v>
      </c>
      <c r="D572" s="7" t="s">
        <v>1324</v>
      </c>
      <c r="E572" s="7" t="s">
        <v>1322</v>
      </c>
      <c r="F572" s="36">
        <v>44501</v>
      </c>
      <c r="G572" s="36">
        <v>45230</v>
      </c>
      <c r="H572" s="36">
        <v>45230</v>
      </c>
      <c r="I572" s="36">
        <v>45230</v>
      </c>
      <c r="J572" s="7" t="s">
        <v>1696</v>
      </c>
      <c r="K572" s="8">
        <v>0</v>
      </c>
      <c r="L572" s="8">
        <v>0</v>
      </c>
      <c r="M572" s="8">
        <v>47749.919999999998</v>
      </c>
      <c r="N572" s="8">
        <v>0</v>
      </c>
      <c r="O572" s="8">
        <v>0</v>
      </c>
      <c r="P572" s="8">
        <v>0</v>
      </c>
      <c r="Q572" s="8">
        <v>0</v>
      </c>
      <c r="R572" s="8">
        <f t="shared" si="106"/>
        <v>47749.919999999998</v>
      </c>
      <c r="S572" s="8">
        <v>0</v>
      </c>
      <c r="T572" s="8">
        <v>0</v>
      </c>
      <c r="U572" s="8">
        <v>55999.92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7">
        <v>0.83287699999999998</v>
      </c>
      <c r="AB572" s="8">
        <v>46268.98388</v>
      </c>
      <c r="AC572" s="7">
        <v>2.2879999999999998</v>
      </c>
      <c r="AD572" s="7" t="s">
        <v>1226</v>
      </c>
      <c r="AE572" s="8">
        <v>46666.6</v>
      </c>
      <c r="AF572" s="8">
        <v>0</v>
      </c>
      <c r="AG572" s="8">
        <v>46666.6</v>
      </c>
      <c r="AH572" s="8">
        <v>0</v>
      </c>
      <c r="AI572" s="7" t="s">
        <v>1758</v>
      </c>
      <c r="AJ572" s="7">
        <f t="shared" ca="1" si="107"/>
        <v>1</v>
      </c>
      <c r="AK572" s="96">
        <f t="shared" ref="AK572:AK573" si="126">(+AA572*AB572)/$AB$1102</f>
        <v>3.377420196521615E-5</v>
      </c>
      <c r="AL572" s="97">
        <f t="shared" ref="AL572:AL573" si="127">AC572/$AE$1102*AE572</f>
        <v>9.1361633618662253E-5</v>
      </c>
    </row>
    <row r="573" spans="1:38" x14ac:dyDescent="0.3">
      <c r="A573" s="7" t="s">
        <v>2148</v>
      </c>
      <c r="B573" s="7" t="s">
        <v>1768</v>
      </c>
      <c r="C573" s="7" t="s">
        <v>1769</v>
      </c>
      <c r="D573" s="7" t="s">
        <v>1324</v>
      </c>
      <c r="E573" s="7" t="s">
        <v>1739</v>
      </c>
      <c r="F573" s="36">
        <v>43831</v>
      </c>
      <c r="G573" s="36">
        <v>44926</v>
      </c>
      <c r="I573" s="36">
        <v>46022</v>
      </c>
      <c r="J573" s="7" t="s">
        <v>1696</v>
      </c>
      <c r="K573" s="8">
        <v>0</v>
      </c>
      <c r="L573" s="8">
        <v>0</v>
      </c>
      <c r="M573" s="8">
        <v>96189.192607000005</v>
      </c>
      <c r="N573" s="8">
        <v>0</v>
      </c>
      <c r="O573" s="8">
        <v>0</v>
      </c>
      <c r="P573" s="8">
        <v>0</v>
      </c>
      <c r="Q573" s="8">
        <v>0</v>
      </c>
      <c r="R573" s="8">
        <f t="shared" si="106"/>
        <v>96189.192607000005</v>
      </c>
      <c r="S573" s="8">
        <v>0</v>
      </c>
      <c r="T573" s="8">
        <v>0</v>
      </c>
      <c r="U573" s="8">
        <v>96000.000012000004</v>
      </c>
      <c r="V573" s="8">
        <v>0</v>
      </c>
      <c r="W573" s="8">
        <v>0</v>
      </c>
      <c r="X573" s="8">
        <v>0</v>
      </c>
      <c r="Y573" s="8">
        <v>0</v>
      </c>
      <c r="Z573" s="8">
        <v>-314128.38287700003</v>
      </c>
      <c r="AA573" s="7">
        <v>3.0027400000000002</v>
      </c>
      <c r="AB573" s="8">
        <v>15980.577823</v>
      </c>
      <c r="AC573" s="7">
        <v>2.920417</v>
      </c>
      <c r="AD573" s="7" t="s">
        <v>1697</v>
      </c>
      <c r="AE573" s="8">
        <v>16000.000002000001</v>
      </c>
      <c r="AF573" s="8">
        <v>0</v>
      </c>
      <c r="AG573" s="8">
        <v>16000.000002000001</v>
      </c>
      <c r="AH573" s="8">
        <v>0</v>
      </c>
      <c r="AI573" s="7" t="s">
        <v>1758</v>
      </c>
      <c r="AJ573" s="7">
        <f t="shared" ca="1" si="107"/>
        <v>1</v>
      </c>
      <c r="AK573" s="96">
        <f t="shared" si="126"/>
        <v>4.2055661906182835E-5</v>
      </c>
      <c r="AL573" s="97">
        <f t="shared" si="127"/>
        <v>3.9982185189495016E-5</v>
      </c>
    </row>
    <row r="574" spans="1:38" x14ac:dyDescent="0.3">
      <c r="A574" s="7" t="s">
        <v>2149</v>
      </c>
      <c r="B574" s="7" t="s">
        <v>1768</v>
      </c>
      <c r="C574" s="7" t="s">
        <v>1323</v>
      </c>
      <c r="D574" s="7" t="s">
        <v>1324</v>
      </c>
      <c r="E574" s="7" t="s">
        <v>1739</v>
      </c>
      <c r="F574" s="36">
        <v>43831</v>
      </c>
      <c r="G574" s="36">
        <v>44926</v>
      </c>
      <c r="I574" s="36">
        <v>46022</v>
      </c>
      <c r="J574" s="7" t="s">
        <v>1239</v>
      </c>
      <c r="K574" s="8">
        <v>3576.3347699999999</v>
      </c>
      <c r="L574" s="8">
        <v>228.990735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f t="shared" si="106"/>
        <v>3805.3255049999998</v>
      </c>
      <c r="S574" s="8">
        <v>0</v>
      </c>
      <c r="T574" s="8">
        <v>270.23531500000001</v>
      </c>
      <c r="U574" s="8">
        <v>0</v>
      </c>
      <c r="V574" s="8">
        <v>4729.7646850000001</v>
      </c>
      <c r="W574" s="8">
        <v>0</v>
      </c>
      <c r="X574" s="8">
        <v>0</v>
      </c>
      <c r="Y574" s="8">
        <v>0</v>
      </c>
      <c r="Z574" s="8">
        <v>-7455.8618100000003</v>
      </c>
      <c r="AA574" s="7">
        <v>3.0027400000000002</v>
      </c>
      <c r="AB574" s="8">
        <v>1213.4357299999999</v>
      </c>
      <c r="AC574" s="7">
        <v>2.920417</v>
      </c>
      <c r="AD574" s="7" t="s">
        <v>1697</v>
      </c>
      <c r="AE574" s="8">
        <v>1250</v>
      </c>
      <c r="AF574" s="8">
        <v>0</v>
      </c>
      <c r="AG574" s="8">
        <v>1250</v>
      </c>
      <c r="AH574" s="8">
        <v>0</v>
      </c>
      <c r="AI574" s="7" t="s">
        <v>1781</v>
      </c>
      <c r="AJ574" s="7">
        <f t="shared" ca="1" si="107"/>
        <v>1</v>
      </c>
      <c r="AK574" s="96">
        <f t="shared" si="108"/>
        <v>2.4408838257308551E-5</v>
      </c>
      <c r="AL574" s="97">
        <f t="shared" si="109"/>
        <v>2.3206490865280447E-5</v>
      </c>
    </row>
    <row r="575" spans="1:38" x14ac:dyDescent="0.3">
      <c r="A575" s="7" t="s">
        <v>2150</v>
      </c>
      <c r="B575" s="7" t="s">
        <v>1768</v>
      </c>
      <c r="C575" s="7" t="s">
        <v>1323</v>
      </c>
      <c r="D575" s="7" t="s">
        <v>1324</v>
      </c>
      <c r="E575" s="7" t="s">
        <v>1739</v>
      </c>
      <c r="F575" s="36">
        <v>43831</v>
      </c>
      <c r="G575" s="36">
        <v>44926</v>
      </c>
      <c r="I575" s="36">
        <v>46022</v>
      </c>
      <c r="J575" s="7" t="s">
        <v>1239</v>
      </c>
      <c r="K575" s="8">
        <v>3576.3347699999999</v>
      </c>
      <c r="L575" s="8">
        <v>228.990735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f t="shared" si="106"/>
        <v>3805.3255049999998</v>
      </c>
      <c r="S575" s="8">
        <v>0</v>
      </c>
      <c r="T575" s="8">
        <v>270.23531500000001</v>
      </c>
      <c r="U575" s="8">
        <v>0</v>
      </c>
      <c r="V575" s="8">
        <v>4729.7646850000001</v>
      </c>
      <c r="W575" s="8">
        <v>0</v>
      </c>
      <c r="X575" s="8">
        <v>0</v>
      </c>
      <c r="Y575" s="8">
        <v>0</v>
      </c>
      <c r="Z575" s="8">
        <v>-7455.8618100000003</v>
      </c>
      <c r="AA575" s="7">
        <v>3.0027400000000002</v>
      </c>
      <c r="AB575" s="8">
        <v>1213.4357299999999</v>
      </c>
      <c r="AC575" s="7">
        <v>2.920417</v>
      </c>
      <c r="AD575" s="7" t="s">
        <v>1697</v>
      </c>
      <c r="AE575" s="8">
        <v>1250</v>
      </c>
      <c r="AF575" s="8">
        <v>0</v>
      </c>
      <c r="AG575" s="8">
        <v>1250</v>
      </c>
      <c r="AH575" s="8">
        <v>0</v>
      </c>
      <c r="AI575" s="7" t="s">
        <v>1781</v>
      </c>
      <c r="AJ575" s="7">
        <f t="shared" ca="1" si="107"/>
        <v>1</v>
      </c>
      <c r="AK575" s="96">
        <f t="shared" si="108"/>
        <v>2.4408838257308551E-5</v>
      </c>
      <c r="AL575" s="97">
        <f t="shared" si="109"/>
        <v>2.3206490865280447E-5</v>
      </c>
    </row>
    <row r="576" spans="1:38" x14ac:dyDescent="0.3">
      <c r="A576" s="7" t="s">
        <v>2151</v>
      </c>
      <c r="B576" s="7" t="s">
        <v>1320</v>
      </c>
      <c r="C576" s="7" t="s">
        <v>1323</v>
      </c>
      <c r="D576" s="7" t="s">
        <v>1324</v>
      </c>
      <c r="E576" s="7" t="s">
        <v>1695</v>
      </c>
      <c r="F576" s="36">
        <v>44348</v>
      </c>
      <c r="G576" s="36">
        <v>44895</v>
      </c>
      <c r="H576" s="36">
        <v>44895</v>
      </c>
      <c r="I576" s="36">
        <v>44895</v>
      </c>
      <c r="J576" s="7" t="s">
        <v>1239</v>
      </c>
      <c r="K576" s="8">
        <v>3554.87</v>
      </c>
      <c r="L576" s="8">
        <v>258.64455900000002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f t="shared" si="106"/>
        <v>3813.5145589999997</v>
      </c>
      <c r="S576" s="8">
        <v>0</v>
      </c>
      <c r="T576" s="8">
        <v>219.092276</v>
      </c>
      <c r="U576" s="8">
        <v>0</v>
      </c>
      <c r="V576" s="8">
        <v>1923.764866</v>
      </c>
      <c r="W576" s="8">
        <v>0</v>
      </c>
      <c r="X576" s="8">
        <v>10664.61917</v>
      </c>
      <c r="Y576" s="8">
        <v>0</v>
      </c>
      <c r="Z576" s="8">
        <v>-7109.7461059999996</v>
      </c>
      <c r="AA576" s="7">
        <v>0</v>
      </c>
      <c r="AB576" s="8">
        <v>0</v>
      </c>
      <c r="AC576" s="7">
        <v>1.8072729999999999</v>
      </c>
      <c r="AD576" s="7" t="s">
        <v>1226</v>
      </c>
      <c r="AE576" s="8">
        <v>0</v>
      </c>
      <c r="AF576" s="8">
        <v>0</v>
      </c>
      <c r="AG576" s="8">
        <v>0</v>
      </c>
      <c r="AH576" s="8">
        <v>0</v>
      </c>
      <c r="AI576" s="7" t="s">
        <v>1736</v>
      </c>
      <c r="AJ576" s="7">
        <f t="shared" ca="1" si="107"/>
        <v>1</v>
      </c>
      <c r="AK576" s="96">
        <f t="shared" si="108"/>
        <v>0</v>
      </c>
      <c r="AL576" s="97">
        <f t="shared" si="109"/>
        <v>0</v>
      </c>
    </row>
    <row r="577" spans="1:38" x14ac:dyDescent="0.3">
      <c r="A577" s="7" t="s">
        <v>2152</v>
      </c>
      <c r="B577" s="7" t="s">
        <v>1768</v>
      </c>
      <c r="C577" s="7" t="s">
        <v>1323</v>
      </c>
      <c r="D577" s="7" t="s">
        <v>1324</v>
      </c>
      <c r="E577" s="7" t="s">
        <v>1739</v>
      </c>
      <c r="F577" s="36">
        <v>43831</v>
      </c>
      <c r="G577" s="36">
        <v>44926</v>
      </c>
      <c r="I577" s="36">
        <v>46022</v>
      </c>
      <c r="J577" s="7" t="s">
        <v>1239</v>
      </c>
      <c r="K577" s="8">
        <v>3576.3347699999999</v>
      </c>
      <c r="L577" s="8">
        <v>228.990735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f t="shared" si="106"/>
        <v>3805.3255049999998</v>
      </c>
      <c r="S577" s="8">
        <v>0</v>
      </c>
      <c r="T577" s="8">
        <v>270.23531500000001</v>
      </c>
      <c r="U577" s="8">
        <v>0</v>
      </c>
      <c r="V577" s="8">
        <v>4729.7646850000001</v>
      </c>
      <c r="W577" s="8">
        <v>0</v>
      </c>
      <c r="X577" s="8">
        <v>0</v>
      </c>
      <c r="Y577" s="8">
        <v>0</v>
      </c>
      <c r="Z577" s="8">
        <v>-7455.8618100000003</v>
      </c>
      <c r="AA577" s="7">
        <v>3.0027400000000002</v>
      </c>
      <c r="AB577" s="8">
        <v>1213.4357299999999</v>
      </c>
      <c r="AC577" s="7">
        <v>2.920417</v>
      </c>
      <c r="AD577" s="7" t="s">
        <v>1697</v>
      </c>
      <c r="AE577" s="8">
        <v>1250</v>
      </c>
      <c r="AF577" s="8">
        <v>0</v>
      </c>
      <c r="AG577" s="8">
        <v>1250</v>
      </c>
      <c r="AH577" s="8">
        <v>0</v>
      </c>
      <c r="AI577" s="7" t="s">
        <v>1781</v>
      </c>
      <c r="AJ577" s="7">
        <f t="shared" ca="1" si="107"/>
        <v>1</v>
      </c>
      <c r="AK577" s="96">
        <f t="shared" si="108"/>
        <v>2.4408838257308551E-5</v>
      </c>
      <c r="AL577" s="97">
        <f t="shared" si="109"/>
        <v>2.3206490865280447E-5</v>
      </c>
    </row>
    <row r="578" spans="1:38" x14ac:dyDescent="0.3">
      <c r="A578" s="7" t="s">
        <v>2153</v>
      </c>
      <c r="B578" s="7" t="s">
        <v>1320</v>
      </c>
      <c r="C578" s="7" t="s">
        <v>1323</v>
      </c>
      <c r="D578" s="7" t="s">
        <v>1324</v>
      </c>
      <c r="E578" s="7" t="s">
        <v>1773</v>
      </c>
      <c r="F578" s="36">
        <v>44866</v>
      </c>
      <c r="G578" s="36">
        <v>44957</v>
      </c>
      <c r="H578" s="36">
        <v>44957</v>
      </c>
      <c r="I578" s="36">
        <v>45961</v>
      </c>
      <c r="J578" s="7" t="s">
        <v>1239</v>
      </c>
      <c r="K578" s="8">
        <v>104.25</v>
      </c>
      <c r="L578" s="8">
        <v>5.7243199999999996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f t="shared" si="106"/>
        <v>109.97432000000001</v>
      </c>
      <c r="S578" s="8">
        <v>0</v>
      </c>
      <c r="T578" s="8">
        <v>0</v>
      </c>
      <c r="U578" s="8">
        <v>0</v>
      </c>
      <c r="V578" s="8">
        <v>160.71428599999999</v>
      </c>
      <c r="W578" s="8">
        <v>0</v>
      </c>
      <c r="X578" s="8">
        <v>1876.5803080000001</v>
      </c>
      <c r="Y578" s="8">
        <v>0</v>
      </c>
      <c r="Z578" s="8">
        <v>0</v>
      </c>
      <c r="AA578" s="7">
        <v>2.8356159999999999</v>
      </c>
      <c r="AB578" s="8">
        <v>1715.8660219999999</v>
      </c>
      <c r="AC578" s="7">
        <v>2</v>
      </c>
      <c r="AD578" s="7" t="s">
        <v>1226</v>
      </c>
      <c r="AE578" s="8">
        <v>1767.8571460000001</v>
      </c>
      <c r="AF578" s="8">
        <v>0</v>
      </c>
      <c r="AG578" s="8">
        <v>1767.8571460000001</v>
      </c>
      <c r="AH578" s="8">
        <v>0</v>
      </c>
      <c r="AI578" s="7" t="s">
        <v>1760</v>
      </c>
      <c r="AJ578" s="7">
        <f t="shared" ca="1" si="107"/>
        <v>1</v>
      </c>
      <c r="AK578" s="96">
        <f t="shared" si="108"/>
        <v>3.2594430255470236E-5</v>
      </c>
      <c r="AL578" s="97">
        <f t="shared" si="109"/>
        <v>2.247665903041642E-5</v>
      </c>
    </row>
    <row r="579" spans="1:38" x14ac:dyDescent="0.3">
      <c r="A579" s="7" t="s">
        <v>2154</v>
      </c>
      <c r="B579" s="7" t="s">
        <v>1768</v>
      </c>
      <c r="C579" s="7" t="s">
        <v>1323</v>
      </c>
      <c r="D579" s="7" t="s">
        <v>1324</v>
      </c>
      <c r="E579" s="7" t="s">
        <v>1739</v>
      </c>
      <c r="F579" s="36">
        <v>43831</v>
      </c>
      <c r="G579" s="36">
        <v>44926</v>
      </c>
      <c r="I579" s="36">
        <v>46022</v>
      </c>
      <c r="J579" s="7" t="s">
        <v>1239</v>
      </c>
      <c r="K579" s="8">
        <v>4835.6168900000002</v>
      </c>
      <c r="L579" s="8">
        <v>335.04618499999998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f t="shared" ref="R579:R642" si="128">K579+L579+M579+N579+O579+P579+Q579</f>
        <v>5170.6630750000004</v>
      </c>
      <c r="S579" s="8">
        <v>0</v>
      </c>
      <c r="T579" s="8">
        <v>354.811825</v>
      </c>
      <c r="U579" s="8">
        <v>0</v>
      </c>
      <c r="V579" s="8">
        <v>5895.1881750000002</v>
      </c>
      <c r="W579" s="8">
        <v>0</v>
      </c>
      <c r="X579" s="8">
        <v>0</v>
      </c>
      <c r="Y579" s="8">
        <v>0</v>
      </c>
      <c r="Z579" s="8">
        <v>8914.8058550000005</v>
      </c>
      <c r="AA579" s="7">
        <v>3.0027400000000002</v>
      </c>
      <c r="AB579" s="8">
        <v>1213.4357299999999</v>
      </c>
      <c r="AC579" s="7">
        <v>2.920417</v>
      </c>
      <c r="AD579" s="7" t="s">
        <v>1697</v>
      </c>
      <c r="AE579" s="8">
        <v>1250</v>
      </c>
      <c r="AF579" s="8">
        <v>0</v>
      </c>
      <c r="AG579" s="8">
        <v>1250</v>
      </c>
      <c r="AH579" s="8">
        <v>0</v>
      </c>
      <c r="AI579" s="7" t="s">
        <v>1781</v>
      </c>
      <c r="AJ579" s="7">
        <f t="shared" ref="AJ579:AJ642" ca="1" si="129">IF(A579=OFFSET(A579,-1,0),OFFSET(AJ579,-1,0)+1,1)</f>
        <v>1</v>
      </c>
      <c r="AK579" s="96">
        <f t="shared" si="108"/>
        <v>2.4408838257308551E-5</v>
      </c>
      <c r="AL579" s="97">
        <f t="shared" si="109"/>
        <v>2.3206490865280447E-5</v>
      </c>
    </row>
    <row r="580" spans="1:38" x14ac:dyDescent="0.3">
      <c r="A580" s="7" t="s">
        <v>2155</v>
      </c>
      <c r="B580" s="7" t="s">
        <v>1320</v>
      </c>
      <c r="C580" s="7" t="s">
        <v>1323</v>
      </c>
      <c r="D580" s="7" t="s">
        <v>1324</v>
      </c>
      <c r="E580" s="7" t="s">
        <v>1775</v>
      </c>
      <c r="F580" s="36">
        <v>44440</v>
      </c>
      <c r="G580" s="36">
        <v>44620</v>
      </c>
      <c r="I580" s="36">
        <v>44651</v>
      </c>
      <c r="J580" s="7" t="s">
        <v>1699</v>
      </c>
      <c r="K580" s="8">
        <v>0</v>
      </c>
      <c r="L580" s="8">
        <v>0</v>
      </c>
      <c r="M580" s="8">
        <v>0</v>
      </c>
      <c r="N580" s="8">
        <v>1249.9999949999999</v>
      </c>
      <c r="O580" s="8">
        <v>0</v>
      </c>
      <c r="P580" s="8">
        <v>0</v>
      </c>
      <c r="Q580" s="8">
        <v>0</v>
      </c>
      <c r="R580" s="8">
        <f t="shared" si="128"/>
        <v>1249.9999949999999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7">
        <v>0</v>
      </c>
      <c r="AB580" s="8">
        <v>0</v>
      </c>
      <c r="AC580" s="7">
        <v>1.9614549999999999</v>
      </c>
      <c r="AD580" s="7" t="s">
        <v>1226</v>
      </c>
      <c r="AE580" s="8">
        <v>0</v>
      </c>
      <c r="AF580" s="8">
        <v>0</v>
      </c>
      <c r="AG580" s="8">
        <v>0</v>
      </c>
      <c r="AH580" s="8">
        <v>0</v>
      </c>
      <c r="AI580" s="7" t="s">
        <v>1781</v>
      </c>
      <c r="AJ580" s="7">
        <f t="shared" ca="1" si="129"/>
        <v>1</v>
      </c>
      <c r="AK580" s="100">
        <f>(+AA580*AB580)/$AB$1103</f>
        <v>0</v>
      </c>
      <c r="AL580" s="97">
        <f>AC580/$AE$1103*AE580</f>
        <v>0</v>
      </c>
    </row>
    <row r="581" spans="1:38" x14ac:dyDescent="0.3">
      <c r="A581" s="7" t="s">
        <v>2156</v>
      </c>
      <c r="B581" s="7" t="s">
        <v>1768</v>
      </c>
      <c r="C581" s="7" t="s">
        <v>1323</v>
      </c>
      <c r="D581" s="7" t="s">
        <v>1324</v>
      </c>
      <c r="E581" s="7" t="s">
        <v>1695</v>
      </c>
      <c r="F581" s="36">
        <v>43840</v>
      </c>
      <c r="G581" s="36">
        <v>44935</v>
      </c>
      <c r="H581" s="36">
        <v>44866</v>
      </c>
      <c r="I581" s="36">
        <v>44866</v>
      </c>
      <c r="J581" s="7" t="s">
        <v>1239</v>
      </c>
      <c r="K581" s="8">
        <v>2154526.958474</v>
      </c>
      <c r="L581" s="8">
        <v>37768.016718999999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f t="shared" si="128"/>
        <v>2192294.9751929999</v>
      </c>
      <c r="S581" s="8">
        <v>0</v>
      </c>
      <c r="T581" s="8">
        <v>41685.993182999999</v>
      </c>
      <c r="U581" s="8">
        <v>0</v>
      </c>
      <c r="V581" s="8">
        <v>2208314.006817</v>
      </c>
      <c r="W581" s="8">
        <v>0</v>
      </c>
      <c r="X581" s="8">
        <v>0</v>
      </c>
      <c r="Y581" s="8">
        <v>0</v>
      </c>
      <c r="Z581" s="8">
        <v>-493456.17329100001</v>
      </c>
      <c r="AA581" s="7">
        <v>0</v>
      </c>
      <c r="AB581" s="8">
        <v>0</v>
      </c>
      <c r="AC581" s="7">
        <v>3</v>
      </c>
      <c r="AD581" s="7" t="s">
        <v>1226</v>
      </c>
      <c r="AE581" s="8">
        <v>0</v>
      </c>
      <c r="AF581" s="8">
        <v>0</v>
      </c>
      <c r="AG581" s="8">
        <v>0</v>
      </c>
      <c r="AH581" s="8">
        <v>0</v>
      </c>
      <c r="AI581" s="7" t="s">
        <v>1758</v>
      </c>
      <c r="AJ581" s="7">
        <f t="shared" ca="1" si="129"/>
        <v>1</v>
      </c>
      <c r="AK581" s="96">
        <f t="shared" ref="AK581:AK640" si="130">(+AA581*AB581)/$AB$1101</f>
        <v>0</v>
      </c>
      <c r="AL581" s="97">
        <f t="shared" ref="AL581:AL640" si="131">AC581/$AE$1101*AE581</f>
        <v>0</v>
      </c>
    </row>
    <row r="582" spans="1:38" x14ac:dyDescent="0.3">
      <c r="A582" s="7" t="s">
        <v>2157</v>
      </c>
      <c r="B582" s="7" t="s">
        <v>1320</v>
      </c>
      <c r="C582" s="7" t="s">
        <v>1323</v>
      </c>
      <c r="D582" s="7" t="s">
        <v>1324</v>
      </c>
      <c r="E582" s="7" t="s">
        <v>1773</v>
      </c>
      <c r="F582" s="36">
        <v>44866</v>
      </c>
      <c r="G582" s="36">
        <v>44926</v>
      </c>
      <c r="H582" s="36">
        <v>44926</v>
      </c>
      <c r="I582" s="36">
        <v>44957</v>
      </c>
      <c r="J582" s="7" t="s">
        <v>1699</v>
      </c>
      <c r="K582" s="8">
        <v>0</v>
      </c>
      <c r="L582" s="8">
        <v>0</v>
      </c>
      <c r="M582" s="8">
        <v>0</v>
      </c>
      <c r="N582" s="8">
        <v>450000</v>
      </c>
      <c r="O582" s="8">
        <v>0</v>
      </c>
      <c r="P582" s="8">
        <v>0</v>
      </c>
      <c r="Q582" s="8">
        <v>0</v>
      </c>
      <c r="R582" s="8">
        <f t="shared" si="128"/>
        <v>450000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7">
        <v>8.4931999999999994E-2</v>
      </c>
      <c r="AB582" s="8">
        <v>0</v>
      </c>
      <c r="AC582" s="7">
        <v>1.9614549999999999</v>
      </c>
      <c r="AD582" s="7" t="s">
        <v>1226</v>
      </c>
      <c r="AE582" s="8">
        <v>225000</v>
      </c>
      <c r="AF582" s="8">
        <v>0</v>
      </c>
      <c r="AG582" s="8">
        <v>225000</v>
      </c>
      <c r="AH582" s="8">
        <v>0</v>
      </c>
      <c r="AI582" s="7" t="s">
        <v>1758</v>
      </c>
      <c r="AJ582" s="7">
        <f t="shared" ca="1" si="129"/>
        <v>1</v>
      </c>
      <c r="AK582" s="100">
        <f>(+AA582*AB582)/$AB$1103</f>
        <v>0</v>
      </c>
      <c r="AL582" s="97">
        <f>AC582/$AE$1103*AE582</f>
        <v>5.2980803706326796E-2</v>
      </c>
    </row>
    <row r="583" spans="1:38" x14ac:dyDescent="0.3">
      <c r="A583" s="7" t="s">
        <v>2158</v>
      </c>
      <c r="B583" s="7" t="s">
        <v>1768</v>
      </c>
      <c r="C583" s="7" t="s">
        <v>1323</v>
      </c>
      <c r="D583" s="7" t="s">
        <v>1324</v>
      </c>
      <c r="E583" s="7" t="s">
        <v>1695</v>
      </c>
      <c r="F583" s="36">
        <v>43840</v>
      </c>
      <c r="G583" s="36">
        <v>44935</v>
      </c>
      <c r="H583" s="36">
        <v>44440</v>
      </c>
      <c r="I583" s="36">
        <v>44440</v>
      </c>
      <c r="J583" s="7" t="s">
        <v>1239</v>
      </c>
      <c r="K583" s="8">
        <v>2585432.3446320002</v>
      </c>
      <c r="L583" s="8">
        <v>38654.506151000001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f t="shared" si="128"/>
        <v>2624086.8507830002</v>
      </c>
      <c r="S583" s="8">
        <v>0</v>
      </c>
      <c r="T583" s="8">
        <v>43367.885709000002</v>
      </c>
      <c r="U583" s="8">
        <v>0</v>
      </c>
      <c r="V583" s="8">
        <v>2656632.1142910002</v>
      </c>
      <c r="W583" s="8">
        <v>0</v>
      </c>
      <c r="X583" s="8">
        <v>0</v>
      </c>
      <c r="Y583" s="8">
        <v>0</v>
      </c>
      <c r="Z583" s="8">
        <v>0</v>
      </c>
      <c r="AA583" s="7">
        <v>0</v>
      </c>
      <c r="AB583" s="8">
        <v>0</v>
      </c>
      <c r="AC583" s="7">
        <v>3</v>
      </c>
      <c r="AD583" s="7" t="s">
        <v>1226</v>
      </c>
      <c r="AE583" s="8">
        <v>0</v>
      </c>
      <c r="AF583" s="8">
        <v>0</v>
      </c>
      <c r="AG583" s="8">
        <v>0</v>
      </c>
      <c r="AH583" s="8">
        <v>0</v>
      </c>
      <c r="AI583" s="7" t="s">
        <v>1758</v>
      </c>
      <c r="AJ583" s="7">
        <f t="shared" ca="1" si="129"/>
        <v>1</v>
      </c>
      <c r="AK583" s="96">
        <f t="shared" si="130"/>
        <v>0</v>
      </c>
      <c r="AL583" s="97">
        <f t="shared" si="131"/>
        <v>0</v>
      </c>
    </row>
    <row r="584" spans="1:38" x14ac:dyDescent="0.3">
      <c r="A584" s="7" t="s">
        <v>2159</v>
      </c>
      <c r="B584" s="7" t="s">
        <v>1320</v>
      </c>
      <c r="C584" s="7" t="s">
        <v>1323</v>
      </c>
      <c r="D584" s="7" t="s">
        <v>1324</v>
      </c>
      <c r="E584" s="7" t="s">
        <v>1322</v>
      </c>
      <c r="F584" s="36">
        <v>44409</v>
      </c>
      <c r="G584" s="36">
        <v>44926</v>
      </c>
      <c r="H584" s="36">
        <v>44926</v>
      </c>
      <c r="I584" s="36">
        <v>46022</v>
      </c>
      <c r="J584" s="7" t="s">
        <v>1239</v>
      </c>
      <c r="K584" s="8">
        <v>6185.2291359999999</v>
      </c>
      <c r="L584" s="8">
        <v>483.29899899999998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f t="shared" si="128"/>
        <v>6668.5281349999996</v>
      </c>
      <c r="S584" s="8">
        <v>0</v>
      </c>
      <c r="T584" s="8">
        <v>494.56582900000001</v>
      </c>
      <c r="U584" s="8">
        <v>0</v>
      </c>
      <c r="V584" s="8">
        <v>7219.7541709999996</v>
      </c>
      <c r="W584" s="8">
        <v>0</v>
      </c>
      <c r="X584" s="8">
        <v>0</v>
      </c>
      <c r="Y584" s="8">
        <v>0</v>
      </c>
      <c r="Z584" s="8">
        <v>-23454.463264999999</v>
      </c>
      <c r="AA584" s="7">
        <v>3.0027400000000002</v>
      </c>
      <c r="AB584" s="8">
        <v>0</v>
      </c>
      <c r="AC584" s="7">
        <v>1.8726670000000001</v>
      </c>
      <c r="AD584" s="7" t="s">
        <v>1226</v>
      </c>
      <c r="AE584" s="8">
        <v>0</v>
      </c>
      <c r="AF584" s="8">
        <v>0</v>
      </c>
      <c r="AG584" s="8">
        <v>0</v>
      </c>
      <c r="AH584" s="8">
        <v>0</v>
      </c>
      <c r="AI584" s="7" t="s">
        <v>1736</v>
      </c>
      <c r="AJ584" s="7">
        <f t="shared" ca="1" si="129"/>
        <v>1</v>
      </c>
      <c r="AK584" s="96">
        <f t="shared" si="130"/>
        <v>0</v>
      </c>
      <c r="AL584" s="97">
        <f t="shared" si="131"/>
        <v>0</v>
      </c>
    </row>
    <row r="585" spans="1:38" x14ac:dyDescent="0.3">
      <c r="A585" s="7" t="s">
        <v>2160</v>
      </c>
      <c r="B585" s="7" t="s">
        <v>1320</v>
      </c>
      <c r="C585" s="7" t="s">
        <v>1323</v>
      </c>
      <c r="D585" s="7" t="s">
        <v>1324</v>
      </c>
      <c r="E585" s="7" t="s">
        <v>1739</v>
      </c>
      <c r="F585" s="36">
        <v>44440</v>
      </c>
      <c r="G585" s="36">
        <v>44926</v>
      </c>
      <c r="I585" s="36">
        <v>44926</v>
      </c>
      <c r="J585" s="7" t="s">
        <v>1239</v>
      </c>
      <c r="K585" s="8">
        <v>2669660.2599999998</v>
      </c>
      <c r="L585" s="8">
        <v>22293.829127000001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f t="shared" si="128"/>
        <v>2691954.089127</v>
      </c>
      <c r="S585" s="8">
        <v>0</v>
      </c>
      <c r="T585" s="8">
        <v>26334.034732</v>
      </c>
      <c r="U585" s="8">
        <v>0</v>
      </c>
      <c r="V585" s="8">
        <v>2673665.965268</v>
      </c>
      <c r="W585" s="8">
        <v>0</v>
      </c>
      <c r="X585" s="8">
        <v>0</v>
      </c>
      <c r="Y585" s="8">
        <v>0</v>
      </c>
      <c r="Z585" s="8">
        <v>0</v>
      </c>
      <c r="AA585" s="7">
        <v>0</v>
      </c>
      <c r="AB585" s="8">
        <v>0</v>
      </c>
      <c r="AC585" s="7">
        <v>1.8133330000000001</v>
      </c>
      <c r="AD585" s="7" t="s">
        <v>1226</v>
      </c>
      <c r="AE585" s="8">
        <v>0</v>
      </c>
      <c r="AF585" s="8">
        <v>0</v>
      </c>
      <c r="AG585" s="8">
        <v>0</v>
      </c>
      <c r="AH585" s="8">
        <v>0</v>
      </c>
      <c r="AI585" s="7" t="s">
        <v>1758</v>
      </c>
      <c r="AJ585" s="7">
        <f t="shared" ca="1" si="129"/>
        <v>1</v>
      </c>
      <c r="AK585" s="96">
        <f t="shared" si="130"/>
        <v>0</v>
      </c>
      <c r="AL585" s="97">
        <f t="shared" si="131"/>
        <v>0</v>
      </c>
    </row>
    <row r="586" spans="1:38" x14ac:dyDescent="0.3">
      <c r="A586" s="7" t="s">
        <v>2160</v>
      </c>
      <c r="B586" s="7" t="s">
        <v>1320</v>
      </c>
      <c r="C586" s="7" t="s">
        <v>1323</v>
      </c>
      <c r="D586" s="7" t="s">
        <v>1324</v>
      </c>
      <c r="E586" s="7" t="s">
        <v>1739</v>
      </c>
      <c r="F586" s="36">
        <v>44440</v>
      </c>
      <c r="G586" s="36">
        <v>44926</v>
      </c>
      <c r="I586" s="36">
        <v>44926</v>
      </c>
      <c r="J586" s="7" t="s">
        <v>1699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f t="shared" si="128"/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7">
        <v>0</v>
      </c>
      <c r="AB586" s="8">
        <v>0</v>
      </c>
      <c r="AC586" s="7">
        <v>1.8133330000000001</v>
      </c>
      <c r="AD586" s="7" t="s">
        <v>1226</v>
      </c>
      <c r="AE586" s="8">
        <v>225000</v>
      </c>
      <c r="AF586" s="8">
        <v>0</v>
      </c>
      <c r="AG586" s="8">
        <v>225000</v>
      </c>
      <c r="AH586" s="8">
        <v>0</v>
      </c>
      <c r="AI586" s="7" t="s">
        <v>1758</v>
      </c>
      <c r="AJ586" s="7">
        <f t="shared" ca="1" si="129"/>
        <v>2</v>
      </c>
      <c r="AK586" s="100">
        <f>(+AA586*AB586)/$AB$1103</f>
        <v>0</v>
      </c>
      <c r="AL586" s="97">
        <f>AC586/$AE$1103*AE586</f>
        <v>4.8979884691315728E-2</v>
      </c>
    </row>
    <row r="587" spans="1:38" x14ac:dyDescent="0.3">
      <c r="A587" s="7" t="s">
        <v>2161</v>
      </c>
      <c r="B587" s="7" t="s">
        <v>1768</v>
      </c>
      <c r="C587" s="7" t="s">
        <v>1323</v>
      </c>
      <c r="D587" s="7" t="s">
        <v>1324</v>
      </c>
      <c r="E587" s="7" t="s">
        <v>1739</v>
      </c>
      <c r="F587" s="36">
        <v>43831</v>
      </c>
      <c r="G587" s="36">
        <v>44561</v>
      </c>
      <c r="I587" s="36">
        <v>44926</v>
      </c>
      <c r="J587" s="7" t="s">
        <v>1696</v>
      </c>
      <c r="K587" s="8">
        <v>0</v>
      </c>
      <c r="L587" s="8">
        <v>0</v>
      </c>
      <c r="M587" s="8">
        <v>5142.8565900000003</v>
      </c>
      <c r="N587" s="8">
        <v>0</v>
      </c>
      <c r="O587" s="8">
        <v>0</v>
      </c>
      <c r="P587" s="8">
        <v>0</v>
      </c>
      <c r="Q587" s="8">
        <v>0</v>
      </c>
      <c r="R587" s="8">
        <f t="shared" si="128"/>
        <v>5142.8565900000003</v>
      </c>
      <c r="S587" s="8">
        <v>0</v>
      </c>
      <c r="T587" s="8">
        <v>0</v>
      </c>
      <c r="U587" s="8">
        <v>5142.8571480000001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7">
        <v>0</v>
      </c>
      <c r="AB587" s="8">
        <v>0</v>
      </c>
      <c r="AC587" s="7">
        <v>3</v>
      </c>
      <c r="AD587" s="7" t="s">
        <v>1226</v>
      </c>
      <c r="AE587" s="8">
        <v>0</v>
      </c>
      <c r="AF587" s="8">
        <v>0</v>
      </c>
      <c r="AG587" s="8">
        <v>0</v>
      </c>
      <c r="AH587" s="8">
        <v>0</v>
      </c>
      <c r="AI587" s="7" t="s">
        <v>1781</v>
      </c>
      <c r="AJ587" s="7">
        <f t="shared" ca="1" si="129"/>
        <v>1</v>
      </c>
      <c r="AK587" s="96">
        <f>(+AA587*AB587)/$AB$1102</f>
        <v>0</v>
      </c>
      <c r="AL587" s="97">
        <f>AC587/$AE$1102*AE587</f>
        <v>0</v>
      </c>
    </row>
    <row r="588" spans="1:38" x14ac:dyDescent="0.3">
      <c r="A588" s="7" t="s">
        <v>2161</v>
      </c>
      <c r="B588" s="7" t="s">
        <v>1768</v>
      </c>
      <c r="C588" s="7" t="s">
        <v>1323</v>
      </c>
      <c r="D588" s="7" t="s">
        <v>1324</v>
      </c>
      <c r="E588" s="7" t="s">
        <v>1739</v>
      </c>
      <c r="F588" s="36">
        <v>43831</v>
      </c>
      <c r="G588" s="36">
        <v>44561</v>
      </c>
      <c r="I588" s="36">
        <v>44926</v>
      </c>
      <c r="J588" s="7" t="s">
        <v>1699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f t="shared" si="128"/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7">
        <v>0</v>
      </c>
      <c r="AB588" s="8">
        <v>0</v>
      </c>
      <c r="AC588" s="7">
        <v>3</v>
      </c>
      <c r="AD588" s="7" t="s">
        <v>1226</v>
      </c>
      <c r="AE588" s="8">
        <v>428.57142900000002</v>
      </c>
      <c r="AF588" s="8">
        <v>0</v>
      </c>
      <c r="AG588" s="8">
        <v>428.57142900000002</v>
      </c>
      <c r="AH588" s="8">
        <v>0</v>
      </c>
      <c r="AI588" s="7" t="s">
        <v>1781</v>
      </c>
      <c r="AJ588" s="7">
        <f t="shared" ca="1" si="129"/>
        <v>2</v>
      </c>
      <c r="AK588" s="100">
        <f>(+AA588*AB588)/$AB$1103</f>
        <v>0</v>
      </c>
      <c r="AL588" s="97">
        <f>AC588/$AE$1103*AE588</f>
        <v>1.5434840465531266E-4</v>
      </c>
    </row>
    <row r="589" spans="1:38" x14ac:dyDescent="0.3">
      <c r="A589" s="7" t="s">
        <v>2162</v>
      </c>
      <c r="B589" s="7" t="s">
        <v>1320</v>
      </c>
      <c r="C589" s="7" t="s">
        <v>1323</v>
      </c>
      <c r="D589" s="7" t="s">
        <v>1324</v>
      </c>
      <c r="E589" s="7" t="s">
        <v>1322</v>
      </c>
      <c r="F589" s="36">
        <v>44409</v>
      </c>
      <c r="G589" s="36">
        <v>45077</v>
      </c>
      <c r="H589" s="36">
        <v>45077</v>
      </c>
      <c r="I589" s="36">
        <v>45077</v>
      </c>
      <c r="J589" s="7" t="s">
        <v>1696</v>
      </c>
      <c r="K589" s="8">
        <v>0</v>
      </c>
      <c r="L589" s="8">
        <v>0</v>
      </c>
      <c r="M589" s="8">
        <v>4976.4705839999997</v>
      </c>
      <c r="N589" s="8">
        <v>0</v>
      </c>
      <c r="O589" s="8">
        <v>0</v>
      </c>
      <c r="P589" s="8">
        <v>0</v>
      </c>
      <c r="Q589" s="8">
        <v>0</v>
      </c>
      <c r="R589" s="8">
        <f t="shared" si="128"/>
        <v>4976.4705839999997</v>
      </c>
      <c r="S589" s="8">
        <v>0</v>
      </c>
      <c r="T589" s="8">
        <v>0</v>
      </c>
      <c r="U589" s="8">
        <v>4700.0000069999996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7">
        <v>0.41369899999999998</v>
      </c>
      <c r="AB589" s="8">
        <v>7540.5538139999999</v>
      </c>
      <c r="AC589" s="7">
        <v>2.169333</v>
      </c>
      <c r="AD589" s="7" t="s">
        <v>1226</v>
      </c>
      <c r="AE589" s="8">
        <v>7650</v>
      </c>
      <c r="AF589" s="8">
        <v>0</v>
      </c>
      <c r="AG589" s="8">
        <v>7650</v>
      </c>
      <c r="AH589" s="8">
        <v>0</v>
      </c>
      <c r="AI589" s="7" t="s">
        <v>1781</v>
      </c>
      <c r="AJ589" s="7">
        <f t="shared" ca="1" si="129"/>
        <v>1</v>
      </c>
      <c r="AK589" s="96">
        <f t="shared" ref="AK589:AK591" si="132">(+AA589*AB589)/$AB$1102</f>
        <v>2.7340218414360855E-6</v>
      </c>
      <c r="AL589" s="97">
        <f t="shared" ref="AL589:AL591" si="133">AC589/$AE$1102*AE589</f>
        <v>1.4200032351035684E-5</v>
      </c>
    </row>
    <row r="590" spans="1:38" x14ac:dyDescent="0.3">
      <c r="A590" s="7" t="s">
        <v>2163</v>
      </c>
      <c r="B590" s="7" t="s">
        <v>1768</v>
      </c>
      <c r="C590" s="7" t="s">
        <v>1323</v>
      </c>
      <c r="D590" s="7" t="s">
        <v>1324</v>
      </c>
      <c r="E590" s="7" t="s">
        <v>1695</v>
      </c>
      <c r="F590" s="36">
        <v>44348</v>
      </c>
      <c r="G590" s="36">
        <v>45077</v>
      </c>
      <c r="H590" s="36">
        <v>44378</v>
      </c>
      <c r="I590" s="36">
        <v>44378</v>
      </c>
      <c r="J590" s="7" t="s">
        <v>1696</v>
      </c>
      <c r="K590" s="8">
        <v>0</v>
      </c>
      <c r="L590" s="8">
        <v>0</v>
      </c>
      <c r="M590" s="8">
        <v>5142.8571480000001</v>
      </c>
      <c r="N590" s="8">
        <v>0</v>
      </c>
      <c r="O590" s="8">
        <v>0</v>
      </c>
      <c r="P590" s="8">
        <v>0</v>
      </c>
      <c r="Q590" s="8">
        <v>0</v>
      </c>
      <c r="R590" s="8">
        <f t="shared" si="128"/>
        <v>5142.8571480000001</v>
      </c>
      <c r="S590" s="8">
        <v>0</v>
      </c>
      <c r="T590" s="8">
        <v>0</v>
      </c>
      <c r="U590" s="8">
        <v>5142.8571480000001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7">
        <v>0</v>
      </c>
      <c r="AB590" s="8">
        <v>7142.1600239999998</v>
      </c>
      <c r="AC590" s="7">
        <v>3</v>
      </c>
      <c r="AD590" s="7" t="s">
        <v>1226</v>
      </c>
      <c r="AE590" s="8">
        <v>7285.714293</v>
      </c>
      <c r="AF590" s="8">
        <v>0</v>
      </c>
      <c r="AG590" s="8">
        <v>7285.714293</v>
      </c>
      <c r="AH590" s="8">
        <v>0</v>
      </c>
      <c r="AI590" s="7" t="s">
        <v>1781</v>
      </c>
      <c r="AJ590" s="7">
        <f t="shared" ca="1" si="129"/>
        <v>1</v>
      </c>
      <c r="AK590" s="96">
        <f t="shared" si="132"/>
        <v>0</v>
      </c>
      <c r="AL590" s="97">
        <f t="shared" si="133"/>
        <v>1.870230206405868E-5</v>
      </c>
    </row>
    <row r="591" spans="1:38" x14ac:dyDescent="0.3">
      <c r="A591" s="7" t="s">
        <v>2164</v>
      </c>
      <c r="B591" s="7" t="s">
        <v>1320</v>
      </c>
      <c r="C591" s="7" t="s">
        <v>1323</v>
      </c>
      <c r="D591" s="7" t="s">
        <v>1324</v>
      </c>
      <c r="E591" s="7" t="s">
        <v>1322</v>
      </c>
      <c r="F591" s="36">
        <v>44378</v>
      </c>
      <c r="G591" s="36">
        <v>45016</v>
      </c>
      <c r="H591" s="36">
        <v>45016</v>
      </c>
      <c r="I591" s="36">
        <v>45016</v>
      </c>
      <c r="J591" s="7" t="s">
        <v>1696</v>
      </c>
      <c r="K591" s="8">
        <v>0</v>
      </c>
      <c r="L591" s="8">
        <v>0</v>
      </c>
      <c r="M591" s="8">
        <v>5188.2352920000003</v>
      </c>
      <c r="N591" s="8">
        <v>0</v>
      </c>
      <c r="O591" s="8">
        <v>0</v>
      </c>
      <c r="P591" s="8">
        <v>0</v>
      </c>
      <c r="Q591" s="8">
        <v>0</v>
      </c>
      <c r="R591" s="8">
        <f t="shared" si="128"/>
        <v>5188.2352920000003</v>
      </c>
      <c r="S591" s="8">
        <v>0</v>
      </c>
      <c r="T591" s="8">
        <v>0</v>
      </c>
      <c r="U591" s="8">
        <v>5099.9999939999998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7">
        <v>0.24657499999999999</v>
      </c>
      <c r="AB591" s="8">
        <v>7105.9886340000003</v>
      </c>
      <c r="AC591" s="7">
        <v>2.11</v>
      </c>
      <c r="AD591" s="7" t="s">
        <v>1226</v>
      </c>
      <c r="AE591" s="8">
        <v>7200</v>
      </c>
      <c r="AF591" s="8">
        <v>0</v>
      </c>
      <c r="AG591" s="8">
        <v>7200</v>
      </c>
      <c r="AH591" s="8">
        <v>0</v>
      </c>
      <c r="AI591" s="7" t="s">
        <v>1781</v>
      </c>
      <c r="AJ591" s="7">
        <f t="shared" ca="1" si="129"/>
        <v>1</v>
      </c>
      <c r="AK591" s="96">
        <f t="shared" si="132"/>
        <v>1.5356343397495724E-6</v>
      </c>
      <c r="AL591" s="97">
        <f t="shared" si="133"/>
        <v>1.2999200056937117E-5</v>
      </c>
    </row>
    <row r="592" spans="1:38" x14ac:dyDescent="0.3">
      <c r="A592" s="7" t="s">
        <v>2165</v>
      </c>
      <c r="B592" s="7" t="s">
        <v>1320</v>
      </c>
      <c r="C592" s="7" t="s">
        <v>1323</v>
      </c>
      <c r="D592" s="7" t="s">
        <v>1324</v>
      </c>
      <c r="E592" s="7" t="s">
        <v>1739</v>
      </c>
      <c r="F592" s="36">
        <v>44531</v>
      </c>
      <c r="G592" s="36">
        <v>44926</v>
      </c>
      <c r="I592" s="36">
        <v>46022</v>
      </c>
      <c r="J592" s="7" t="s">
        <v>1239</v>
      </c>
      <c r="K592" s="8">
        <v>14203.42</v>
      </c>
      <c r="L592" s="8">
        <v>724.00340000000006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f t="shared" si="128"/>
        <v>14927.4234</v>
      </c>
      <c r="S592" s="8">
        <v>0</v>
      </c>
      <c r="T592" s="8">
        <v>795.41439200000002</v>
      </c>
      <c r="U592" s="8">
        <v>0</v>
      </c>
      <c r="V592" s="8">
        <v>24918.905608000001</v>
      </c>
      <c r="W592" s="8">
        <v>0</v>
      </c>
      <c r="X592" s="8">
        <v>0</v>
      </c>
      <c r="Y592" s="8">
        <v>0</v>
      </c>
      <c r="Z592" s="8">
        <v>-30837.725788</v>
      </c>
      <c r="AA592" s="7">
        <v>3.0027400000000002</v>
      </c>
      <c r="AB592" s="8">
        <v>4270.1255019999999</v>
      </c>
      <c r="AC592" s="7">
        <v>2.920417</v>
      </c>
      <c r="AD592" s="7" t="s">
        <v>1697</v>
      </c>
      <c r="AE592" s="8">
        <v>4285.72</v>
      </c>
      <c r="AF592" s="8">
        <v>0</v>
      </c>
      <c r="AG592" s="8">
        <v>4285.72</v>
      </c>
      <c r="AH592" s="8">
        <v>0</v>
      </c>
      <c r="AI592" s="7" t="s">
        <v>1781</v>
      </c>
      <c r="AJ592" s="7">
        <f t="shared" ca="1" si="129"/>
        <v>1</v>
      </c>
      <c r="AK592" s="96">
        <f t="shared" si="130"/>
        <v>8.5895610405939258E-5</v>
      </c>
      <c r="AL592" s="97">
        <f t="shared" si="131"/>
        <v>7.9565217624919782E-5</v>
      </c>
    </row>
    <row r="593" spans="1:38" x14ac:dyDescent="0.3">
      <c r="A593" s="7" t="s">
        <v>2166</v>
      </c>
      <c r="B593" s="7" t="s">
        <v>1768</v>
      </c>
      <c r="C593" s="7" t="s">
        <v>1323</v>
      </c>
      <c r="D593" s="7" t="s">
        <v>1324</v>
      </c>
      <c r="E593" s="7" t="s">
        <v>1695</v>
      </c>
      <c r="F593" s="36">
        <v>43831</v>
      </c>
      <c r="G593" s="36">
        <v>44926</v>
      </c>
      <c r="H593" s="36">
        <v>44440</v>
      </c>
      <c r="I593" s="36">
        <v>44440</v>
      </c>
      <c r="J593" s="7" t="s">
        <v>1239</v>
      </c>
      <c r="K593" s="8">
        <v>24623.165184000001</v>
      </c>
      <c r="L593" s="8">
        <v>349.774338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f t="shared" si="128"/>
        <v>24972.939522000001</v>
      </c>
      <c r="S593" s="8">
        <v>0</v>
      </c>
      <c r="T593" s="8">
        <v>413.02748400000002</v>
      </c>
      <c r="U593" s="8">
        <v>0</v>
      </c>
      <c r="V593" s="8">
        <v>25301.25822</v>
      </c>
      <c r="W593" s="8">
        <v>0</v>
      </c>
      <c r="X593" s="8">
        <v>0</v>
      </c>
      <c r="Y593" s="8">
        <v>0</v>
      </c>
      <c r="Z593" s="8">
        <v>0</v>
      </c>
      <c r="AA593" s="7">
        <v>0</v>
      </c>
      <c r="AB593" s="8">
        <v>0</v>
      </c>
      <c r="AC593" s="7">
        <v>3</v>
      </c>
      <c r="AD593" s="7" t="s">
        <v>1226</v>
      </c>
      <c r="AE593" s="8">
        <v>0</v>
      </c>
      <c r="AF593" s="8">
        <v>0</v>
      </c>
      <c r="AG593" s="8">
        <v>0</v>
      </c>
      <c r="AH593" s="8">
        <v>0</v>
      </c>
      <c r="AI593" s="7" t="s">
        <v>1781</v>
      </c>
      <c r="AJ593" s="7">
        <f t="shared" ca="1" si="129"/>
        <v>1</v>
      </c>
      <c r="AK593" s="96">
        <f t="shared" si="130"/>
        <v>0</v>
      </c>
      <c r="AL593" s="97">
        <f t="shared" si="131"/>
        <v>0</v>
      </c>
    </row>
    <row r="594" spans="1:38" x14ac:dyDescent="0.3">
      <c r="A594" s="7" t="s">
        <v>2167</v>
      </c>
      <c r="B594" s="7" t="s">
        <v>1320</v>
      </c>
      <c r="C594" s="7" t="s">
        <v>1323</v>
      </c>
      <c r="D594" s="7" t="s">
        <v>1324</v>
      </c>
      <c r="E594" s="7" t="s">
        <v>1695</v>
      </c>
      <c r="F594" s="36">
        <v>44440</v>
      </c>
      <c r="G594" s="36">
        <v>44804</v>
      </c>
      <c r="H594" s="36">
        <v>44895</v>
      </c>
      <c r="I594" s="36">
        <v>44895</v>
      </c>
      <c r="J594" s="7" t="s">
        <v>1699</v>
      </c>
      <c r="K594" s="8">
        <v>0</v>
      </c>
      <c r="L594" s="8">
        <v>0</v>
      </c>
      <c r="M594" s="8">
        <v>0</v>
      </c>
      <c r="N594" s="8">
        <v>39285.730000000003</v>
      </c>
      <c r="O594" s="8">
        <v>0</v>
      </c>
      <c r="P594" s="8">
        <v>0</v>
      </c>
      <c r="Q594" s="8">
        <v>0</v>
      </c>
      <c r="R594" s="8">
        <f t="shared" si="128"/>
        <v>39285.730000000003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7">
        <v>0</v>
      </c>
      <c r="AB594" s="8">
        <v>0</v>
      </c>
      <c r="AC594" s="7">
        <v>1.5760000000000001</v>
      </c>
      <c r="AD594" s="7" t="s">
        <v>1226</v>
      </c>
      <c r="AE594" s="8">
        <v>0</v>
      </c>
      <c r="AF594" s="8">
        <v>0</v>
      </c>
      <c r="AG594" s="8">
        <v>0</v>
      </c>
      <c r="AH594" s="8">
        <v>0</v>
      </c>
      <c r="AI594" s="7" t="s">
        <v>1976</v>
      </c>
      <c r="AJ594" s="7">
        <f t="shared" ca="1" si="129"/>
        <v>1</v>
      </c>
      <c r="AK594" s="100">
        <f>(+AA594*AB594)/$AB$1103</f>
        <v>0</v>
      </c>
      <c r="AL594" s="97">
        <f>AC594/$AE$1103*AE594</f>
        <v>0</v>
      </c>
    </row>
    <row r="595" spans="1:38" x14ac:dyDescent="0.3">
      <c r="A595" s="7" t="s">
        <v>2168</v>
      </c>
      <c r="B595" s="7" t="s">
        <v>1320</v>
      </c>
      <c r="C595" s="7" t="s">
        <v>1323</v>
      </c>
      <c r="D595" s="7" t="s">
        <v>1324</v>
      </c>
      <c r="E595" s="7" t="s">
        <v>1695</v>
      </c>
      <c r="F595" s="36">
        <v>44501</v>
      </c>
      <c r="G595" s="36">
        <v>44895</v>
      </c>
      <c r="H595" s="36">
        <v>44895</v>
      </c>
      <c r="I595" s="36">
        <v>44895</v>
      </c>
      <c r="J595" s="7" t="s">
        <v>1239</v>
      </c>
      <c r="K595" s="8">
        <v>10637.873556</v>
      </c>
      <c r="L595" s="8">
        <v>3801.6430059999998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f t="shared" si="128"/>
        <v>14439.516562000001</v>
      </c>
      <c r="S595" s="8">
        <v>0</v>
      </c>
      <c r="T595" s="8">
        <v>4470.7344810000004</v>
      </c>
      <c r="U595" s="8">
        <v>0</v>
      </c>
      <c r="V595" s="8">
        <v>545529.26551900001</v>
      </c>
      <c r="W595" s="8">
        <v>0</v>
      </c>
      <c r="X595" s="8">
        <v>0</v>
      </c>
      <c r="Y595" s="8">
        <v>0</v>
      </c>
      <c r="Z595" s="8">
        <v>-418745.329952</v>
      </c>
      <c r="AA595" s="7">
        <v>0</v>
      </c>
      <c r="AB595" s="8">
        <v>0</v>
      </c>
      <c r="AC595" s="7">
        <v>1.6353329999999999</v>
      </c>
      <c r="AD595" s="7" t="s">
        <v>1226</v>
      </c>
      <c r="AE595" s="8">
        <v>0</v>
      </c>
      <c r="AF595" s="8">
        <v>0</v>
      </c>
      <c r="AG595" s="8">
        <v>0</v>
      </c>
      <c r="AH595" s="8">
        <v>0</v>
      </c>
      <c r="AI595" s="7" t="s">
        <v>1758</v>
      </c>
      <c r="AJ595" s="7">
        <f t="shared" ca="1" si="129"/>
        <v>1</v>
      </c>
      <c r="AK595" s="96">
        <f t="shared" si="130"/>
        <v>0</v>
      </c>
      <c r="AL595" s="97">
        <f t="shared" si="131"/>
        <v>0</v>
      </c>
    </row>
    <row r="596" spans="1:38" x14ac:dyDescent="0.3">
      <c r="A596" s="7" t="s">
        <v>2169</v>
      </c>
      <c r="B596" s="7" t="s">
        <v>1320</v>
      </c>
      <c r="C596" s="7" t="s">
        <v>1323</v>
      </c>
      <c r="D596" s="7" t="s">
        <v>1324</v>
      </c>
      <c r="E596" s="7" t="s">
        <v>1739</v>
      </c>
      <c r="F596" s="36">
        <v>44440</v>
      </c>
      <c r="G596" s="36">
        <v>44926</v>
      </c>
      <c r="I596" s="36">
        <v>44926</v>
      </c>
      <c r="J596" s="7" t="s">
        <v>1239</v>
      </c>
      <c r="K596" s="8">
        <v>409399.38</v>
      </c>
      <c r="L596" s="8">
        <v>4954.1842509999997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f t="shared" si="128"/>
        <v>414353.564251</v>
      </c>
      <c r="S596" s="8">
        <v>0</v>
      </c>
      <c r="T596" s="8">
        <v>5852.0077190000002</v>
      </c>
      <c r="U596" s="8">
        <v>0</v>
      </c>
      <c r="V596" s="8">
        <v>594147.99228100001</v>
      </c>
      <c r="W596" s="8">
        <v>0</v>
      </c>
      <c r="X596" s="8">
        <v>0</v>
      </c>
      <c r="Y596" s="8">
        <v>0</v>
      </c>
      <c r="Z596" s="8">
        <v>0</v>
      </c>
      <c r="AA596" s="7">
        <v>0</v>
      </c>
      <c r="AB596" s="8">
        <v>0</v>
      </c>
      <c r="AC596" s="7">
        <v>1.8133330000000001</v>
      </c>
      <c r="AD596" s="7" t="s">
        <v>1226</v>
      </c>
      <c r="AE596" s="8">
        <v>0</v>
      </c>
      <c r="AF596" s="8">
        <v>0</v>
      </c>
      <c r="AG596" s="8">
        <v>0</v>
      </c>
      <c r="AH596" s="8">
        <v>0</v>
      </c>
      <c r="AI596" s="7" t="s">
        <v>1758</v>
      </c>
      <c r="AJ596" s="7">
        <f t="shared" ca="1" si="129"/>
        <v>1</v>
      </c>
      <c r="AK596" s="96">
        <f t="shared" si="130"/>
        <v>0</v>
      </c>
      <c r="AL596" s="97">
        <f t="shared" si="131"/>
        <v>0</v>
      </c>
    </row>
    <row r="597" spans="1:38" x14ac:dyDescent="0.3">
      <c r="A597" s="7" t="s">
        <v>2169</v>
      </c>
      <c r="B597" s="7" t="s">
        <v>1320</v>
      </c>
      <c r="C597" s="7" t="s">
        <v>1323</v>
      </c>
      <c r="D597" s="7" t="s">
        <v>1324</v>
      </c>
      <c r="E597" s="7" t="s">
        <v>1739</v>
      </c>
      <c r="F597" s="36">
        <v>44440</v>
      </c>
      <c r="G597" s="36">
        <v>44926</v>
      </c>
      <c r="I597" s="36">
        <v>44926</v>
      </c>
      <c r="J597" s="7" t="s">
        <v>1699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f t="shared" si="128"/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7">
        <v>0</v>
      </c>
      <c r="AB597" s="8">
        <v>0</v>
      </c>
      <c r="AC597" s="7">
        <v>1.8133330000000001</v>
      </c>
      <c r="AD597" s="7" t="s">
        <v>1226</v>
      </c>
      <c r="AE597" s="8">
        <v>50000</v>
      </c>
      <c r="AF597" s="8">
        <v>0</v>
      </c>
      <c r="AG597" s="8">
        <v>50000</v>
      </c>
      <c r="AH597" s="8">
        <v>0</v>
      </c>
      <c r="AI597" s="7" t="s">
        <v>1758</v>
      </c>
      <c r="AJ597" s="7">
        <f t="shared" ca="1" si="129"/>
        <v>2</v>
      </c>
      <c r="AK597" s="100">
        <f>(+AA597*AB597)/$AB$1103</f>
        <v>0</v>
      </c>
      <c r="AL597" s="97">
        <f>AC597/$AE$1103*AE597</f>
        <v>1.0884418820292384E-2</v>
      </c>
    </row>
    <row r="598" spans="1:38" x14ac:dyDescent="0.3">
      <c r="A598" s="7" t="s">
        <v>2170</v>
      </c>
      <c r="B598" s="7" t="s">
        <v>1768</v>
      </c>
      <c r="C598" s="7" t="s">
        <v>1323</v>
      </c>
      <c r="D598" s="7" t="s">
        <v>1324</v>
      </c>
      <c r="E598" s="7" t="s">
        <v>1322</v>
      </c>
      <c r="F598" s="36">
        <v>43831</v>
      </c>
      <c r="G598" s="36">
        <v>46022</v>
      </c>
      <c r="H598" s="36">
        <v>46022</v>
      </c>
      <c r="I598" s="36">
        <v>46022</v>
      </c>
      <c r="J598" s="7" t="s">
        <v>1239</v>
      </c>
      <c r="K598" s="8">
        <v>5607169.1093760002</v>
      </c>
      <c r="L598" s="8">
        <v>461723.61714699998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f t="shared" si="128"/>
        <v>6068892.7265229998</v>
      </c>
      <c r="S598" s="8">
        <v>0</v>
      </c>
      <c r="T598" s="8">
        <v>472402.62664799998</v>
      </c>
      <c r="U598" s="8">
        <v>0</v>
      </c>
      <c r="V598" s="8">
        <v>5527597.3733519996</v>
      </c>
      <c r="W598" s="8">
        <v>0</v>
      </c>
      <c r="X598" s="8">
        <v>0</v>
      </c>
      <c r="Y598" s="8">
        <v>0</v>
      </c>
      <c r="Z598" s="8">
        <v>0</v>
      </c>
      <c r="AA598" s="7">
        <v>3.0027400000000002</v>
      </c>
      <c r="AB598" s="8">
        <v>17372113.866119001</v>
      </c>
      <c r="AC598" s="7">
        <v>2.318333</v>
      </c>
      <c r="AD598" s="7" t="s">
        <v>1226</v>
      </c>
      <c r="AE598" s="8">
        <v>18000000</v>
      </c>
      <c r="AF598" s="8">
        <v>0</v>
      </c>
      <c r="AG598" s="8">
        <v>18000000</v>
      </c>
      <c r="AH598" s="8">
        <v>0</v>
      </c>
      <c r="AI598" s="7" t="s">
        <v>1758</v>
      </c>
      <c r="AJ598" s="7">
        <f t="shared" ca="1" si="129"/>
        <v>1</v>
      </c>
      <c r="AK598" s="96">
        <f t="shared" si="130"/>
        <v>0.34944835318607764</v>
      </c>
      <c r="AL598" s="97">
        <f t="shared" si="131"/>
        <v>0.26527902681547405</v>
      </c>
    </row>
    <row r="599" spans="1:38" x14ac:dyDescent="0.3">
      <c r="A599" s="7" t="s">
        <v>2171</v>
      </c>
      <c r="B599" s="7" t="s">
        <v>1768</v>
      </c>
      <c r="C599" s="7" t="s">
        <v>1323</v>
      </c>
      <c r="D599" s="7" t="s">
        <v>1324</v>
      </c>
      <c r="E599" s="7" t="s">
        <v>1322</v>
      </c>
      <c r="F599" s="36">
        <v>43831</v>
      </c>
      <c r="G599" s="36">
        <v>46022</v>
      </c>
      <c r="H599" s="36">
        <v>46022</v>
      </c>
      <c r="I599" s="36">
        <v>46022</v>
      </c>
      <c r="J599" s="7" t="s">
        <v>1239</v>
      </c>
      <c r="K599" s="8">
        <v>5607169.1093760002</v>
      </c>
      <c r="L599" s="8">
        <v>461723.61714699998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f t="shared" si="128"/>
        <v>6068892.7265229998</v>
      </c>
      <c r="S599" s="8">
        <v>0</v>
      </c>
      <c r="T599" s="8">
        <v>472402.62664799998</v>
      </c>
      <c r="U599" s="8">
        <v>0</v>
      </c>
      <c r="V599" s="8">
        <v>5527597.3733519996</v>
      </c>
      <c r="W599" s="8">
        <v>0</v>
      </c>
      <c r="X599" s="8">
        <v>0</v>
      </c>
      <c r="Y599" s="8">
        <v>0</v>
      </c>
      <c r="Z599" s="8">
        <v>0</v>
      </c>
      <c r="AA599" s="7">
        <v>3.0027400000000002</v>
      </c>
      <c r="AB599" s="8">
        <v>17372113.866119001</v>
      </c>
      <c r="AC599" s="7">
        <v>2.318333</v>
      </c>
      <c r="AD599" s="7" t="s">
        <v>1226</v>
      </c>
      <c r="AE599" s="8">
        <v>18000000</v>
      </c>
      <c r="AF599" s="8">
        <v>0</v>
      </c>
      <c r="AG599" s="8">
        <v>18000000</v>
      </c>
      <c r="AH599" s="8">
        <v>0</v>
      </c>
      <c r="AI599" s="7" t="s">
        <v>1758</v>
      </c>
      <c r="AJ599" s="7">
        <f t="shared" ca="1" si="129"/>
        <v>1</v>
      </c>
      <c r="AK599" s="96">
        <f t="shared" si="130"/>
        <v>0.34944835318607764</v>
      </c>
      <c r="AL599" s="97">
        <f t="shared" si="131"/>
        <v>0.26527902681547405</v>
      </c>
    </row>
    <row r="600" spans="1:38" x14ac:dyDescent="0.3">
      <c r="A600" s="7" t="s">
        <v>2172</v>
      </c>
      <c r="B600" s="7" t="s">
        <v>194</v>
      </c>
      <c r="C600" s="7" t="s">
        <v>1323</v>
      </c>
      <c r="D600" s="7" t="s">
        <v>1324</v>
      </c>
      <c r="E600" s="7" t="s">
        <v>1322</v>
      </c>
      <c r="F600" s="36">
        <v>44197</v>
      </c>
      <c r="G600" s="36">
        <v>45291</v>
      </c>
      <c r="H600" s="36">
        <v>45291</v>
      </c>
      <c r="I600" s="36">
        <v>45291</v>
      </c>
      <c r="J600" s="7" t="s">
        <v>1696</v>
      </c>
      <c r="K600" s="8">
        <v>0</v>
      </c>
      <c r="L600" s="8">
        <v>0</v>
      </c>
      <c r="M600" s="8">
        <v>21481.344000000001</v>
      </c>
      <c r="N600" s="8">
        <v>0</v>
      </c>
      <c r="O600" s="8">
        <v>0</v>
      </c>
      <c r="P600" s="8">
        <v>0</v>
      </c>
      <c r="Q600" s="8">
        <v>0</v>
      </c>
      <c r="R600" s="8">
        <f t="shared" si="128"/>
        <v>21481.344000000001</v>
      </c>
      <c r="S600" s="8">
        <v>0</v>
      </c>
      <c r="T600" s="8">
        <v>0</v>
      </c>
      <c r="U600" s="8">
        <v>21481.344000000001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7">
        <v>1</v>
      </c>
      <c r="AB600" s="8">
        <v>21189.147550999998</v>
      </c>
      <c r="AC600" s="7">
        <v>3</v>
      </c>
      <c r="AD600" s="7" t="s">
        <v>1226</v>
      </c>
      <c r="AE600" s="8">
        <v>21481.344000000001</v>
      </c>
      <c r="AF600" s="8">
        <v>0</v>
      </c>
      <c r="AG600" s="8">
        <v>21481.344000000001</v>
      </c>
      <c r="AH600" s="8">
        <v>0</v>
      </c>
      <c r="AI600" s="7" t="s">
        <v>1976</v>
      </c>
      <c r="AJ600" s="7">
        <f t="shared" ca="1" si="129"/>
        <v>1</v>
      </c>
      <c r="AK600" s="96">
        <f t="shared" ref="AK600:AK601" si="134">(+AA600*AB600)/$AB$1102</f>
        <v>1.857067758775778E-5</v>
      </c>
      <c r="AL600" s="97">
        <f t="shared" ref="AL600:AL601" si="135">AC600/$AE$1102*AE600</f>
        <v>5.5142236996028002E-5</v>
      </c>
    </row>
    <row r="601" spans="1:38" x14ac:dyDescent="0.3">
      <c r="A601" s="7" t="s">
        <v>2173</v>
      </c>
      <c r="B601" s="7" t="s">
        <v>1320</v>
      </c>
      <c r="C601" s="7" t="s">
        <v>1323</v>
      </c>
      <c r="D601" s="7" t="s">
        <v>1324</v>
      </c>
      <c r="E601" s="7" t="s">
        <v>1695</v>
      </c>
      <c r="F601" s="36">
        <v>43983</v>
      </c>
      <c r="G601" s="36">
        <v>44712</v>
      </c>
      <c r="H601" s="36">
        <v>44895</v>
      </c>
      <c r="I601" s="36">
        <v>44895</v>
      </c>
      <c r="J601" s="7" t="s">
        <v>1696</v>
      </c>
      <c r="K601" s="8">
        <v>0</v>
      </c>
      <c r="L601" s="8">
        <v>0</v>
      </c>
      <c r="M601" s="8">
        <v>3086.4</v>
      </c>
      <c r="N601" s="8">
        <v>0</v>
      </c>
      <c r="O601" s="8">
        <v>0</v>
      </c>
      <c r="P601" s="8">
        <v>0</v>
      </c>
      <c r="Q601" s="8">
        <v>0</v>
      </c>
      <c r="R601" s="8">
        <f t="shared" si="128"/>
        <v>3086.4</v>
      </c>
      <c r="S601" s="8">
        <v>0</v>
      </c>
      <c r="T601" s="8">
        <v>0</v>
      </c>
      <c r="U601" s="8">
        <v>3086.4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7">
        <v>0</v>
      </c>
      <c r="AB601" s="8">
        <v>0</v>
      </c>
      <c r="AC601" s="7">
        <v>1.8029999999999999</v>
      </c>
      <c r="AD601" s="7" t="s">
        <v>1226</v>
      </c>
      <c r="AE601" s="8">
        <v>0</v>
      </c>
      <c r="AF601" s="8">
        <v>0</v>
      </c>
      <c r="AG601" s="8">
        <v>0</v>
      </c>
      <c r="AH601" s="8">
        <v>0</v>
      </c>
      <c r="AI601" s="7" t="s">
        <v>1730</v>
      </c>
      <c r="AJ601" s="7">
        <f t="shared" ca="1" si="129"/>
        <v>1</v>
      </c>
      <c r="AK601" s="96">
        <f t="shared" si="134"/>
        <v>0</v>
      </c>
      <c r="AL601" s="97">
        <f t="shared" si="135"/>
        <v>0</v>
      </c>
    </row>
    <row r="602" spans="1:38" x14ac:dyDescent="0.3">
      <c r="A602" s="7" t="s">
        <v>2173</v>
      </c>
      <c r="B602" s="7" t="s">
        <v>1320</v>
      </c>
      <c r="C602" s="7" t="s">
        <v>1323</v>
      </c>
      <c r="D602" s="7" t="s">
        <v>1324</v>
      </c>
      <c r="E602" s="7" t="s">
        <v>1695</v>
      </c>
      <c r="F602" s="36">
        <v>43983</v>
      </c>
      <c r="G602" s="36">
        <v>44712</v>
      </c>
      <c r="H602" s="36">
        <v>44895</v>
      </c>
      <c r="I602" s="36">
        <v>44895</v>
      </c>
      <c r="J602" s="7" t="s">
        <v>1699</v>
      </c>
      <c r="K602" s="8">
        <v>0</v>
      </c>
      <c r="L602" s="8">
        <v>0</v>
      </c>
      <c r="M602" s="8">
        <v>0</v>
      </c>
      <c r="N602" s="8">
        <v>3703.68</v>
      </c>
      <c r="O602" s="8">
        <v>0</v>
      </c>
      <c r="P602" s="8">
        <v>0</v>
      </c>
      <c r="Q602" s="8">
        <v>0</v>
      </c>
      <c r="R602" s="8">
        <f t="shared" si="128"/>
        <v>3703.68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7">
        <v>0</v>
      </c>
      <c r="AB602" s="8">
        <v>0</v>
      </c>
      <c r="AC602" s="7">
        <v>1.8029999999999999</v>
      </c>
      <c r="AD602" s="7" t="s">
        <v>1226</v>
      </c>
      <c r="AE602" s="8">
        <v>0</v>
      </c>
      <c r="AF602" s="8">
        <v>0</v>
      </c>
      <c r="AG602" s="8">
        <v>0</v>
      </c>
      <c r="AH602" s="8">
        <v>0</v>
      </c>
      <c r="AI602" s="7" t="s">
        <v>1730</v>
      </c>
      <c r="AJ602" s="7">
        <f t="shared" ca="1" si="129"/>
        <v>2</v>
      </c>
      <c r="AK602" s="100">
        <f>(+AA602*AB602)/$AB$1103</f>
        <v>0</v>
      </c>
      <c r="AL602" s="97">
        <f>AC602/$AE$1103*AE602</f>
        <v>0</v>
      </c>
    </row>
    <row r="603" spans="1:38" x14ac:dyDescent="0.3">
      <c r="A603" s="7" t="s">
        <v>2174</v>
      </c>
      <c r="B603" s="7" t="s">
        <v>194</v>
      </c>
      <c r="C603" s="7" t="s">
        <v>1323</v>
      </c>
      <c r="D603" s="7" t="s">
        <v>1792</v>
      </c>
      <c r="E603" s="7" t="s">
        <v>1750</v>
      </c>
      <c r="F603" s="36">
        <v>43556</v>
      </c>
      <c r="G603" s="36">
        <v>44651</v>
      </c>
      <c r="H603" s="36">
        <v>45747</v>
      </c>
      <c r="I603" s="36">
        <v>45747</v>
      </c>
      <c r="J603" s="7" t="s">
        <v>1239</v>
      </c>
      <c r="K603" s="8">
        <v>2580268.71</v>
      </c>
      <c r="L603" s="8">
        <v>142049.02231999999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f t="shared" si="128"/>
        <v>2722317.73232</v>
      </c>
      <c r="S603" s="8">
        <v>0</v>
      </c>
      <c r="T603" s="8">
        <v>136623.83537700001</v>
      </c>
      <c r="U603" s="8">
        <v>0</v>
      </c>
      <c r="V603" s="8">
        <v>2473376.1646230002</v>
      </c>
      <c r="W603" s="8">
        <v>0</v>
      </c>
      <c r="X603" s="8">
        <v>1892541.293206</v>
      </c>
      <c r="Y603" s="8">
        <v>0</v>
      </c>
      <c r="Z603" s="8">
        <v>2750909.6485620001</v>
      </c>
      <c r="AA603" s="7">
        <v>2.2493150000000002</v>
      </c>
      <c r="AB603" s="8">
        <v>2170074.7771439999</v>
      </c>
      <c r="AC603" s="7">
        <v>3</v>
      </c>
      <c r="AD603" s="7" t="s">
        <v>1697</v>
      </c>
      <c r="AE603" s="8">
        <v>2250000</v>
      </c>
      <c r="AF603" s="8">
        <v>0</v>
      </c>
      <c r="AG603" s="8">
        <v>2250000</v>
      </c>
      <c r="AH603" s="8">
        <v>0</v>
      </c>
      <c r="AI603" s="7" t="s">
        <v>1758</v>
      </c>
      <c r="AJ603" s="7">
        <f t="shared" ca="1" si="129"/>
        <v>1</v>
      </c>
      <c r="AK603" s="96">
        <f t="shared" si="130"/>
        <v>3.2699234074160005E-2</v>
      </c>
      <c r="AL603" s="97">
        <f t="shared" si="131"/>
        <v>4.2909985345419649E-2</v>
      </c>
    </row>
    <row r="604" spans="1:38" x14ac:dyDescent="0.3">
      <c r="A604" s="7" t="s">
        <v>2175</v>
      </c>
      <c r="B604" s="7" t="s">
        <v>1320</v>
      </c>
      <c r="C604" s="7" t="s">
        <v>1323</v>
      </c>
      <c r="D604" s="7" t="s">
        <v>2176</v>
      </c>
      <c r="E604" s="7" t="s">
        <v>1322</v>
      </c>
      <c r="F604" s="36">
        <v>44075</v>
      </c>
      <c r="G604" s="36">
        <v>45169</v>
      </c>
      <c r="H604" s="36">
        <v>45169</v>
      </c>
      <c r="I604" s="36">
        <v>45169</v>
      </c>
      <c r="J604" s="7" t="s">
        <v>1696</v>
      </c>
      <c r="K604" s="8">
        <v>0</v>
      </c>
      <c r="L604" s="8">
        <v>0</v>
      </c>
      <c r="M604" s="8">
        <v>132513.64392230049</v>
      </c>
      <c r="N604" s="8">
        <v>0</v>
      </c>
      <c r="O604" s="8">
        <v>0</v>
      </c>
      <c r="P604" s="8">
        <v>0</v>
      </c>
      <c r="Q604" s="8">
        <v>0</v>
      </c>
      <c r="R604" s="8">
        <f t="shared" si="128"/>
        <v>132513.64392230049</v>
      </c>
      <c r="S604" s="8">
        <v>0</v>
      </c>
      <c r="T604" s="8">
        <v>0</v>
      </c>
      <c r="U604" s="8">
        <v>137659.46613324946</v>
      </c>
      <c r="V604" s="8">
        <v>0</v>
      </c>
      <c r="W604" s="8">
        <v>0</v>
      </c>
      <c r="X604" s="8">
        <v>0</v>
      </c>
      <c r="Y604" s="8">
        <v>0</v>
      </c>
      <c r="Z604" s="8">
        <v>1.197054170011</v>
      </c>
      <c r="AA604" s="7">
        <v>0.66575300000000004</v>
      </c>
      <c r="AB604" s="8">
        <v>91271.98916990764</v>
      </c>
      <c r="AC604" s="7">
        <v>1.879</v>
      </c>
      <c r="AD604" s="7" t="s">
        <v>1226</v>
      </c>
      <c r="AE604" s="8">
        <v>91772.617781077497</v>
      </c>
      <c r="AF604" s="8">
        <v>0</v>
      </c>
      <c r="AG604" s="8">
        <v>91772.617781077497</v>
      </c>
      <c r="AH604" s="8">
        <v>0</v>
      </c>
      <c r="AI604" s="7" t="s">
        <v>1760</v>
      </c>
      <c r="AJ604" s="7">
        <f t="shared" ca="1" si="129"/>
        <v>1</v>
      </c>
      <c r="AK604" s="96">
        <f>(+AA604*AB604)/$AB$1102</f>
        <v>5.3255554707133557E-5</v>
      </c>
      <c r="AL604" s="97">
        <f>AC604/$AE$1102*AE604</f>
        <v>1.4755080251169106E-4</v>
      </c>
    </row>
    <row r="605" spans="1:38" x14ac:dyDescent="0.3">
      <c r="A605" s="7" t="s">
        <v>2177</v>
      </c>
      <c r="B605" s="7" t="s">
        <v>194</v>
      </c>
      <c r="C605" s="7" t="s">
        <v>1323</v>
      </c>
      <c r="D605" s="7" t="s">
        <v>1324</v>
      </c>
      <c r="E605" s="7" t="s">
        <v>1322</v>
      </c>
      <c r="F605" s="36">
        <v>44805</v>
      </c>
      <c r="G605" s="36">
        <v>45169</v>
      </c>
      <c r="H605" s="36">
        <v>45169</v>
      </c>
      <c r="I605" s="36">
        <v>45169</v>
      </c>
      <c r="J605" s="7" t="s">
        <v>1699</v>
      </c>
      <c r="K605" s="8">
        <v>0</v>
      </c>
      <c r="L605" s="8">
        <v>0</v>
      </c>
      <c r="M605" s="8">
        <v>0</v>
      </c>
      <c r="N605" s="8">
        <v>1333333.3333360001</v>
      </c>
      <c r="O605" s="8">
        <v>0</v>
      </c>
      <c r="P605" s="8">
        <v>0</v>
      </c>
      <c r="Q605" s="8">
        <v>0</v>
      </c>
      <c r="R605" s="8">
        <f t="shared" si="128"/>
        <v>1333333.3333360001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7">
        <v>0.66575300000000004</v>
      </c>
      <c r="AB605" s="8">
        <v>0</v>
      </c>
      <c r="AC605" s="7">
        <v>1.5760000000000001</v>
      </c>
      <c r="AD605" s="7" t="s">
        <v>1226</v>
      </c>
      <c r="AE605" s="8">
        <v>2000000</v>
      </c>
      <c r="AF605" s="8">
        <v>0</v>
      </c>
      <c r="AG605" s="8">
        <v>2000000</v>
      </c>
      <c r="AH605" s="8">
        <v>0</v>
      </c>
      <c r="AI605" s="7" t="s">
        <v>1976</v>
      </c>
      <c r="AJ605" s="7">
        <f t="shared" ca="1" si="129"/>
        <v>1</v>
      </c>
      <c r="AK605" s="100">
        <f t="shared" ref="AK605:AK606" si="136">(+AA605*AB605)/$AB$1103</f>
        <v>0</v>
      </c>
      <c r="AL605" s="97">
        <f t="shared" ref="AL605:AL606" si="137">AC605/$AE$1103*AE605</f>
        <v>0.37839368854547506</v>
      </c>
    </row>
    <row r="606" spans="1:38" x14ac:dyDescent="0.3">
      <c r="A606" s="7" t="s">
        <v>2178</v>
      </c>
      <c r="B606" s="7" t="s">
        <v>194</v>
      </c>
      <c r="C606" s="7" t="s">
        <v>1323</v>
      </c>
      <c r="D606" s="7" t="s">
        <v>1324</v>
      </c>
      <c r="E606" s="7" t="s">
        <v>1322</v>
      </c>
      <c r="F606" s="36">
        <v>44805</v>
      </c>
      <c r="G606" s="36">
        <v>45169</v>
      </c>
      <c r="H606" s="36">
        <v>45169</v>
      </c>
      <c r="I606" s="36">
        <v>45169</v>
      </c>
      <c r="J606" s="7" t="s">
        <v>1699</v>
      </c>
      <c r="K606" s="8">
        <v>0</v>
      </c>
      <c r="L606" s="8">
        <v>0</v>
      </c>
      <c r="M606" s="8">
        <v>0</v>
      </c>
      <c r="N606" s="8">
        <v>1333333.3333320001</v>
      </c>
      <c r="O606" s="8">
        <v>0</v>
      </c>
      <c r="P606" s="8">
        <v>0</v>
      </c>
      <c r="Q606" s="8">
        <v>0</v>
      </c>
      <c r="R606" s="8">
        <f t="shared" si="128"/>
        <v>1333333.3333320001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7">
        <v>0.66575300000000004</v>
      </c>
      <c r="AB606" s="8">
        <v>0</v>
      </c>
      <c r="AC606" s="7">
        <v>0</v>
      </c>
      <c r="AD606" s="7" t="s">
        <v>1226</v>
      </c>
      <c r="AE606" s="8">
        <v>4000000</v>
      </c>
      <c r="AF606" s="8">
        <v>0</v>
      </c>
      <c r="AG606" s="8">
        <v>4000000</v>
      </c>
      <c r="AH606" s="8">
        <v>0</v>
      </c>
      <c r="AI606" s="7" t="s">
        <v>1976</v>
      </c>
      <c r="AJ606" s="7">
        <f t="shared" ca="1" si="129"/>
        <v>1</v>
      </c>
      <c r="AK606" s="100">
        <f t="shared" si="136"/>
        <v>0</v>
      </c>
      <c r="AL606" s="97">
        <f t="shared" si="137"/>
        <v>0</v>
      </c>
    </row>
    <row r="607" spans="1:38" x14ac:dyDescent="0.3">
      <c r="A607" s="7" t="s">
        <v>2179</v>
      </c>
      <c r="B607" s="7" t="s">
        <v>1768</v>
      </c>
      <c r="C607" s="7" t="s">
        <v>1323</v>
      </c>
      <c r="D607" s="7" t="s">
        <v>1324</v>
      </c>
      <c r="E607" s="7" t="s">
        <v>1739</v>
      </c>
      <c r="F607" s="36">
        <v>42736</v>
      </c>
      <c r="G607" s="36">
        <v>44561</v>
      </c>
      <c r="I607" s="36">
        <v>45657</v>
      </c>
      <c r="J607" s="7" t="s">
        <v>1239</v>
      </c>
      <c r="K607" s="8">
        <v>113850.24210600001</v>
      </c>
      <c r="L607" s="8">
        <v>23333.20722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f t="shared" si="128"/>
        <v>137183.449326</v>
      </c>
      <c r="S607" s="8">
        <v>0</v>
      </c>
      <c r="T607" s="8">
        <v>24057.066332999999</v>
      </c>
      <c r="U607" s="8">
        <v>0</v>
      </c>
      <c r="V607" s="8">
        <v>124090.133667</v>
      </c>
      <c r="W607" s="8">
        <v>0</v>
      </c>
      <c r="X607" s="8">
        <v>0</v>
      </c>
      <c r="Y607" s="8">
        <v>0</v>
      </c>
      <c r="Z607" s="8">
        <v>0</v>
      </c>
      <c r="AA607" s="7">
        <v>2.0027400000000002</v>
      </c>
      <c r="AB607" s="8">
        <v>275740.20186500001</v>
      </c>
      <c r="AC607" s="7">
        <v>7</v>
      </c>
      <c r="AD607" s="7" t="s">
        <v>1226</v>
      </c>
      <c r="AE607" s="8">
        <v>296294.40000000002</v>
      </c>
      <c r="AF607" s="8">
        <v>0</v>
      </c>
      <c r="AG607" s="8">
        <v>296294.40000000002</v>
      </c>
      <c r="AH607" s="8">
        <v>0</v>
      </c>
      <c r="AI607" s="7" t="s">
        <v>1758</v>
      </c>
      <c r="AJ607" s="7">
        <f t="shared" ca="1" si="129"/>
        <v>1</v>
      </c>
      <c r="AK607" s="96">
        <f t="shared" si="130"/>
        <v>3.699450857490631E-3</v>
      </c>
      <c r="AL607" s="97">
        <f t="shared" si="131"/>
        <v>1.3184876819779166E-2</v>
      </c>
    </row>
    <row r="608" spans="1:38" x14ac:dyDescent="0.3">
      <c r="A608" s="7" t="s">
        <v>2180</v>
      </c>
      <c r="B608" s="7" t="s">
        <v>1768</v>
      </c>
      <c r="C608" s="7" t="s">
        <v>1323</v>
      </c>
      <c r="D608" s="7" t="s">
        <v>1324</v>
      </c>
      <c r="E608" s="7" t="s">
        <v>1322</v>
      </c>
      <c r="F608" s="36">
        <v>44449</v>
      </c>
      <c r="G608" s="36">
        <v>45300</v>
      </c>
      <c r="H608" s="36">
        <v>45300</v>
      </c>
      <c r="I608" s="36">
        <v>46031</v>
      </c>
      <c r="J608" s="7" t="s">
        <v>1696</v>
      </c>
      <c r="K608" s="8">
        <v>0</v>
      </c>
      <c r="L608" s="8">
        <v>0</v>
      </c>
      <c r="M608" s="8">
        <v>88271.705879999994</v>
      </c>
      <c r="N608" s="8">
        <v>0</v>
      </c>
      <c r="O608" s="8">
        <v>0</v>
      </c>
      <c r="P608" s="8">
        <v>-20000</v>
      </c>
      <c r="Q608" s="8">
        <v>0</v>
      </c>
      <c r="R608" s="8">
        <f t="shared" si="128"/>
        <v>68271.705879999994</v>
      </c>
      <c r="S608" s="8">
        <v>0</v>
      </c>
      <c r="T608" s="8">
        <v>0</v>
      </c>
      <c r="U608" s="8">
        <v>110300</v>
      </c>
      <c r="V608" s="8">
        <v>0</v>
      </c>
      <c r="W608" s="8">
        <v>-20000</v>
      </c>
      <c r="X608" s="8">
        <v>0</v>
      </c>
      <c r="Y608" s="8">
        <v>445668.26211399998</v>
      </c>
      <c r="Z608" s="8">
        <v>0</v>
      </c>
      <c r="AA608" s="7">
        <v>3.0273970000000001</v>
      </c>
      <c r="AB608" s="8">
        <v>346628.54234400002</v>
      </c>
      <c r="AC608" s="7">
        <v>2.64</v>
      </c>
      <c r="AD608" s="7" t="s">
        <v>1226</v>
      </c>
      <c r="AE608" s="8">
        <v>360500</v>
      </c>
      <c r="AF608" s="8">
        <v>0</v>
      </c>
      <c r="AG608" s="8">
        <v>360500</v>
      </c>
      <c r="AH608" s="8">
        <v>0</v>
      </c>
      <c r="AI608" s="7" t="s">
        <v>1758</v>
      </c>
      <c r="AJ608" s="7">
        <f t="shared" ca="1" si="129"/>
        <v>1</v>
      </c>
      <c r="AK608" s="96">
        <f t="shared" ref="AK608:AK617" si="138">(+AA608*AB608)/$AB$1102</f>
        <v>9.1970375998372917E-4</v>
      </c>
      <c r="AL608" s="97">
        <f t="shared" ref="AL608:AL617" si="139">AC608/$AE$1102*AE608</f>
        <v>8.143495707074904E-4</v>
      </c>
    </row>
    <row r="609" spans="1:38" x14ac:dyDescent="0.3">
      <c r="A609" s="7" t="s">
        <v>2181</v>
      </c>
      <c r="B609" s="7" t="s">
        <v>1768</v>
      </c>
      <c r="C609" s="7" t="s">
        <v>1323</v>
      </c>
      <c r="D609" s="7" t="s">
        <v>1324</v>
      </c>
      <c r="E609" s="7" t="s">
        <v>1322</v>
      </c>
      <c r="F609" s="36">
        <v>44449</v>
      </c>
      <c r="G609" s="36">
        <v>45300</v>
      </c>
      <c r="H609" s="36">
        <v>45300</v>
      </c>
      <c r="I609" s="36">
        <v>46031</v>
      </c>
      <c r="J609" s="7" t="s">
        <v>1696</v>
      </c>
      <c r="K609" s="8">
        <v>0</v>
      </c>
      <c r="L609" s="8">
        <v>0</v>
      </c>
      <c r="M609" s="8">
        <v>88271.705879999994</v>
      </c>
      <c r="N609" s="8">
        <v>0</v>
      </c>
      <c r="O609" s="8">
        <v>0</v>
      </c>
      <c r="P609" s="8">
        <v>0</v>
      </c>
      <c r="Q609" s="8">
        <v>0</v>
      </c>
      <c r="R609" s="8">
        <f t="shared" si="128"/>
        <v>88271.705879999994</v>
      </c>
      <c r="S609" s="8">
        <v>0</v>
      </c>
      <c r="T609" s="8">
        <v>0</v>
      </c>
      <c r="U609" s="8">
        <v>110300</v>
      </c>
      <c r="V609" s="8">
        <v>0</v>
      </c>
      <c r="W609" s="8">
        <v>0</v>
      </c>
      <c r="X609" s="8">
        <v>0</v>
      </c>
      <c r="Y609" s="8">
        <v>445668.26211399998</v>
      </c>
      <c r="Z609" s="8">
        <v>0</v>
      </c>
      <c r="AA609" s="7">
        <v>3.0273970000000001</v>
      </c>
      <c r="AB609" s="8">
        <v>346628.54234400002</v>
      </c>
      <c r="AC609" s="7">
        <v>2.64</v>
      </c>
      <c r="AD609" s="7" t="s">
        <v>1226</v>
      </c>
      <c r="AE609" s="8">
        <v>360500</v>
      </c>
      <c r="AF609" s="8">
        <v>0</v>
      </c>
      <c r="AG609" s="8">
        <v>360500</v>
      </c>
      <c r="AH609" s="8">
        <v>0</v>
      </c>
      <c r="AI609" s="7" t="s">
        <v>1758</v>
      </c>
      <c r="AJ609" s="7">
        <f t="shared" ca="1" si="129"/>
        <v>1</v>
      </c>
      <c r="AK609" s="96">
        <f t="shared" si="138"/>
        <v>9.1970375998372917E-4</v>
      </c>
      <c r="AL609" s="97">
        <f t="shared" si="139"/>
        <v>8.143495707074904E-4</v>
      </c>
    </row>
    <row r="610" spans="1:38" x14ac:dyDescent="0.3">
      <c r="A610" s="7" t="s">
        <v>2182</v>
      </c>
      <c r="B610" s="7" t="s">
        <v>1320</v>
      </c>
      <c r="C610" s="7" t="s">
        <v>1769</v>
      </c>
      <c r="D610" s="7" t="s">
        <v>1770</v>
      </c>
      <c r="E610" s="7" t="s">
        <v>1322</v>
      </c>
      <c r="F610" s="36">
        <v>42370</v>
      </c>
      <c r="G610" s="36">
        <v>45291</v>
      </c>
      <c r="H610" s="36">
        <v>45291</v>
      </c>
      <c r="I610" s="36">
        <v>45657</v>
      </c>
      <c r="J610" s="7" t="s">
        <v>1696</v>
      </c>
      <c r="K610" s="8">
        <v>0</v>
      </c>
      <c r="L610" s="8">
        <v>0</v>
      </c>
      <c r="M610" s="8">
        <v>3123079.1233040001</v>
      </c>
      <c r="N610" s="8">
        <v>0</v>
      </c>
      <c r="O610" s="8">
        <v>0</v>
      </c>
      <c r="P610" s="8">
        <v>0</v>
      </c>
      <c r="Q610" s="8">
        <v>0</v>
      </c>
      <c r="R610" s="8">
        <f t="shared" si="128"/>
        <v>3123079.1233040001</v>
      </c>
      <c r="S610" s="8">
        <v>0</v>
      </c>
      <c r="T610" s="8">
        <v>0</v>
      </c>
      <c r="U610" s="8">
        <v>3069410.88</v>
      </c>
      <c r="V610" s="8">
        <v>0</v>
      </c>
      <c r="W610" s="8">
        <v>0</v>
      </c>
      <c r="X610" s="8">
        <v>0</v>
      </c>
      <c r="Y610" s="8">
        <v>3640299.1187900002</v>
      </c>
      <c r="Z610" s="8">
        <v>0</v>
      </c>
      <c r="AA610" s="7">
        <v>2.0027400000000002</v>
      </c>
      <c r="AB610" s="8">
        <v>926494.56209400005</v>
      </c>
      <c r="AC610" s="7">
        <v>2.181667</v>
      </c>
      <c r="AD610" s="7" t="s">
        <v>1226</v>
      </c>
      <c r="AE610" s="8">
        <v>945976.56</v>
      </c>
      <c r="AF610" s="8">
        <v>0</v>
      </c>
      <c r="AG610" s="8">
        <v>945976.56</v>
      </c>
      <c r="AH610" s="8">
        <v>0</v>
      </c>
      <c r="AI610" s="7" t="s">
        <v>1758</v>
      </c>
      <c r="AJ610" s="7">
        <f t="shared" ca="1" si="129"/>
        <v>1</v>
      </c>
      <c r="AK610" s="96">
        <f t="shared" si="138"/>
        <v>1.6262290376292793E-3</v>
      </c>
      <c r="AL610" s="97">
        <f t="shared" si="139"/>
        <v>1.7659179200410699E-3</v>
      </c>
    </row>
    <row r="611" spans="1:38" x14ac:dyDescent="0.3">
      <c r="A611" s="7" t="s">
        <v>2183</v>
      </c>
      <c r="B611" s="7" t="s">
        <v>194</v>
      </c>
      <c r="C611" s="7" t="s">
        <v>1769</v>
      </c>
      <c r="D611" s="7" t="s">
        <v>1770</v>
      </c>
      <c r="E611" s="7" t="s">
        <v>1322</v>
      </c>
      <c r="F611" s="36">
        <v>42370</v>
      </c>
      <c r="G611" s="36">
        <v>45291</v>
      </c>
      <c r="H611" s="36">
        <v>45291</v>
      </c>
      <c r="I611" s="36">
        <v>45657</v>
      </c>
      <c r="J611" s="7" t="s">
        <v>1696</v>
      </c>
      <c r="K611" s="8">
        <v>0</v>
      </c>
      <c r="L611" s="8">
        <v>0</v>
      </c>
      <c r="M611" s="8">
        <v>3123079.1233040001</v>
      </c>
      <c r="N611" s="8">
        <v>0</v>
      </c>
      <c r="O611" s="8">
        <v>0</v>
      </c>
      <c r="P611" s="8">
        <v>0</v>
      </c>
      <c r="Q611" s="8">
        <v>0</v>
      </c>
      <c r="R611" s="8">
        <f t="shared" si="128"/>
        <v>3123079.1233040001</v>
      </c>
      <c r="S611" s="8">
        <v>0</v>
      </c>
      <c r="T611" s="8">
        <v>0</v>
      </c>
      <c r="U611" s="8">
        <v>3069410.88</v>
      </c>
      <c r="V611" s="8">
        <v>0</v>
      </c>
      <c r="W611" s="8">
        <v>0</v>
      </c>
      <c r="X611" s="8">
        <v>0</v>
      </c>
      <c r="Y611" s="8">
        <v>3640299.1187900002</v>
      </c>
      <c r="Z611" s="8">
        <v>0</v>
      </c>
      <c r="AA611" s="7">
        <v>2.0027400000000002</v>
      </c>
      <c r="AB611" s="8">
        <v>926494.56209400005</v>
      </c>
      <c r="AC611" s="7">
        <v>2.181667</v>
      </c>
      <c r="AD611" s="7" t="s">
        <v>1226</v>
      </c>
      <c r="AE611" s="8">
        <v>945976.56</v>
      </c>
      <c r="AF611" s="8">
        <v>0</v>
      </c>
      <c r="AG611" s="8">
        <v>945976.56</v>
      </c>
      <c r="AH611" s="8">
        <v>0</v>
      </c>
      <c r="AI611" s="7" t="s">
        <v>1758</v>
      </c>
      <c r="AJ611" s="7">
        <f t="shared" ca="1" si="129"/>
        <v>1</v>
      </c>
      <c r="AK611" s="96">
        <f t="shared" si="138"/>
        <v>1.6262290376292793E-3</v>
      </c>
      <c r="AL611" s="97">
        <f t="shared" si="139"/>
        <v>1.7659179200410699E-3</v>
      </c>
    </row>
    <row r="612" spans="1:38" x14ac:dyDescent="0.3">
      <c r="A612" s="7" t="s">
        <v>2184</v>
      </c>
      <c r="B612" s="7" t="s">
        <v>194</v>
      </c>
      <c r="C612" s="7" t="s">
        <v>1769</v>
      </c>
      <c r="D612" s="7" t="s">
        <v>1770</v>
      </c>
      <c r="E612" s="7" t="s">
        <v>1322</v>
      </c>
      <c r="F612" s="36">
        <v>42370</v>
      </c>
      <c r="G612" s="36">
        <v>45291</v>
      </c>
      <c r="H612" s="36">
        <v>45291</v>
      </c>
      <c r="I612" s="36">
        <v>45657</v>
      </c>
      <c r="J612" s="7" t="s">
        <v>1696</v>
      </c>
      <c r="K612" s="8">
        <v>0</v>
      </c>
      <c r="L612" s="8">
        <v>0</v>
      </c>
      <c r="M612" s="8">
        <v>3123079.1233040001</v>
      </c>
      <c r="N612" s="8">
        <v>0</v>
      </c>
      <c r="O612" s="8">
        <v>0</v>
      </c>
      <c r="P612" s="8">
        <v>0</v>
      </c>
      <c r="Q612" s="8">
        <v>0</v>
      </c>
      <c r="R612" s="8">
        <f t="shared" si="128"/>
        <v>3123079.1233040001</v>
      </c>
      <c r="S612" s="8">
        <v>0</v>
      </c>
      <c r="T612" s="8">
        <v>0</v>
      </c>
      <c r="U612" s="8">
        <v>3069410.88</v>
      </c>
      <c r="V612" s="8">
        <v>0</v>
      </c>
      <c r="W612" s="8">
        <v>0</v>
      </c>
      <c r="X612" s="8">
        <v>0</v>
      </c>
      <c r="Y612" s="8">
        <v>3640299.1187900002</v>
      </c>
      <c r="Z612" s="8">
        <v>0</v>
      </c>
      <c r="AA612" s="7">
        <v>2.0027400000000002</v>
      </c>
      <c r="AB612" s="8">
        <v>926494.56209400005</v>
      </c>
      <c r="AC612" s="7">
        <v>2.181667</v>
      </c>
      <c r="AD612" s="7" t="s">
        <v>1226</v>
      </c>
      <c r="AE612" s="8">
        <v>945976.56</v>
      </c>
      <c r="AF612" s="8">
        <v>0</v>
      </c>
      <c r="AG612" s="8">
        <v>945976.56</v>
      </c>
      <c r="AH612" s="8">
        <v>0</v>
      </c>
      <c r="AI612" s="7" t="s">
        <v>1758</v>
      </c>
      <c r="AJ612" s="7">
        <f t="shared" ca="1" si="129"/>
        <v>1</v>
      </c>
      <c r="AK612" s="96">
        <f t="shared" si="138"/>
        <v>1.6262290376292793E-3</v>
      </c>
      <c r="AL612" s="97">
        <f t="shared" si="139"/>
        <v>1.7659179200410699E-3</v>
      </c>
    </row>
    <row r="613" spans="1:38" x14ac:dyDescent="0.3">
      <c r="A613" s="7" t="s">
        <v>2185</v>
      </c>
      <c r="B613" s="7" t="s">
        <v>194</v>
      </c>
      <c r="C613" s="7" t="s">
        <v>1769</v>
      </c>
      <c r="D613" s="7" t="s">
        <v>1770</v>
      </c>
      <c r="E613" s="7" t="s">
        <v>1733</v>
      </c>
      <c r="F613" s="36">
        <v>42370</v>
      </c>
      <c r="G613" s="36">
        <v>45291</v>
      </c>
      <c r="H613" s="36">
        <v>45291</v>
      </c>
      <c r="I613" s="36">
        <v>45657</v>
      </c>
      <c r="J613" s="7" t="s">
        <v>1696</v>
      </c>
      <c r="K613" s="8">
        <v>0</v>
      </c>
      <c r="L613" s="8">
        <v>0</v>
      </c>
      <c r="M613" s="8">
        <v>3123079.1233040001</v>
      </c>
      <c r="N613" s="8">
        <v>0</v>
      </c>
      <c r="O613" s="8">
        <v>0</v>
      </c>
      <c r="P613" s="8">
        <v>0</v>
      </c>
      <c r="Q613" s="8">
        <v>0</v>
      </c>
      <c r="R613" s="8">
        <f t="shared" si="128"/>
        <v>3123079.1233040001</v>
      </c>
      <c r="S613" s="8">
        <v>0</v>
      </c>
      <c r="T613" s="8">
        <v>0</v>
      </c>
      <c r="U613" s="8">
        <v>3069410.88</v>
      </c>
      <c r="V613" s="8">
        <v>0</v>
      </c>
      <c r="W613" s="8">
        <v>0</v>
      </c>
      <c r="X613" s="8">
        <v>0</v>
      </c>
      <c r="Y613" s="8">
        <v>3640299.1187900002</v>
      </c>
      <c r="Z613" s="8">
        <v>0</v>
      </c>
      <c r="AA613" s="7">
        <v>2.0027400000000002</v>
      </c>
      <c r="AB613" s="8">
        <v>926494.56209400005</v>
      </c>
      <c r="AC613" s="7">
        <v>2.181667</v>
      </c>
      <c r="AD613" s="7" t="s">
        <v>1226</v>
      </c>
      <c r="AE613" s="8">
        <v>945976.56</v>
      </c>
      <c r="AF613" s="8">
        <v>0</v>
      </c>
      <c r="AG613" s="8">
        <v>945976.56</v>
      </c>
      <c r="AH613" s="8">
        <v>0</v>
      </c>
      <c r="AI613" s="7" t="s">
        <v>1758</v>
      </c>
      <c r="AJ613" s="7">
        <f t="shared" ca="1" si="129"/>
        <v>1</v>
      </c>
      <c r="AK613" s="96">
        <f t="shared" si="138"/>
        <v>1.6262290376292793E-3</v>
      </c>
      <c r="AL613" s="97">
        <f t="shared" si="139"/>
        <v>1.7659179200410699E-3</v>
      </c>
    </row>
    <row r="614" spans="1:38" x14ac:dyDescent="0.3">
      <c r="A614" s="7" t="s">
        <v>2186</v>
      </c>
      <c r="B614" s="7" t="s">
        <v>1320</v>
      </c>
      <c r="C614" s="7" t="s">
        <v>1323</v>
      </c>
      <c r="D614" s="7" t="s">
        <v>1324</v>
      </c>
      <c r="E614" s="7" t="s">
        <v>1322</v>
      </c>
      <c r="F614" s="36">
        <v>44440</v>
      </c>
      <c r="G614" s="36">
        <v>45535</v>
      </c>
      <c r="H614" s="36">
        <v>45535</v>
      </c>
      <c r="I614" s="36">
        <v>45535</v>
      </c>
      <c r="J614" s="7" t="s">
        <v>1696</v>
      </c>
      <c r="K614" s="8">
        <v>0</v>
      </c>
      <c r="L614" s="8">
        <v>0</v>
      </c>
      <c r="M614" s="8">
        <v>888883.19999999995</v>
      </c>
      <c r="N614" s="8">
        <v>0</v>
      </c>
      <c r="O614" s="8">
        <v>0</v>
      </c>
      <c r="P614" s="8">
        <v>0</v>
      </c>
      <c r="Q614" s="8">
        <v>0</v>
      </c>
      <c r="R614" s="8">
        <f t="shared" si="128"/>
        <v>888883.19999999995</v>
      </c>
      <c r="S614" s="8">
        <v>0</v>
      </c>
      <c r="T614" s="8">
        <v>0</v>
      </c>
      <c r="U614" s="8">
        <v>888883.19999999995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7">
        <v>1.668493</v>
      </c>
      <c r="AB614" s="8">
        <v>1446894.4068179999</v>
      </c>
      <c r="AC614" s="7">
        <v>3</v>
      </c>
      <c r="AD614" s="7" t="s">
        <v>1226</v>
      </c>
      <c r="AE614" s="8">
        <v>1481472</v>
      </c>
      <c r="AF614" s="8">
        <v>0</v>
      </c>
      <c r="AG614" s="8">
        <v>1481472</v>
      </c>
      <c r="AH614" s="8">
        <v>0</v>
      </c>
      <c r="AI614" s="7" t="s">
        <v>1758</v>
      </c>
      <c r="AJ614" s="7">
        <f t="shared" ca="1" si="129"/>
        <v>1</v>
      </c>
      <c r="AK614" s="96">
        <f t="shared" si="138"/>
        <v>2.1158042818137032E-3</v>
      </c>
      <c r="AL614" s="97">
        <f t="shared" si="139"/>
        <v>3.8029128962777932E-3</v>
      </c>
    </row>
    <row r="615" spans="1:38" x14ac:dyDescent="0.3">
      <c r="A615" s="7" t="s">
        <v>2187</v>
      </c>
      <c r="B615" s="7" t="s">
        <v>1320</v>
      </c>
      <c r="C615" s="7" t="s">
        <v>1323</v>
      </c>
      <c r="D615" s="7" t="s">
        <v>1324</v>
      </c>
      <c r="E615" s="7" t="s">
        <v>1322</v>
      </c>
      <c r="F615" s="36">
        <v>43891</v>
      </c>
      <c r="G615" s="36">
        <v>45716</v>
      </c>
      <c r="H615" s="36">
        <v>45716</v>
      </c>
      <c r="I615" s="36">
        <v>45716</v>
      </c>
      <c r="J615" s="7" t="s">
        <v>1696</v>
      </c>
      <c r="K615" s="8">
        <v>0</v>
      </c>
      <c r="L615" s="8">
        <v>0</v>
      </c>
      <c r="M615" s="8">
        <v>24097766.899542</v>
      </c>
      <c r="N615" s="8">
        <v>0</v>
      </c>
      <c r="O615" s="8">
        <v>0</v>
      </c>
      <c r="P615" s="8">
        <v>0</v>
      </c>
      <c r="Q615" s="8">
        <v>0</v>
      </c>
      <c r="R615" s="8">
        <f t="shared" si="128"/>
        <v>24097766.899542</v>
      </c>
      <c r="S615" s="8">
        <v>0</v>
      </c>
      <c r="T615" s="8">
        <v>0</v>
      </c>
      <c r="U615" s="8">
        <v>24097766.899999999</v>
      </c>
      <c r="V615" s="8">
        <v>0</v>
      </c>
      <c r="W615" s="8">
        <v>0</v>
      </c>
      <c r="X615" s="8">
        <v>0</v>
      </c>
      <c r="Y615" s="8">
        <v>36002480.826550998</v>
      </c>
      <c r="Z615" s="8">
        <v>0</v>
      </c>
      <c r="AA615" s="7">
        <v>2.1643840000000001</v>
      </c>
      <c r="AB615" s="8">
        <v>17151775.056093</v>
      </c>
      <c r="AC615" s="7">
        <v>7</v>
      </c>
      <c r="AD615" s="7" t="s">
        <v>1226</v>
      </c>
      <c r="AE615" s="8">
        <v>18427704.100000001</v>
      </c>
      <c r="AF615" s="8">
        <v>0</v>
      </c>
      <c r="AG615" s="8">
        <v>18427704.100000001</v>
      </c>
      <c r="AH615" s="8">
        <v>0</v>
      </c>
      <c r="AI615" s="7" t="s">
        <v>1758</v>
      </c>
      <c r="AJ615" s="7">
        <f t="shared" ca="1" si="129"/>
        <v>1</v>
      </c>
      <c r="AK615" s="96">
        <f t="shared" si="138"/>
        <v>3.2535512491972264E-2</v>
      </c>
      <c r="AL615" s="97">
        <f t="shared" si="139"/>
        <v>0.1103750582741958</v>
      </c>
    </row>
    <row r="616" spans="1:38" x14ac:dyDescent="0.3">
      <c r="A616" s="7" t="s">
        <v>2188</v>
      </c>
      <c r="B616" s="7" t="s">
        <v>194</v>
      </c>
      <c r="C616" s="7" t="s">
        <v>1769</v>
      </c>
      <c r="D616" s="7" t="s">
        <v>2189</v>
      </c>
      <c r="E616" s="7" t="s">
        <v>1322</v>
      </c>
      <c r="F616" s="36">
        <v>43556</v>
      </c>
      <c r="G616" s="36">
        <v>45747</v>
      </c>
      <c r="H616" s="36">
        <v>45747</v>
      </c>
      <c r="I616" s="36">
        <v>45747</v>
      </c>
      <c r="J616" s="7" t="s">
        <v>1696</v>
      </c>
      <c r="K616" s="8">
        <v>0</v>
      </c>
      <c r="L616" s="8">
        <v>0</v>
      </c>
      <c r="M616" s="8">
        <v>152999.99560900001</v>
      </c>
      <c r="N616" s="8">
        <v>0</v>
      </c>
      <c r="O616" s="8">
        <v>0</v>
      </c>
      <c r="P616" s="8">
        <v>0</v>
      </c>
      <c r="Q616" s="8">
        <v>0</v>
      </c>
      <c r="R616" s="8">
        <f t="shared" si="128"/>
        <v>152999.99560900001</v>
      </c>
      <c r="S616" s="8">
        <v>0</v>
      </c>
      <c r="T616" s="8">
        <v>0</v>
      </c>
      <c r="U616" s="8">
        <v>153000</v>
      </c>
      <c r="V616" s="8">
        <v>0</v>
      </c>
      <c r="W616" s="8">
        <v>0</v>
      </c>
      <c r="X616" s="8">
        <v>0</v>
      </c>
      <c r="Y616" s="8">
        <v>228772.499663</v>
      </c>
      <c r="Z616" s="8">
        <v>0</v>
      </c>
      <c r="AA616" s="7">
        <v>2.2493150000000002</v>
      </c>
      <c r="AB616" s="8">
        <v>89535.415271999998</v>
      </c>
      <c r="AC616" s="7">
        <v>2.318333</v>
      </c>
      <c r="AD616" s="7" t="s">
        <v>1226</v>
      </c>
      <c r="AE616" s="8">
        <v>91800</v>
      </c>
      <c r="AF616" s="8">
        <v>0</v>
      </c>
      <c r="AG616" s="8">
        <v>91800</v>
      </c>
      <c r="AH616" s="8">
        <v>0</v>
      </c>
      <c r="AI616" s="7" t="s">
        <v>1758</v>
      </c>
      <c r="AJ616" s="7">
        <f t="shared" ca="1" si="129"/>
        <v>1</v>
      </c>
      <c r="AK616" s="96">
        <f t="shared" si="138"/>
        <v>1.7650596893988119E-4</v>
      </c>
      <c r="AL616" s="97">
        <f t="shared" si="139"/>
        <v>1.8210428883241221E-4</v>
      </c>
    </row>
    <row r="617" spans="1:38" x14ac:dyDescent="0.3">
      <c r="A617" s="7" t="s">
        <v>2190</v>
      </c>
      <c r="B617" s="7" t="s">
        <v>1320</v>
      </c>
      <c r="D617" s="7" t="s">
        <v>2191</v>
      </c>
      <c r="E617" s="7" t="s">
        <v>1695</v>
      </c>
      <c r="F617" s="36">
        <v>42515</v>
      </c>
      <c r="G617" s="36">
        <v>43609</v>
      </c>
      <c r="H617" s="36">
        <v>44895</v>
      </c>
      <c r="I617" s="36">
        <v>44895</v>
      </c>
      <c r="J617" s="7" t="s">
        <v>1696</v>
      </c>
      <c r="K617" s="8">
        <v>0</v>
      </c>
      <c r="L617" s="8">
        <v>0</v>
      </c>
      <c r="M617" s="8">
        <v>988683.04000072146</v>
      </c>
      <c r="N617" s="8">
        <v>0</v>
      </c>
      <c r="O617" s="8">
        <v>0</v>
      </c>
      <c r="P617" s="8">
        <v>0</v>
      </c>
      <c r="Q617" s="8">
        <v>0</v>
      </c>
      <c r="R617" s="8">
        <f t="shared" si="128"/>
        <v>988683.04000072146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1794840.5095361029</v>
      </c>
      <c r="AA617" s="7">
        <v>0</v>
      </c>
      <c r="AB617" s="8">
        <v>0</v>
      </c>
      <c r="AC617" s="7">
        <v>2.0299999999999998</v>
      </c>
      <c r="AD617" s="7" t="s">
        <v>1226</v>
      </c>
      <c r="AE617" s="8">
        <v>0</v>
      </c>
      <c r="AF617" s="8">
        <v>0</v>
      </c>
      <c r="AG617" s="8">
        <v>0</v>
      </c>
      <c r="AH617" s="8">
        <v>0</v>
      </c>
      <c r="AI617" s="7" t="s">
        <v>1877</v>
      </c>
      <c r="AJ617" s="7">
        <f t="shared" ca="1" si="129"/>
        <v>1</v>
      </c>
      <c r="AK617" s="96">
        <f t="shared" si="138"/>
        <v>0</v>
      </c>
      <c r="AL617" s="97">
        <f t="shared" si="139"/>
        <v>0</v>
      </c>
    </row>
    <row r="618" spans="1:38" x14ac:dyDescent="0.3">
      <c r="A618" s="7" t="s">
        <v>2190</v>
      </c>
      <c r="B618" s="7" t="s">
        <v>1320</v>
      </c>
      <c r="D618" s="7" t="s">
        <v>2191</v>
      </c>
      <c r="E618" s="7" t="s">
        <v>1695</v>
      </c>
      <c r="F618" s="36">
        <v>42515</v>
      </c>
      <c r="G618" s="36">
        <v>43609</v>
      </c>
      <c r="H618" s="36">
        <v>44895</v>
      </c>
      <c r="I618" s="36">
        <v>44895</v>
      </c>
      <c r="J618" s="7" t="s">
        <v>1699</v>
      </c>
      <c r="K618" s="8">
        <v>0</v>
      </c>
      <c r="L618" s="8">
        <v>0</v>
      </c>
      <c r="M618" s="8">
        <v>0</v>
      </c>
      <c r="N618" s="8">
        <v>-501839.99924014317</v>
      </c>
      <c r="O618" s="8">
        <v>0</v>
      </c>
      <c r="P618" s="8">
        <v>0</v>
      </c>
      <c r="Q618" s="8">
        <v>0</v>
      </c>
      <c r="R618" s="8">
        <f t="shared" si="128"/>
        <v>-501839.99924014317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7">
        <v>0</v>
      </c>
      <c r="AB618" s="8">
        <v>0</v>
      </c>
      <c r="AC618" s="7">
        <v>2.0299999999999998</v>
      </c>
      <c r="AD618" s="7" t="s">
        <v>1226</v>
      </c>
      <c r="AE618" s="8">
        <v>0</v>
      </c>
      <c r="AF618" s="8">
        <v>0</v>
      </c>
      <c r="AG618" s="8">
        <v>0</v>
      </c>
      <c r="AH618" s="8">
        <v>0</v>
      </c>
      <c r="AI618" s="7" t="s">
        <v>1877</v>
      </c>
      <c r="AJ618" s="7">
        <f t="shared" ca="1" si="129"/>
        <v>2</v>
      </c>
      <c r="AK618" s="100">
        <f t="shared" ref="AK618:AK621" si="140">(+AA618*AB618)/$AB$1103</f>
        <v>0</v>
      </c>
      <c r="AL618" s="97">
        <f t="shared" ref="AL618:AL621" si="141">AC618/$AE$1103*AE618</f>
        <v>0</v>
      </c>
    </row>
    <row r="619" spans="1:38" x14ac:dyDescent="0.3">
      <c r="A619" s="7" t="s">
        <v>2192</v>
      </c>
      <c r="B619" s="7" t="s">
        <v>1320</v>
      </c>
      <c r="C619" s="7" t="s">
        <v>1769</v>
      </c>
      <c r="D619" s="7" t="s">
        <v>2193</v>
      </c>
      <c r="E619" s="7" t="s">
        <v>1695</v>
      </c>
      <c r="F619" s="36">
        <v>42536</v>
      </c>
      <c r="G619" s="36">
        <v>43630</v>
      </c>
      <c r="H619" s="36">
        <v>44895</v>
      </c>
      <c r="I619" s="36">
        <v>44895</v>
      </c>
      <c r="J619" s="7" t="s">
        <v>1699</v>
      </c>
      <c r="K619" s="8">
        <v>0</v>
      </c>
      <c r="L619" s="8">
        <v>0</v>
      </c>
      <c r="M619" s="8">
        <v>0</v>
      </c>
      <c r="N619" s="8">
        <v>38080.800029999999</v>
      </c>
      <c r="O619" s="8">
        <v>0</v>
      </c>
      <c r="P619" s="8">
        <v>0</v>
      </c>
      <c r="Q619" s="8">
        <v>0</v>
      </c>
      <c r="R619" s="8">
        <f t="shared" si="128"/>
        <v>38080.800029999999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7">
        <v>0</v>
      </c>
      <c r="AB619" s="8">
        <v>0</v>
      </c>
      <c r="AC619" s="7">
        <v>2.0299999999999998</v>
      </c>
      <c r="AD619" s="7" t="s">
        <v>1226</v>
      </c>
      <c r="AE619" s="8">
        <v>0</v>
      </c>
      <c r="AF619" s="8">
        <v>0</v>
      </c>
      <c r="AG619" s="8">
        <v>0</v>
      </c>
      <c r="AH619" s="8">
        <v>0</v>
      </c>
      <c r="AI619" s="7" t="s">
        <v>1730</v>
      </c>
      <c r="AJ619" s="7">
        <f t="shared" ca="1" si="129"/>
        <v>1</v>
      </c>
      <c r="AK619" s="100">
        <f t="shared" si="140"/>
        <v>0</v>
      </c>
      <c r="AL619" s="97">
        <f t="shared" si="141"/>
        <v>0</v>
      </c>
    </row>
    <row r="620" spans="1:38" x14ac:dyDescent="0.3">
      <c r="A620" s="7" t="s">
        <v>2194</v>
      </c>
      <c r="B620" s="7" t="s">
        <v>1320</v>
      </c>
      <c r="D620" s="7" t="s">
        <v>2195</v>
      </c>
      <c r="E620" s="7" t="s">
        <v>1695</v>
      </c>
      <c r="F620" s="36">
        <v>41129</v>
      </c>
      <c r="G620" s="36">
        <v>42954</v>
      </c>
      <c r="H620" s="36">
        <v>44895</v>
      </c>
      <c r="I620" s="36">
        <v>44895</v>
      </c>
      <c r="J620" s="7" t="s">
        <v>1699</v>
      </c>
      <c r="K620" s="8">
        <v>0</v>
      </c>
      <c r="L620" s="8">
        <v>0</v>
      </c>
      <c r="M620" s="8">
        <v>0</v>
      </c>
      <c r="N620" s="8">
        <v>231010.25803203805</v>
      </c>
      <c r="O620" s="8">
        <v>0</v>
      </c>
      <c r="P620" s="8">
        <v>0</v>
      </c>
      <c r="Q620" s="8">
        <v>0</v>
      </c>
      <c r="R620" s="8">
        <f t="shared" si="128"/>
        <v>231010.25803203805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7">
        <v>0</v>
      </c>
      <c r="AB620" s="8">
        <v>0</v>
      </c>
      <c r="AC620" s="7">
        <v>2.181667</v>
      </c>
      <c r="AD620" s="7" t="s">
        <v>1226</v>
      </c>
      <c r="AE620" s="8">
        <v>0</v>
      </c>
      <c r="AF620" s="8">
        <v>0</v>
      </c>
      <c r="AG620" s="8">
        <v>0</v>
      </c>
      <c r="AH620" s="8">
        <v>0</v>
      </c>
      <c r="AI620" s="7" t="s">
        <v>1877</v>
      </c>
      <c r="AJ620" s="7">
        <f t="shared" ca="1" si="129"/>
        <v>1</v>
      </c>
      <c r="AK620" s="100">
        <f t="shared" si="140"/>
        <v>0</v>
      </c>
      <c r="AL620" s="97">
        <f t="shared" si="141"/>
        <v>0</v>
      </c>
    </row>
    <row r="621" spans="1:38" x14ac:dyDescent="0.3">
      <c r="A621" s="7" t="s">
        <v>2196</v>
      </c>
      <c r="B621" s="7" t="s">
        <v>1320</v>
      </c>
      <c r="D621" s="7" t="s">
        <v>1324</v>
      </c>
      <c r="E621" s="7" t="s">
        <v>1695</v>
      </c>
      <c r="F621" s="36">
        <v>42049</v>
      </c>
      <c r="G621" s="36">
        <v>43509</v>
      </c>
      <c r="H621" s="36">
        <v>44895</v>
      </c>
      <c r="I621" s="36">
        <v>44895</v>
      </c>
      <c r="J621" s="7" t="s">
        <v>1699</v>
      </c>
      <c r="K621" s="8">
        <v>0</v>
      </c>
      <c r="L621" s="8">
        <v>0</v>
      </c>
      <c r="M621" s="8">
        <v>0</v>
      </c>
      <c r="N621" s="8">
        <v>-68452.232155022954</v>
      </c>
      <c r="O621" s="8">
        <v>0</v>
      </c>
      <c r="P621" s="8">
        <v>0</v>
      </c>
      <c r="Q621" s="8">
        <v>0</v>
      </c>
      <c r="R621" s="8">
        <f t="shared" si="128"/>
        <v>-68452.232155022954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7">
        <v>0</v>
      </c>
      <c r="AB621" s="8">
        <v>0</v>
      </c>
      <c r="AC621" s="7">
        <v>2.0449999999999999</v>
      </c>
      <c r="AD621" s="7" t="s">
        <v>1226</v>
      </c>
      <c r="AE621" s="8">
        <v>0</v>
      </c>
      <c r="AF621" s="8">
        <v>0</v>
      </c>
      <c r="AG621" s="8">
        <v>0</v>
      </c>
      <c r="AH621" s="8">
        <v>0</v>
      </c>
      <c r="AI621" s="7" t="s">
        <v>1730</v>
      </c>
      <c r="AJ621" s="7">
        <f t="shared" ca="1" si="129"/>
        <v>1</v>
      </c>
      <c r="AK621" s="100">
        <f t="shared" si="140"/>
        <v>0</v>
      </c>
      <c r="AL621" s="97">
        <f t="shared" si="141"/>
        <v>0</v>
      </c>
    </row>
    <row r="622" spans="1:38" x14ac:dyDescent="0.3">
      <c r="A622" s="7" t="s">
        <v>2197</v>
      </c>
      <c r="B622" s="7" t="s">
        <v>1320</v>
      </c>
      <c r="C622" s="7" t="s">
        <v>1769</v>
      </c>
      <c r="D622" s="7" t="s">
        <v>2198</v>
      </c>
      <c r="E622" s="7" t="s">
        <v>1806</v>
      </c>
      <c r="F622" s="36">
        <v>42415</v>
      </c>
      <c r="G622" s="36">
        <v>43510</v>
      </c>
      <c r="H622" s="36">
        <v>43510</v>
      </c>
      <c r="I622" s="36">
        <v>43510</v>
      </c>
      <c r="J622" s="7" t="s">
        <v>1696</v>
      </c>
      <c r="K622" s="8">
        <v>0</v>
      </c>
      <c r="L622" s="8">
        <v>0</v>
      </c>
      <c r="M622" s="8">
        <v>48457.16</v>
      </c>
      <c r="N622" s="8">
        <v>0</v>
      </c>
      <c r="O622" s="8">
        <v>0</v>
      </c>
      <c r="P622" s="8">
        <v>0</v>
      </c>
      <c r="Q622" s="8">
        <v>0</v>
      </c>
      <c r="R622" s="8">
        <f t="shared" si="128"/>
        <v>48457.16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161707.07128400001</v>
      </c>
      <c r="AA622" s="7">
        <v>0</v>
      </c>
      <c r="AB622" s="8">
        <v>0</v>
      </c>
      <c r="AC622" s="7">
        <v>2.0299999999999998</v>
      </c>
      <c r="AD622" s="7" t="s">
        <v>1226</v>
      </c>
      <c r="AE622" s="8">
        <v>0</v>
      </c>
      <c r="AF622" s="8">
        <v>0</v>
      </c>
      <c r="AG622" s="8">
        <v>0</v>
      </c>
      <c r="AH622" s="8">
        <v>0</v>
      </c>
      <c r="AI622" s="7" t="s">
        <v>1730</v>
      </c>
      <c r="AJ622" s="7">
        <f t="shared" ca="1" si="129"/>
        <v>1</v>
      </c>
      <c r="AK622" s="96">
        <f>(+AA622*AB622)/$AB$1102</f>
        <v>0</v>
      </c>
      <c r="AL622" s="97">
        <f>AC622/$AE$1102*AE622</f>
        <v>0</v>
      </c>
    </row>
    <row r="623" spans="1:38" x14ac:dyDescent="0.3">
      <c r="A623" s="7" t="s">
        <v>2199</v>
      </c>
      <c r="B623" s="7" t="s">
        <v>1320</v>
      </c>
      <c r="C623" s="7" t="s">
        <v>1769</v>
      </c>
      <c r="D623" s="7" t="s">
        <v>2200</v>
      </c>
      <c r="E623" s="7" t="s">
        <v>1695</v>
      </c>
      <c r="F623" s="36">
        <v>42078</v>
      </c>
      <c r="G623" s="36">
        <v>43538</v>
      </c>
      <c r="H623" s="36">
        <v>44895</v>
      </c>
      <c r="I623" s="36">
        <v>44895</v>
      </c>
      <c r="J623" s="7" t="s">
        <v>1699</v>
      </c>
      <c r="K623" s="8">
        <v>0</v>
      </c>
      <c r="L623" s="8">
        <v>0</v>
      </c>
      <c r="M623" s="8">
        <v>0</v>
      </c>
      <c r="N623" s="8">
        <v>43544.758049999997</v>
      </c>
      <c r="O623" s="8">
        <v>0</v>
      </c>
      <c r="P623" s="8">
        <v>0</v>
      </c>
      <c r="Q623" s="8">
        <v>0</v>
      </c>
      <c r="R623" s="8">
        <f t="shared" si="128"/>
        <v>43544.758049999997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7">
        <v>0</v>
      </c>
      <c r="AB623" s="8">
        <v>0</v>
      </c>
      <c r="AC623" s="7">
        <v>2.0449999999999999</v>
      </c>
      <c r="AD623" s="7" t="s">
        <v>1226</v>
      </c>
      <c r="AE623" s="8">
        <v>0</v>
      </c>
      <c r="AF623" s="8">
        <v>0</v>
      </c>
      <c r="AG623" s="8">
        <v>0</v>
      </c>
      <c r="AH623" s="8">
        <v>0</v>
      </c>
      <c r="AI623" s="7" t="s">
        <v>1730</v>
      </c>
      <c r="AJ623" s="7">
        <f t="shared" ca="1" si="129"/>
        <v>1</v>
      </c>
      <c r="AK623" s="100">
        <f>(+AA623*AB623)/$AB$1103</f>
        <v>0</v>
      </c>
      <c r="AL623" s="97">
        <f>AC623/$AE$1103*AE623</f>
        <v>0</v>
      </c>
    </row>
    <row r="624" spans="1:38" x14ac:dyDescent="0.3">
      <c r="A624" s="7" t="s">
        <v>2201</v>
      </c>
      <c r="B624" s="7" t="s">
        <v>1320</v>
      </c>
      <c r="D624" s="7" t="s">
        <v>2202</v>
      </c>
      <c r="E624" s="7" t="s">
        <v>1322</v>
      </c>
      <c r="F624" s="36">
        <v>42826</v>
      </c>
      <c r="G624" s="36">
        <v>46477</v>
      </c>
      <c r="H624" s="36">
        <v>46477</v>
      </c>
      <c r="I624" s="36">
        <v>46477</v>
      </c>
      <c r="J624" s="7" t="s">
        <v>1239</v>
      </c>
      <c r="K624" s="8">
        <v>0</v>
      </c>
      <c r="L624" s="8">
        <v>-683946.33817967225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f t="shared" si="128"/>
        <v>-683946.33817967225</v>
      </c>
      <c r="S624" s="8">
        <v>0</v>
      </c>
      <c r="T624" s="8">
        <v>-635579.24725663988</v>
      </c>
      <c r="U624" s="8">
        <v>0</v>
      </c>
      <c r="V624" s="8">
        <v>-1870920.7527470777</v>
      </c>
      <c r="W624" s="8">
        <v>0</v>
      </c>
      <c r="X624" s="8">
        <v>0</v>
      </c>
      <c r="Y624" s="8">
        <v>0</v>
      </c>
      <c r="Z624" s="8">
        <v>0</v>
      </c>
      <c r="AA624" s="7">
        <v>4.2493150000000002</v>
      </c>
      <c r="AB624" s="8">
        <v>13592686.030371238</v>
      </c>
      <c r="AC624" s="7">
        <v>2.0449999999999999</v>
      </c>
      <c r="AD624" s="7" t="s">
        <v>1226</v>
      </c>
      <c r="AE624" s="8">
        <v>14203500.000005523</v>
      </c>
      <c r="AF624" s="8">
        <v>0</v>
      </c>
      <c r="AG624" s="8">
        <v>14203500.000005523</v>
      </c>
      <c r="AH624" s="8">
        <v>0</v>
      </c>
      <c r="AI624" s="7" t="s">
        <v>1758</v>
      </c>
      <c r="AJ624" s="7">
        <f t="shared" ca="1" si="129"/>
        <v>1</v>
      </c>
      <c r="AK624" s="96">
        <f t="shared" si="130"/>
        <v>0.3869339290943507</v>
      </c>
      <c r="AL624" s="97">
        <f t="shared" si="131"/>
        <v>0.18464743595055344</v>
      </c>
    </row>
    <row r="625" spans="1:38" x14ac:dyDescent="0.3">
      <c r="A625" s="7" t="s">
        <v>2203</v>
      </c>
      <c r="B625" s="7" t="s">
        <v>1320</v>
      </c>
      <c r="D625" s="7" t="s">
        <v>1792</v>
      </c>
      <c r="E625" s="7" t="s">
        <v>1695</v>
      </c>
      <c r="F625" s="36">
        <v>42515</v>
      </c>
      <c r="G625" s="36">
        <v>43609</v>
      </c>
      <c r="H625" s="36">
        <v>44895</v>
      </c>
      <c r="I625" s="36">
        <v>44895</v>
      </c>
      <c r="J625" s="7" t="s">
        <v>1696</v>
      </c>
      <c r="K625" s="8">
        <v>0</v>
      </c>
      <c r="L625" s="8">
        <v>0</v>
      </c>
      <c r="M625" s="8">
        <v>988683.04000072146</v>
      </c>
      <c r="N625" s="8">
        <v>0</v>
      </c>
      <c r="O625" s="8">
        <v>0</v>
      </c>
      <c r="P625" s="8">
        <v>0</v>
      </c>
      <c r="Q625" s="8">
        <v>0</v>
      </c>
      <c r="R625" s="8">
        <f t="shared" si="128"/>
        <v>988683.04000072146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1794840.5095361029</v>
      </c>
      <c r="AA625" s="7">
        <v>0</v>
      </c>
      <c r="AB625" s="8">
        <v>0</v>
      </c>
      <c r="AC625" s="7">
        <v>2.0299999999999998</v>
      </c>
      <c r="AD625" s="7" t="s">
        <v>1226</v>
      </c>
      <c r="AE625" s="8">
        <v>0</v>
      </c>
      <c r="AF625" s="8">
        <v>0</v>
      </c>
      <c r="AG625" s="8">
        <v>0</v>
      </c>
      <c r="AH625" s="8">
        <v>0</v>
      </c>
      <c r="AI625" s="7" t="s">
        <v>1877</v>
      </c>
      <c r="AJ625" s="7">
        <f t="shared" ca="1" si="129"/>
        <v>1</v>
      </c>
      <c r="AK625" s="96">
        <f>(+AA625*AB625)/$AB$1102</f>
        <v>0</v>
      </c>
      <c r="AL625" s="97">
        <f>AC625/$AE$1102*AE625</f>
        <v>0</v>
      </c>
    </row>
    <row r="626" spans="1:38" x14ac:dyDescent="0.3">
      <c r="A626" s="7" t="s">
        <v>2203</v>
      </c>
      <c r="B626" s="7" t="s">
        <v>1320</v>
      </c>
      <c r="D626" s="7" t="s">
        <v>1792</v>
      </c>
      <c r="E626" s="7" t="s">
        <v>1695</v>
      </c>
      <c r="F626" s="36">
        <v>42515</v>
      </c>
      <c r="G626" s="36">
        <v>43609</v>
      </c>
      <c r="H626" s="36">
        <v>44895</v>
      </c>
      <c r="I626" s="36">
        <v>44895</v>
      </c>
      <c r="J626" s="7" t="s">
        <v>1699</v>
      </c>
      <c r="K626" s="8">
        <v>0</v>
      </c>
      <c r="L626" s="8">
        <v>0</v>
      </c>
      <c r="M626" s="8">
        <v>0</v>
      </c>
      <c r="N626" s="8">
        <v>-501839.99924014317</v>
      </c>
      <c r="O626" s="8">
        <v>0</v>
      </c>
      <c r="P626" s="8">
        <v>0</v>
      </c>
      <c r="Q626" s="8">
        <v>0</v>
      </c>
      <c r="R626" s="8">
        <f t="shared" si="128"/>
        <v>-501839.99924014317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7">
        <v>0</v>
      </c>
      <c r="AB626" s="8">
        <v>0</v>
      </c>
      <c r="AC626" s="7">
        <v>2.0299999999999998</v>
      </c>
      <c r="AD626" s="7" t="s">
        <v>1226</v>
      </c>
      <c r="AE626" s="8">
        <v>0</v>
      </c>
      <c r="AF626" s="8">
        <v>0</v>
      </c>
      <c r="AG626" s="8">
        <v>0</v>
      </c>
      <c r="AH626" s="8">
        <v>0</v>
      </c>
      <c r="AI626" s="7" t="s">
        <v>1877</v>
      </c>
      <c r="AJ626" s="7">
        <f t="shared" ca="1" si="129"/>
        <v>2</v>
      </c>
      <c r="AK626" s="100">
        <f t="shared" ref="AK626:AK629" si="142">(+AA626*AB626)/$AB$1103</f>
        <v>0</v>
      </c>
      <c r="AL626" s="97">
        <f t="shared" ref="AL626:AL629" si="143">AC626/$AE$1103*AE626</f>
        <v>0</v>
      </c>
    </row>
    <row r="627" spans="1:38" x14ac:dyDescent="0.3">
      <c r="A627" s="7" t="s">
        <v>2204</v>
      </c>
      <c r="B627" s="7" t="s">
        <v>1320</v>
      </c>
      <c r="D627" s="7" t="s">
        <v>2200</v>
      </c>
      <c r="E627" s="7" t="s">
        <v>1695</v>
      </c>
      <c r="F627" s="36">
        <v>42049</v>
      </c>
      <c r="G627" s="36">
        <v>43509</v>
      </c>
      <c r="H627" s="36">
        <v>44895</v>
      </c>
      <c r="I627" s="36">
        <v>44895</v>
      </c>
      <c r="J627" s="7" t="s">
        <v>1699</v>
      </c>
      <c r="K627" s="8">
        <v>0</v>
      </c>
      <c r="L627" s="8">
        <v>0</v>
      </c>
      <c r="M627" s="8">
        <v>0</v>
      </c>
      <c r="N627" s="8">
        <v>-68452.232155022954</v>
      </c>
      <c r="O627" s="8">
        <v>0</v>
      </c>
      <c r="P627" s="8">
        <v>0</v>
      </c>
      <c r="Q627" s="8">
        <v>0</v>
      </c>
      <c r="R627" s="8">
        <f t="shared" si="128"/>
        <v>-68452.232155022954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7">
        <v>0</v>
      </c>
      <c r="AB627" s="8">
        <v>0</v>
      </c>
      <c r="AC627" s="7">
        <v>2.0449999999999999</v>
      </c>
      <c r="AD627" s="7" t="s">
        <v>1226</v>
      </c>
      <c r="AE627" s="8">
        <v>0</v>
      </c>
      <c r="AF627" s="8">
        <v>0</v>
      </c>
      <c r="AG627" s="8">
        <v>0</v>
      </c>
      <c r="AH627" s="8">
        <v>0</v>
      </c>
      <c r="AI627" s="7" t="s">
        <v>1730</v>
      </c>
      <c r="AJ627" s="7">
        <f t="shared" ca="1" si="129"/>
        <v>1</v>
      </c>
      <c r="AK627" s="100">
        <f t="shared" si="142"/>
        <v>0</v>
      </c>
      <c r="AL627" s="97">
        <f t="shared" si="143"/>
        <v>0</v>
      </c>
    </row>
    <row r="628" spans="1:38" x14ac:dyDescent="0.3">
      <c r="A628" s="7" t="s">
        <v>2205</v>
      </c>
      <c r="B628" s="7" t="s">
        <v>1320</v>
      </c>
      <c r="C628" s="7" t="s">
        <v>1769</v>
      </c>
      <c r="D628" s="7" t="s">
        <v>2191</v>
      </c>
      <c r="E628" s="7" t="s">
        <v>1695</v>
      </c>
      <c r="F628" s="36">
        <v>42536</v>
      </c>
      <c r="G628" s="36">
        <v>43630</v>
      </c>
      <c r="H628" s="36">
        <v>44895</v>
      </c>
      <c r="I628" s="36">
        <v>44895</v>
      </c>
      <c r="J628" s="7" t="s">
        <v>1699</v>
      </c>
      <c r="K628" s="8">
        <v>0</v>
      </c>
      <c r="L628" s="8">
        <v>0</v>
      </c>
      <c r="M628" s="8">
        <v>0</v>
      </c>
      <c r="N628" s="8">
        <v>38080.800029999999</v>
      </c>
      <c r="O628" s="8">
        <v>0</v>
      </c>
      <c r="P628" s="8">
        <v>0</v>
      </c>
      <c r="Q628" s="8">
        <v>0</v>
      </c>
      <c r="R628" s="8">
        <f t="shared" si="128"/>
        <v>38080.800029999999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7">
        <v>0</v>
      </c>
      <c r="AB628" s="8">
        <v>0</v>
      </c>
      <c r="AC628" s="7">
        <v>2.0299999999999998</v>
      </c>
      <c r="AD628" s="7" t="s">
        <v>1226</v>
      </c>
      <c r="AE628" s="8">
        <v>0</v>
      </c>
      <c r="AF628" s="8">
        <v>0</v>
      </c>
      <c r="AG628" s="8">
        <v>0</v>
      </c>
      <c r="AH628" s="8">
        <v>0</v>
      </c>
      <c r="AI628" s="7" t="s">
        <v>1730</v>
      </c>
      <c r="AJ628" s="7">
        <f t="shared" ca="1" si="129"/>
        <v>1</v>
      </c>
      <c r="AK628" s="100">
        <f t="shared" si="142"/>
        <v>0</v>
      </c>
      <c r="AL628" s="97">
        <f t="shared" si="143"/>
        <v>0</v>
      </c>
    </row>
    <row r="629" spans="1:38" x14ac:dyDescent="0.3">
      <c r="A629" s="7" t="s">
        <v>2206</v>
      </c>
      <c r="B629" s="7" t="s">
        <v>1320</v>
      </c>
      <c r="D629" s="7" t="s">
        <v>2202</v>
      </c>
      <c r="E629" s="7" t="s">
        <v>1695</v>
      </c>
      <c r="F629" s="36">
        <v>41129</v>
      </c>
      <c r="G629" s="36">
        <v>42954</v>
      </c>
      <c r="H629" s="36">
        <v>44895</v>
      </c>
      <c r="I629" s="36">
        <v>44895</v>
      </c>
      <c r="J629" s="7" t="s">
        <v>1699</v>
      </c>
      <c r="K629" s="8">
        <v>0</v>
      </c>
      <c r="L629" s="8">
        <v>0</v>
      </c>
      <c r="M629" s="8">
        <v>0</v>
      </c>
      <c r="N629" s="8">
        <v>231010.25803203805</v>
      </c>
      <c r="O629" s="8">
        <v>0</v>
      </c>
      <c r="P629" s="8">
        <v>0</v>
      </c>
      <c r="Q629" s="8">
        <v>0</v>
      </c>
      <c r="R629" s="8">
        <f t="shared" si="128"/>
        <v>231010.25803203805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7">
        <v>0</v>
      </c>
      <c r="AB629" s="8">
        <v>0</v>
      </c>
      <c r="AC629" s="7">
        <v>2.181667</v>
      </c>
      <c r="AD629" s="7" t="s">
        <v>1226</v>
      </c>
      <c r="AE629" s="8">
        <v>0</v>
      </c>
      <c r="AF629" s="8">
        <v>0</v>
      </c>
      <c r="AG629" s="8">
        <v>0</v>
      </c>
      <c r="AH629" s="8">
        <v>0</v>
      </c>
      <c r="AI629" s="7" t="s">
        <v>1877</v>
      </c>
      <c r="AJ629" s="7">
        <f t="shared" ca="1" si="129"/>
        <v>1</v>
      </c>
      <c r="AK629" s="100">
        <f t="shared" si="142"/>
        <v>0</v>
      </c>
      <c r="AL629" s="97">
        <f t="shared" si="143"/>
        <v>0</v>
      </c>
    </row>
    <row r="630" spans="1:38" x14ac:dyDescent="0.3">
      <c r="A630" s="7" t="s">
        <v>2207</v>
      </c>
      <c r="B630" s="7" t="s">
        <v>1320</v>
      </c>
      <c r="C630" s="7" t="s">
        <v>1769</v>
      </c>
      <c r="D630" s="7" t="s">
        <v>2202</v>
      </c>
      <c r="E630" s="7" t="s">
        <v>1806</v>
      </c>
      <c r="F630" s="36">
        <v>42415</v>
      </c>
      <c r="G630" s="36">
        <v>43510</v>
      </c>
      <c r="H630" s="36">
        <v>43510</v>
      </c>
      <c r="I630" s="36">
        <v>43510</v>
      </c>
      <c r="J630" s="7" t="s">
        <v>1696</v>
      </c>
      <c r="K630" s="8">
        <v>0</v>
      </c>
      <c r="L630" s="8">
        <v>0</v>
      </c>
      <c r="M630" s="8">
        <v>48457.16</v>
      </c>
      <c r="N630" s="8">
        <v>0</v>
      </c>
      <c r="O630" s="8">
        <v>0</v>
      </c>
      <c r="P630" s="8">
        <v>0</v>
      </c>
      <c r="Q630" s="8">
        <v>0</v>
      </c>
      <c r="R630" s="8">
        <f t="shared" si="128"/>
        <v>48457.16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161707.07128400001</v>
      </c>
      <c r="AA630" s="7">
        <v>0</v>
      </c>
      <c r="AB630" s="8">
        <v>0</v>
      </c>
      <c r="AC630" s="7">
        <v>2.0299999999999998</v>
      </c>
      <c r="AD630" s="7" t="s">
        <v>1226</v>
      </c>
      <c r="AE630" s="8">
        <v>0</v>
      </c>
      <c r="AF630" s="8">
        <v>0</v>
      </c>
      <c r="AG630" s="8">
        <v>0</v>
      </c>
      <c r="AH630" s="8">
        <v>0</v>
      </c>
      <c r="AI630" s="7" t="s">
        <v>1730</v>
      </c>
      <c r="AJ630" s="7">
        <f t="shared" ca="1" si="129"/>
        <v>1</v>
      </c>
      <c r="AK630" s="96">
        <f>(+AA630*AB630)/$AB$1102</f>
        <v>0</v>
      </c>
      <c r="AL630" s="97">
        <f>AC630/$AE$1102*AE630</f>
        <v>0</v>
      </c>
    </row>
    <row r="631" spans="1:38" x14ac:dyDescent="0.3">
      <c r="A631" s="7" t="s">
        <v>2208</v>
      </c>
      <c r="B631" s="7" t="s">
        <v>1320</v>
      </c>
      <c r="C631" s="7" t="s">
        <v>1769</v>
      </c>
      <c r="D631" s="7" t="s">
        <v>2209</v>
      </c>
      <c r="E631" s="7" t="s">
        <v>1695</v>
      </c>
      <c r="F631" s="36">
        <v>42078</v>
      </c>
      <c r="G631" s="36">
        <v>43538</v>
      </c>
      <c r="H631" s="36">
        <v>44895</v>
      </c>
      <c r="I631" s="36">
        <v>44895</v>
      </c>
      <c r="J631" s="7" t="s">
        <v>1699</v>
      </c>
      <c r="K631" s="8">
        <v>0</v>
      </c>
      <c r="L631" s="8">
        <v>0</v>
      </c>
      <c r="M631" s="8">
        <v>0</v>
      </c>
      <c r="N631" s="8">
        <v>43544.758049999997</v>
      </c>
      <c r="O631" s="8">
        <v>0</v>
      </c>
      <c r="P631" s="8">
        <v>0</v>
      </c>
      <c r="Q631" s="8">
        <v>0</v>
      </c>
      <c r="R631" s="8">
        <f t="shared" si="128"/>
        <v>43544.758049999997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7">
        <v>0</v>
      </c>
      <c r="AB631" s="8">
        <v>0</v>
      </c>
      <c r="AC631" s="7">
        <v>2.0449999999999999</v>
      </c>
      <c r="AD631" s="7" t="s">
        <v>1226</v>
      </c>
      <c r="AE631" s="8">
        <v>0</v>
      </c>
      <c r="AF631" s="8">
        <v>0</v>
      </c>
      <c r="AG631" s="8">
        <v>0</v>
      </c>
      <c r="AH631" s="8">
        <v>0</v>
      </c>
      <c r="AI631" s="7" t="s">
        <v>1730</v>
      </c>
      <c r="AJ631" s="7">
        <f t="shared" ca="1" si="129"/>
        <v>1</v>
      </c>
      <c r="AK631" s="100">
        <f>(+AA631*AB631)/$AB$1103</f>
        <v>0</v>
      </c>
      <c r="AL631" s="97">
        <f>AC631/$AE$1103*AE631</f>
        <v>0</v>
      </c>
    </row>
    <row r="632" spans="1:38" x14ac:dyDescent="0.3">
      <c r="A632" s="7" t="s">
        <v>2210</v>
      </c>
      <c r="B632" s="7" t="s">
        <v>1320</v>
      </c>
      <c r="D632" s="7" t="s">
        <v>2195</v>
      </c>
      <c r="E632" s="7" t="s">
        <v>1322</v>
      </c>
      <c r="F632" s="36">
        <v>42826</v>
      </c>
      <c r="G632" s="36">
        <v>46477</v>
      </c>
      <c r="H632" s="36">
        <v>46477</v>
      </c>
      <c r="I632" s="36">
        <v>46477</v>
      </c>
      <c r="J632" s="7" t="s">
        <v>1239</v>
      </c>
      <c r="K632" s="8">
        <v>0</v>
      </c>
      <c r="L632" s="8">
        <v>-25989.960853025546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f t="shared" si="128"/>
        <v>-25989.960853025546</v>
      </c>
      <c r="S632" s="8">
        <v>0</v>
      </c>
      <c r="T632" s="8">
        <v>-24152.011398024315</v>
      </c>
      <c r="U632" s="8">
        <v>0</v>
      </c>
      <c r="V632" s="8">
        <v>-71094.988602116951</v>
      </c>
      <c r="W632" s="8">
        <v>0</v>
      </c>
      <c r="X632" s="8">
        <v>0</v>
      </c>
      <c r="Y632" s="8">
        <v>0</v>
      </c>
      <c r="Z632" s="8">
        <v>0</v>
      </c>
      <c r="AA632" s="7">
        <v>4.2493150000000002</v>
      </c>
      <c r="AB632" s="8">
        <v>516522.06915308506</v>
      </c>
      <c r="AC632" s="7">
        <v>2.0449999999999999</v>
      </c>
      <c r="AD632" s="7" t="s">
        <v>1226</v>
      </c>
      <c r="AE632" s="8">
        <v>539733.0000002099</v>
      </c>
      <c r="AF632" s="8">
        <v>0</v>
      </c>
      <c r="AG632" s="8">
        <v>539733.0000002099</v>
      </c>
      <c r="AH632" s="8">
        <v>0</v>
      </c>
      <c r="AI632" s="7" t="s">
        <v>1758</v>
      </c>
      <c r="AJ632" s="7">
        <f t="shared" ca="1" si="129"/>
        <v>1</v>
      </c>
      <c r="AK632" s="96">
        <f t="shared" si="130"/>
        <v>1.4703489305556233E-2</v>
      </c>
      <c r="AL632" s="97">
        <f t="shared" si="131"/>
        <v>7.0166025661210314E-3</v>
      </c>
    </row>
    <row r="633" spans="1:38" x14ac:dyDescent="0.3">
      <c r="A633" s="7" t="s">
        <v>2211</v>
      </c>
      <c r="B633" s="7" t="s">
        <v>1735</v>
      </c>
      <c r="C633" s="7" t="s">
        <v>1323</v>
      </c>
      <c r="D633" s="7" t="s">
        <v>2202</v>
      </c>
      <c r="E633" s="7" t="s">
        <v>1695</v>
      </c>
      <c r="F633" s="36">
        <v>43617</v>
      </c>
      <c r="G633" s="36">
        <v>44712</v>
      </c>
      <c r="H633" s="36">
        <v>44895</v>
      </c>
      <c r="I633" s="36">
        <v>44895</v>
      </c>
      <c r="J633" s="7" t="s">
        <v>1696</v>
      </c>
      <c r="K633" s="8">
        <v>0</v>
      </c>
      <c r="L633" s="8">
        <v>0</v>
      </c>
      <c r="M633" s="8">
        <v>925.92</v>
      </c>
      <c r="N633" s="8">
        <v>0</v>
      </c>
      <c r="O633" s="8">
        <v>0</v>
      </c>
      <c r="P633" s="8">
        <v>0</v>
      </c>
      <c r="Q633" s="8">
        <v>0</v>
      </c>
      <c r="R633" s="8">
        <f t="shared" si="128"/>
        <v>925.92</v>
      </c>
      <c r="S633" s="8">
        <v>0</v>
      </c>
      <c r="T633" s="8">
        <v>0</v>
      </c>
      <c r="U633" s="8">
        <v>925.92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7">
        <v>0</v>
      </c>
      <c r="AB633" s="8">
        <v>0</v>
      </c>
      <c r="AC633" s="7">
        <v>2.0299999999999998</v>
      </c>
      <c r="AD633" s="7" t="s">
        <v>1226</v>
      </c>
      <c r="AE633" s="8">
        <v>0</v>
      </c>
      <c r="AF633" s="8">
        <v>0</v>
      </c>
      <c r="AG633" s="8">
        <v>0</v>
      </c>
      <c r="AH633" s="8">
        <v>0</v>
      </c>
      <c r="AI633" s="7" t="s">
        <v>1781</v>
      </c>
      <c r="AJ633" s="7">
        <f t="shared" ca="1" si="129"/>
        <v>1</v>
      </c>
      <c r="AK633" s="96">
        <f>(+AA633*AB633)/$AB$1102</f>
        <v>0</v>
      </c>
      <c r="AL633" s="97">
        <f>AC633/$AE$1102*AE633</f>
        <v>0</v>
      </c>
    </row>
    <row r="634" spans="1:38" x14ac:dyDescent="0.3">
      <c r="A634" s="7" t="s">
        <v>2211</v>
      </c>
      <c r="B634" s="7" t="s">
        <v>1735</v>
      </c>
      <c r="C634" s="7" t="s">
        <v>1323</v>
      </c>
      <c r="D634" s="7" t="s">
        <v>2202</v>
      </c>
      <c r="E634" s="7" t="s">
        <v>1695</v>
      </c>
      <c r="F634" s="36">
        <v>43617</v>
      </c>
      <c r="G634" s="36">
        <v>44712</v>
      </c>
      <c r="H634" s="36">
        <v>44895</v>
      </c>
      <c r="I634" s="36">
        <v>44895</v>
      </c>
      <c r="J634" s="7" t="s">
        <v>1699</v>
      </c>
      <c r="K634" s="8">
        <v>0</v>
      </c>
      <c r="L634" s="8">
        <v>0</v>
      </c>
      <c r="M634" s="8">
        <v>0</v>
      </c>
      <c r="N634" s="8">
        <v>1111.104</v>
      </c>
      <c r="O634" s="8">
        <v>0</v>
      </c>
      <c r="P634" s="8">
        <v>0</v>
      </c>
      <c r="Q634" s="8">
        <v>0</v>
      </c>
      <c r="R634" s="8">
        <f t="shared" si="128"/>
        <v>1111.104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7">
        <v>0</v>
      </c>
      <c r="AB634" s="8">
        <v>0</v>
      </c>
      <c r="AC634" s="7">
        <v>2.0299999999999998</v>
      </c>
      <c r="AD634" s="7" t="s">
        <v>1226</v>
      </c>
      <c r="AE634" s="8">
        <v>0</v>
      </c>
      <c r="AF634" s="8">
        <v>0</v>
      </c>
      <c r="AG634" s="8">
        <v>0</v>
      </c>
      <c r="AH634" s="8">
        <v>0</v>
      </c>
      <c r="AI634" s="7" t="s">
        <v>1781</v>
      </c>
      <c r="AJ634" s="7">
        <f t="shared" ca="1" si="129"/>
        <v>2</v>
      </c>
      <c r="AK634" s="100">
        <f>(+AA634*AB634)/$AB$1103</f>
        <v>0</v>
      </c>
      <c r="AL634" s="97">
        <f>AC634/$AE$1103*AE634</f>
        <v>0</v>
      </c>
    </row>
    <row r="635" spans="1:38" x14ac:dyDescent="0.3">
      <c r="A635" s="7" t="s">
        <v>2212</v>
      </c>
      <c r="B635" s="7" t="s">
        <v>1735</v>
      </c>
      <c r="C635" s="7" t="s">
        <v>1323</v>
      </c>
      <c r="D635" s="7" t="s">
        <v>2202</v>
      </c>
      <c r="E635" s="7" t="s">
        <v>1695</v>
      </c>
      <c r="F635" s="36">
        <v>43617</v>
      </c>
      <c r="G635" s="36">
        <v>44712</v>
      </c>
      <c r="H635" s="36">
        <v>44895</v>
      </c>
      <c r="I635" s="36">
        <v>44895</v>
      </c>
      <c r="J635" s="7" t="s">
        <v>1696</v>
      </c>
      <c r="K635" s="8">
        <v>0</v>
      </c>
      <c r="L635" s="8">
        <v>0</v>
      </c>
      <c r="M635" s="8">
        <v>2249.9999640000001</v>
      </c>
      <c r="N635" s="8">
        <v>0</v>
      </c>
      <c r="O635" s="8">
        <v>0</v>
      </c>
      <c r="P635" s="8">
        <v>0</v>
      </c>
      <c r="Q635" s="8">
        <v>0</v>
      </c>
      <c r="R635" s="8">
        <f t="shared" si="128"/>
        <v>2249.9999640000001</v>
      </c>
      <c r="S635" s="8">
        <v>0</v>
      </c>
      <c r="T635" s="8">
        <v>0</v>
      </c>
      <c r="U635" s="8">
        <v>2250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7">
        <v>0</v>
      </c>
      <c r="AB635" s="8">
        <v>0</v>
      </c>
      <c r="AC635" s="7">
        <v>2.0299999999999998</v>
      </c>
      <c r="AD635" s="7" t="s">
        <v>1226</v>
      </c>
      <c r="AE635" s="8">
        <v>0</v>
      </c>
      <c r="AF635" s="8">
        <v>0</v>
      </c>
      <c r="AG635" s="8">
        <v>0</v>
      </c>
      <c r="AH635" s="8">
        <v>0</v>
      </c>
      <c r="AI635" s="7" t="s">
        <v>1781</v>
      </c>
      <c r="AJ635" s="7">
        <f t="shared" ca="1" si="129"/>
        <v>1</v>
      </c>
      <c r="AK635" s="96">
        <f>(+AA635*AB635)/$AB$1102</f>
        <v>0</v>
      </c>
      <c r="AL635" s="97">
        <f>AC635/$AE$1102*AE635</f>
        <v>0</v>
      </c>
    </row>
    <row r="636" spans="1:38" x14ac:dyDescent="0.3">
      <c r="A636" s="7" t="s">
        <v>2212</v>
      </c>
      <c r="B636" s="7" t="s">
        <v>1735</v>
      </c>
      <c r="C636" s="7" t="s">
        <v>1323</v>
      </c>
      <c r="D636" s="7" t="s">
        <v>2202</v>
      </c>
      <c r="E636" s="7" t="s">
        <v>1695</v>
      </c>
      <c r="F636" s="36">
        <v>43617</v>
      </c>
      <c r="G636" s="36">
        <v>44712</v>
      </c>
      <c r="H636" s="36">
        <v>44895</v>
      </c>
      <c r="I636" s="36">
        <v>44895</v>
      </c>
      <c r="J636" s="7" t="s">
        <v>1699</v>
      </c>
      <c r="K636" s="8">
        <v>0</v>
      </c>
      <c r="L636" s="8">
        <v>0</v>
      </c>
      <c r="M636" s="8">
        <v>0</v>
      </c>
      <c r="N636" s="8">
        <v>2700</v>
      </c>
      <c r="O636" s="8">
        <v>0</v>
      </c>
      <c r="P636" s="8">
        <v>0</v>
      </c>
      <c r="Q636" s="8">
        <v>0</v>
      </c>
      <c r="R636" s="8">
        <f t="shared" si="128"/>
        <v>2700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7">
        <v>0</v>
      </c>
      <c r="AB636" s="8">
        <v>0</v>
      </c>
      <c r="AC636" s="7">
        <v>2.0299999999999998</v>
      </c>
      <c r="AD636" s="7" t="s">
        <v>1226</v>
      </c>
      <c r="AE636" s="8">
        <v>0</v>
      </c>
      <c r="AF636" s="8">
        <v>0</v>
      </c>
      <c r="AG636" s="8">
        <v>0</v>
      </c>
      <c r="AH636" s="8">
        <v>0</v>
      </c>
      <c r="AI636" s="7" t="s">
        <v>1781</v>
      </c>
      <c r="AJ636" s="7">
        <f t="shared" ca="1" si="129"/>
        <v>2</v>
      </c>
      <c r="AK636" s="100">
        <f>(+AA636*AB636)/$AB$1103</f>
        <v>0</v>
      </c>
      <c r="AL636" s="97">
        <f>AC636/$AE$1103*AE636</f>
        <v>0</v>
      </c>
    </row>
    <row r="637" spans="1:38" x14ac:dyDescent="0.3">
      <c r="A637" s="7" t="s">
        <v>2213</v>
      </c>
      <c r="B637" s="7" t="s">
        <v>1735</v>
      </c>
      <c r="C637" s="7" t="s">
        <v>1323</v>
      </c>
      <c r="D637" s="7" t="s">
        <v>2202</v>
      </c>
      <c r="E637" s="7" t="s">
        <v>1322</v>
      </c>
      <c r="F637" s="36">
        <v>43617</v>
      </c>
      <c r="G637" s="36">
        <v>47269</v>
      </c>
      <c r="H637" s="36">
        <v>47269</v>
      </c>
      <c r="I637" s="36">
        <v>47269</v>
      </c>
      <c r="J637" s="7" t="s">
        <v>1696</v>
      </c>
      <c r="K637" s="8">
        <v>0</v>
      </c>
      <c r="L637" s="8">
        <v>0</v>
      </c>
      <c r="M637" s="8">
        <v>60000</v>
      </c>
      <c r="N637" s="8">
        <v>0</v>
      </c>
      <c r="O637" s="8">
        <v>0</v>
      </c>
      <c r="P637" s="8">
        <v>0</v>
      </c>
      <c r="Q637" s="8">
        <v>0</v>
      </c>
      <c r="R637" s="8">
        <f t="shared" si="128"/>
        <v>60000</v>
      </c>
      <c r="S637" s="8">
        <v>0</v>
      </c>
      <c r="T637" s="8">
        <v>0</v>
      </c>
      <c r="U637" s="8">
        <v>60000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7">
        <v>6.4191779999999996</v>
      </c>
      <c r="AB637" s="8">
        <v>361136.54512899998</v>
      </c>
      <c r="AC637" s="7">
        <v>2.0449999999999999</v>
      </c>
      <c r="AD637" s="7" t="s">
        <v>1226</v>
      </c>
      <c r="AE637" s="8">
        <v>385000</v>
      </c>
      <c r="AF637" s="8">
        <v>0</v>
      </c>
      <c r="AG637" s="8">
        <v>385000</v>
      </c>
      <c r="AH637" s="8">
        <v>0</v>
      </c>
      <c r="AI637" s="7" t="s">
        <v>1758</v>
      </c>
      <c r="AJ637" s="7">
        <f t="shared" ca="1" si="129"/>
        <v>1</v>
      </c>
      <c r="AK637" s="96">
        <f t="shared" ref="AK637:AK639" si="144">(+AA637*AB637)/$AB$1102</f>
        <v>2.0317259259853126E-3</v>
      </c>
      <c r="AL637" s="97">
        <f t="shared" ref="AL637:AL639" si="145">AC637/$AE$1102*AE637</f>
        <v>6.7368320068641498E-4</v>
      </c>
    </row>
    <row r="638" spans="1:38" x14ac:dyDescent="0.3">
      <c r="A638" s="7" t="s">
        <v>2214</v>
      </c>
      <c r="B638" s="7" t="s">
        <v>1320</v>
      </c>
      <c r="C638" s="7" t="s">
        <v>1432</v>
      </c>
      <c r="D638" s="7" t="s">
        <v>1324</v>
      </c>
      <c r="E638" s="7" t="s">
        <v>1739</v>
      </c>
      <c r="F638" s="36">
        <v>44440</v>
      </c>
      <c r="G638" s="36">
        <v>45535</v>
      </c>
      <c r="I638" s="36">
        <v>45535</v>
      </c>
      <c r="J638" s="7" t="s">
        <v>1696</v>
      </c>
      <c r="K638" s="8">
        <v>0</v>
      </c>
      <c r="L638" s="8">
        <v>0</v>
      </c>
      <c r="M638" s="8">
        <v>51851.526489000003</v>
      </c>
      <c r="N638" s="8">
        <v>0</v>
      </c>
      <c r="O638" s="8">
        <v>0</v>
      </c>
      <c r="P638" s="8">
        <v>0</v>
      </c>
      <c r="Q638" s="8">
        <v>0</v>
      </c>
      <c r="R638" s="8">
        <f t="shared" si="128"/>
        <v>51851.526489000003</v>
      </c>
      <c r="S638" s="8">
        <v>0</v>
      </c>
      <c r="T638" s="8">
        <v>0</v>
      </c>
      <c r="U638" s="8">
        <v>51851.519999999997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7">
        <v>1.668493</v>
      </c>
      <c r="AB638" s="8">
        <v>84402.173731999996</v>
      </c>
      <c r="AC638" s="7">
        <v>3</v>
      </c>
      <c r="AD638" s="7" t="s">
        <v>1226</v>
      </c>
      <c r="AE638" s="8">
        <v>86419.199999999997</v>
      </c>
      <c r="AF638" s="8">
        <v>0</v>
      </c>
      <c r="AG638" s="8">
        <v>86419.199999999997</v>
      </c>
      <c r="AH638" s="8">
        <v>0</v>
      </c>
      <c r="AI638" s="7" t="s">
        <v>1781</v>
      </c>
      <c r="AJ638" s="7">
        <f t="shared" ca="1" si="129"/>
        <v>1</v>
      </c>
      <c r="AK638" s="96">
        <f t="shared" si="144"/>
        <v>1.2342191644052185E-4</v>
      </c>
      <c r="AL638" s="97">
        <f t="shared" si="145"/>
        <v>2.2183658561620459E-4</v>
      </c>
    </row>
    <row r="639" spans="1:38" x14ac:dyDescent="0.3">
      <c r="A639" s="7" t="s">
        <v>2215</v>
      </c>
      <c r="B639" s="7" t="s">
        <v>2216</v>
      </c>
      <c r="C639" s="7" t="s">
        <v>1323</v>
      </c>
      <c r="D639" s="7" t="s">
        <v>1324</v>
      </c>
      <c r="E639" s="7" t="s">
        <v>1322</v>
      </c>
      <c r="F639" s="36">
        <v>44440</v>
      </c>
      <c r="G639" s="36">
        <v>45535</v>
      </c>
      <c r="H639" s="36">
        <v>45535</v>
      </c>
      <c r="I639" s="36">
        <v>45535</v>
      </c>
      <c r="J639" s="7" t="s">
        <v>1696</v>
      </c>
      <c r="K639" s="8">
        <v>0</v>
      </c>
      <c r="L639" s="8">
        <v>0</v>
      </c>
      <c r="M639" s="8">
        <v>4134.5603010000004</v>
      </c>
      <c r="N639" s="8">
        <v>0</v>
      </c>
      <c r="O639" s="8">
        <v>0</v>
      </c>
      <c r="P639" s="8">
        <v>0</v>
      </c>
      <c r="Q639" s="8">
        <v>0</v>
      </c>
      <c r="R639" s="8">
        <f t="shared" si="128"/>
        <v>4134.5603010000004</v>
      </c>
      <c r="S639" s="8">
        <v>0</v>
      </c>
      <c r="T639" s="8">
        <v>0</v>
      </c>
      <c r="U639" s="8">
        <v>3869.12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7">
        <v>1.668493</v>
      </c>
      <c r="AB639" s="8">
        <v>7126.6867759999996</v>
      </c>
      <c r="AC639" s="7">
        <v>3</v>
      </c>
      <c r="AD639" s="7" t="s">
        <v>1226</v>
      </c>
      <c r="AE639" s="8">
        <v>7300</v>
      </c>
      <c r="AF639" s="8">
        <v>0</v>
      </c>
      <c r="AG639" s="8">
        <v>7300</v>
      </c>
      <c r="AH639" s="8">
        <v>0</v>
      </c>
      <c r="AI639" s="7" t="s">
        <v>1781</v>
      </c>
      <c r="AJ639" s="7">
        <f t="shared" ca="1" si="129"/>
        <v>1</v>
      </c>
      <c r="AK639" s="96">
        <f t="shared" si="144"/>
        <v>1.0421406237215893E-5</v>
      </c>
      <c r="AL639" s="97">
        <f t="shared" si="145"/>
        <v>1.873897322583747E-5</v>
      </c>
    </row>
    <row r="640" spans="1:38" x14ac:dyDescent="0.3">
      <c r="A640" s="7" t="s">
        <v>2217</v>
      </c>
      <c r="B640" s="7" t="s">
        <v>1320</v>
      </c>
      <c r="C640" s="7" t="s">
        <v>1323</v>
      </c>
      <c r="D640" s="7" t="s">
        <v>1324</v>
      </c>
      <c r="E640" s="7" t="s">
        <v>1322</v>
      </c>
      <c r="F640" s="36">
        <v>44075</v>
      </c>
      <c r="G640" s="36">
        <v>45169</v>
      </c>
      <c r="H640" s="36">
        <v>45169</v>
      </c>
      <c r="I640" s="36">
        <v>45169</v>
      </c>
      <c r="J640" s="7" t="s">
        <v>1239</v>
      </c>
      <c r="K640" s="8">
        <v>79723.737550000005</v>
      </c>
      <c r="L640" s="8">
        <v>5481.2749009999998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f t="shared" si="128"/>
        <v>85205.012451000002</v>
      </c>
      <c r="S640" s="8">
        <v>0</v>
      </c>
      <c r="T640" s="8">
        <v>3945.3496019999998</v>
      </c>
      <c r="U640" s="8">
        <v>0</v>
      </c>
      <c r="V640" s="8">
        <v>108399.610398</v>
      </c>
      <c r="W640" s="8">
        <v>0</v>
      </c>
      <c r="X640" s="8">
        <v>170836.57817299999</v>
      </c>
      <c r="Y640" s="8">
        <v>0</v>
      </c>
      <c r="Z640" s="8">
        <v>0</v>
      </c>
      <c r="AA640" s="7">
        <v>0.66575300000000004</v>
      </c>
      <c r="AB640" s="8">
        <v>63919.004050000003</v>
      </c>
      <c r="AC640" s="7">
        <v>2.0299999999999998</v>
      </c>
      <c r="AD640" s="7" t="s">
        <v>1226</v>
      </c>
      <c r="AE640" s="8">
        <v>32098.560000000001</v>
      </c>
      <c r="AF640" s="8">
        <v>32500</v>
      </c>
      <c r="AG640" s="8">
        <v>64598.559999999998</v>
      </c>
      <c r="AH640" s="8">
        <v>0</v>
      </c>
      <c r="AI640" s="7" t="s">
        <v>1730</v>
      </c>
      <c r="AJ640" s="7">
        <f t="shared" ca="1" si="129"/>
        <v>1</v>
      </c>
      <c r="AK640" s="96">
        <f t="shared" si="130"/>
        <v>2.850727682776548E-4</v>
      </c>
      <c r="AL640" s="97">
        <f t="shared" si="131"/>
        <v>4.1422488008806209E-4</v>
      </c>
    </row>
    <row r="641" spans="1:38" x14ac:dyDescent="0.3">
      <c r="A641" s="7" t="s">
        <v>2217</v>
      </c>
      <c r="B641" s="7" t="s">
        <v>1320</v>
      </c>
      <c r="C641" s="7" t="s">
        <v>1323</v>
      </c>
      <c r="D641" s="7" t="s">
        <v>1324</v>
      </c>
      <c r="E641" s="7" t="s">
        <v>1322</v>
      </c>
      <c r="F641" s="36">
        <v>44075</v>
      </c>
      <c r="G641" s="36">
        <v>45169</v>
      </c>
      <c r="H641" s="36">
        <v>45169</v>
      </c>
      <c r="I641" s="36">
        <v>45169</v>
      </c>
      <c r="J641" s="7" t="s">
        <v>1696</v>
      </c>
      <c r="K641" s="8">
        <v>0</v>
      </c>
      <c r="L641" s="8">
        <v>0</v>
      </c>
      <c r="M641" s="8">
        <v>-64197.120000000003</v>
      </c>
      <c r="N641" s="8">
        <v>0</v>
      </c>
      <c r="O641" s="8">
        <v>0</v>
      </c>
      <c r="P641" s="8">
        <v>0</v>
      </c>
      <c r="Q641" s="8">
        <v>0</v>
      </c>
      <c r="R641" s="8">
        <f t="shared" si="128"/>
        <v>-64197.120000000003</v>
      </c>
      <c r="S641" s="8">
        <v>0</v>
      </c>
      <c r="T641" s="8">
        <v>0</v>
      </c>
      <c r="U641" s="8">
        <v>-64197.120000000003</v>
      </c>
      <c r="V641" s="8">
        <v>0</v>
      </c>
      <c r="W641" s="8">
        <v>0</v>
      </c>
      <c r="X641" s="8">
        <v>0</v>
      </c>
      <c r="Y641" s="8">
        <v>0</v>
      </c>
      <c r="Z641" s="8">
        <v>-170836.578175</v>
      </c>
      <c r="AA641" s="7">
        <v>0</v>
      </c>
      <c r="AB641" s="8">
        <v>0</v>
      </c>
      <c r="AC641" s="7">
        <v>2.0299999999999998</v>
      </c>
      <c r="AD641" s="7" t="s">
        <v>1226</v>
      </c>
      <c r="AE641" s="8">
        <v>0</v>
      </c>
      <c r="AF641" s="8">
        <v>0</v>
      </c>
      <c r="AG641" s="8">
        <v>0</v>
      </c>
      <c r="AH641" s="8">
        <v>0</v>
      </c>
      <c r="AI641" s="7" t="s">
        <v>1730</v>
      </c>
      <c r="AJ641" s="7">
        <f t="shared" ca="1" si="129"/>
        <v>2</v>
      </c>
      <c r="AK641" s="96">
        <f t="shared" ref="AK641:AK643" si="146">(+AA641*AB641)/$AB$1102</f>
        <v>0</v>
      </c>
      <c r="AL641" s="97">
        <f t="shared" ref="AL641:AL643" si="147">AC641/$AE$1102*AE641</f>
        <v>0</v>
      </c>
    </row>
    <row r="642" spans="1:38" x14ac:dyDescent="0.3">
      <c r="A642" s="7" t="s">
        <v>2218</v>
      </c>
      <c r="B642" s="7" t="s">
        <v>1320</v>
      </c>
      <c r="C642" s="7" t="s">
        <v>1323</v>
      </c>
      <c r="D642" s="7" t="s">
        <v>1324</v>
      </c>
      <c r="E642" s="7" t="s">
        <v>1750</v>
      </c>
      <c r="F642" s="36">
        <v>41913</v>
      </c>
      <c r="G642" s="36">
        <v>44104</v>
      </c>
      <c r="H642" s="36">
        <v>45199</v>
      </c>
      <c r="I642" s="36">
        <v>45199</v>
      </c>
      <c r="J642" s="7" t="s">
        <v>1696</v>
      </c>
      <c r="K642" s="8">
        <v>0</v>
      </c>
      <c r="L642" s="8">
        <v>0</v>
      </c>
      <c r="M642" s="8">
        <v>255333.331381</v>
      </c>
      <c r="N642" s="8">
        <v>0</v>
      </c>
      <c r="O642" s="8">
        <v>0</v>
      </c>
      <c r="P642" s="8">
        <v>0</v>
      </c>
      <c r="Q642" s="8">
        <v>0</v>
      </c>
      <c r="R642" s="8">
        <f t="shared" si="128"/>
        <v>255333.331381</v>
      </c>
      <c r="S642" s="8">
        <v>0</v>
      </c>
      <c r="T642" s="8">
        <v>0</v>
      </c>
      <c r="U642" s="8">
        <v>295500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7">
        <v>0.74794499999999997</v>
      </c>
      <c r="AB642" s="8">
        <v>223272.388263</v>
      </c>
      <c r="AC642" s="7">
        <v>2.318333</v>
      </c>
      <c r="AD642" s="7" t="s">
        <v>1226</v>
      </c>
      <c r="AE642" s="8">
        <v>225000</v>
      </c>
      <c r="AF642" s="8">
        <v>0</v>
      </c>
      <c r="AG642" s="8">
        <v>225000</v>
      </c>
      <c r="AH642" s="8">
        <v>0</v>
      </c>
      <c r="AI642" s="7" t="s">
        <v>1758</v>
      </c>
      <c r="AJ642" s="7">
        <f t="shared" ca="1" si="129"/>
        <v>1</v>
      </c>
      <c r="AK642" s="96">
        <f t="shared" si="146"/>
        <v>1.4635883573883547E-4</v>
      </c>
      <c r="AL642" s="97">
        <f t="shared" si="147"/>
        <v>4.4633404125591231E-4</v>
      </c>
    </row>
    <row r="643" spans="1:38" x14ac:dyDescent="0.3">
      <c r="A643" s="7" t="s">
        <v>2219</v>
      </c>
      <c r="B643" s="7" t="s">
        <v>1735</v>
      </c>
      <c r="C643" s="7" t="s">
        <v>1323</v>
      </c>
      <c r="D643" s="7" t="s">
        <v>1324</v>
      </c>
      <c r="E643" s="7" t="s">
        <v>1739</v>
      </c>
      <c r="F643" s="36">
        <v>43831</v>
      </c>
      <c r="G643" s="36">
        <v>44926</v>
      </c>
      <c r="I643" s="36">
        <v>44926</v>
      </c>
      <c r="J643" s="7" t="s">
        <v>1696</v>
      </c>
      <c r="K643" s="8">
        <v>0</v>
      </c>
      <c r="L643" s="8">
        <v>0</v>
      </c>
      <c r="M643" s="8">
        <v>740735.99734200002</v>
      </c>
      <c r="N643" s="8">
        <v>0</v>
      </c>
      <c r="O643" s="8">
        <v>0</v>
      </c>
      <c r="P643" s="8">
        <v>0</v>
      </c>
      <c r="Q643" s="8">
        <v>0</v>
      </c>
      <c r="R643" s="8">
        <f t="shared" ref="R643:R706" si="148">K643+L643+M643+N643+O643+P643+Q643</f>
        <v>740735.99734200002</v>
      </c>
      <c r="S643" s="8">
        <v>0</v>
      </c>
      <c r="T643" s="8">
        <v>0</v>
      </c>
      <c r="U643" s="8">
        <v>740736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7">
        <v>0</v>
      </c>
      <c r="AB643" s="8">
        <v>0</v>
      </c>
      <c r="AC643" s="7">
        <v>3</v>
      </c>
      <c r="AD643" s="7" t="s">
        <v>1226</v>
      </c>
      <c r="AE643" s="8">
        <v>0</v>
      </c>
      <c r="AF643" s="8">
        <v>0</v>
      </c>
      <c r="AG643" s="8">
        <v>0</v>
      </c>
      <c r="AH643" s="8">
        <v>0</v>
      </c>
      <c r="AI643" s="7" t="s">
        <v>1758</v>
      </c>
      <c r="AJ643" s="7">
        <f t="shared" ref="AJ643:AJ706" ca="1" si="149">IF(A643=OFFSET(A643,-1,0),OFFSET(AJ643,-1,0)+1,1)</f>
        <v>1</v>
      </c>
      <c r="AK643" s="96">
        <f t="shared" si="146"/>
        <v>0</v>
      </c>
      <c r="AL643" s="97">
        <f t="shared" si="147"/>
        <v>0</v>
      </c>
    </row>
    <row r="644" spans="1:38" x14ac:dyDescent="0.3">
      <c r="A644" s="7" t="s">
        <v>2219</v>
      </c>
      <c r="B644" s="7" t="s">
        <v>1735</v>
      </c>
      <c r="C644" s="7" t="s">
        <v>1323</v>
      </c>
      <c r="D644" s="7" t="s">
        <v>1324</v>
      </c>
      <c r="E644" s="7" t="s">
        <v>1739</v>
      </c>
      <c r="F644" s="36">
        <v>43831</v>
      </c>
      <c r="G644" s="36">
        <v>44926</v>
      </c>
      <c r="I644" s="36">
        <v>44926</v>
      </c>
      <c r="J644" s="7" t="s">
        <v>1699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f t="shared" si="148"/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7">
        <v>0</v>
      </c>
      <c r="AB644" s="8">
        <v>0</v>
      </c>
      <c r="AC644" s="7">
        <v>3</v>
      </c>
      <c r="AD644" s="7" t="s">
        <v>1226</v>
      </c>
      <c r="AE644" s="8">
        <v>61728</v>
      </c>
      <c r="AF644" s="8">
        <v>0</v>
      </c>
      <c r="AG644" s="8">
        <v>61728</v>
      </c>
      <c r="AH644" s="8">
        <v>0</v>
      </c>
      <c r="AI644" s="7" t="s">
        <v>1758</v>
      </c>
      <c r="AJ644" s="7">
        <f t="shared" ca="1" si="149"/>
        <v>2</v>
      </c>
      <c r="AK644" s="100">
        <f>(+AA644*AB644)/$AB$1103</f>
        <v>0</v>
      </c>
      <c r="AL644" s="97">
        <f>AC644/$AE$1103*AE644</f>
        <v>2.2231109397082883E-2</v>
      </c>
    </row>
    <row r="645" spans="1:38" x14ac:dyDescent="0.3">
      <c r="A645" s="7" t="s">
        <v>2220</v>
      </c>
      <c r="B645" s="7" t="s">
        <v>1320</v>
      </c>
      <c r="C645" s="7" t="s">
        <v>1323</v>
      </c>
      <c r="D645" s="7" t="s">
        <v>1324</v>
      </c>
      <c r="E645" s="7" t="s">
        <v>1739</v>
      </c>
      <c r="F645" s="36">
        <v>43831</v>
      </c>
      <c r="G645" s="36">
        <v>44926</v>
      </c>
      <c r="I645" s="36">
        <v>45291</v>
      </c>
      <c r="J645" s="7" t="s">
        <v>1696</v>
      </c>
      <c r="K645" s="8">
        <v>0</v>
      </c>
      <c r="L645" s="8">
        <v>0</v>
      </c>
      <c r="M645" s="8">
        <v>22518.42</v>
      </c>
      <c r="N645" s="8">
        <v>0</v>
      </c>
      <c r="O645" s="8">
        <v>0</v>
      </c>
      <c r="P645" s="8">
        <v>49.7</v>
      </c>
      <c r="Q645" s="8">
        <v>0</v>
      </c>
      <c r="R645" s="8">
        <f t="shared" si="148"/>
        <v>22568.12</v>
      </c>
      <c r="S645" s="8">
        <v>0</v>
      </c>
      <c r="T645" s="8">
        <v>0</v>
      </c>
      <c r="U645" s="8">
        <v>22518.42</v>
      </c>
      <c r="V645" s="8">
        <v>0</v>
      </c>
      <c r="W645" s="8">
        <v>49.7</v>
      </c>
      <c r="X645" s="8">
        <v>0</v>
      </c>
      <c r="Y645" s="8">
        <v>0</v>
      </c>
      <c r="Z645" s="8">
        <v>-1185.179985</v>
      </c>
      <c r="AA645" s="7">
        <v>1</v>
      </c>
      <c r="AB645" s="8">
        <v>0</v>
      </c>
      <c r="AC645" s="7">
        <v>1.6353329999999999</v>
      </c>
      <c r="AD645" s="7" t="s">
        <v>1697</v>
      </c>
      <c r="AE645" s="8">
        <v>0</v>
      </c>
      <c r="AF645" s="8">
        <v>0</v>
      </c>
      <c r="AG645" s="8">
        <v>0</v>
      </c>
      <c r="AH645" s="8">
        <v>0</v>
      </c>
      <c r="AI645" s="7" t="s">
        <v>1730</v>
      </c>
      <c r="AJ645" s="7">
        <f t="shared" ca="1" si="149"/>
        <v>1</v>
      </c>
      <c r="AK645" s="96">
        <f>(+AA645*AB645)/$AB$1102</f>
        <v>0</v>
      </c>
      <c r="AL645" s="97">
        <f>AC645/$AE$1102*AE645</f>
        <v>0</v>
      </c>
    </row>
    <row r="646" spans="1:38" x14ac:dyDescent="0.3">
      <c r="A646" s="7" t="s">
        <v>2220</v>
      </c>
      <c r="B646" s="7" t="s">
        <v>1320</v>
      </c>
      <c r="C646" s="7" t="s">
        <v>1323</v>
      </c>
      <c r="D646" s="7" t="s">
        <v>1324</v>
      </c>
      <c r="E646" s="7" t="s">
        <v>1739</v>
      </c>
      <c r="F646" s="36">
        <v>43831</v>
      </c>
      <c r="G646" s="36">
        <v>44926</v>
      </c>
      <c r="I646" s="36">
        <v>45291</v>
      </c>
      <c r="J646" s="7" t="s">
        <v>1699</v>
      </c>
      <c r="K646" s="8">
        <v>0</v>
      </c>
      <c r="L646" s="8">
        <v>0</v>
      </c>
      <c r="M646" s="8">
        <v>0</v>
      </c>
      <c r="N646" s="8">
        <v>4706.5523069999999</v>
      </c>
      <c r="O646" s="8">
        <v>0</v>
      </c>
      <c r="P646" s="8">
        <v>0</v>
      </c>
      <c r="Q646" s="8">
        <v>0</v>
      </c>
      <c r="R646" s="8">
        <f t="shared" si="148"/>
        <v>4706.5523069999999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7">
        <v>0</v>
      </c>
      <c r="AB646" s="8">
        <v>0</v>
      </c>
      <c r="AC646" s="7">
        <v>1.6353329999999999</v>
      </c>
      <c r="AD646" s="7" t="s">
        <v>1697</v>
      </c>
      <c r="AE646" s="8">
        <v>60000</v>
      </c>
      <c r="AF646" s="8">
        <v>0</v>
      </c>
      <c r="AG646" s="8">
        <v>60000</v>
      </c>
      <c r="AH646" s="8">
        <v>0</v>
      </c>
      <c r="AI646" s="7" t="s">
        <v>1730</v>
      </c>
      <c r="AJ646" s="7">
        <f t="shared" ca="1" si="149"/>
        <v>2</v>
      </c>
      <c r="AK646" s="100">
        <f>(+AA646*AB646)/$AB$1103</f>
        <v>0</v>
      </c>
      <c r="AL646" s="97">
        <f>AC646/$AE$1103*AE646</f>
        <v>1.1779181837629518E-2</v>
      </c>
    </row>
    <row r="647" spans="1:38" x14ac:dyDescent="0.3">
      <c r="A647" s="7" t="s">
        <v>2221</v>
      </c>
      <c r="B647" s="7" t="s">
        <v>1320</v>
      </c>
      <c r="C647" s="7" t="s">
        <v>1323</v>
      </c>
      <c r="D647" s="7" t="s">
        <v>1324</v>
      </c>
      <c r="E647" s="7" t="s">
        <v>1739</v>
      </c>
      <c r="F647" s="36">
        <v>43831</v>
      </c>
      <c r="G647" s="36">
        <v>44926</v>
      </c>
      <c r="I647" s="36">
        <v>44926</v>
      </c>
      <c r="J647" s="7" t="s">
        <v>1696</v>
      </c>
      <c r="K647" s="8">
        <v>0</v>
      </c>
      <c r="L647" s="8">
        <v>0</v>
      </c>
      <c r="M647" s="8">
        <v>9816.710932</v>
      </c>
      <c r="N647" s="8">
        <v>0</v>
      </c>
      <c r="O647" s="8">
        <v>0</v>
      </c>
      <c r="P647" s="8">
        <v>0</v>
      </c>
      <c r="Q647" s="8">
        <v>0</v>
      </c>
      <c r="R647" s="8">
        <f t="shared" si="148"/>
        <v>9816.710932</v>
      </c>
      <c r="S647" s="8">
        <v>0</v>
      </c>
      <c r="T647" s="8">
        <v>0</v>
      </c>
      <c r="U647" s="8">
        <v>10888.849920000001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7">
        <v>0</v>
      </c>
      <c r="AB647" s="8">
        <v>2.8971E-2</v>
      </c>
      <c r="AC647" s="7">
        <v>3</v>
      </c>
      <c r="AD647" s="7" t="s">
        <v>1226</v>
      </c>
      <c r="AE647" s="8">
        <v>0</v>
      </c>
      <c r="AF647" s="8">
        <v>0</v>
      </c>
      <c r="AG647" s="8">
        <v>0</v>
      </c>
      <c r="AH647" s="8">
        <v>0</v>
      </c>
      <c r="AI647" s="7" t="s">
        <v>1736</v>
      </c>
      <c r="AJ647" s="7">
        <f t="shared" ca="1" si="149"/>
        <v>1</v>
      </c>
      <c r="AK647" s="96">
        <f>(+AA647*AB647)/$AB$1102</f>
        <v>0</v>
      </c>
      <c r="AL647" s="97">
        <f>AC647/$AE$1102*AE647</f>
        <v>0</v>
      </c>
    </row>
    <row r="648" spans="1:38" x14ac:dyDescent="0.3">
      <c r="A648" s="7" t="s">
        <v>2221</v>
      </c>
      <c r="B648" s="7" t="s">
        <v>1320</v>
      </c>
      <c r="C648" s="7" t="s">
        <v>1323</v>
      </c>
      <c r="D648" s="7" t="s">
        <v>1324</v>
      </c>
      <c r="E648" s="7" t="s">
        <v>1739</v>
      </c>
      <c r="F648" s="36">
        <v>43831</v>
      </c>
      <c r="G648" s="36">
        <v>44926</v>
      </c>
      <c r="I648" s="36">
        <v>44926</v>
      </c>
      <c r="J648" s="7" t="s">
        <v>1699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f t="shared" si="148"/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7">
        <v>0</v>
      </c>
      <c r="AB648" s="8">
        <v>0</v>
      </c>
      <c r="AC648" s="7">
        <v>3</v>
      </c>
      <c r="AD648" s="7" t="s">
        <v>1226</v>
      </c>
      <c r="AE648" s="8">
        <v>907.40160000000003</v>
      </c>
      <c r="AF648" s="8">
        <v>0</v>
      </c>
      <c r="AG648" s="8">
        <v>907.40160000000003</v>
      </c>
      <c r="AH648" s="8">
        <v>0</v>
      </c>
      <c r="AI648" s="7" t="s">
        <v>1736</v>
      </c>
      <c r="AJ648" s="7">
        <f t="shared" ca="1" si="149"/>
        <v>2</v>
      </c>
      <c r="AK648" s="100">
        <f>(+AA648*AB648)/$AB$1103</f>
        <v>0</v>
      </c>
      <c r="AL648" s="97">
        <f>AC648/$AE$1103*AE648</f>
        <v>3.267973081371184E-4</v>
      </c>
    </row>
    <row r="649" spans="1:38" x14ac:dyDescent="0.3">
      <c r="A649" s="7" t="s">
        <v>2222</v>
      </c>
      <c r="B649" s="7" t="s">
        <v>1735</v>
      </c>
      <c r="C649" s="7" t="s">
        <v>1323</v>
      </c>
      <c r="D649" s="7" t="s">
        <v>1324</v>
      </c>
      <c r="E649" s="7" t="s">
        <v>1322</v>
      </c>
      <c r="F649" s="36">
        <v>43831</v>
      </c>
      <c r="G649" s="36">
        <v>44926</v>
      </c>
      <c r="H649" s="36">
        <v>44926</v>
      </c>
      <c r="I649" s="36">
        <v>44926</v>
      </c>
      <c r="J649" s="7" t="s">
        <v>1696</v>
      </c>
      <c r="K649" s="8">
        <v>0</v>
      </c>
      <c r="L649" s="8">
        <v>0</v>
      </c>
      <c r="M649" s="8">
        <v>740735.99734200002</v>
      </c>
      <c r="N649" s="8">
        <v>0</v>
      </c>
      <c r="O649" s="8">
        <v>0</v>
      </c>
      <c r="P649" s="8">
        <v>0</v>
      </c>
      <c r="Q649" s="8">
        <v>0</v>
      </c>
      <c r="R649" s="8">
        <f t="shared" si="148"/>
        <v>740735.99734200002</v>
      </c>
      <c r="S649" s="8">
        <v>0</v>
      </c>
      <c r="T649" s="8">
        <v>0</v>
      </c>
      <c r="U649" s="8">
        <v>740736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7">
        <v>0</v>
      </c>
      <c r="AB649" s="8">
        <v>0</v>
      </c>
      <c r="AC649" s="7">
        <v>3</v>
      </c>
      <c r="AD649" s="7" t="s">
        <v>1226</v>
      </c>
      <c r="AE649" s="8">
        <v>0</v>
      </c>
      <c r="AF649" s="8">
        <v>0</v>
      </c>
      <c r="AG649" s="8">
        <v>0</v>
      </c>
      <c r="AH649" s="8">
        <v>0</v>
      </c>
      <c r="AI649" s="7" t="s">
        <v>1758</v>
      </c>
      <c r="AJ649" s="7">
        <f t="shared" ca="1" si="149"/>
        <v>1</v>
      </c>
      <c r="AK649" s="96">
        <f t="shared" ref="AK649:AK650" si="150">(+AA649*AB649)/$AB$1102</f>
        <v>0</v>
      </c>
      <c r="AL649" s="97">
        <f t="shared" ref="AL649:AL650" si="151">AC649/$AE$1102*AE649</f>
        <v>0</v>
      </c>
    </row>
    <row r="650" spans="1:38" x14ac:dyDescent="0.3">
      <c r="A650" s="7" t="s">
        <v>2223</v>
      </c>
      <c r="B650" s="7" t="s">
        <v>1735</v>
      </c>
      <c r="C650" s="7" t="s">
        <v>1323</v>
      </c>
      <c r="D650" s="7" t="s">
        <v>1324</v>
      </c>
      <c r="E650" s="7" t="s">
        <v>1739</v>
      </c>
      <c r="F650" s="36">
        <v>43831</v>
      </c>
      <c r="G650" s="36">
        <v>44926</v>
      </c>
      <c r="I650" s="36">
        <v>44926</v>
      </c>
      <c r="J650" s="7" t="s">
        <v>1696</v>
      </c>
      <c r="K650" s="8">
        <v>0</v>
      </c>
      <c r="L650" s="8">
        <v>0</v>
      </c>
      <c r="M650" s="8">
        <v>740735.99734200002</v>
      </c>
      <c r="N650" s="8">
        <v>0</v>
      </c>
      <c r="O650" s="8">
        <v>0</v>
      </c>
      <c r="P650" s="8">
        <v>0</v>
      </c>
      <c r="Q650" s="8">
        <v>0</v>
      </c>
      <c r="R650" s="8">
        <f t="shared" si="148"/>
        <v>740735.99734200002</v>
      </c>
      <c r="S650" s="8">
        <v>0</v>
      </c>
      <c r="T650" s="8">
        <v>0</v>
      </c>
      <c r="U650" s="8">
        <v>740736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7">
        <v>0</v>
      </c>
      <c r="AB650" s="8">
        <v>0</v>
      </c>
      <c r="AC650" s="7">
        <v>3</v>
      </c>
      <c r="AD650" s="7" t="s">
        <v>1226</v>
      </c>
      <c r="AE650" s="8">
        <v>0</v>
      </c>
      <c r="AF650" s="8">
        <v>0</v>
      </c>
      <c r="AG650" s="8">
        <v>0</v>
      </c>
      <c r="AH650" s="8">
        <v>0</v>
      </c>
      <c r="AI650" s="7" t="s">
        <v>1758</v>
      </c>
      <c r="AJ650" s="7">
        <f t="shared" ca="1" si="149"/>
        <v>1</v>
      </c>
      <c r="AK650" s="96">
        <f t="shared" si="150"/>
        <v>0</v>
      </c>
      <c r="AL650" s="97">
        <f t="shared" si="151"/>
        <v>0</v>
      </c>
    </row>
    <row r="651" spans="1:38" x14ac:dyDescent="0.3">
      <c r="A651" s="7" t="s">
        <v>2223</v>
      </c>
      <c r="B651" s="7" t="s">
        <v>1735</v>
      </c>
      <c r="C651" s="7" t="s">
        <v>1323</v>
      </c>
      <c r="D651" s="7" t="s">
        <v>1324</v>
      </c>
      <c r="E651" s="7" t="s">
        <v>1739</v>
      </c>
      <c r="F651" s="36">
        <v>43831</v>
      </c>
      <c r="G651" s="36">
        <v>44926</v>
      </c>
      <c r="I651" s="36">
        <v>44926</v>
      </c>
      <c r="J651" s="7" t="s">
        <v>1699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f t="shared" si="148"/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7">
        <v>0</v>
      </c>
      <c r="AB651" s="8">
        <v>0</v>
      </c>
      <c r="AC651" s="7">
        <v>3</v>
      </c>
      <c r="AD651" s="7" t="s">
        <v>1226</v>
      </c>
      <c r="AE651" s="8">
        <v>61728</v>
      </c>
      <c r="AF651" s="8">
        <v>0</v>
      </c>
      <c r="AG651" s="8">
        <v>61728</v>
      </c>
      <c r="AH651" s="8">
        <v>0</v>
      </c>
      <c r="AI651" s="7" t="s">
        <v>1758</v>
      </c>
      <c r="AJ651" s="7">
        <f t="shared" ca="1" si="149"/>
        <v>2</v>
      </c>
      <c r="AK651" s="100">
        <f>(+AA651*AB651)/$AB$1103</f>
        <v>0</v>
      </c>
      <c r="AL651" s="97">
        <f>AC651/$AE$1103*AE651</f>
        <v>2.2231109397082883E-2</v>
      </c>
    </row>
    <row r="652" spans="1:38" x14ac:dyDescent="0.3">
      <c r="A652" s="7" t="s">
        <v>2224</v>
      </c>
      <c r="B652" s="7" t="s">
        <v>1768</v>
      </c>
      <c r="C652" s="7" t="s">
        <v>1323</v>
      </c>
      <c r="D652" s="7" t="s">
        <v>1324</v>
      </c>
      <c r="E652" s="7" t="s">
        <v>1739</v>
      </c>
      <c r="F652" s="36">
        <v>43831</v>
      </c>
      <c r="G652" s="36">
        <v>44926</v>
      </c>
      <c r="I652" s="36">
        <v>44926</v>
      </c>
      <c r="J652" s="7" t="s">
        <v>1696</v>
      </c>
      <c r="K652" s="8">
        <v>0</v>
      </c>
      <c r="L652" s="8">
        <v>0</v>
      </c>
      <c r="M652" s="8">
        <v>740735.99734200002</v>
      </c>
      <c r="N652" s="8">
        <v>0</v>
      </c>
      <c r="O652" s="8">
        <v>0</v>
      </c>
      <c r="P652" s="8">
        <v>0</v>
      </c>
      <c r="Q652" s="8">
        <v>0</v>
      </c>
      <c r="R652" s="8">
        <f t="shared" si="148"/>
        <v>740735.99734200002</v>
      </c>
      <c r="S652" s="8">
        <v>0</v>
      </c>
      <c r="T652" s="8">
        <v>0</v>
      </c>
      <c r="U652" s="8">
        <v>740736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7">
        <v>0</v>
      </c>
      <c r="AB652" s="8">
        <v>0</v>
      </c>
      <c r="AC652" s="7">
        <v>3</v>
      </c>
      <c r="AD652" s="7" t="s">
        <v>1226</v>
      </c>
      <c r="AE652" s="8">
        <v>0</v>
      </c>
      <c r="AF652" s="8">
        <v>0</v>
      </c>
      <c r="AG652" s="8">
        <v>0</v>
      </c>
      <c r="AH652" s="8">
        <v>0</v>
      </c>
      <c r="AI652" s="7" t="s">
        <v>1758</v>
      </c>
      <c r="AJ652" s="7">
        <f t="shared" ca="1" si="149"/>
        <v>1</v>
      </c>
      <c r="AK652" s="96">
        <f>(+AA652*AB652)/$AB$1102</f>
        <v>0</v>
      </c>
      <c r="AL652" s="97">
        <f>AC652/$AE$1102*AE652</f>
        <v>0</v>
      </c>
    </row>
    <row r="653" spans="1:38" x14ac:dyDescent="0.3">
      <c r="A653" s="7" t="s">
        <v>2224</v>
      </c>
      <c r="B653" s="7" t="s">
        <v>1768</v>
      </c>
      <c r="C653" s="7" t="s">
        <v>1323</v>
      </c>
      <c r="D653" s="7" t="s">
        <v>1324</v>
      </c>
      <c r="E653" s="7" t="s">
        <v>1739</v>
      </c>
      <c r="F653" s="36">
        <v>43831</v>
      </c>
      <c r="G653" s="36">
        <v>44926</v>
      </c>
      <c r="I653" s="36">
        <v>44926</v>
      </c>
      <c r="J653" s="7" t="s">
        <v>1699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f t="shared" si="148"/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7">
        <v>0</v>
      </c>
      <c r="AB653" s="8">
        <v>0</v>
      </c>
      <c r="AC653" s="7">
        <v>3</v>
      </c>
      <c r="AD653" s="7" t="s">
        <v>1226</v>
      </c>
      <c r="AE653" s="8">
        <v>61728</v>
      </c>
      <c r="AF653" s="8">
        <v>0</v>
      </c>
      <c r="AG653" s="8">
        <v>61728</v>
      </c>
      <c r="AH653" s="8">
        <v>0</v>
      </c>
      <c r="AI653" s="7" t="s">
        <v>1758</v>
      </c>
      <c r="AJ653" s="7">
        <f t="shared" ca="1" si="149"/>
        <v>2</v>
      </c>
      <c r="AK653" s="100">
        <f>(+AA653*AB653)/$AB$1103</f>
        <v>0</v>
      </c>
      <c r="AL653" s="97">
        <f>AC653/$AE$1103*AE653</f>
        <v>2.2231109397082883E-2</v>
      </c>
    </row>
    <row r="654" spans="1:38" x14ac:dyDescent="0.3">
      <c r="A654" s="7" t="s">
        <v>2225</v>
      </c>
      <c r="B654" s="7" t="s">
        <v>1320</v>
      </c>
      <c r="C654" s="7" t="s">
        <v>1323</v>
      </c>
      <c r="D654" s="7" t="s">
        <v>1324</v>
      </c>
      <c r="E654" s="7" t="s">
        <v>1695</v>
      </c>
      <c r="F654" s="36">
        <v>43374</v>
      </c>
      <c r="G654" s="36">
        <v>44469</v>
      </c>
      <c r="H654" s="36">
        <v>44895</v>
      </c>
      <c r="I654" s="36">
        <v>44895</v>
      </c>
      <c r="J654" s="7" t="s">
        <v>1696</v>
      </c>
      <c r="K654" s="8">
        <v>0</v>
      </c>
      <c r="L654" s="8">
        <v>0</v>
      </c>
      <c r="M654" s="8">
        <v>82499.996316999997</v>
      </c>
      <c r="N654" s="8">
        <v>0</v>
      </c>
      <c r="O654" s="8">
        <v>0</v>
      </c>
      <c r="P654" s="8">
        <v>0</v>
      </c>
      <c r="Q654" s="8">
        <v>0</v>
      </c>
      <c r="R654" s="8">
        <f t="shared" si="148"/>
        <v>82499.996316999997</v>
      </c>
      <c r="S654" s="8">
        <v>0</v>
      </c>
      <c r="T654" s="8">
        <v>0</v>
      </c>
      <c r="U654" s="8">
        <v>83500</v>
      </c>
      <c r="V654" s="8">
        <v>0</v>
      </c>
      <c r="W654" s="8">
        <v>0</v>
      </c>
      <c r="X654" s="8">
        <v>0</v>
      </c>
      <c r="Y654" s="8">
        <v>0</v>
      </c>
      <c r="Z654" s="8">
        <v>-160239.678781</v>
      </c>
      <c r="AA654" s="7">
        <v>0</v>
      </c>
      <c r="AB654" s="8">
        <v>0</v>
      </c>
      <c r="AC654" s="7">
        <v>3</v>
      </c>
      <c r="AD654" s="7" t="s">
        <v>1226</v>
      </c>
      <c r="AE654" s="8">
        <v>0</v>
      </c>
      <c r="AF654" s="8">
        <v>0</v>
      </c>
      <c r="AG654" s="8">
        <v>0</v>
      </c>
      <c r="AH654" s="8">
        <v>0</v>
      </c>
      <c r="AI654" s="7" t="s">
        <v>1758</v>
      </c>
      <c r="AJ654" s="7">
        <f t="shared" ca="1" si="149"/>
        <v>1</v>
      </c>
      <c r="AK654" s="96">
        <f t="shared" ref="AK654:AK656" si="152">(+AA654*AB654)/$AB$1102</f>
        <v>0</v>
      </c>
      <c r="AL654" s="97">
        <f t="shared" ref="AL654:AL656" si="153">AC654/$AE$1102*AE654</f>
        <v>0</v>
      </c>
    </row>
    <row r="655" spans="1:38" x14ac:dyDescent="0.3">
      <c r="A655" s="7" t="s">
        <v>2226</v>
      </c>
      <c r="B655" s="7" t="s">
        <v>1320</v>
      </c>
      <c r="C655" s="7" t="s">
        <v>1323</v>
      </c>
      <c r="D655" s="7" t="s">
        <v>1694</v>
      </c>
      <c r="E655" s="7" t="s">
        <v>1695</v>
      </c>
      <c r="F655" s="36">
        <v>43101</v>
      </c>
      <c r="G655" s="36">
        <v>44196</v>
      </c>
      <c r="H655" s="36">
        <v>44865</v>
      </c>
      <c r="I655" s="36">
        <v>44865</v>
      </c>
      <c r="J655" s="7" t="s">
        <v>1696</v>
      </c>
      <c r="K655" s="8">
        <v>0</v>
      </c>
      <c r="L655" s="8">
        <v>0</v>
      </c>
      <c r="M655" s="8">
        <v>24211.715925</v>
      </c>
      <c r="N655" s="8">
        <v>0</v>
      </c>
      <c r="O655" s="8">
        <v>0</v>
      </c>
      <c r="P655" s="8">
        <v>0</v>
      </c>
      <c r="Q655" s="8">
        <v>0</v>
      </c>
      <c r="R655" s="8">
        <f t="shared" si="148"/>
        <v>24211.715925</v>
      </c>
      <c r="S655" s="8">
        <v>0</v>
      </c>
      <c r="T655" s="8">
        <v>0</v>
      </c>
      <c r="U655" s="8">
        <v>50000</v>
      </c>
      <c r="V655" s="8">
        <v>0</v>
      </c>
      <c r="W655" s="8">
        <v>0</v>
      </c>
      <c r="X655" s="8">
        <v>0</v>
      </c>
      <c r="Y655" s="8">
        <v>0</v>
      </c>
      <c r="Z655" s="8">
        <v>-33896.396412000002</v>
      </c>
      <c r="AA655" s="7">
        <v>0</v>
      </c>
      <c r="AB655" s="8">
        <v>0</v>
      </c>
      <c r="AC655" s="7">
        <v>2.920417</v>
      </c>
      <c r="AD655" s="7" t="s">
        <v>1697</v>
      </c>
      <c r="AE655" s="8">
        <v>0</v>
      </c>
      <c r="AF655" s="8">
        <v>0</v>
      </c>
      <c r="AG655" s="8">
        <v>0</v>
      </c>
      <c r="AH655" s="8">
        <v>0</v>
      </c>
      <c r="AI655" s="7" t="s">
        <v>1194</v>
      </c>
      <c r="AJ655" s="7">
        <f t="shared" ca="1" si="149"/>
        <v>1</v>
      </c>
      <c r="AK655" s="96">
        <f t="shared" si="152"/>
        <v>0</v>
      </c>
      <c r="AL655" s="97">
        <f t="shared" si="153"/>
        <v>0</v>
      </c>
    </row>
    <row r="656" spans="1:38" x14ac:dyDescent="0.3">
      <c r="A656" s="7" t="s">
        <v>2227</v>
      </c>
      <c r="B656" s="7" t="s">
        <v>194</v>
      </c>
      <c r="C656" s="7" t="s">
        <v>1323</v>
      </c>
      <c r="D656" s="7" t="s">
        <v>1324</v>
      </c>
      <c r="E656" s="7" t="s">
        <v>1773</v>
      </c>
      <c r="F656" s="36">
        <v>44621</v>
      </c>
      <c r="G656" s="36">
        <v>45716</v>
      </c>
      <c r="H656" s="36">
        <v>45716</v>
      </c>
      <c r="I656" s="36">
        <v>45716</v>
      </c>
      <c r="J656" s="7" t="s">
        <v>1696</v>
      </c>
      <c r="K656" s="8">
        <v>0</v>
      </c>
      <c r="L656" s="8">
        <v>0</v>
      </c>
      <c r="M656" s="8">
        <v>4629.605724</v>
      </c>
      <c r="N656" s="8">
        <v>0</v>
      </c>
      <c r="O656" s="8">
        <v>0</v>
      </c>
      <c r="P656" s="8">
        <v>0</v>
      </c>
      <c r="Q656" s="8">
        <v>0</v>
      </c>
      <c r="R656" s="8">
        <f t="shared" si="148"/>
        <v>4629.605724</v>
      </c>
      <c r="S656" s="8">
        <v>0</v>
      </c>
      <c r="T656" s="8">
        <v>0</v>
      </c>
      <c r="U656" s="8">
        <v>4629.6000000000004</v>
      </c>
      <c r="V656" s="8">
        <v>0</v>
      </c>
      <c r="W656" s="8">
        <v>0</v>
      </c>
      <c r="X656" s="8">
        <v>0</v>
      </c>
      <c r="Y656" s="8">
        <v>15959.356779</v>
      </c>
      <c r="Z656" s="8">
        <v>0</v>
      </c>
      <c r="AA656" s="7">
        <v>2.1643840000000001</v>
      </c>
      <c r="AB656" s="8">
        <v>11669.122503000001</v>
      </c>
      <c r="AC656" s="7">
        <v>3</v>
      </c>
      <c r="AD656" s="7" t="s">
        <v>1226</v>
      </c>
      <c r="AE656" s="8">
        <v>12036.96</v>
      </c>
      <c r="AF656" s="8">
        <v>0</v>
      </c>
      <c r="AG656" s="8">
        <v>12036.96</v>
      </c>
      <c r="AH656" s="8">
        <v>0</v>
      </c>
      <c r="AI656" s="7" t="s">
        <v>1781</v>
      </c>
      <c r="AJ656" s="7">
        <f t="shared" ca="1" si="149"/>
        <v>1</v>
      </c>
      <c r="AK656" s="96">
        <f t="shared" si="152"/>
        <v>2.2135369646877473E-5</v>
      </c>
      <c r="AL656" s="97">
        <f t="shared" si="153"/>
        <v>3.0898667282257066E-5</v>
      </c>
    </row>
    <row r="657" spans="1:38" x14ac:dyDescent="0.3">
      <c r="A657" s="7" t="s">
        <v>2228</v>
      </c>
      <c r="B657" s="7" t="s">
        <v>1320</v>
      </c>
      <c r="C657" s="7" t="s">
        <v>1323</v>
      </c>
      <c r="D657" s="7" t="s">
        <v>1694</v>
      </c>
      <c r="E657" s="7" t="s">
        <v>1695</v>
      </c>
      <c r="F657" s="36">
        <v>43115</v>
      </c>
      <c r="G657" s="36">
        <v>44210</v>
      </c>
      <c r="H657" s="36">
        <v>44895</v>
      </c>
      <c r="I657" s="36">
        <v>44895</v>
      </c>
      <c r="J657" s="7" t="s">
        <v>1699</v>
      </c>
      <c r="K657" s="8">
        <v>0</v>
      </c>
      <c r="L657" s="8">
        <v>0</v>
      </c>
      <c r="M657" s="8">
        <v>0</v>
      </c>
      <c r="N657" s="8">
        <v>572580.64500000002</v>
      </c>
      <c r="O657" s="8">
        <v>0</v>
      </c>
      <c r="P657" s="8">
        <v>0</v>
      </c>
      <c r="Q657" s="8">
        <v>0</v>
      </c>
      <c r="R657" s="8">
        <f t="shared" si="148"/>
        <v>572580.64500000002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7">
        <v>0</v>
      </c>
      <c r="AB657" s="8">
        <v>0</v>
      </c>
      <c r="AC657" s="7">
        <v>7</v>
      </c>
      <c r="AD657" s="7" t="s">
        <v>1226</v>
      </c>
      <c r="AE657" s="8">
        <v>0</v>
      </c>
      <c r="AF657" s="8">
        <v>0</v>
      </c>
      <c r="AG657" s="8">
        <v>0</v>
      </c>
      <c r="AH657" s="8">
        <v>0</v>
      </c>
      <c r="AI657" s="7" t="s">
        <v>1194</v>
      </c>
      <c r="AJ657" s="7">
        <f t="shared" ca="1" si="149"/>
        <v>1</v>
      </c>
      <c r="AK657" s="100">
        <f>(+AA657*AB657)/$AB$1103</f>
        <v>0</v>
      </c>
      <c r="AL657" s="97">
        <f>AC657/$AE$1103*AE657</f>
        <v>0</v>
      </c>
    </row>
    <row r="658" spans="1:38" x14ac:dyDescent="0.3">
      <c r="A658" s="7" t="s">
        <v>2229</v>
      </c>
      <c r="B658" s="7" t="s">
        <v>1320</v>
      </c>
      <c r="C658" s="7" t="s">
        <v>1323</v>
      </c>
      <c r="D658" s="7" t="s">
        <v>1694</v>
      </c>
      <c r="E658" s="7" t="s">
        <v>1695</v>
      </c>
      <c r="F658" s="36">
        <v>43101</v>
      </c>
      <c r="G658" s="36">
        <v>44196</v>
      </c>
      <c r="H658" s="36">
        <v>44895</v>
      </c>
      <c r="I658" s="36">
        <v>44895</v>
      </c>
      <c r="J658" s="7" t="s">
        <v>1696</v>
      </c>
      <c r="K658" s="8">
        <v>0</v>
      </c>
      <c r="L658" s="8">
        <v>0</v>
      </c>
      <c r="M658" s="8">
        <v>133220.71874000001</v>
      </c>
      <c r="N658" s="8">
        <v>0</v>
      </c>
      <c r="O658" s="8">
        <v>0</v>
      </c>
      <c r="P658" s="8">
        <v>0</v>
      </c>
      <c r="Q658" s="8">
        <v>0</v>
      </c>
      <c r="R658" s="8">
        <f t="shared" si="148"/>
        <v>133220.71874000001</v>
      </c>
      <c r="S658" s="8">
        <v>0</v>
      </c>
      <c r="T658" s="8">
        <v>0</v>
      </c>
      <c r="U658" s="8">
        <v>200000</v>
      </c>
      <c r="V658" s="8">
        <v>0</v>
      </c>
      <c r="W658" s="8">
        <v>0</v>
      </c>
      <c r="X658" s="8">
        <v>0</v>
      </c>
      <c r="Y658" s="8">
        <v>0</v>
      </c>
      <c r="Z658" s="8">
        <v>48074.853056</v>
      </c>
      <c r="AA658" s="7">
        <v>0</v>
      </c>
      <c r="AB658" s="8">
        <v>0</v>
      </c>
      <c r="AC658" s="7">
        <v>2.920417</v>
      </c>
      <c r="AD658" s="7" t="s">
        <v>1697</v>
      </c>
      <c r="AE658" s="8">
        <v>0</v>
      </c>
      <c r="AF658" s="8">
        <v>0</v>
      </c>
      <c r="AG658" s="8">
        <v>0</v>
      </c>
      <c r="AH658" s="8">
        <v>0</v>
      </c>
      <c r="AI658" s="7" t="s">
        <v>1194</v>
      </c>
      <c r="AJ658" s="7">
        <f t="shared" ca="1" si="149"/>
        <v>1</v>
      </c>
      <c r="AK658" s="96">
        <f t="shared" ref="AK658:AK659" si="154">(+AA658*AB658)/$AB$1102</f>
        <v>0</v>
      </c>
      <c r="AL658" s="97">
        <f t="shared" ref="AL658:AL659" si="155">AC658/$AE$1102*AE658</f>
        <v>0</v>
      </c>
    </row>
    <row r="659" spans="1:38" x14ac:dyDescent="0.3">
      <c r="A659" s="7" t="s">
        <v>2230</v>
      </c>
      <c r="B659" s="7" t="s">
        <v>1320</v>
      </c>
      <c r="C659" s="7" t="s">
        <v>1323</v>
      </c>
      <c r="D659" s="7" t="s">
        <v>2231</v>
      </c>
      <c r="E659" s="7" t="s">
        <v>1695</v>
      </c>
      <c r="F659" s="36">
        <v>43709</v>
      </c>
      <c r="G659" s="36">
        <v>44681</v>
      </c>
      <c r="H659" s="36">
        <v>44895</v>
      </c>
      <c r="I659" s="36">
        <v>44895</v>
      </c>
      <c r="J659" s="7" t="s">
        <v>1696</v>
      </c>
      <c r="K659" s="8">
        <v>0</v>
      </c>
      <c r="L659" s="8">
        <v>0</v>
      </c>
      <c r="M659" s="8">
        <v>12289.619661640245</v>
      </c>
      <c r="N659" s="8">
        <v>0</v>
      </c>
      <c r="O659" s="8">
        <v>0</v>
      </c>
      <c r="P659" s="8">
        <v>0</v>
      </c>
      <c r="Q659" s="8">
        <v>0</v>
      </c>
      <c r="R659" s="8">
        <f t="shared" si="148"/>
        <v>12289.619661640245</v>
      </c>
      <c r="S659" s="8">
        <v>0</v>
      </c>
      <c r="T659" s="8">
        <v>0</v>
      </c>
      <c r="U659" s="8">
        <v>6642.1767567400002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7">
        <v>0</v>
      </c>
      <c r="AB659" s="8">
        <v>0</v>
      </c>
      <c r="AC659" s="7">
        <v>1.9543330000000001</v>
      </c>
      <c r="AD659" s="7" t="s">
        <v>1226</v>
      </c>
      <c r="AE659" s="8">
        <v>0</v>
      </c>
      <c r="AF659" s="8">
        <v>0</v>
      </c>
      <c r="AG659" s="8">
        <v>0</v>
      </c>
      <c r="AH659" s="8">
        <v>0</v>
      </c>
      <c r="AI659" s="7" t="s">
        <v>1781</v>
      </c>
      <c r="AJ659" s="7">
        <f t="shared" ca="1" si="149"/>
        <v>1</v>
      </c>
      <c r="AK659" s="96">
        <f t="shared" si="154"/>
        <v>0</v>
      </c>
      <c r="AL659" s="97">
        <f t="shared" si="155"/>
        <v>0</v>
      </c>
    </row>
    <row r="660" spans="1:38" x14ac:dyDescent="0.3">
      <c r="A660" s="7" t="s">
        <v>2230</v>
      </c>
      <c r="B660" s="7" t="s">
        <v>1320</v>
      </c>
      <c r="C660" s="7" t="s">
        <v>1323</v>
      </c>
      <c r="D660" s="7" t="s">
        <v>2231</v>
      </c>
      <c r="E660" s="7" t="s">
        <v>1695</v>
      </c>
      <c r="F660" s="36">
        <v>43709</v>
      </c>
      <c r="G660" s="36">
        <v>44681</v>
      </c>
      <c r="H660" s="36">
        <v>44895</v>
      </c>
      <c r="I660" s="36">
        <v>44895</v>
      </c>
      <c r="J660" s="7" t="s">
        <v>1699</v>
      </c>
      <c r="K660" s="8">
        <v>0</v>
      </c>
      <c r="L660" s="8">
        <v>0</v>
      </c>
      <c r="M660" s="8">
        <v>0</v>
      </c>
      <c r="N660" s="8">
        <v>11623.809324295</v>
      </c>
      <c r="O660" s="8">
        <v>0</v>
      </c>
      <c r="P660" s="8">
        <v>0</v>
      </c>
      <c r="Q660" s="8">
        <v>0</v>
      </c>
      <c r="R660" s="8">
        <f t="shared" si="148"/>
        <v>11623.809324295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7">
        <v>0</v>
      </c>
      <c r="AB660" s="8">
        <v>0</v>
      </c>
      <c r="AC660" s="7">
        <v>1.9543330000000001</v>
      </c>
      <c r="AD660" s="7" t="s">
        <v>1226</v>
      </c>
      <c r="AE660" s="8">
        <v>0</v>
      </c>
      <c r="AF660" s="8">
        <v>0</v>
      </c>
      <c r="AG660" s="8">
        <v>0</v>
      </c>
      <c r="AH660" s="8">
        <v>0</v>
      </c>
      <c r="AI660" s="7" t="s">
        <v>1781</v>
      </c>
      <c r="AJ660" s="7">
        <f t="shared" ca="1" si="149"/>
        <v>2</v>
      </c>
      <c r="AK660" s="100">
        <f>(+AA660*AB660)/$AB$1103</f>
        <v>0</v>
      </c>
      <c r="AL660" s="97">
        <f>AC660/$AE$1103*AE660</f>
        <v>0</v>
      </c>
    </row>
    <row r="661" spans="1:38" x14ac:dyDescent="0.3">
      <c r="A661" s="7" t="s">
        <v>2232</v>
      </c>
      <c r="B661" s="7" t="s">
        <v>194</v>
      </c>
      <c r="C661" s="7" t="s">
        <v>1769</v>
      </c>
      <c r="D661" s="7" t="s">
        <v>1770</v>
      </c>
      <c r="E661" s="7" t="s">
        <v>1695</v>
      </c>
      <c r="F661" s="36">
        <v>42370</v>
      </c>
      <c r="G661" s="36">
        <v>45291</v>
      </c>
      <c r="H661" s="36">
        <v>44896</v>
      </c>
      <c r="I661" s="36">
        <v>44896</v>
      </c>
      <c r="J661" s="7" t="s">
        <v>1696</v>
      </c>
      <c r="K661" s="8">
        <v>0</v>
      </c>
      <c r="L661" s="8">
        <v>0</v>
      </c>
      <c r="M661" s="8">
        <v>3030768.0546050002</v>
      </c>
      <c r="N661" s="8">
        <v>0</v>
      </c>
      <c r="O661" s="8">
        <v>0</v>
      </c>
      <c r="P661" s="8">
        <v>500</v>
      </c>
      <c r="Q661" s="8">
        <v>0</v>
      </c>
      <c r="R661" s="8">
        <f t="shared" si="148"/>
        <v>3031268.0546050002</v>
      </c>
      <c r="S661" s="8">
        <v>0</v>
      </c>
      <c r="T661" s="8">
        <v>0</v>
      </c>
      <c r="U661" s="8">
        <v>3030768.05</v>
      </c>
      <c r="V661" s="8">
        <v>0</v>
      </c>
      <c r="W661" s="8">
        <v>500</v>
      </c>
      <c r="X661" s="8">
        <v>0</v>
      </c>
      <c r="Y661" s="8">
        <v>3640299.1187900002</v>
      </c>
      <c r="Z661" s="8">
        <v>-908324.47342199995</v>
      </c>
      <c r="AA661" s="7">
        <v>0</v>
      </c>
      <c r="AB661" s="8">
        <v>0</v>
      </c>
      <c r="AC661" s="7">
        <v>2.181667</v>
      </c>
      <c r="AD661" s="7" t="s">
        <v>1226</v>
      </c>
      <c r="AE661" s="8">
        <v>0</v>
      </c>
      <c r="AF661" s="8">
        <v>0</v>
      </c>
      <c r="AG661" s="8">
        <v>0</v>
      </c>
      <c r="AH661" s="8">
        <v>0</v>
      </c>
      <c r="AI661" s="7" t="s">
        <v>1758</v>
      </c>
      <c r="AJ661" s="7">
        <f t="shared" ca="1" si="149"/>
        <v>1</v>
      </c>
      <c r="AK661" s="96">
        <f>(+AA661*AB661)/$AB$1102</f>
        <v>0</v>
      </c>
      <c r="AL661" s="97">
        <f>AC661/$AE$1102*AE661</f>
        <v>0</v>
      </c>
    </row>
    <row r="662" spans="1:38" x14ac:dyDescent="0.3">
      <c r="A662" s="7" t="s">
        <v>2233</v>
      </c>
      <c r="B662" s="7" t="s">
        <v>194</v>
      </c>
      <c r="C662" s="7" t="s">
        <v>1769</v>
      </c>
      <c r="D662" s="7" t="s">
        <v>1770</v>
      </c>
      <c r="E662" s="7" t="s">
        <v>1322</v>
      </c>
      <c r="F662" s="36">
        <v>44896</v>
      </c>
      <c r="G662" s="36">
        <v>44926</v>
      </c>
      <c r="H662" s="36">
        <v>44926</v>
      </c>
      <c r="I662" s="36">
        <v>44926</v>
      </c>
      <c r="J662" s="7" t="s">
        <v>1699</v>
      </c>
      <c r="K662" s="8">
        <v>0</v>
      </c>
      <c r="L662" s="8">
        <v>0</v>
      </c>
      <c r="M662" s="8">
        <v>0</v>
      </c>
      <c r="N662" s="8">
        <v>38642.83</v>
      </c>
      <c r="O662" s="8">
        <v>0</v>
      </c>
      <c r="P662" s="8">
        <v>0</v>
      </c>
      <c r="Q662" s="8">
        <v>0</v>
      </c>
      <c r="R662" s="8">
        <f t="shared" si="148"/>
        <v>38642.83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7">
        <v>0</v>
      </c>
      <c r="AB662" s="8">
        <v>0</v>
      </c>
      <c r="AC662" s="7">
        <v>2</v>
      </c>
      <c r="AD662" s="7" t="s">
        <v>1226</v>
      </c>
      <c r="AE662" s="8">
        <v>0</v>
      </c>
      <c r="AF662" s="8">
        <v>0</v>
      </c>
      <c r="AG662" s="8">
        <v>0</v>
      </c>
      <c r="AH662" s="8">
        <v>0</v>
      </c>
      <c r="AI662" s="7" t="s">
        <v>1758</v>
      </c>
      <c r="AJ662" s="7">
        <f t="shared" ca="1" si="149"/>
        <v>1</v>
      </c>
      <c r="AK662" s="100">
        <f>(+AA662*AB662)/$AB$1103</f>
        <v>0</v>
      </c>
      <c r="AL662" s="97">
        <f>AC662/$AE$1103*AE662</f>
        <v>0</v>
      </c>
    </row>
    <row r="663" spans="1:38" x14ac:dyDescent="0.3">
      <c r="A663" s="7" t="s">
        <v>2234</v>
      </c>
      <c r="B663" s="7" t="s">
        <v>194</v>
      </c>
      <c r="C663" s="7" t="s">
        <v>1323</v>
      </c>
      <c r="D663" s="7" t="s">
        <v>1324</v>
      </c>
      <c r="E663" s="7" t="s">
        <v>1739</v>
      </c>
      <c r="F663" s="36">
        <v>43101</v>
      </c>
      <c r="G663" s="36">
        <v>44926</v>
      </c>
      <c r="I663" s="36">
        <v>45291</v>
      </c>
      <c r="J663" s="7" t="s">
        <v>1696</v>
      </c>
      <c r="K663" s="8">
        <v>0</v>
      </c>
      <c r="L663" s="8">
        <v>0</v>
      </c>
      <c r="M663" s="8">
        <v>59999.995492000002</v>
      </c>
      <c r="N663" s="8">
        <v>0</v>
      </c>
      <c r="O663" s="8">
        <v>0</v>
      </c>
      <c r="P663" s="8">
        <v>0</v>
      </c>
      <c r="Q663" s="8">
        <v>0</v>
      </c>
      <c r="R663" s="8">
        <f t="shared" si="148"/>
        <v>59999.995492000002</v>
      </c>
      <c r="S663" s="8">
        <v>0</v>
      </c>
      <c r="T663" s="8">
        <v>0</v>
      </c>
      <c r="U663" s="8">
        <v>100000</v>
      </c>
      <c r="V663" s="8">
        <v>0</v>
      </c>
      <c r="W663" s="8">
        <v>0</v>
      </c>
      <c r="X663" s="8">
        <v>0</v>
      </c>
      <c r="Y663" s="8">
        <v>0</v>
      </c>
      <c r="Z663" s="8">
        <v>119200.97491600001</v>
      </c>
      <c r="AA663" s="7">
        <v>1</v>
      </c>
      <c r="AB663" s="8">
        <v>19827.460407999999</v>
      </c>
      <c r="AC663" s="7">
        <v>2.318333</v>
      </c>
      <c r="AD663" s="7" t="s">
        <v>1226</v>
      </c>
      <c r="AE663" s="8">
        <v>20000</v>
      </c>
      <c r="AF663" s="8">
        <v>0</v>
      </c>
      <c r="AG663" s="8">
        <v>20000</v>
      </c>
      <c r="AH663" s="8">
        <v>0</v>
      </c>
      <c r="AI663" s="7" t="s">
        <v>1758</v>
      </c>
      <c r="AJ663" s="7">
        <f t="shared" ca="1" si="149"/>
        <v>1</v>
      </c>
      <c r="AK663" s="96">
        <f t="shared" ref="AK663:AK664" si="156">(+AA663*AB663)/$AB$1102</f>
        <v>1.7377262286496423E-5</v>
      </c>
      <c r="AL663" s="97">
        <f t="shared" ref="AL663:AL664" si="157">AC663/$AE$1102*AE663</f>
        <v>3.9674137000525535E-5</v>
      </c>
    </row>
    <row r="664" spans="1:38" x14ac:dyDescent="0.3">
      <c r="A664" s="7" t="s">
        <v>2235</v>
      </c>
      <c r="B664" s="7" t="s">
        <v>194</v>
      </c>
      <c r="C664" s="7" t="s">
        <v>1769</v>
      </c>
      <c r="D664" s="7" t="s">
        <v>1770</v>
      </c>
      <c r="E664" s="7" t="s">
        <v>1695</v>
      </c>
      <c r="F664" s="36">
        <v>42370</v>
      </c>
      <c r="G664" s="36">
        <v>45291</v>
      </c>
      <c r="H664" s="36">
        <v>44835</v>
      </c>
      <c r="I664" s="36">
        <v>44835</v>
      </c>
      <c r="J664" s="7" t="s">
        <v>1696</v>
      </c>
      <c r="K664" s="8">
        <v>0</v>
      </c>
      <c r="L664" s="8">
        <v>0</v>
      </c>
      <c r="M664" s="8">
        <v>2835000.0039420002</v>
      </c>
      <c r="N664" s="8">
        <v>0</v>
      </c>
      <c r="O664" s="8">
        <v>0</v>
      </c>
      <c r="P664" s="8">
        <v>2985.13</v>
      </c>
      <c r="Q664" s="8">
        <v>0</v>
      </c>
      <c r="R664" s="8">
        <f t="shared" si="148"/>
        <v>2837985.1339420001</v>
      </c>
      <c r="S664" s="8">
        <v>0</v>
      </c>
      <c r="T664" s="8">
        <v>0</v>
      </c>
      <c r="U664" s="8">
        <v>2835000</v>
      </c>
      <c r="V664" s="8">
        <v>0</v>
      </c>
      <c r="W664" s="8">
        <v>2985.13</v>
      </c>
      <c r="X664" s="8">
        <v>0</v>
      </c>
      <c r="Y664" s="8">
        <v>3435454.2375099999</v>
      </c>
      <c r="Z664" s="8">
        <v>-923039.23145199998</v>
      </c>
      <c r="AA664" s="7">
        <v>0</v>
      </c>
      <c r="AB664" s="8">
        <v>0</v>
      </c>
      <c r="AC664" s="7">
        <v>2.181667</v>
      </c>
      <c r="AD664" s="7" t="s">
        <v>1226</v>
      </c>
      <c r="AE664" s="8">
        <v>0</v>
      </c>
      <c r="AF664" s="8">
        <v>0</v>
      </c>
      <c r="AG664" s="8">
        <v>0</v>
      </c>
      <c r="AH664" s="8">
        <v>0</v>
      </c>
      <c r="AI664" s="7" t="s">
        <v>1758</v>
      </c>
      <c r="AJ664" s="7">
        <f t="shared" ca="1" si="149"/>
        <v>1</v>
      </c>
      <c r="AK664" s="96">
        <f t="shared" si="156"/>
        <v>0</v>
      </c>
      <c r="AL664" s="97">
        <f t="shared" si="157"/>
        <v>0</v>
      </c>
    </row>
    <row r="665" spans="1:38" x14ac:dyDescent="0.3">
      <c r="A665" s="7" t="s">
        <v>2236</v>
      </c>
      <c r="B665" s="7" t="s">
        <v>194</v>
      </c>
      <c r="C665" s="7" t="s">
        <v>1769</v>
      </c>
      <c r="D665" s="7" t="s">
        <v>1770</v>
      </c>
      <c r="E665" s="7" t="s">
        <v>1695</v>
      </c>
      <c r="F665" s="36">
        <v>44835</v>
      </c>
      <c r="G665" s="36">
        <v>44865</v>
      </c>
      <c r="H665" s="36">
        <v>44865</v>
      </c>
      <c r="I665" s="36">
        <v>44865</v>
      </c>
      <c r="J665" s="7" t="s">
        <v>1699</v>
      </c>
      <c r="K665" s="8">
        <v>0</v>
      </c>
      <c r="L665" s="8">
        <v>0</v>
      </c>
      <c r="M665" s="8">
        <v>0</v>
      </c>
      <c r="N665" s="8">
        <v>37885.129999999997</v>
      </c>
      <c r="O665" s="8">
        <v>0</v>
      </c>
      <c r="P665" s="8">
        <v>37985.129999999997</v>
      </c>
      <c r="Q665" s="8">
        <v>0</v>
      </c>
      <c r="R665" s="8">
        <f t="shared" si="148"/>
        <v>75870.259999999995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7">
        <v>0</v>
      </c>
      <c r="AB665" s="8">
        <v>0</v>
      </c>
      <c r="AC665" s="7">
        <v>2</v>
      </c>
      <c r="AD665" s="7" t="s">
        <v>1226</v>
      </c>
      <c r="AE665" s="8">
        <v>0</v>
      </c>
      <c r="AF665" s="8">
        <v>0</v>
      </c>
      <c r="AG665" s="8">
        <v>0</v>
      </c>
      <c r="AH665" s="8">
        <v>0</v>
      </c>
      <c r="AI665" s="7" t="s">
        <v>1758</v>
      </c>
      <c r="AJ665" s="7">
        <f t="shared" ca="1" si="149"/>
        <v>1</v>
      </c>
      <c r="AK665" s="100">
        <f>(+AA665*AB665)/$AB$1103</f>
        <v>0</v>
      </c>
      <c r="AL665" s="97">
        <f>AC665/$AE$1103*AE665</f>
        <v>0</v>
      </c>
    </row>
    <row r="666" spans="1:38" x14ac:dyDescent="0.3">
      <c r="A666" s="7" t="s">
        <v>2237</v>
      </c>
      <c r="B666" s="7" t="s">
        <v>194</v>
      </c>
      <c r="C666" s="7" t="s">
        <v>1769</v>
      </c>
      <c r="D666" s="7" t="s">
        <v>1770</v>
      </c>
      <c r="E666" s="7" t="s">
        <v>1322</v>
      </c>
      <c r="F666" s="36">
        <v>42370</v>
      </c>
      <c r="G666" s="36">
        <v>45291</v>
      </c>
      <c r="H666" s="36">
        <v>45291</v>
      </c>
      <c r="I666" s="36">
        <v>45657</v>
      </c>
      <c r="J666" s="7" t="s">
        <v>1696</v>
      </c>
      <c r="K666" s="8">
        <v>0</v>
      </c>
      <c r="L666" s="8">
        <v>0</v>
      </c>
      <c r="M666" s="8">
        <v>2939999.9982250002</v>
      </c>
      <c r="N666" s="8">
        <v>0</v>
      </c>
      <c r="O666" s="8">
        <v>0</v>
      </c>
      <c r="P666" s="8">
        <v>0</v>
      </c>
      <c r="Q666" s="8">
        <v>0</v>
      </c>
      <c r="R666" s="8">
        <f t="shared" si="148"/>
        <v>2939999.9982250002</v>
      </c>
      <c r="S666" s="8">
        <v>0</v>
      </c>
      <c r="T666" s="8">
        <v>0</v>
      </c>
      <c r="U666" s="8">
        <v>2940000</v>
      </c>
      <c r="V666" s="8">
        <v>0</v>
      </c>
      <c r="W666" s="8">
        <v>0</v>
      </c>
      <c r="X666" s="8">
        <v>0</v>
      </c>
      <c r="Y666" s="8">
        <v>3435454.2375099999</v>
      </c>
      <c r="Z666" s="8">
        <v>0</v>
      </c>
      <c r="AA666" s="7">
        <v>2.0027400000000002</v>
      </c>
      <c r="AB666" s="8">
        <v>822700.54573500005</v>
      </c>
      <c r="AC666" s="7">
        <v>2.181667</v>
      </c>
      <c r="AD666" s="7" t="s">
        <v>1226</v>
      </c>
      <c r="AE666" s="8">
        <v>840000</v>
      </c>
      <c r="AF666" s="8">
        <v>0</v>
      </c>
      <c r="AG666" s="8">
        <v>840000</v>
      </c>
      <c r="AH666" s="8">
        <v>0</v>
      </c>
      <c r="AI666" s="7" t="s">
        <v>1758</v>
      </c>
      <c r="AJ666" s="7">
        <f t="shared" ca="1" si="149"/>
        <v>1</v>
      </c>
      <c r="AK666" s="96">
        <f t="shared" ref="AK666:AK674" si="158">(+AA666*AB666)/$AB$1102</f>
        <v>1.4440446511891907E-3</v>
      </c>
      <c r="AL666" s="97">
        <f t="shared" ref="AL666:AL674" si="159">AC666/$AE$1102*AE666</f>
        <v>1.5680843644101485E-3</v>
      </c>
    </row>
    <row r="667" spans="1:38" x14ac:dyDescent="0.3">
      <c r="A667" s="7" t="s">
        <v>2238</v>
      </c>
      <c r="B667" s="7" t="s">
        <v>194</v>
      </c>
      <c r="C667" s="7" t="s">
        <v>1769</v>
      </c>
      <c r="D667" s="7" t="s">
        <v>1770</v>
      </c>
      <c r="E667" s="7" t="s">
        <v>1322</v>
      </c>
      <c r="F667" s="36">
        <v>42370</v>
      </c>
      <c r="G667" s="36">
        <v>45291</v>
      </c>
      <c r="H667" s="36">
        <v>45291</v>
      </c>
      <c r="I667" s="36">
        <v>45657</v>
      </c>
      <c r="J667" s="7" t="s">
        <v>1696</v>
      </c>
      <c r="K667" s="8">
        <v>0</v>
      </c>
      <c r="L667" s="8">
        <v>0</v>
      </c>
      <c r="M667" s="8">
        <v>2983713.9564319998</v>
      </c>
      <c r="N667" s="8">
        <v>0</v>
      </c>
      <c r="O667" s="8">
        <v>0</v>
      </c>
      <c r="P667" s="8">
        <v>0</v>
      </c>
      <c r="Q667" s="8">
        <v>0</v>
      </c>
      <c r="R667" s="8">
        <f t="shared" si="148"/>
        <v>2983713.9564319998</v>
      </c>
      <c r="S667" s="8">
        <v>0</v>
      </c>
      <c r="T667" s="8">
        <v>0</v>
      </c>
      <c r="U667" s="8">
        <v>2983713.96</v>
      </c>
      <c r="V667" s="8">
        <v>0</v>
      </c>
      <c r="W667" s="8">
        <v>0</v>
      </c>
      <c r="X667" s="8">
        <v>0</v>
      </c>
      <c r="Y667" s="8">
        <v>3435454.2375099999</v>
      </c>
      <c r="Z667" s="8">
        <v>79859.636488999997</v>
      </c>
      <c r="AA667" s="7">
        <v>2.0027400000000002</v>
      </c>
      <c r="AB667" s="8">
        <v>905588.884571</v>
      </c>
      <c r="AC667" s="7">
        <v>2.5</v>
      </c>
      <c r="AD667" s="7" t="s">
        <v>1726</v>
      </c>
      <c r="AE667" s="8">
        <v>927427.92</v>
      </c>
      <c r="AF667" s="8">
        <v>0</v>
      </c>
      <c r="AG667" s="8">
        <v>927427.92</v>
      </c>
      <c r="AH667" s="8">
        <v>0</v>
      </c>
      <c r="AI667" s="7" t="s">
        <v>1758</v>
      </c>
      <c r="AJ667" s="7">
        <f t="shared" ca="1" si="149"/>
        <v>1</v>
      </c>
      <c r="AK667" s="96">
        <f t="shared" si="158"/>
        <v>1.5895343593978412E-3</v>
      </c>
      <c r="AL667" s="97">
        <f t="shared" si="159"/>
        <v>1.9839094705221619E-3</v>
      </c>
    </row>
    <row r="668" spans="1:38" x14ac:dyDescent="0.3">
      <c r="A668" s="7" t="s">
        <v>2239</v>
      </c>
      <c r="B668" s="7" t="s">
        <v>194</v>
      </c>
      <c r="C668" s="7" t="s">
        <v>1323</v>
      </c>
      <c r="D668" s="7" t="s">
        <v>1324</v>
      </c>
      <c r="E668" s="7" t="s">
        <v>1322</v>
      </c>
      <c r="F668" s="36">
        <v>43101</v>
      </c>
      <c r="G668" s="36">
        <v>45291</v>
      </c>
      <c r="H668" s="36">
        <v>45291</v>
      </c>
      <c r="I668" s="36">
        <v>45291</v>
      </c>
      <c r="J668" s="7" t="s">
        <v>1696</v>
      </c>
      <c r="K668" s="8">
        <v>0</v>
      </c>
      <c r="L668" s="8">
        <v>0</v>
      </c>
      <c r="M668" s="8">
        <v>58750.000541000001</v>
      </c>
      <c r="N668" s="8">
        <v>0</v>
      </c>
      <c r="O668" s="8">
        <v>0</v>
      </c>
      <c r="P668" s="8">
        <v>0</v>
      </c>
      <c r="Q668" s="8">
        <v>0</v>
      </c>
      <c r="R668" s="8">
        <f t="shared" si="148"/>
        <v>58750.000541000001</v>
      </c>
      <c r="S668" s="8">
        <v>0</v>
      </c>
      <c r="T668" s="8">
        <v>0</v>
      </c>
      <c r="U668" s="8">
        <v>99500</v>
      </c>
      <c r="V668" s="8">
        <v>0</v>
      </c>
      <c r="W668" s="8">
        <v>0</v>
      </c>
      <c r="X668" s="8">
        <v>0</v>
      </c>
      <c r="Y668" s="8">
        <v>116772.233826</v>
      </c>
      <c r="Z668" s="8">
        <v>0</v>
      </c>
      <c r="AA668" s="7">
        <v>1</v>
      </c>
      <c r="AB668" s="8">
        <v>17844.714367</v>
      </c>
      <c r="AC668" s="7">
        <v>2.318333</v>
      </c>
      <c r="AD668" s="7" t="s">
        <v>1226</v>
      </c>
      <c r="AE668" s="8">
        <v>18000</v>
      </c>
      <c r="AF668" s="8">
        <v>0</v>
      </c>
      <c r="AG668" s="8">
        <v>18000</v>
      </c>
      <c r="AH668" s="8">
        <v>0</v>
      </c>
      <c r="AI668" s="7" t="s">
        <v>1758</v>
      </c>
      <c r="AJ668" s="7">
        <f t="shared" ca="1" si="149"/>
        <v>1</v>
      </c>
      <c r="AK668" s="96">
        <f t="shared" si="158"/>
        <v>1.5639536057671499E-5</v>
      </c>
      <c r="AL668" s="97">
        <f t="shared" si="159"/>
        <v>3.5706723300472982E-5</v>
      </c>
    </row>
    <row r="669" spans="1:38" x14ac:dyDescent="0.3">
      <c r="A669" s="7" t="s">
        <v>2240</v>
      </c>
      <c r="B669" s="7" t="s">
        <v>194</v>
      </c>
      <c r="C669" s="7" t="s">
        <v>1769</v>
      </c>
      <c r="D669" s="7" t="s">
        <v>1770</v>
      </c>
      <c r="E669" s="7" t="s">
        <v>1695</v>
      </c>
      <c r="F669" s="36">
        <v>42370</v>
      </c>
      <c r="G669" s="36">
        <v>45291</v>
      </c>
      <c r="H669" s="36">
        <v>44652</v>
      </c>
      <c r="I669" s="36">
        <v>44652</v>
      </c>
      <c r="J669" s="7" t="s">
        <v>1696</v>
      </c>
      <c r="K669" s="8">
        <v>0</v>
      </c>
      <c r="L669" s="8">
        <v>0</v>
      </c>
      <c r="M669" s="8">
        <v>2625000.0019330001</v>
      </c>
      <c r="N669" s="8">
        <v>0</v>
      </c>
      <c r="O669" s="8">
        <v>0</v>
      </c>
      <c r="P669" s="8">
        <v>0</v>
      </c>
      <c r="Q669" s="8">
        <v>0</v>
      </c>
      <c r="R669" s="8">
        <f t="shared" si="148"/>
        <v>2625000.0019330001</v>
      </c>
      <c r="S669" s="8">
        <v>0</v>
      </c>
      <c r="T669" s="8">
        <v>0</v>
      </c>
      <c r="U669" s="8">
        <v>2625000</v>
      </c>
      <c r="V669" s="8">
        <v>0</v>
      </c>
      <c r="W669" s="8">
        <v>0</v>
      </c>
      <c r="X669" s="8">
        <v>0</v>
      </c>
      <c r="Y669" s="8">
        <v>3070044.5509959999</v>
      </c>
      <c r="Z669" s="8">
        <v>-720999.17292899999</v>
      </c>
      <c r="AA669" s="7">
        <v>0</v>
      </c>
      <c r="AB669" s="8">
        <v>0</v>
      </c>
      <c r="AC669" s="7">
        <v>2.318333</v>
      </c>
      <c r="AD669" s="7" t="s">
        <v>1226</v>
      </c>
      <c r="AE669" s="8">
        <v>0</v>
      </c>
      <c r="AF669" s="8">
        <v>0</v>
      </c>
      <c r="AG669" s="8">
        <v>0</v>
      </c>
      <c r="AH669" s="8">
        <v>0</v>
      </c>
      <c r="AI669" s="7" t="s">
        <v>1758</v>
      </c>
      <c r="AJ669" s="7">
        <f t="shared" ca="1" si="149"/>
        <v>1</v>
      </c>
      <c r="AK669" s="96">
        <f t="shared" si="158"/>
        <v>0</v>
      </c>
      <c r="AL669" s="97">
        <f t="shared" si="159"/>
        <v>0</v>
      </c>
    </row>
    <row r="670" spans="1:38" x14ac:dyDescent="0.3">
      <c r="A670" s="7" t="s">
        <v>2241</v>
      </c>
      <c r="B670" s="7" t="s">
        <v>194</v>
      </c>
      <c r="C670" s="7" t="s">
        <v>1769</v>
      </c>
      <c r="D670" s="7" t="s">
        <v>1770</v>
      </c>
      <c r="E670" s="7" t="s">
        <v>1322</v>
      </c>
      <c r="F670" s="36">
        <v>44652</v>
      </c>
      <c r="G670" s="36">
        <v>45291</v>
      </c>
      <c r="H670" s="36">
        <v>45291</v>
      </c>
      <c r="I670" s="36">
        <v>45657</v>
      </c>
      <c r="J670" s="7" t="s">
        <v>1696</v>
      </c>
      <c r="K670" s="8">
        <v>0</v>
      </c>
      <c r="L670" s="8">
        <v>0</v>
      </c>
      <c r="M670" s="8">
        <v>345925.66</v>
      </c>
      <c r="N670" s="8">
        <v>0</v>
      </c>
      <c r="O670" s="8">
        <v>0</v>
      </c>
      <c r="P670" s="8">
        <v>0</v>
      </c>
      <c r="Q670" s="8">
        <v>0</v>
      </c>
      <c r="R670" s="8">
        <f t="shared" si="148"/>
        <v>345925.66</v>
      </c>
      <c r="S670" s="8">
        <v>0</v>
      </c>
      <c r="T670" s="8">
        <v>0</v>
      </c>
      <c r="U670" s="8">
        <v>340966.17</v>
      </c>
      <c r="V670" s="8">
        <v>0</v>
      </c>
      <c r="W670" s="8">
        <v>0</v>
      </c>
      <c r="X670" s="8">
        <v>0</v>
      </c>
      <c r="Y670" s="8">
        <v>0</v>
      </c>
      <c r="Z670" s="8">
        <v>1268394.0900000001</v>
      </c>
      <c r="AA670" s="7">
        <v>2.0027400000000002</v>
      </c>
      <c r="AB670" s="8">
        <v>927427.92</v>
      </c>
      <c r="AC670" s="7">
        <v>0</v>
      </c>
      <c r="AD670" s="7" t="s">
        <v>1226</v>
      </c>
      <c r="AE670" s="8">
        <v>927427.92</v>
      </c>
      <c r="AF670" s="8">
        <v>0</v>
      </c>
      <c r="AG670" s="8">
        <v>927427.92</v>
      </c>
      <c r="AH670" s="8">
        <v>0</v>
      </c>
      <c r="AI670" s="7" t="s">
        <v>1758</v>
      </c>
      <c r="AJ670" s="7">
        <f t="shared" ca="1" si="149"/>
        <v>1</v>
      </c>
      <c r="AK670" s="96">
        <f t="shared" si="158"/>
        <v>1.6278673135472809E-3</v>
      </c>
      <c r="AL670" s="97">
        <f t="shared" si="159"/>
        <v>0</v>
      </c>
    </row>
    <row r="671" spans="1:38" x14ac:dyDescent="0.3">
      <c r="A671" s="7" t="s">
        <v>2242</v>
      </c>
      <c r="B671" s="7" t="s">
        <v>194</v>
      </c>
      <c r="C671" s="7" t="s">
        <v>1323</v>
      </c>
      <c r="D671" s="7" t="s">
        <v>1324</v>
      </c>
      <c r="E671" s="7" t="s">
        <v>1322</v>
      </c>
      <c r="F671" s="36">
        <v>43101</v>
      </c>
      <c r="G671" s="36">
        <v>45291</v>
      </c>
      <c r="H671" s="36">
        <v>45291</v>
      </c>
      <c r="I671" s="36">
        <v>45291</v>
      </c>
      <c r="J671" s="7" t="s">
        <v>1696</v>
      </c>
      <c r="K671" s="8">
        <v>0</v>
      </c>
      <c r="L671" s="8">
        <v>0</v>
      </c>
      <c r="M671" s="8">
        <v>59999.995492000002</v>
      </c>
      <c r="N671" s="8">
        <v>0</v>
      </c>
      <c r="O671" s="8">
        <v>0</v>
      </c>
      <c r="P671" s="8">
        <v>0</v>
      </c>
      <c r="Q671" s="8">
        <v>0</v>
      </c>
      <c r="R671" s="8">
        <f t="shared" si="148"/>
        <v>59999.995492000002</v>
      </c>
      <c r="S671" s="8">
        <v>0</v>
      </c>
      <c r="T671" s="8">
        <v>0</v>
      </c>
      <c r="U671" s="8">
        <v>100000</v>
      </c>
      <c r="V671" s="8">
        <v>0</v>
      </c>
      <c r="W671" s="8">
        <v>0</v>
      </c>
      <c r="X671" s="8">
        <v>0</v>
      </c>
      <c r="Y671" s="8">
        <v>119200.97491600001</v>
      </c>
      <c r="Z671" s="8">
        <v>0</v>
      </c>
      <c r="AA671" s="7">
        <v>1</v>
      </c>
      <c r="AB671" s="8">
        <v>19827.460407999999</v>
      </c>
      <c r="AC671" s="7">
        <v>2.318333</v>
      </c>
      <c r="AD671" s="7" t="s">
        <v>1226</v>
      </c>
      <c r="AE671" s="8">
        <v>20000</v>
      </c>
      <c r="AF671" s="8">
        <v>0</v>
      </c>
      <c r="AG671" s="8">
        <v>20000</v>
      </c>
      <c r="AH671" s="8">
        <v>0</v>
      </c>
      <c r="AI671" s="7" t="s">
        <v>1758</v>
      </c>
      <c r="AJ671" s="7">
        <f t="shared" ca="1" si="149"/>
        <v>1</v>
      </c>
      <c r="AK671" s="96">
        <f t="shared" si="158"/>
        <v>1.7377262286496423E-5</v>
      </c>
      <c r="AL671" s="97">
        <f t="shared" si="159"/>
        <v>3.9674137000525535E-5</v>
      </c>
    </row>
    <row r="672" spans="1:38" x14ac:dyDescent="0.3">
      <c r="A672" s="7" t="s">
        <v>2243</v>
      </c>
      <c r="B672" s="7" t="s">
        <v>194</v>
      </c>
      <c r="C672" s="7" t="s">
        <v>1323</v>
      </c>
      <c r="D672" s="7" t="s">
        <v>1324</v>
      </c>
      <c r="E672" s="7" t="s">
        <v>1773</v>
      </c>
      <c r="F672" s="36">
        <v>44866</v>
      </c>
      <c r="G672" s="36">
        <v>45961</v>
      </c>
      <c r="H672" s="36">
        <v>45961</v>
      </c>
      <c r="I672" s="36">
        <v>45961</v>
      </c>
      <c r="J672" s="7" t="s">
        <v>1696</v>
      </c>
      <c r="K672" s="8">
        <v>0</v>
      </c>
      <c r="L672" s="8">
        <v>0</v>
      </c>
      <c r="M672" s="8">
        <v>1111.1057229999999</v>
      </c>
      <c r="N672" s="8">
        <v>0</v>
      </c>
      <c r="O672" s="8">
        <v>0</v>
      </c>
      <c r="P672" s="8">
        <v>0</v>
      </c>
      <c r="Q672" s="8">
        <v>0</v>
      </c>
      <c r="R672" s="8">
        <f t="shared" si="148"/>
        <v>1111.1057229999999</v>
      </c>
      <c r="S672" s="8">
        <v>0</v>
      </c>
      <c r="T672" s="8">
        <v>0</v>
      </c>
      <c r="U672" s="8">
        <v>1111.104</v>
      </c>
      <c r="V672" s="8">
        <v>0</v>
      </c>
      <c r="W672" s="8">
        <v>0</v>
      </c>
      <c r="X672" s="8">
        <v>0</v>
      </c>
      <c r="Y672" s="8">
        <v>19151.228132</v>
      </c>
      <c r="Z672" s="8">
        <v>0</v>
      </c>
      <c r="AA672" s="7">
        <v>2.8356159999999999</v>
      </c>
      <c r="AB672" s="8">
        <v>18131.829855</v>
      </c>
      <c r="AC672" s="7">
        <v>3</v>
      </c>
      <c r="AD672" s="7" t="s">
        <v>1226</v>
      </c>
      <c r="AE672" s="8">
        <v>18888.768</v>
      </c>
      <c r="AF672" s="8">
        <v>0</v>
      </c>
      <c r="AG672" s="8">
        <v>18888.768</v>
      </c>
      <c r="AH672" s="8">
        <v>0</v>
      </c>
      <c r="AI672" s="7" t="s">
        <v>1730</v>
      </c>
      <c r="AJ672" s="7">
        <f t="shared" ca="1" si="149"/>
        <v>1</v>
      </c>
      <c r="AK672" s="96">
        <f t="shared" si="158"/>
        <v>4.5061258644109698E-5</v>
      </c>
      <c r="AL672" s="97">
        <f t="shared" si="159"/>
        <v>4.8487139427541864E-5</v>
      </c>
    </row>
    <row r="673" spans="1:38" x14ac:dyDescent="0.3">
      <c r="A673" s="7" t="s">
        <v>2244</v>
      </c>
      <c r="B673" s="7" t="s">
        <v>194</v>
      </c>
      <c r="C673" s="7" t="s">
        <v>1323</v>
      </c>
      <c r="D673" s="7" t="s">
        <v>1324</v>
      </c>
      <c r="E673" s="7" t="s">
        <v>1773</v>
      </c>
      <c r="F673" s="36">
        <v>44866</v>
      </c>
      <c r="G673" s="36">
        <v>45961</v>
      </c>
      <c r="H673" s="36">
        <v>45961</v>
      </c>
      <c r="I673" s="36">
        <v>45961</v>
      </c>
      <c r="J673" s="7" t="s">
        <v>1696</v>
      </c>
      <c r="K673" s="8">
        <v>0</v>
      </c>
      <c r="L673" s="8">
        <v>0</v>
      </c>
      <c r="M673" s="8">
        <v>1111.1057229999999</v>
      </c>
      <c r="N673" s="8">
        <v>0</v>
      </c>
      <c r="O673" s="8">
        <v>0</v>
      </c>
      <c r="P673" s="8">
        <v>0</v>
      </c>
      <c r="Q673" s="8">
        <v>0</v>
      </c>
      <c r="R673" s="8">
        <f t="shared" si="148"/>
        <v>1111.1057229999999</v>
      </c>
      <c r="S673" s="8">
        <v>0</v>
      </c>
      <c r="T673" s="8">
        <v>0</v>
      </c>
      <c r="U673" s="8">
        <v>1111.104</v>
      </c>
      <c r="V673" s="8">
        <v>0</v>
      </c>
      <c r="W673" s="8">
        <v>0</v>
      </c>
      <c r="X673" s="8">
        <v>0</v>
      </c>
      <c r="Y673" s="8">
        <v>19151.228132</v>
      </c>
      <c r="Z673" s="8">
        <v>0</v>
      </c>
      <c r="AA673" s="7">
        <v>2.8356159999999999</v>
      </c>
      <c r="AB673" s="8">
        <v>18131.829855</v>
      </c>
      <c r="AC673" s="7">
        <v>3</v>
      </c>
      <c r="AD673" s="7" t="s">
        <v>1226</v>
      </c>
      <c r="AE673" s="8">
        <v>18888.768</v>
      </c>
      <c r="AF673" s="8">
        <v>0</v>
      </c>
      <c r="AG673" s="8">
        <v>18888.768</v>
      </c>
      <c r="AH673" s="8">
        <v>0</v>
      </c>
      <c r="AI673" s="7" t="s">
        <v>1730</v>
      </c>
      <c r="AJ673" s="7">
        <f t="shared" ca="1" si="149"/>
        <v>1</v>
      </c>
      <c r="AK673" s="96">
        <f t="shared" si="158"/>
        <v>4.5061258644109698E-5</v>
      </c>
      <c r="AL673" s="97">
        <f t="shared" si="159"/>
        <v>4.8487139427541864E-5</v>
      </c>
    </row>
    <row r="674" spans="1:38" x14ac:dyDescent="0.3">
      <c r="A674" s="7" t="s">
        <v>2245</v>
      </c>
      <c r="B674" s="7" t="s">
        <v>194</v>
      </c>
      <c r="C674" s="7" t="s">
        <v>1323</v>
      </c>
      <c r="D674" s="7" t="s">
        <v>1324</v>
      </c>
      <c r="E674" s="7" t="s">
        <v>1322</v>
      </c>
      <c r="F674" s="36">
        <v>44835</v>
      </c>
      <c r="G674" s="36">
        <v>45930</v>
      </c>
      <c r="H674" s="36">
        <v>45930</v>
      </c>
      <c r="I674" s="36">
        <v>45930</v>
      </c>
      <c r="J674" s="7" t="s">
        <v>1696</v>
      </c>
      <c r="K674" s="8">
        <v>0</v>
      </c>
      <c r="L674" s="8">
        <v>0</v>
      </c>
      <c r="M674" s="8">
        <v>1296.303746</v>
      </c>
      <c r="N674" s="8">
        <v>0</v>
      </c>
      <c r="O674" s="8">
        <v>0</v>
      </c>
      <c r="P674" s="8">
        <v>0</v>
      </c>
      <c r="Q674" s="8">
        <v>0</v>
      </c>
      <c r="R674" s="8">
        <f t="shared" si="148"/>
        <v>1296.303746</v>
      </c>
      <c r="S674" s="8">
        <v>0</v>
      </c>
      <c r="T674" s="8">
        <v>0</v>
      </c>
      <c r="U674" s="8">
        <v>1296.3</v>
      </c>
      <c r="V674" s="8">
        <v>0</v>
      </c>
      <c r="W674" s="8">
        <v>0</v>
      </c>
      <c r="X674" s="8">
        <v>0</v>
      </c>
      <c r="Y674" s="8">
        <v>14895.537548</v>
      </c>
      <c r="Z674" s="8">
        <v>0</v>
      </c>
      <c r="AA674" s="7">
        <v>2.7506849999999998</v>
      </c>
      <c r="AB674" s="8">
        <v>13704.741293999999</v>
      </c>
      <c r="AC674" s="7">
        <v>3</v>
      </c>
      <c r="AD674" s="7" t="s">
        <v>1226</v>
      </c>
      <c r="AE674" s="8">
        <v>14259.3</v>
      </c>
      <c r="AF674" s="8">
        <v>0</v>
      </c>
      <c r="AG674" s="8">
        <v>14259.3</v>
      </c>
      <c r="AH674" s="8">
        <v>0</v>
      </c>
      <c r="AI674" s="7" t="s">
        <v>1730</v>
      </c>
      <c r="AJ674" s="7">
        <f t="shared" ca="1" si="149"/>
        <v>1</v>
      </c>
      <c r="AK674" s="96">
        <f t="shared" si="158"/>
        <v>3.3038929392384366E-5</v>
      </c>
      <c r="AL674" s="97">
        <f t="shared" si="159"/>
        <v>3.6603375468381404E-5</v>
      </c>
    </row>
    <row r="675" spans="1:38" x14ac:dyDescent="0.3">
      <c r="A675" s="7" t="s">
        <v>2246</v>
      </c>
      <c r="B675" s="7" t="s">
        <v>1768</v>
      </c>
      <c r="C675" s="7" t="s">
        <v>1323</v>
      </c>
      <c r="D675" s="7" t="s">
        <v>1324</v>
      </c>
      <c r="E675" s="7" t="s">
        <v>1322</v>
      </c>
      <c r="F675" s="36">
        <v>44197</v>
      </c>
      <c r="G675" s="36">
        <v>45657</v>
      </c>
      <c r="H675" s="36">
        <v>45657</v>
      </c>
      <c r="I675" s="36">
        <v>45657</v>
      </c>
      <c r="J675" s="7" t="s">
        <v>1239</v>
      </c>
      <c r="K675" s="8">
        <v>12641.72</v>
      </c>
      <c r="L675" s="8">
        <v>770.70765600000004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f t="shared" si="148"/>
        <v>13412.427656</v>
      </c>
      <c r="S675" s="8">
        <v>0</v>
      </c>
      <c r="T675" s="8">
        <v>748.76132700000005</v>
      </c>
      <c r="U675" s="8">
        <v>0</v>
      </c>
      <c r="V675" s="8">
        <v>12405.398673</v>
      </c>
      <c r="W675" s="8">
        <v>0</v>
      </c>
      <c r="X675" s="8">
        <v>25283.439059</v>
      </c>
      <c r="Y675" s="8">
        <v>0</v>
      </c>
      <c r="Z675" s="8">
        <v>0</v>
      </c>
      <c r="AA675" s="7">
        <v>2.0027400000000002</v>
      </c>
      <c r="AB675" s="8">
        <v>12878.040386000001</v>
      </c>
      <c r="AC675" s="7">
        <v>2.0449999999999999</v>
      </c>
      <c r="AD675" s="7" t="s">
        <v>1226</v>
      </c>
      <c r="AE675" s="8">
        <v>13154.16</v>
      </c>
      <c r="AF675" s="8">
        <v>0</v>
      </c>
      <c r="AG675" s="8">
        <v>13154.16</v>
      </c>
      <c r="AH675" s="8">
        <v>0</v>
      </c>
      <c r="AI675" s="7" t="s">
        <v>1781</v>
      </c>
      <c r="AJ675" s="7">
        <f t="shared" ca="1" si="149"/>
        <v>1</v>
      </c>
      <c r="AK675" s="96">
        <f t="shared" ref="AK675:AK702" si="160">(+AA675*AB675)/$AB$1101</f>
        <v>1.7277740868599066E-4</v>
      </c>
      <c r="AL675" s="97">
        <f t="shared" ref="AL675:AL702" si="161">AC675/$AE$1101*AE675</f>
        <v>1.7100587292444733E-4</v>
      </c>
    </row>
    <row r="676" spans="1:38" x14ac:dyDescent="0.3">
      <c r="A676" s="7" t="s">
        <v>2247</v>
      </c>
      <c r="B676" s="7" t="s">
        <v>1768</v>
      </c>
      <c r="C676" s="7" t="s">
        <v>1323</v>
      </c>
      <c r="D676" s="7" t="s">
        <v>1324</v>
      </c>
      <c r="E676" s="7" t="s">
        <v>1322</v>
      </c>
      <c r="F676" s="36">
        <v>44197</v>
      </c>
      <c r="G676" s="36">
        <v>45657</v>
      </c>
      <c r="H676" s="36">
        <v>45657</v>
      </c>
      <c r="I676" s="36">
        <v>45657</v>
      </c>
      <c r="J676" s="7" t="s">
        <v>1239</v>
      </c>
      <c r="K676" s="8">
        <v>14317.93</v>
      </c>
      <c r="L676" s="8">
        <v>872.90031199999999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f t="shared" si="148"/>
        <v>15190.830312</v>
      </c>
      <c r="S676" s="8">
        <v>0</v>
      </c>
      <c r="T676" s="8">
        <v>848.043993</v>
      </c>
      <c r="U676" s="8">
        <v>0</v>
      </c>
      <c r="V676" s="8">
        <v>14050.303454999999</v>
      </c>
      <c r="W676" s="8">
        <v>0</v>
      </c>
      <c r="X676" s="8">
        <v>28635.918959999999</v>
      </c>
      <c r="Y676" s="8">
        <v>0</v>
      </c>
      <c r="Z676" s="8">
        <v>0</v>
      </c>
      <c r="AA676" s="7">
        <v>2.0027400000000002</v>
      </c>
      <c r="AB676" s="8">
        <v>14585.615505</v>
      </c>
      <c r="AC676" s="7">
        <v>2.0449999999999999</v>
      </c>
      <c r="AD676" s="7" t="s">
        <v>1226</v>
      </c>
      <c r="AE676" s="8">
        <v>14898.347448</v>
      </c>
      <c r="AF676" s="8">
        <v>0</v>
      </c>
      <c r="AG676" s="8">
        <v>14898.347448</v>
      </c>
      <c r="AH676" s="8">
        <v>0</v>
      </c>
      <c r="AI676" s="7" t="s">
        <v>1781</v>
      </c>
      <c r="AJ676" s="7">
        <f t="shared" ca="1" si="149"/>
        <v>1</v>
      </c>
      <c r="AK676" s="96">
        <f t="shared" si="160"/>
        <v>1.9568698152117343E-4</v>
      </c>
      <c r="AL676" s="97">
        <f t="shared" si="161"/>
        <v>1.936805474828459E-4</v>
      </c>
    </row>
    <row r="677" spans="1:38" x14ac:dyDescent="0.3">
      <c r="A677" s="7" t="s">
        <v>2248</v>
      </c>
      <c r="B677" s="7" t="s">
        <v>1320</v>
      </c>
      <c r="C677" s="7" t="s">
        <v>1323</v>
      </c>
      <c r="D677" s="7" t="s">
        <v>1324</v>
      </c>
      <c r="E677" s="7" t="s">
        <v>1322</v>
      </c>
      <c r="F677" s="36">
        <v>44896</v>
      </c>
      <c r="G677" s="36">
        <v>45991</v>
      </c>
      <c r="H677" s="36">
        <v>45991</v>
      </c>
      <c r="I677" s="36">
        <v>45991</v>
      </c>
      <c r="J677" s="7" t="s">
        <v>1696</v>
      </c>
      <c r="K677" s="8">
        <v>0</v>
      </c>
      <c r="L677" s="8">
        <v>0</v>
      </c>
      <c r="M677" s="8">
        <v>1413.8388560000001</v>
      </c>
      <c r="N677" s="8">
        <v>0</v>
      </c>
      <c r="O677" s="8">
        <v>0</v>
      </c>
      <c r="P677" s="8">
        <v>0</v>
      </c>
      <c r="Q677" s="8">
        <v>0</v>
      </c>
      <c r="R677" s="8">
        <f t="shared" si="148"/>
        <v>1413.8388560000001</v>
      </c>
      <c r="S677" s="8">
        <v>0</v>
      </c>
      <c r="T677" s="8">
        <v>0</v>
      </c>
      <c r="U677" s="8">
        <v>765.43</v>
      </c>
      <c r="V677" s="8">
        <v>0</v>
      </c>
      <c r="W677" s="8">
        <v>0</v>
      </c>
      <c r="X677" s="8">
        <v>0</v>
      </c>
      <c r="Y677" s="8">
        <v>48176.032935000003</v>
      </c>
      <c r="Z677" s="8">
        <v>-24099.997563000001</v>
      </c>
      <c r="AA677" s="7">
        <v>2.917808</v>
      </c>
      <c r="AB677" s="8">
        <v>23164.764254000002</v>
      </c>
      <c r="AC677" s="7">
        <v>3</v>
      </c>
      <c r="AD677" s="7" t="s">
        <v>1726</v>
      </c>
      <c r="AE677" s="8">
        <v>24123.48</v>
      </c>
      <c r="AF677" s="8">
        <v>0</v>
      </c>
      <c r="AG677" s="8">
        <v>24123.48</v>
      </c>
      <c r="AH677" s="8">
        <v>0</v>
      </c>
      <c r="AI677" s="7" t="s">
        <v>1730</v>
      </c>
      <c r="AJ677" s="7">
        <f t="shared" ca="1" si="149"/>
        <v>1</v>
      </c>
      <c r="AK677" s="96">
        <f t="shared" ref="AK677:AK678" si="162">(+AA677*AB677)/$AB$1102</f>
        <v>5.9237791716499599E-5</v>
      </c>
      <c r="AL677" s="97">
        <f t="shared" ref="AL677:AL678" si="163">AC677/$AE$1102*AE677</f>
        <v>6.1924554223839143E-5</v>
      </c>
    </row>
    <row r="678" spans="1:38" x14ac:dyDescent="0.3">
      <c r="A678" s="7" t="s">
        <v>2249</v>
      </c>
      <c r="B678" s="7" t="s">
        <v>1735</v>
      </c>
      <c r="C678" s="7" t="s">
        <v>1323</v>
      </c>
      <c r="D678" s="7" t="s">
        <v>1792</v>
      </c>
      <c r="E678" s="7" t="s">
        <v>1739</v>
      </c>
      <c r="F678" s="36">
        <v>43639</v>
      </c>
      <c r="G678" s="36">
        <v>44734</v>
      </c>
      <c r="J678" s="7" t="s">
        <v>1696</v>
      </c>
      <c r="K678" s="8">
        <v>0</v>
      </c>
      <c r="L678" s="8">
        <v>0</v>
      </c>
      <c r="M678" s="8">
        <v>3084.2926769999999</v>
      </c>
      <c r="N678" s="8">
        <v>0</v>
      </c>
      <c r="O678" s="8">
        <v>0</v>
      </c>
      <c r="P678" s="8">
        <v>0</v>
      </c>
      <c r="Q678" s="8">
        <v>0</v>
      </c>
      <c r="R678" s="8">
        <f t="shared" si="148"/>
        <v>3084.2926769999999</v>
      </c>
      <c r="S678" s="8">
        <v>0</v>
      </c>
      <c r="T678" s="8">
        <v>0</v>
      </c>
      <c r="U678" s="8">
        <v>2662.5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7">
        <v>0</v>
      </c>
      <c r="AB678" s="8">
        <v>0</v>
      </c>
      <c r="AC678" s="7">
        <v>2.0299999999999998</v>
      </c>
      <c r="AD678" s="7" t="s">
        <v>1226</v>
      </c>
      <c r="AE678" s="8">
        <v>0</v>
      </c>
      <c r="AF678" s="8">
        <v>0</v>
      </c>
      <c r="AG678" s="8">
        <v>0</v>
      </c>
      <c r="AH678" s="8">
        <v>0</v>
      </c>
      <c r="AI678" s="7" t="s">
        <v>1976</v>
      </c>
      <c r="AJ678" s="7">
        <f t="shared" ca="1" si="149"/>
        <v>1</v>
      </c>
      <c r="AK678" s="96">
        <f t="shared" si="162"/>
        <v>0</v>
      </c>
      <c r="AL678" s="97">
        <f t="shared" si="163"/>
        <v>0</v>
      </c>
    </row>
    <row r="679" spans="1:38" x14ac:dyDescent="0.3">
      <c r="A679" s="7" t="s">
        <v>2249</v>
      </c>
      <c r="B679" s="7" t="s">
        <v>1735</v>
      </c>
      <c r="C679" s="7" t="s">
        <v>1323</v>
      </c>
      <c r="D679" s="7" t="s">
        <v>1792</v>
      </c>
      <c r="E679" s="7" t="s">
        <v>1739</v>
      </c>
      <c r="F679" s="36">
        <v>43639</v>
      </c>
      <c r="G679" s="36">
        <v>44734</v>
      </c>
      <c r="J679" s="7" t="s">
        <v>1699</v>
      </c>
      <c r="K679" s="8">
        <v>0</v>
      </c>
      <c r="L679" s="8">
        <v>0</v>
      </c>
      <c r="M679" s="8">
        <v>0</v>
      </c>
      <c r="N679" s="8">
        <v>3288.333341</v>
      </c>
      <c r="O679" s="8">
        <v>0</v>
      </c>
      <c r="P679" s="8">
        <v>0</v>
      </c>
      <c r="Q679" s="8">
        <v>0</v>
      </c>
      <c r="R679" s="8">
        <f t="shared" si="148"/>
        <v>3288.333341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7">
        <v>0</v>
      </c>
      <c r="AB679" s="8">
        <v>0</v>
      </c>
      <c r="AC679" s="7">
        <v>2.0299999999999998</v>
      </c>
      <c r="AD679" s="7" t="s">
        <v>1226</v>
      </c>
      <c r="AE679" s="8">
        <v>350</v>
      </c>
      <c r="AF679" s="8">
        <v>0</v>
      </c>
      <c r="AG679" s="8">
        <v>350</v>
      </c>
      <c r="AH679" s="8">
        <v>0</v>
      </c>
      <c r="AI679" s="7" t="s">
        <v>1976</v>
      </c>
      <c r="AJ679" s="7">
        <f t="shared" ca="1" si="149"/>
        <v>2</v>
      </c>
      <c r="AK679" s="100">
        <f>(+AA679*AB679)/$AB$1103</f>
        <v>0</v>
      </c>
      <c r="AL679" s="97">
        <f>AC679/$AE$1103*AE679</f>
        <v>8.5294643309505072E-5</v>
      </c>
    </row>
    <row r="680" spans="1:38" x14ac:dyDescent="0.3">
      <c r="A680" s="7" t="s">
        <v>2250</v>
      </c>
      <c r="B680" s="7" t="s">
        <v>1320</v>
      </c>
      <c r="C680" s="7" t="s">
        <v>1323</v>
      </c>
      <c r="D680" s="7" t="s">
        <v>1792</v>
      </c>
      <c r="E680" s="7" t="s">
        <v>1739</v>
      </c>
      <c r="F680" s="36">
        <v>43831</v>
      </c>
      <c r="G680" s="36">
        <v>44926</v>
      </c>
      <c r="I680" s="36">
        <v>44926</v>
      </c>
      <c r="J680" s="7" t="s">
        <v>1696</v>
      </c>
      <c r="K680" s="8">
        <v>0</v>
      </c>
      <c r="L680" s="8">
        <v>0</v>
      </c>
      <c r="M680" s="8">
        <v>13500</v>
      </c>
      <c r="N680" s="8">
        <v>0</v>
      </c>
      <c r="O680" s="8">
        <v>0</v>
      </c>
      <c r="P680" s="8">
        <v>0</v>
      </c>
      <c r="Q680" s="8">
        <v>0</v>
      </c>
      <c r="R680" s="8">
        <f t="shared" si="148"/>
        <v>13500</v>
      </c>
      <c r="S680" s="8">
        <v>0</v>
      </c>
      <c r="T680" s="8">
        <v>0</v>
      </c>
      <c r="U680" s="8">
        <v>13500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7">
        <v>0</v>
      </c>
      <c r="AB680" s="8">
        <v>0</v>
      </c>
      <c r="AC680" s="7">
        <v>2.0299999999999998</v>
      </c>
      <c r="AD680" s="7" t="s">
        <v>1226</v>
      </c>
      <c r="AE680" s="8">
        <v>0</v>
      </c>
      <c r="AF680" s="8">
        <v>0</v>
      </c>
      <c r="AG680" s="8">
        <v>0</v>
      </c>
      <c r="AH680" s="8">
        <v>0</v>
      </c>
      <c r="AI680" s="7" t="s">
        <v>1760</v>
      </c>
      <c r="AJ680" s="7">
        <f t="shared" ca="1" si="149"/>
        <v>1</v>
      </c>
      <c r="AK680" s="96">
        <f>(+AA680*AB680)/$AB$1102</f>
        <v>0</v>
      </c>
      <c r="AL680" s="97">
        <f>AC680/$AE$1102*AE680</f>
        <v>0</v>
      </c>
    </row>
    <row r="681" spans="1:38" x14ac:dyDescent="0.3">
      <c r="A681" s="7" t="s">
        <v>2250</v>
      </c>
      <c r="B681" s="7" t="s">
        <v>1320</v>
      </c>
      <c r="C681" s="7" t="s">
        <v>1323</v>
      </c>
      <c r="D681" s="7" t="s">
        <v>1792</v>
      </c>
      <c r="E681" s="7" t="s">
        <v>1739</v>
      </c>
      <c r="F681" s="36">
        <v>43831</v>
      </c>
      <c r="G681" s="36">
        <v>44926</v>
      </c>
      <c r="I681" s="36">
        <v>44926</v>
      </c>
      <c r="J681" s="7" t="s">
        <v>1699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f t="shared" si="148"/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7">
        <v>0</v>
      </c>
      <c r="AB681" s="8">
        <v>0</v>
      </c>
      <c r="AC681" s="7">
        <v>2.0299999999999998</v>
      </c>
      <c r="AD681" s="7" t="s">
        <v>1226</v>
      </c>
      <c r="AE681" s="8">
        <v>1125</v>
      </c>
      <c r="AF681" s="8">
        <v>0</v>
      </c>
      <c r="AG681" s="8">
        <v>1125</v>
      </c>
      <c r="AH681" s="8">
        <v>0</v>
      </c>
      <c r="AI681" s="7" t="s">
        <v>1760</v>
      </c>
      <c r="AJ681" s="7">
        <f t="shared" ca="1" si="149"/>
        <v>2</v>
      </c>
      <c r="AK681" s="100">
        <f>(+AA681*AB681)/$AB$1103</f>
        <v>0</v>
      </c>
      <c r="AL681" s="97">
        <f>AC681/$AE$1103*AE681</f>
        <v>2.7416135349483776E-4</v>
      </c>
    </row>
    <row r="682" spans="1:38" x14ac:dyDescent="0.3">
      <c r="A682" s="7" t="s">
        <v>2251</v>
      </c>
      <c r="B682" s="7" t="s">
        <v>1320</v>
      </c>
      <c r="C682" s="7" t="s">
        <v>1323</v>
      </c>
      <c r="D682" s="7" t="s">
        <v>1792</v>
      </c>
      <c r="E682" s="7" t="s">
        <v>1739</v>
      </c>
      <c r="F682" s="36">
        <v>43831</v>
      </c>
      <c r="G682" s="36">
        <v>44926</v>
      </c>
      <c r="I682" s="36">
        <v>44926</v>
      </c>
      <c r="J682" s="7" t="s">
        <v>1696</v>
      </c>
      <c r="K682" s="8">
        <v>0</v>
      </c>
      <c r="L682" s="8">
        <v>0</v>
      </c>
      <c r="M682" s="8">
        <v>13500</v>
      </c>
      <c r="N682" s="8">
        <v>0</v>
      </c>
      <c r="O682" s="8">
        <v>0</v>
      </c>
      <c r="P682" s="8">
        <v>0</v>
      </c>
      <c r="Q682" s="8">
        <v>0</v>
      </c>
      <c r="R682" s="8">
        <f t="shared" si="148"/>
        <v>13500</v>
      </c>
      <c r="S682" s="8">
        <v>0</v>
      </c>
      <c r="T682" s="8">
        <v>0</v>
      </c>
      <c r="U682" s="8">
        <v>13500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7">
        <v>0</v>
      </c>
      <c r="AB682" s="8">
        <v>0</v>
      </c>
      <c r="AC682" s="7">
        <v>2.0299999999999998</v>
      </c>
      <c r="AD682" s="7" t="s">
        <v>1226</v>
      </c>
      <c r="AE682" s="8">
        <v>0</v>
      </c>
      <c r="AF682" s="8">
        <v>0</v>
      </c>
      <c r="AG682" s="8">
        <v>0</v>
      </c>
      <c r="AH682" s="8">
        <v>0</v>
      </c>
      <c r="AI682" s="7" t="s">
        <v>1760</v>
      </c>
      <c r="AJ682" s="7">
        <f t="shared" ca="1" si="149"/>
        <v>1</v>
      </c>
      <c r="AK682" s="96">
        <f>(+AA682*AB682)/$AB$1102</f>
        <v>0</v>
      </c>
      <c r="AL682" s="97">
        <f>AC682/$AE$1102*AE682</f>
        <v>0</v>
      </c>
    </row>
    <row r="683" spans="1:38" x14ac:dyDescent="0.3">
      <c r="A683" s="7" t="s">
        <v>2251</v>
      </c>
      <c r="B683" s="7" t="s">
        <v>1320</v>
      </c>
      <c r="C683" s="7" t="s">
        <v>1323</v>
      </c>
      <c r="D683" s="7" t="s">
        <v>1792</v>
      </c>
      <c r="E683" s="7" t="s">
        <v>1739</v>
      </c>
      <c r="F683" s="36">
        <v>43831</v>
      </c>
      <c r="G683" s="36">
        <v>44926</v>
      </c>
      <c r="I683" s="36">
        <v>44926</v>
      </c>
      <c r="J683" s="7" t="s">
        <v>1699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f t="shared" si="148"/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7">
        <v>0</v>
      </c>
      <c r="AB683" s="8">
        <v>0</v>
      </c>
      <c r="AC683" s="7">
        <v>2.0299999999999998</v>
      </c>
      <c r="AD683" s="7" t="s">
        <v>1226</v>
      </c>
      <c r="AE683" s="8">
        <v>1125</v>
      </c>
      <c r="AF683" s="8">
        <v>0</v>
      </c>
      <c r="AG683" s="8">
        <v>1125</v>
      </c>
      <c r="AH683" s="8">
        <v>0</v>
      </c>
      <c r="AI683" s="7" t="s">
        <v>1760</v>
      </c>
      <c r="AJ683" s="7">
        <f t="shared" ca="1" si="149"/>
        <v>2</v>
      </c>
      <c r="AK683" s="100">
        <f>(+AA683*AB683)/$AB$1103</f>
        <v>0</v>
      </c>
      <c r="AL683" s="97">
        <f>AC683/$AE$1103*AE683</f>
        <v>2.7416135349483776E-4</v>
      </c>
    </row>
    <row r="684" spans="1:38" x14ac:dyDescent="0.3">
      <c r="A684" s="7" t="s">
        <v>2252</v>
      </c>
      <c r="B684" s="7" t="s">
        <v>1320</v>
      </c>
      <c r="C684" s="7" t="s">
        <v>1323</v>
      </c>
      <c r="D684" s="7" t="s">
        <v>1792</v>
      </c>
      <c r="E684" s="7" t="s">
        <v>1739</v>
      </c>
      <c r="F684" s="36">
        <v>43831</v>
      </c>
      <c r="G684" s="36">
        <v>44926</v>
      </c>
      <c r="I684" s="36">
        <v>44926</v>
      </c>
      <c r="J684" s="7" t="s">
        <v>1696</v>
      </c>
      <c r="K684" s="8">
        <v>0</v>
      </c>
      <c r="L684" s="8">
        <v>0</v>
      </c>
      <c r="M684" s="8">
        <v>4500</v>
      </c>
      <c r="N684" s="8">
        <v>0</v>
      </c>
      <c r="O684" s="8">
        <v>0</v>
      </c>
      <c r="P684" s="8">
        <v>0</v>
      </c>
      <c r="Q684" s="8">
        <v>0</v>
      </c>
      <c r="R684" s="8">
        <f t="shared" si="148"/>
        <v>4500</v>
      </c>
      <c r="S684" s="8">
        <v>0</v>
      </c>
      <c r="T684" s="8">
        <v>0</v>
      </c>
      <c r="U684" s="8">
        <v>4500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7">
        <v>0</v>
      </c>
      <c r="AB684" s="8">
        <v>0</v>
      </c>
      <c r="AC684" s="7">
        <v>2.0299999999999998</v>
      </c>
      <c r="AD684" s="7" t="s">
        <v>1226</v>
      </c>
      <c r="AE684" s="8">
        <v>0</v>
      </c>
      <c r="AF684" s="8">
        <v>0</v>
      </c>
      <c r="AG684" s="8">
        <v>0</v>
      </c>
      <c r="AH684" s="8">
        <v>0</v>
      </c>
      <c r="AI684" s="7" t="s">
        <v>1760</v>
      </c>
      <c r="AJ684" s="7">
        <f t="shared" ca="1" si="149"/>
        <v>1</v>
      </c>
      <c r="AK684" s="96">
        <f>(+AA684*AB684)/$AB$1102</f>
        <v>0</v>
      </c>
      <c r="AL684" s="97">
        <f>AC684/$AE$1102*AE684</f>
        <v>0</v>
      </c>
    </row>
    <row r="685" spans="1:38" x14ac:dyDescent="0.3">
      <c r="A685" s="7" t="s">
        <v>2252</v>
      </c>
      <c r="B685" s="7" t="s">
        <v>1320</v>
      </c>
      <c r="C685" s="7" t="s">
        <v>1323</v>
      </c>
      <c r="D685" s="7" t="s">
        <v>1792</v>
      </c>
      <c r="E685" s="7" t="s">
        <v>1739</v>
      </c>
      <c r="F685" s="36">
        <v>43831</v>
      </c>
      <c r="G685" s="36">
        <v>44926</v>
      </c>
      <c r="I685" s="36">
        <v>44926</v>
      </c>
      <c r="J685" s="7" t="s">
        <v>1699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f t="shared" si="148"/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7">
        <v>0</v>
      </c>
      <c r="AB685" s="8">
        <v>0</v>
      </c>
      <c r="AC685" s="7">
        <v>2.0299999999999998</v>
      </c>
      <c r="AD685" s="7" t="s">
        <v>1226</v>
      </c>
      <c r="AE685" s="8">
        <v>375</v>
      </c>
      <c r="AF685" s="8">
        <v>0</v>
      </c>
      <c r="AG685" s="8">
        <v>375</v>
      </c>
      <c r="AH685" s="8">
        <v>0</v>
      </c>
      <c r="AI685" s="7" t="s">
        <v>1760</v>
      </c>
      <c r="AJ685" s="7">
        <f t="shared" ca="1" si="149"/>
        <v>2</v>
      </c>
      <c r="AK685" s="100">
        <f>(+AA685*AB685)/$AB$1103</f>
        <v>0</v>
      </c>
      <c r="AL685" s="97">
        <f>AC685/$AE$1103*AE685</f>
        <v>9.1387117831612588E-5</v>
      </c>
    </row>
    <row r="686" spans="1:38" x14ac:dyDescent="0.3">
      <c r="A686" s="7" t="s">
        <v>2253</v>
      </c>
      <c r="B686" s="7" t="s">
        <v>1320</v>
      </c>
      <c r="C686" s="7" t="s">
        <v>1323</v>
      </c>
      <c r="D686" s="7" t="s">
        <v>1792</v>
      </c>
      <c r="E686" s="7" t="s">
        <v>1739</v>
      </c>
      <c r="F686" s="36">
        <v>43831</v>
      </c>
      <c r="G686" s="36">
        <v>44926</v>
      </c>
      <c r="I686" s="36">
        <v>44926</v>
      </c>
      <c r="J686" s="7" t="s">
        <v>1696</v>
      </c>
      <c r="K686" s="8">
        <v>0</v>
      </c>
      <c r="L686" s="8">
        <v>0</v>
      </c>
      <c r="M686" s="8">
        <v>4500</v>
      </c>
      <c r="N686" s="8">
        <v>0</v>
      </c>
      <c r="O686" s="8">
        <v>0</v>
      </c>
      <c r="P686" s="8">
        <v>0</v>
      </c>
      <c r="Q686" s="8">
        <v>0</v>
      </c>
      <c r="R686" s="8">
        <f t="shared" si="148"/>
        <v>4500</v>
      </c>
      <c r="S686" s="8">
        <v>0</v>
      </c>
      <c r="T686" s="8">
        <v>0</v>
      </c>
      <c r="U686" s="8">
        <v>4500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7">
        <v>0</v>
      </c>
      <c r="AB686" s="8">
        <v>0</v>
      </c>
      <c r="AC686" s="7">
        <v>2.0299999999999998</v>
      </c>
      <c r="AD686" s="7" t="s">
        <v>1226</v>
      </c>
      <c r="AE686" s="8">
        <v>0</v>
      </c>
      <c r="AF686" s="8">
        <v>0</v>
      </c>
      <c r="AG686" s="8">
        <v>0</v>
      </c>
      <c r="AH686" s="8">
        <v>0</v>
      </c>
      <c r="AI686" s="7" t="s">
        <v>1760</v>
      </c>
      <c r="AJ686" s="7">
        <f t="shared" ca="1" si="149"/>
        <v>1</v>
      </c>
      <c r="AK686" s="96">
        <f>(+AA686*AB686)/$AB$1102</f>
        <v>0</v>
      </c>
      <c r="AL686" s="97">
        <f>AC686/$AE$1102*AE686</f>
        <v>0</v>
      </c>
    </row>
    <row r="687" spans="1:38" x14ac:dyDescent="0.3">
      <c r="A687" s="7" t="s">
        <v>2253</v>
      </c>
      <c r="B687" s="7" t="s">
        <v>1320</v>
      </c>
      <c r="C687" s="7" t="s">
        <v>1323</v>
      </c>
      <c r="D687" s="7" t="s">
        <v>1792</v>
      </c>
      <c r="E687" s="7" t="s">
        <v>1739</v>
      </c>
      <c r="F687" s="36">
        <v>43831</v>
      </c>
      <c r="G687" s="36">
        <v>44926</v>
      </c>
      <c r="I687" s="36">
        <v>44926</v>
      </c>
      <c r="J687" s="7" t="s">
        <v>1699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f t="shared" si="148"/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7">
        <v>0</v>
      </c>
      <c r="AB687" s="8">
        <v>0</v>
      </c>
      <c r="AC687" s="7">
        <v>2.0299999999999998</v>
      </c>
      <c r="AD687" s="7" t="s">
        <v>1226</v>
      </c>
      <c r="AE687" s="8">
        <v>375</v>
      </c>
      <c r="AF687" s="8">
        <v>0</v>
      </c>
      <c r="AG687" s="8">
        <v>375</v>
      </c>
      <c r="AH687" s="8">
        <v>0</v>
      </c>
      <c r="AI687" s="7" t="s">
        <v>1760</v>
      </c>
      <c r="AJ687" s="7">
        <f t="shared" ca="1" si="149"/>
        <v>2</v>
      </c>
      <c r="AK687" s="100">
        <f>(+AA687*AB687)/$AB$1103</f>
        <v>0</v>
      </c>
      <c r="AL687" s="97">
        <f>AC687/$AE$1103*AE687</f>
        <v>9.1387117831612588E-5</v>
      </c>
    </row>
    <row r="688" spans="1:38" x14ac:dyDescent="0.3">
      <c r="A688" s="7" t="s">
        <v>2254</v>
      </c>
      <c r="B688" s="7" t="s">
        <v>1320</v>
      </c>
      <c r="C688" s="7" t="s">
        <v>1323</v>
      </c>
      <c r="D688" s="7" t="s">
        <v>1792</v>
      </c>
      <c r="E688" s="7" t="s">
        <v>1322</v>
      </c>
      <c r="F688" s="36">
        <v>43831</v>
      </c>
      <c r="G688" s="36">
        <v>44926</v>
      </c>
      <c r="H688" s="36">
        <v>44926</v>
      </c>
      <c r="I688" s="36">
        <v>44926</v>
      </c>
      <c r="J688" s="7" t="s">
        <v>1696</v>
      </c>
      <c r="K688" s="8">
        <v>0</v>
      </c>
      <c r="L688" s="8">
        <v>0</v>
      </c>
      <c r="M688" s="8">
        <v>4500</v>
      </c>
      <c r="N688" s="8">
        <v>0</v>
      </c>
      <c r="O688" s="8">
        <v>0</v>
      </c>
      <c r="P688" s="8">
        <v>0</v>
      </c>
      <c r="Q688" s="8">
        <v>0</v>
      </c>
      <c r="R688" s="8">
        <f t="shared" si="148"/>
        <v>4500</v>
      </c>
      <c r="S688" s="8">
        <v>0</v>
      </c>
      <c r="T688" s="8">
        <v>0</v>
      </c>
      <c r="U688" s="8">
        <v>4500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7">
        <v>0</v>
      </c>
      <c r="AB688" s="8">
        <v>0</v>
      </c>
      <c r="AC688" s="7">
        <v>2.0299999999999998</v>
      </c>
      <c r="AD688" s="7" t="s">
        <v>1226</v>
      </c>
      <c r="AE688" s="8">
        <v>0</v>
      </c>
      <c r="AF688" s="8">
        <v>0</v>
      </c>
      <c r="AG688" s="8">
        <v>0</v>
      </c>
      <c r="AH688" s="8">
        <v>0</v>
      </c>
      <c r="AI688" s="7" t="s">
        <v>1760</v>
      </c>
      <c r="AJ688" s="7">
        <f t="shared" ca="1" si="149"/>
        <v>1</v>
      </c>
      <c r="AK688" s="96">
        <f t="shared" ref="AK688:AK689" si="164">(+AA688*AB688)/$AB$1102</f>
        <v>0</v>
      </c>
      <c r="AL688" s="97">
        <f t="shared" ref="AL688:AL689" si="165">AC688/$AE$1102*AE688</f>
        <v>0</v>
      </c>
    </row>
    <row r="689" spans="1:38" x14ac:dyDescent="0.3">
      <c r="A689" s="7" t="s">
        <v>2255</v>
      </c>
      <c r="B689" s="7" t="s">
        <v>1320</v>
      </c>
      <c r="C689" s="7" t="s">
        <v>1323</v>
      </c>
      <c r="D689" s="7" t="s">
        <v>1792</v>
      </c>
      <c r="E689" s="7" t="s">
        <v>1739</v>
      </c>
      <c r="F689" s="36">
        <v>43831</v>
      </c>
      <c r="G689" s="36">
        <v>44926</v>
      </c>
      <c r="I689" s="36">
        <v>44926</v>
      </c>
      <c r="J689" s="7" t="s">
        <v>1696</v>
      </c>
      <c r="K689" s="8">
        <v>0</v>
      </c>
      <c r="L689" s="8">
        <v>0</v>
      </c>
      <c r="M689" s="8">
        <v>4500</v>
      </c>
      <c r="N689" s="8">
        <v>0</v>
      </c>
      <c r="O689" s="8">
        <v>0</v>
      </c>
      <c r="P689" s="8">
        <v>300.00001700000001</v>
      </c>
      <c r="Q689" s="8">
        <v>0</v>
      </c>
      <c r="R689" s="8">
        <f t="shared" si="148"/>
        <v>4800.0000170000003</v>
      </c>
      <c r="S689" s="8">
        <v>0</v>
      </c>
      <c r="T689" s="8">
        <v>0</v>
      </c>
      <c r="U689" s="8">
        <v>4500</v>
      </c>
      <c r="V689" s="8">
        <v>0</v>
      </c>
      <c r="W689" s="8">
        <v>300.00001700000001</v>
      </c>
      <c r="X689" s="8">
        <v>0</v>
      </c>
      <c r="Y689" s="8">
        <v>0</v>
      </c>
      <c r="Z689" s="8">
        <v>0</v>
      </c>
      <c r="AA689" s="7">
        <v>0</v>
      </c>
      <c r="AB689" s="8">
        <v>0</v>
      </c>
      <c r="AC689" s="7">
        <v>2.0299999999999998</v>
      </c>
      <c r="AD689" s="7" t="s">
        <v>1226</v>
      </c>
      <c r="AE689" s="8">
        <v>0</v>
      </c>
      <c r="AF689" s="8">
        <v>0</v>
      </c>
      <c r="AG689" s="8">
        <v>0</v>
      </c>
      <c r="AH689" s="8">
        <v>0</v>
      </c>
      <c r="AI689" s="7" t="s">
        <v>1760</v>
      </c>
      <c r="AJ689" s="7">
        <f t="shared" ca="1" si="149"/>
        <v>1</v>
      </c>
      <c r="AK689" s="96">
        <f t="shared" si="164"/>
        <v>0</v>
      </c>
      <c r="AL689" s="97">
        <f t="shared" si="165"/>
        <v>0</v>
      </c>
    </row>
    <row r="690" spans="1:38" x14ac:dyDescent="0.3">
      <c r="A690" s="7" t="s">
        <v>2255</v>
      </c>
      <c r="B690" s="7" t="s">
        <v>1320</v>
      </c>
      <c r="C690" s="7" t="s">
        <v>1323</v>
      </c>
      <c r="D690" s="7" t="s">
        <v>1792</v>
      </c>
      <c r="E690" s="7" t="s">
        <v>1739</v>
      </c>
      <c r="F690" s="36">
        <v>43831</v>
      </c>
      <c r="G690" s="36">
        <v>44926</v>
      </c>
      <c r="I690" s="36">
        <v>44926</v>
      </c>
      <c r="J690" s="7" t="s">
        <v>1699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f t="shared" si="148"/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  <c r="Z690" s="8">
        <v>0</v>
      </c>
      <c r="AA690" s="7">
        <v>0</v>
      </c>
      <c r="AB690" s="8">
        <v>0</v>
      </c>
      <c r="AC690" s="7">
        <v>2.0299999999999998</v>
      </c>
      <c r="AD690" s="7" t="s">
        <v>1226</v>
      </c>
      <c r="AE690" s="8">
        <v>400</v>
      </c>
      <c r="AF690" s="8">
        <v>0</v>
      </c>
      <c r="AG690" s="8">
        <v>400</v>
      </c>
      <c r="AH690" s="8">
        <v>0</v>
      </c>
      <c r="AI690" s="7" t="s">
        <v>1760</v>
      </c>
      <c r="AJ690" s="7">
        <f t="shared" ca="1" si="149"/>
        <v>2</v>
      </c>
      <c r="AK690" s="100">
        <f>(+AA690*AB690)/$AB$1103</f>
        <v>0</v>
      </c>
      <c r="AL690" s="97">
        <f>AC690/$AE$1103*AE690</f>
        <v>9.747959235372009E-5</v>
      </c>
    </row>
    <row r="691" spans="1:38" x14ac:dyDescent="0.3">
      <c r="A691" s="7" t="s">
        <v>2256</v>
      </c>
      <c r="B691" s="7" t="s">
        <v>1320</v>
      </c>
      <c r="C691" s="7" t="s">
        <v>1323</v>
      </c>
      <c r="D691" s="7" t="s">
        <v>1792</v>
      </c>
      <c r="E691" s="7" t="s">
        <v>1322</v>
      </c>
      <c r="F691" s="36">
        <v>43832</v>
      </c>
      <c r="G691" s="36">
        <v>44927</v>
      </c>
      <c r="H691" s="36">
        <v>44927</v>
      </c>
      <c r="I691" s="36">
        <v>44927</v>
      </c>
      <c r="J691" s="7" t="s">
        <v>1696</v>
      </c>
      <c r="K691" s="8">
        <v>0</v>
      </c>
      <c r="L691" s="8">
        <v>0</v>
      </c>
      <c r="M691" s="8">
        <v>4500.0120660000002</v>
      </c>
      <c r="N691" s="8">
        <v>0</v>
      </c>
      <c r="O691" s="8">
        <v>0</v>
      </c>
      <c r="P691" s="8">
        <v>0</v>
      </c>
      <c r="Q691" s="8">
        <v>0</v>
      </c>
      <c r="R691" s="8">
        <f t="shared" si="148"/>
        <v>4500.0120660000002</v>
      </c>
      <c r="S691" s="8">
        <v>0</v>
      </c>
      <c r="T691" s="8">
        <v>0</v>
      </c>
      <c r="U691" s="8">
        <v>4500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  <c r="AA691" s="7">
        <v>2.7399999999999998E-3</v>
      </c>
      <c r="AB691" s="8">
        <v>0</v>
      </c>
      <c r="AC691" s="7">
        <v>2.0299999999999998</v>
      </c>
      <c r="AD691" s="7" t="s">
        <v>1226</v>
      </c>
      <c r="AE691" s="8">
        <v>0</v>
      </c>
      <c r="AF691" s="8">
        <v>0</v>
      </c>
      <c r="AG691" s="8">
        <v>0</v>
      </c>
      <c r="AH691" s="8">
        <v>0</v>
      </c>
      <c r="AI691" s="7" t="s">
        <v>1760</v>
      </c>
      <c r="AJ691" s="7">
        <f t="shared" ca="1" si="149"/>
        <v>1</v>
      </c>
      <c r="AK691" s="96">
        <f t="shared" ref="AK691:AK692" si="166">(+AA691*AB691)/$AB$1102</f>
        <v>0</v>
      </c>
      <c r="AL691" s="97">
        <f t="shared" ref="AL691:AL692" si="167">AC691/$AE$1102*AE691</f>
        <v>0</v>
      </c>
    </row>
    <row r="692" spans="1:38" x14ac:dyDescent="0.3">
      <c r="A692" s="7" t="s">
        <v>2257</v>
      </c>
      <c r="B692" s="7" t="s">
        <v>1320</v>
      </c>
      <c r="C692" s="7" t="s">
        <v>1323</v>
      </c>
      <c r="D692" s="7" t="s">
        <v>1792</v>
      </c>
      <c r="E692" s="7" t="s">
        <v>1739</v>
      </c>
      <c r="F692" s="36">
        <v>43832</v>
      </c>
      <c r="G692" s="36">
        <v>44927</v>
      </c>
      <c r="I692" s="36">
        <v>44927</v>
      </c>
      <c r="J692" s="7" t="s">
        <v>1696</v>
      </c>
      <c r="K692" s="8">
        <v>0</v>
      </c>
      <c r="L692" s="8">
        <v>0</v>
      </c>
      <c r="M692" s="8">
        <v>4500.0120660000002</v>
      </c>
      <c r="N692" s="8">
        <v>0</v>
      </c>
      <c r="O692" s="8">
        <v>0</v>
      </c>
      <c r="P692" s="8">
        <v>0</v>
      </c>
      <c r="Q692" s="8">
        <v>0</v>
      </c>
      <c r="R692" s="8">
        <f t="shared" si="148"/>
        <v>4500.0120660000002</v>
      </c>
      <c r="S692" s="8">
        <v>0</v>
      </c>
      <c r="T692" s="8">
        <v>0</v>
      </c>
      <c r="U692" s="8">
        <v>4500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7">
        <v>2.7399999999999998E-3</v>
      </c>
      <c r="AB692" s="8">
        <v>0</v>
      </c>
      <c r="AC692" s="7">
        <v>2.0299999999999998</v>
      </c>
      <c r="AD692" s="7" t="s">
        <v>1226</v>
      </c>
      <c r="AE692" s="8">
        <v>0</v>
      </c>
      <c r="AF692" s="8">
        <v>0</v>
      </c>
      <c r="AG692" s="8">
        <v>0</v>
      </c>
      <c r="AH692" s="8">
        <v>0</v>
      </c>
      <c r="AI692" s="7" t="s">
        <v>1760</v>
      </c>
      <c r="AJ692" s="7">
        <f t="shared" ca="1" si="149"/>
        <v>1</v>
      </c>
      <c r="AK692" s="96">
        <f t="shared" si="166"/>
        <v>0</v>
      </c>
      <c r="AL692" s="97">
        <f t="shared" si="167"/>
        <v>0</v>
      </c>
    </row>
    <row r="693" spans="1:38" x14ac:dyDescent="0.3">
      <c r="A693" s="7" t="s">
        <v>2257</v>
      </c>
      <c r="B693" s="7" t="s">
        <v>1320</v>
      </c>
      <c r="C693" s="7" t="s">
        <v>1323</v>
      </c>
      <c r="D693" s="7" t="s">
        <v>1792</v>
      </c>
      <c r="E693" s="7" t="s">
        <v>1739</v>
      </c>
      <c r="F693" s="36">
        <v>43832</v>
      </c>
      <c r="G693" s="36">
        <v>44927</v>
      </c>
      <c r="I693" s="36">
        <v>44927</v>
      </c>
      <c r="J693" s="7" t="s">
        <v>1699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f t="shared" si="148"/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7">
        <v>0</v>
      </c>
      <c r="AB693" s="8">
        <v>0</v>
      </c>
      <c r="AC693" s="7">
        <v>2.0299999999999998</v>
      </c>
      <c r="AD693" s="7" t="s">
        <v>1226</v>
      </c>
      <c r="AE693" s="8">
        <v>375</v>
      </c>
      <c r="AF693" s="8">
        <v>0</v>
      </c>
      <c r="AG693" s="8">
        <v>375</v>
      </c>
      <c r="AH693" s="8">
        <v>0</v>
      </c>
      <c r="AI693" s="7" t="s">
        <v>1760</v>
      </c>
      <c r="AJ693" s="7">
        <f t="shared" ca="1" si="149"/>
        <v>2</v>
      </c>
      <c r="AK693" s="100">
        <f>(+AA693*AB693)/$AB$1103</f>
        <v>0</v>
      </c>
      <c r="AL693" s="97">
        <f>AC693/$AE$1103*AE693</f>
        <v>9.1387117831612588E-5</v>
      </c>
    </row>
    <row r="694" spans="1:38" x14ac:dyDescent="0.3">
      <c r="A694" s="7" t="s">
        <v>2258</v>
      </c>
      <c r="B694" s="7" t="s">
        <v>1320</v>
      </c>
      <c r="C694" s="7" t="s">
        <v>1323</v>
      </c>
      <c r="D694" s="7" t="s">
        <v>1792</v>
      </c>
      <c r="E694" s="7" t="s">
        <v>1739</v>
      </c>
      <c r="F694" s="36">
        <v>43832</v>
      </c>
      <c r="G694" s="36">
        <v>44927</v>
      </c>
      <c r="I694" s="36">
        <v>44927</v>
      </c>
      <c r="J694" s="7" t="s">
        <v>1696</v>
      </c>
      <c r="K694" s="8">
        <v>0</v>
      </c>
      <c r="L694" s="8">
        <v>0</v>
      </c>
      <c r="M694" s="8">
        <v>4500.0120660000002</v>
      </c>
      <c r="N694" s="8">
        <v>0</v>
      </c>
      <c r="O694" s="8">
        <v>0</v>
      </c>
      <c r="P694" s="8">
        <v>0</v>
      </c>
      <c r="Q694" s="8">
        <v>0</v>
      </c>
      <c r="R694" s="8">
        <f t="shared" si="148"/>
        <v>4500.0120660000002</v>
      </c>
      <c r="S694" s="8">
        <v>0</v>
      </c>
      <c r="T694" s="8">
        <v>0</v>
      </c>
      <c r="U694" s="8">
        <v>4500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7">
        <v>2.7399999999999998E-3</v>
      </c>
      <c r="AB694" s="8">
        <v>0</v>
      </c>
      <c r="AC694" s="7">
        <v>2.0299999999999998</v>
      </c>
      <c r="AD694" s="7" t="s">
        <v>1226</v>
      </c>
      <c r="AE694" s="8">
        <v>0</v>
      </c>
      <c r="AF694" s="8">
        <v>0</v>
      </c>
      <c r="AG694" s="8">
        <v>0</v>
      </c>
      <c r="AH694" s="8">
        <v>0</v>
      </c>
      <c r="AI694" s="7" t="s">
        <v>1760</v>
      </c>
      <c r="AJ694" s="7">
        <f t="shared" ca="1" si="149"/>
        <v>1</v>
      </c>
      <c r="AK694" s="96">
        <f>(+AA694*AB694)/$AB$1102</f>
        <v>0</v>
      </c>
      <c r="AL694" s="97">
        <f>AC694/$AE$1102*AE694</f>
        <v>0</v>
      </c>
    </row>
    <row r="695" spans="1:38" x14ac:dyDescent="0.3">
      <c r="A695" s="7" t="s">
        <v>2258</v>
      </c>
      <c r="B695" s="7" t="s">
        <v>1320</v>
      </c>
      <c r="C695" s="7" t="s">
        <v>1323</v>
      </c>
      <c r="D695" s="7" t="s">
        <v>1792</v>
      </c>
      <c r="E695" s="7" t="s">
        <v>1739</v>
      </c>
      <c r="F695" s="36">
        <v>43832</v>
      </c>
      <c r="G695" s="36">
        <v>44927</v>
      </c>
      <c r="I695" s="36">
        <v>44927</v>
      </c>
      <c r="J695" s="7" t="s">
        <v>1699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f t="shared" si="148"/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7">
        <v>0</v>
      </c>
      <c r="AB695" s="8">
        <v>0</v>
      </c>
      <c r="AC695" s="7">
        <v>2.0299999999999998</v>
      </c>
      <c r="AD695" s="7" t="s">
        <v>1226</v>
      </c>
      <c r="AE695" s="8">
        <v>375</v>
      </c>
      <c r="AF695" s="8">
        <v>0</v>
      </c>
      <c r="AG695" s="8">
        <v>375</v>
      </c>
      <c r="AH695" s="8">
        <v>0</v>
      </c>
      <c r="AI695" s="7" t="s">
        <v>1760</v>
      </c>
      <c r="AJ695" s="7">
        <f t="shared" ca="1" si="149"/>
        <v>2</v>
      </c>
      <c r="AK695" s="100">
        <f>(+AA695*AB695)/$AB$1103</f>
        <v>0</v>
      </c>
      <c r="AL695" s="97">
        <f>AC695/$AE$1103*AE695</f>
        <v>9.1387117831612588E-5</v>
      </c>
    </row>
    <row r="696" spans="1:38" x14ac:dyDescent="0.3">
      <c r="A696" s="7" t="s">
        <v>2259</v>
      </c>
      <c r="B696" s="7" t="s">
        <v>1320</v>
      </c>
      <c r="C696" s="7" t="s">
        <v>1323</v>
      </c>
      <c r="D696" s="7" t="s">
        <v>1792</v>
      </c>
      <c r="E696" s="7" t="s">
        <v>1739</v>
      </c>
      <c r="F696" s="36">
        <v>43832</v>
      </c>
      <c r="G696" s="36">
        <v>44927</v>
      </c>
      <c r="I696" s="36">
        <v>44927</v>
      </c>
      <c r="J696" s="7" t="s">
        <v>1696</v>
      </c>
      <c r="K696" s="8">
        <v>0</v>
      </c>
      <c r="L696" s="8">
        <v>0</v>
      </c>
      <c r="M696" s="8">
        <v>4500.0120660000002</v>
      </c>
      <c r="N696" s="8">
        <v>0</v>
      </c>
      <c r="O696" s="8">
        <v>0</v>
      </c>
      <c r="P696" s="8">
        <v>0</v>
      </c>
      <c r="Q696" s="8">
        <v>0</v>
      </c>
      <c r="R696" s="8">
        <f t="shared" si="148"/>
        <v>4500.0120660000002</v>
      </c>
      <c r="S696" s="8">
        <v>0</v>
      </c>
      <c r="T696" s="8">
        <v>0</v>
      </c>
      <c r="U696" s="8">
        <v>4500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7">
        <v>2.7399999999999998E-3</v>
      </c>
      <c r="AB696" s="8">
        <v>0</v>
      </c>
      <c r="AC696" s="7">
        <v>2.0299999999999998</v>
      </c>
      <c r="AD696" s="7" t="s">
        <v>1226</v>
      </c>
      <c r="AE696" s="8">
        <v>0</v>
      </c>
      <c r="AF696" s="8">
        <v>0</v>
      </c>
      <c r="AG696" s="8">
        <v>0</v>
      </c>
      <c r="AH696" s="8">
        <v>0</v>
      </c>
      <c r="AI696" s="7" t="s">
        <v>1760</v>
      </c>
      <c r="AJ696" s="7">
        <f t="shared" ca="1" si="149"/>
        <v>1</v>
      </c>
      <c r="AK696" s="96">
        <f>(+AA696*AB696)/$AB$1102</f>
        <v>0</v>
      </c>
      <c r="AL696" s="97">
        <f>AC696/$AE$1102*AE696</f>
        <v>0</v>
      </c>
    </row>
    <row r="697" spans="1:38" x14ac:dyDescent="0.3">
      <c r="A697" s="7" t="s">
        <v>2259</v>
      </c>
      <c r="B697" s="7" t="s">
        <v>1320</v>
      </c>
      <c r="C697" s="7" t="s">
        <v>1323</v>
      </c>
      <c r="D697" s="7" t="s">
        <v>1792</v>
      </c>
      <c r="E697" s="7" t="s">
        <v>1739</v>
      </c>
      <c r="F697" s="36">
        <v>43832</v>
      </c>
      <c r="G697" s="36">
        <v>44927</v>
      </c>
      <c r="I697" s="36">
        <v>44927</v>
      </c>
      <c r="J697" s="7" t="s">
        <v>1699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f t="shared" si="148"/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7">
        <v>0</v>
      </c>
      <c r="AB697" s="8">
        <v>0</v>
      </c>
      <c r="AC697" s="7">
        <v>2.0299999999999998</v>
      </c>
      <c r="AD697" s="7" t="s">
        <v>1226</v>
      </c>
      <c r="AE697" s="8">
        <v>375</v>
      </c>
      <c r="AF697" s="8">
        <v>0</v>
      </c>
      <c r="AG697" s="8">
        <v>375</v>
      </c>
      <c r="AH697" s="8">
        <v>0</v>
      </c>
      <c r="AI697" s="7" t="s">
        <v>1760</v>
      </c>
      <c r="AJ697" s="7">
        <f t="shared" ca="1" si="149"/>
        <v>2</v>
      </c>
      <c r="AK697" s="100">
        <f>(+AA697*AB697)/$AB$1103</f>
        <v>0</v>
      </c>
      <c r="AL697" s="97">
        <f>AC697/$AE$1103*AE697</f>
        <v>9.1387117831612588E-5</v>
      </c>
    </row>
    <row r="698" spans="1:38" x14ac:dyDescent="0.3">
      <c r="A698" s="7" t="s">
        <v>2260</v>
      </c>
      <c r="B698" s="7" t="s">
        <v>1320</v>
      </c>
      <c r="C698" s="7" t="s">
        <v>1323</v>
      </c>
      <c r="D698" s="7" t="s">
        <v>1792</v>
      </c>
      <c r="E698" s="7" t="s">
        <v>1739</v>
      </c>
      <c r="F698" s="36">
        <v>43831</v>
      </c>
      <c r="G698" s="36">
        <v>44926</v>
      </c>
      <c r="I698" s="36">
        <v>44926</v>
      </c>
      <c r="J698" s="7" t="s">
        <v>1696</v>
      </c>
      <c r="K698" s="8">
        <v>0</v>
      </c>
      <c r="L698" s="8">
        <v>0</v>
      </c>
      <c r="M698" s="8">
        <v>4500</v>
      </c>
      <c r="N698" s="8">
        <v>0</v>
      </c>
      <c r="O698" s="8">
        <v>0</v>
      </c>
      <c r="P698" s="8">
        <v>0</v>
      </c>
      <c r="Q698" s="8">
        <v>0</v>
      </c>
      <c r="R698" s="8">
        <f t="shared" si="148"/>
        <v>4500</v>
      </c>
      <c r="S698" s="8">
        <v>0</v>
      </c>
      <c r="T698" s="8">
        <v>0</v>
      </c>
      <c r="U698" s="8">
        <v>4500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7">
        <v>0</v>
      </c>
      <c r="AB698" s="8">
        <v>0</v>
      </c>
      <c r="AC698" s="7">
        <v>2.0299999999999998</v>
      </c>
      <c r="AD698" s="7" t="s">
        <v>1226</v>
      </c>
      <c r="AE698" s="8">
        <v>0</v>
      </c>
      <c r="AF698" s="8">
        <v>0</v>
      </c>
      <c r="AG698" s="8">
        <v>0</v>
      </c>
      <c r="AH698" s="8">
        <v>0</v>
      </c>
      <c r="AI698" s="7" t="s">
        <v>1760</v>
      </c>
      <c r="AJ698" s="7">
        <f t="shared" ca="1" si="149"/>
        <v>1</v>
      </c>
      <c r="AK698" s="96">
        <f>(+AA698*AB698)/$AB$1102</f>
        <v>0</v>
      </c>
      <c r="AL698" s="97">
        <f>AC698/$AE$1102*AE698</f>
        <v>0</v>
      </c>
    </row>
    <row r="699" spans="1:38" x14ac:dyDescent="0.3">
      <c r="A699" s="7" t="s">
        <v>2260</v>
      </c>
      <c r="B699" s="7" t="s">
        <v>1320</v>
      </c>
      <c r="C699" s="7" t="s">
        <v>1323</v>
      </c>
      <c r="D699" s="7" t="s">
        <v>1792</v>
      </c>
      <c r="E699" s="7" t="s">
        <v>1739</v>
      </c>
      <c r="F699" s="36">
        <v>43831</v>
      </c>
      <c r="G699" s="36">
        <v>44926</v>
      </c>
      <c r="I699" s="36">
        <v>44926</v>
      </c>
      <c r="J699" s="7" t="s">
        <v>1699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f t="shared" si="148"/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7">
        <v>0</v>
      </c>
      <c r="AB699" s="8">
        <v>0</v>
      </c>
      <c r="AC699" s="7">
        <v>2.0299999999999998</v>
      </c>
      <c r="AD699" s="7" t="s">
        <v>1226</v>
      </c>
      <c r="AE699" s="8">
        <v>375</v>
      </c>
      <c r="AF699" s="8">
        <v>0</v>
      </c>
      <c r="AG699" s="8">
        <v>375</v>
      </c>
      <c r="AH699" s="8">
        <v>0</v>
      </c>
      <c r="AI699" s="7" t="s">
        <v>1760</v>
      </c>
      <c r="AJ699" s="7">
        <f t="shared" ca="1" si="149"/>
        <v>2</v>
      </c>
      <c r="AK699" s="100">
        <f>(+AA699*AB699)/$AB$1103</f>
        <v>0</v>
      </c>
      <c r="AL699" s="97">
        <f>AC699/$AE$1103*AE699</f>
        <v>9.1387117831612588E-5</v>
      </c>
    </row>
    <row r="700" spans="1:38" x14ac:dyDescent="0.3">
      <c r="A700" s="7" t="s">
        <v>2261</v>
      </c>
      <c r="B700" s="7" t="s">
        <v>1320</v>
      </c>
      <c r="C700" s="7" t="s">
        <v>1323</v>
      </c>
      <c r="D700" s="7" t="s">
        <v>1792</v>
      </c>
      <c r="E700" s="7" t="s">
        <v>1739</v>
      </c>
      <c r="F700" s="36">
        <v>43831</v>
      </c>
      <c r="G700" s="36">
        <v>44926</v>
      </c>
      <c r="I700" s="36">
        <v>44926</v>
      </c>
      <c r="J700" s="7" t="s">
        <v>1696</v>
      </c>
      <c r="K700" s="8">
        <v>0</v>
      </c>
      <c r="L700" s="8">
        <v>0</v>
      </c>
      <c r="M700" s="8">
        <v>4500</v>
      </c>
      <c r="N700" s="8">
        <v>0</v>
      </c>
      <c r="O700" s="8">
        <v>0</v>
      </c>
      <c r="P700" s="8">
        <v>0</v>
      </c>
      <c r="Q700" s="8">
        <v>0</v>
      </c>
      <c r="R700" s="8">
        <f t="shared" si="148"/>
        <v>4500</v>
      </c>
      <c r="S700" s="8">
        <v>0</v>
      </c>
      <c r="T700" s="8">
        <v>0</v>
      </c>
      <c r="U700" s="8">
        <v>4500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7">
        <v>0</v>
      </c>
      <c r="AB700" s="8">
        <v>0</v>
      </c>
      <c r="AC700" s="7">
        <v>2.0299999999999998</v>
      </c>
      <c r="AD700" s="7" t="s">
        <v>1226</v>
      </c>
      <c r="AE700" s="8">
        <v>0</v>
      </c>
      <c r="AF700" s="8">
        <v>0</v>
      </c>
      <c r="AG700" s="8">
        <v>0</v>
      </c>
      <c r="AH700" s="8">
        <v>0</v>
      </c>
      <c r="AI700" s="7" t="s">
        <v>1760</v>
      </c>
      <c r="AJ700" s="7">
        <f t="shared" ca="1" si="149"/>
        <v>1</v>
      </c>
      <c r="AK700" s="96">
        <f>(+AA700*AB700)/$AB$1102</f>
        <v>0</v>
      </c>
      <c r="AL700" s="97">
        <f>AC700/$AE$1102*AE700</f>
        <v>0</v>
      </c>
    </row>
    <row r="701" spans="1:38" x14ac:dyDescent="0.3">
      <c r="A701" s="7" t="s">
        <v>2261</v>
      </c>
      <c r="B701" s="7" t="s">
        <v>1320</v>
      </c>
      <c r="C701" s="7" t="s">
        <v>1323</v>
      </c>
      <c r="D701" s="7" t="s">
        <v>1792</v>
      </c>
      <c r="E701" s="7" t="s">
        <v>1739</v>
      </c>
      <c r="F701" s="36">
        <v>43831</v>
      </c>
      <c r="G701" s="36">
        <v>44926</v>
      </c>
      <c r="I701" s="36">
        <v>44926</v>
      </c>
      <c r="J701" s="7" t="s">
        <v>1699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f t="shared" si="148"/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7">
        <v>0</v>
      </c>
      <c r="AB701" s="8">
        <v>0</v>
      </c>
      <c r="AC701" s="7">
        <v>2.0299999999999998</v>
      </c>
      <c r="AD701" s="7" t="s">
        <v>1226</v>
      </c>
      <c r="AE701" s="8">
        <v>375</v>
      </c>
      <c r="AF701" s="8">
        <v>0</v>
      </c>
      <c r="AG701" s="8">
        <v>375</v>
      </c>
      <c r="AH701" s="8">
        <v>0</v>
      </c>
      <c r="AI701" s="7" t="s">
        <v>1760</v>
      </c>
      <c r="AJ701" s="7">
        <f t="shared" ca="1" si="149"/>
        <v>2</v>
      </c>
      <c r="AK701" s="100">
        <f>(+AA701*AB701)/$AB$1103</f>
        <v>0</v>
      </c>
      <c r="AL701" s="97">
        <f>AC701/$AE$1103*AE701</f>
        <v>9.1387117831612588E-5</v>
      </c>
    </row>
    <row r="702" spans="1:38" x14ac:dyDescent="0.3">
      <c r="A702" s="7" t="s">
        <v>2262</v>
      </c>
      <c r="B702" s="7" t="s">
        <v>1320</v>
      </c>
      <c r="C702" s="7" t="s">
        <v>1323</v>
      </c>
      <c r="D702" s="7" t="s">
        <v>1792</v>
      </c>
      <c r="E702" s="7" t="s">
        <v>1739</v>
      </c>
      <c r="F702" s="36">
        <v>43831</v>
      </c>
      <c r="G702" s="36">
        <v>44926</v>
      </c>
      <c r="I702" s="36">
        <v>44926</v>
      </c>
      <c r="J702" s="7" t="s">
        <v>1239</v>
      </c>
      <c r="K702" s="8">
        <v>-8739.0332639999997</v>
      </c>
      <c r="L702" s="8">
        <v>-349.886481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f t="shared" si="148"/>
        <v>-9088.9197449999992</v>
      </c>
      <c r="S702" s="8">
        <v>0</v>
      </c>
      <c r="T702" s="8">
        <v>-342.35703000000001</v>
      </c>
      <c r="U702" s="8">
        <v>0</v>
      </c>
      <c r="V702" s="8">
        <v>-8657.6429700000008</v>
      </c>
      <c r="W702" s="8">
        <v>0</v>
      </c>
      <c r="X702" s="8">
        <v>0</v>
      </c>
      <c r="Y702" s="8">
        <v>0</v>
      </c>
      <c r="Z702" s="8">
        <v>-13108.549878</v>
      </c>
      <c r="AA702" s="7">
        <v>0</v>
      </c>
      <c r="AB702" s="8">
        <v>0</v>
      </c>
      <c r="AC702" s="7">
        <v>2.0299999999999998</v>
      </c>
      <c r="AD702" s="7" t="s">
        <v>1226</v>
      </c>
      <c r="AE702" s="8">
        <v>0</v>
      </c>
      <c r="AF702" s="8">
        <v>0</v>
      </c>
      <c r="AG702" s="8">
        <v>0</v>
      </c>
      <c r="AH702" s="8">
        <v>0</v>
      </c>
      <c r="AI702" s="7" t="s">
        <v>1760</v>
      </c>
      <c r="AJ702" s="7">
        <f t="shared" ca="1" si="149"/>
        <v>1</v>
      </c>
      <c r="AK702" s="96">
        <f t="shared" si="160"/>
        <v>0</v>
      </c>
      <c r="AL702" s="97">
        <f t="shared" si="161"/>
        <v>0</v>
      </c>
    </row>
    <row r="703" spans="1:38" x14ac:dyDescent="0.3">
      <c r="A703" s="7" t="s">
        <v>2262</v>
      </c>
      <c r="B703" s="7" t="s">
        <v>1320</v>
      </c>
      <c r="C703" s="7" t="s">
        <v>1323</v>
      </c>
      <c r="D703" s="7" t="s">
        <v>1792</v>
      </c>
      <c r="E703" s="7" t="s">
        <v>1739</v>
      </c>
      <c r="F703" s="36">
        <v>43831</v>
      </c>
      <c r="G703" s="36">
        <v>44926</v>
      </c>
      <c r="I703" s="36">
        <v>44926</v>
      </c>
      <c r="J703" s="7" t="s">
        <v>1696</v>
      </c>
      <c r="K703" s="8">
        <v>0</v>
      </c>
      <c r="L703" s="8">
        <v>0</v>
      </c>
      <c r="M703" s="8">
        <v>13500</v>
      </c>
      <c r="N703" s="8">
        <v>0</v>
      </c>
      <c r="O703" s="8">
        <v>0</v>
      </c>
      <c r="P703" s="8">
        <v>0</v>
      </c>
      <c r="Q703" s="8">
        <v>0</v>
      </c>
      <c r="R703" s="8">
        <f t="shared" si="148"/>
        <v>13500</v>
      </c>
      <c r="S703" s="8">
        <v>0</v>
      </c>
      <c r="T703" s="8">
        <v>0</v>
      </c>
      <c r="U703" s="8">
        <v>13500</v>
      </c>
      <c r="V703" s="8">
        <v>0</v>
      </c>
      <c r="W703" s="8">
        <v>0</v>
      </c>
      <c r="X703" s="8">
        <v>0</v>
      </c>
      <c r="Y703" s="8">
        <v>13108.549878</v>
      </c>
      <c r="Z703" s="8">
        <v>0</v>
      </c>
      <c r="AA703" s="7">
        <v>0</v>
      </c>
      <c r="AB703" s="8">
        <v>0</v>
      </c>
      <c r="AC703" s="7">
        <v>2.0299999999999998</v>
      </c>
      <c r="AD703" s="7" t="s">
        <v>1226</v>
      </c>
      <c r="AE703" s="8">
        <v>0</v>
      </c>
      <c r="AF703" s="8">
        <v>0</v>
      </c>
      <c r="AG703" s="8">
        <v>0</v>
      </c>
      <c r="AH703" s="8">
        <v>0</v>
      </c>
      <c r="AI703" s="7" t="s">
        <v>1760</v>
      </c>
      <c r="AJ703" s="7">
        <f t="shared" ca="1" si="149"/>
        <v>2</v>
      </c>
      <c r="AK703" s="96">
        <f>(+AA703*AB703)/$AB$1102</f>
        <v>0</v>
      </c>
      <c r="AL703" s="97">
        <f>AC703/$AE$1102*AE703</f>
        <v>0</v>
      </c>
    </row>
    <row r="704" spans="1:38" x14ac:dyDescent="0.3">
      <c r="A704" s="7" t="s">
        <v>2262</v>
      </c>
      <c r="B704" s="7" t="s">
        <v>1320</v>
      </c>
      <c r="C704" s="7" t="s">
        <v>1323</v>
      </c>
      <c r="D704" s="7" t="s">
        <v>1792</v>
      </c>
      <c r="E704" s="7" t="s">
        <v>1739</v>
      </c>
      <c r="F704" s="36">
        <v>43831</v>
      </c>
      <c r="G704" s="36">
        <v>44926</v>
      </c>
      <c r="I704" s="36">
        <v>44926</v>
      </c>
      <c r="J704" s="7" t="s">
        <v>1699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f t="shared" si="148"/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7">
        <v>0</v>
      </c>
      <c r="AB704" s="8">
        <v>0</v>
      </c>
      <c r="AC704" s="7">
        <v>2.0299999999999998</v>
      </c>
      <c r="AD704" s="7" t="s">
        <v>1226</v>
      </c>
      <c r="AE704" s="8">
        <v>375</v>
      </c>
      <c r="AF704" s="8">
        <v>0</v>
      </c>
      <c r="AG704" s="8">
        <v>375</v>
      </c>
      <c r="AH704" s="8">
        <v>0</v>
      </c>
      <c r="AI704" s="7" t="s">
        <v>1760</v>
      </c>
      <c r="AJ704" s="7">
        <f t="shared" ca="1" si="149"/>
        <v>3</v>
      </c>
      <c r="AK704" s="100">
        <f>(+AA704*AB704)/$AB$1103</f>
        <v>0</v>
      </c>
      <c r="AL704" s="97">
        <f>AC704/$AE$1103*AE704</f>
        <v>9.1387117831612588E-5</v>
      </c>
    </row>
    <row r="705" spans="1:38" x14ac:dyDescent="0.3">
      <c r="A705" s="7" t="s">
        <v>2263</v>
      </c>
      <c r="B705" s="7" t="s">
        <v>1320</v>
      </c>
      <c r="C705" s="7" t="s">
        <v>1323</v>
      </c>
      <c r="D705" s="7" t="s">
        <v>1792</v>
      </c>
      <c r="E705" s="7" t="s">
        <v>1739</v>
      </c>
      <c r="F705" s="36">
        <v>43831</v>
      </c>
      <c r="G705" s="36">
        <v>44926</v>
      </c>
      <c r="I705" s="36">
        <v>44926</v>
      </c>
      <c r="J705" s="7" t="s">
        <v>1696</v>
      </c>
      <c r="K705" s="8">
        <v>0</v>
      </c>
      <c r="L705" s="8">
        <v>0</v>
      </c>
      <c r="M705" s="8">
        <v>4500</v>
      </c>
      <c r="N705" s="8">
        <v>0</v>
      </c>
      <c r="O705" s="8">
        <v>0</v>
      </c>
      <c r="P705" s="8">
        <v>0</v>
      </c>
      <c r="Q705" s="8">
        <v>0</v>
      </c>
      <c r="R705" s="8">
        <f t="shared" si="148"/>
        <v>4500</v>
      </c>
      <c r="S705" s="8">
        <v>0</v>
      </c>
      <c r="T705" s="8">
        <v>0</v>
      </c>
      <c r="U705" s="8">
        <v>4500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7">
        <v>0</v>
      </c>
      <c r="AB705" s="8">
        <v>0</v>
      </c>
      <c r="AC705" s="7">
        <v>2.0299999999999998</v>
      </c>
      <c r="AD705" s="7" t="s">
        <v>1226</v>
      </c>
      <c r="AE705" s="8">
        <v>0</v>
      </c>
      <c r="AF705" s="8">
        <v>0</v>
      </c>
      <c r="AG705" s="8">
        <v>0</v>
      </c>
      <c r="AH705" s="8">
        <v>0</v>
      </c>
      <c r="AI705" s="7" t="s">
        <v>1760</v>
      </c>
      <c r="AJ705" s="7">
        <f t="shared" ca="1" si="149"/>
        <v>1</v>
      </c>
      <c r="AK705" s="96">
        <f>(+AA705*AB705)/$AB$1102</f>
        <v>0</v>
      </c>
      <c r="AL705" s="97">
        <f>AC705/$AE$1102*AE705</f>
        <v>0</v>
      </c>
    </row>
    <row r="706" spans="1:38" x14ac:dyDescent="0.3">
      <c r="A706" s="7" t="s">
        <v>2263</v>
      </c>
      <c r="B706" s="7" t="s">
        <v>1320</v>
      </c>
      <c r="C706" s="7" t="s">
        <v>1323</v>
      </c>
      <c r="D706" s="7" t="s">
        <v>1792</v>
      </c>
      <c r="E706" s="7" t="s">
        <v>1739</v>
      </c>
      <c r="F706" s="36">
        <v>43831</v>
      </c>
      <c r="G706" s="36">
        <v>44926</v>
      </c>
      <c r="I706" s="36">
        <v>44926</v>
      </c>
      <c r="J706" s="7" t="s">
        <v>1699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f t="shared" si="148"/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7">
        <v>0</v>
      </c>
      <c r="AB706" s="8">
        <v>0</v>
      </c>
      <c r="AC706" s="7">
        <v>2.0299999999999998</v>
      </c>
      <c r="AD706" s="7" t="s">
        <v>1226</v>
      </c>
      <c r="AE706" s="8">
        <v>375</v>
      </c>
      <c r="AF706" s="8">
        <v>0</v>
      </c>
      <c r="AG706" s="8">
        <v>375</v>
      </c>
      <c r="AH706" s="8">
        <v>0</v>
      </c>
      <c r="AI706" s="7" t="s">
        <v>1760</v>
      </c>
      <c r="AJ706" s="7">
        <f t="shared" ca="1" si="149"/>
        <v>2</v>
      </c>
      <c r="AK706" s="100">
        <f>(+AA706*AB706)/$AB$1103</f>
        <v>0</v>
      </c>
      <c r="AL706" s="97">
        <f>AC706/$AE$1103*AE706</f>
        <v>9.1387117831612588E-5</v>
      </c>
    </row>
    <row r="707" spans="1:38" x14ac:dyDescent="0.3">
      <c r="A707" s="7" t="s">
        <v>2264</v>
      </c>
      <c r="B707" s="7" t="s">
        <v>1320</v>
      </c>
      <c r="C707" s="7" t="s">
        <v>1323</v>
      </c>
      <c r="D707" s="7" t="s">
        <v>1792</v>
      </c>
      <c r="E707" s="7" t="s">
        <v>1739</v>
      </c>
      <c r="F707" s="36">
        <v>43831</v>
      </c>
      <c r="G707" s="36">
        <v>44926</v>
      </c>
      <c r="I707" s="36">
        <v>44926</v>
      </c>
      <c r="J707" s="7" t="s">
        <v>1696</v>
      </c>
      <c r="K707" s="8">
        <v>0</v>
      </c>
      <c r="L707" s="8">
        <v>0</v>
      </c>
      <c r="M707" s="8">
        <v>4500.0035070000004</v>
      </c>
      <c r="N707" s="8">
        <v>0</v>
      </c>
      <c r="O707" s="8">
        <v>0</v>
      </c>
      <c r="P707" s="8">
        <v>0</v>
      </c>
      <c r="Q707" s="8">
        <v>0</v>
      </c>
      <c r="R707" s="8">
        <f t="shared" ref="R707:R770" si="168">K707+L707+M707+N707+O707+P707+Q707</f>
        <v>4500.0035070000004</v>
      </c>
      <c r="S707" s="8">
        <v>0</v>
      </c>
      <c r="T707" s="8">
        <v>0</v>
      </c>
      <c r="U707" s="8">
        <v>4500</v>
      </c>
      <c r="V707" s="8">
        <v>0</v>
      </c>
      <c r="W707" s="8">
        <v>0</v>
      </c>
      <c r="X707" s="8">
        <v>0</v>
      </c>
      <c r="Y707" s="8">
        <v>0</v>
      </c>
      <c r="Z707" s="8">
        <v>0</v>
      </c>
      <c r="AA707" s="7">
        <v>0</v>
      </c>
      <c r="AB707" s="8">
        <v>0</v>
      </c>
      <c r="AC707" s="7">
        <v>1.96</v>
      </c>
      <c r="AD707" s="7" t="s">
        <v>1226</v>
      </c>
      <c r="AE707" s="8">
        <v>0</v>
      </c>
      <c r="AF707" s="8">
        <v>0</v>
      </c>
      <c r="AG707" s="8">
        <v>0</v>
      </c>
      <c r="AH707" s="8">
        <v>0</v>
      </c>
      <c r="AI707" s="7" t="s">
        <v>1760</v>
      </c>
      <c r="AJ707" s="7">
        <f t="shared" ref="AJ707:AJ770" ca="1" si="169">IF(A707=OFFSET(A707,-1,0),OFFSET(AJ707,-1,0)+1,1)</f>
        <v>1</v>
      </c>
      <c r="AK707" s="96">
        <f>(+AA707*AB707)/$AB$1102</f>
        <v>0</v>
      </c>
      <c r="AL707" s="97">
        <f>AC707/$AE$1102*AE707</f>
        <v>0</v>
      </c>
    </row>
    <row r="708" spans="1:38" x14ac:dyDescent="0.3">
      <c r="A708" s="7" t="s">
        <v>2264</v>
      </c>
      <c r="B708" s="7" t="s">
        <v>1320</v>
      </c>
      <c r="C708" s="7" t="s">
        <v>1323</v>
      </c>
      <c r="D708" s="7" t="s">
        <v>1792</v>
      </c>
      <c r="E708" s="7" t="s">
        <v>1739</v>
      </c>
      <c r="F708" s="36">
        <v>43831</v>
      </c>
      <c r="G708" s="36">
        <v>44926</v>
      </c>
      <c r="I708" s="36">
        <v>44926</v>
      </c>
      <c r="J708" s="7" t="s">
        <v>1699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f t="shared" si="168"/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7">
        <v>0</v>
      </c>
      <c r="AB708" s="8">
        <v>0</v>
      </c>
      <c r="AC708" s="7">
        <v>1.96</v>
      </c>
      <c r="AD708" s="7" t="s">
        <v>1226</v>
      </c>
      <c r="AE708" s="8">
        <v>375</v>
      </c>
      <c r="AF708" s="8">
        <v>0</v>
      </c>
      <c r="AG708" s="8">
        <v>375</v>
      </c>
      <c r="AH708" s="8">
        <v>0</v>
      </c>
      <c r="AI708" s="7" t="s">
        <v>1760</v>
      </c>
      <c r="AJ708" s="7">
        <f t="shared" ca="1" si="169"/>
        <v>2</v>
      </c>
      <c r="AK708" s="100">
        <f>(+AA708*AB708)/$AB$1103</f>
        <v>0</v>
      </c>
      <c r="AL708" s="97">
        <f>AC708/$AE$1103*AE708</f>
        <v>8.823583790638456E-5</v>
      </c>
    </row>
    <row r="709" spans="1:38" x14ac:dyDescent="0.3">
      <c r="A709" s="7" t="s">
        <v>2265</v>
      </c>
      <c r="B709" s="7" t="s">
        <v>1320</v>
      </c>
      <c r="C709" s="7" t="s">
        <v>1323</v>
      </c>
      <c r="D709" s="7" t="s">
        <v>1792</v>
      </c>
      <c r="E709" s="7" t="s">
        <v>1775</v>
      </c>
      <c r="F709" s="36">
        <v>43831</v>
      </c>
      <c r="G709" s="36">
        <v>44926</v>
      </c>
      <c r="H709" s="36">
        <v>44926</v>
      </c>
      <c r="I709" s="36">
        <v>44926</v>
      </c>
      <c r="J709" s="7" t="s">
        <v>1696</v>
      </c>
      <c r="K709" s="8">
        <v>0</v>
      </c>
      <c r="L709" s="8">
        <v>0</v>
      </c>
      <c r="M709" s="8">
        <v>-9000</v>
      </c>
      <c r="N709" s="8">
        <v>0</v>
      </c>
      <c r="O709" s="8">
        <v>0</v>
      </c>
      <c r="P709" s="8">
        <v>0</v>
      </c>
      <c r="Q709" s="8">
        <v>0</v>
      </c>
      <c r="R709" s="8">
        <f t="shared" si="168"/>
        <v>-9000</v>
      </c>
      <c r="S709" s="8">
        <v>0</v>
      </c>
      <c r="T709" s="8">
        <v>0</v>
      </c>
      <c r="U709" s="8">
        <v>-9000</v>
      </c>
      <c r="V709" s="8">
        <v>0</v>
      </c>
      <c r="W709" s="8">
        <v>0</v>
      </c>
      <c r="X709" s="8">
        <v>0</v>
      </c>
      <c r="Y709" s="8">
        <v>0</v>
      </c>
      <c r="Z709" s="8">
        <v>-13108.549878</v>
      </c>
      <c r="AA709" s="7">
        <v>0</v>
      </c>
      <c r="AB709" s="8">
        <v>0</v>
      </c>
      <c r="AC709" s="7">
        <v>1.96</v>
      </c>
      <c r="AD709" s="7" t="s">
        <v>1226</v>
      </c>
      <c r="AE709" s="8">
        <v>0</v>
      </c>
      <c r="AF709" s="8">
        <v>0</v>
      </c>
      <c r="AG709" s="8">
        <v>0</v>
      </c>
      <c r="AH709" s="8">
        <v>0</v>
      </c>
      <c r="AI709" s="7" t="s">
        <v>1760</v>
      </c>
      <c r="AJ709" s="7">
        <f t="shared" ca="1" si="169"/>
        <v>1</v>
      </c>
      <c r="AK709" s="96">
        <f t="shared" ref="AK709:AK710" si="170">(+AA709*AB709)/$AB$1102</f>
        <v>0</v>
      </c>
      <c r="AL709" s="97">
        <f t="shared" ref="AL709:AL710" si="171">AC709/$AE$1102*AE709</f>
        <v>0</v>
      </c>
    </row>
    <row r="710" spans="1:38" x14ac:dyDescent="0.3">
      <c r="A710" s="7" t="s">
        <v>2266</v>
      </c>
      <c r="B710" s="7" t="s">
        <v>1320</v>
      </c>
      <c r="C710" s="7" t="s">
        <v>1323</v>
      </c>
      <c r="D710" s="7" t="s">
        <v>1792</v>
      </c>
      <c r="E710" s="7" t="s">
        <v>1739</v>
      </c>
      <c r="F710" s="36">
        <v>43831</v>
      </c>
      <c r="G710" s="36">
        <v>44926</v>
      </c>
      <c r="I710" s="36">
        <v>44926</v>
      </c>
      <c r="J710" s="7" t="s">
        <v>1696</v>
      </c>
      <c r="K710" s="8">
        <v>0</v>
      </c>
      <c r="L710" s="8">
        <v>0</v>
      </c>
      <c r="M710" s="8">
        <v>4500</v>
      </c>
      <c r="N710" s="8">
        <v>0</v>
      </c>
      <c r="O710" s="8">
        <v>0</v>
      </c>
      <c r="P710" s="8">
        <v>0</v>
      </c>
      <c r="Q710" s="8">
        <v>0</v>
      </c>
      <c r="R710" s="8">
        <f t="shared" si="168"/>
        <v>4500</v>
      </c>
      <c r="S710" s="8">
        <v>0</v>
      </c>
      <c r="T710" s="8">
        <v>0</v>
      </c>
      <c r="U710" s="8">
        <v>4500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7">
        <v>0</v>
      </c>
      <c r="AB710" s="8">
        <v>0</v>
      </c>
      <c r="AC710" s="7">
        <v>2.0299999999999998</v>
      </c>
      <c r="AD710" s="7" t="s">
        <v>1226</v>
      </c>
      <c r="AE710" s="8">
        <v>0</v>
      </c>
      <c r="AF710" s="8">
        <v>0</v>
      </c>
      <c r="AG710" s="8">
        <v>0</v>
      </c>
      <c r="AH710" s="8">
        <v>0</v>
      </c>
      <c r="AI710" s="7" t="s">
        <v>1760</v>
      </c>
      <c r="AJ710" s="7">
        <f t="shared" ca="1" si="169"/>
        <v>1</v>
      </c>
      <c r="AK710" s="96">
        <f t="shared" si="170"/>
        <v>0</v>
      </c>
      <c r="AL710" s="97">
        <f t="shared" si="171"/>
        <v>0</v>
      </c>
    </row>
    <row r="711" spans="1:38" x14ac:dyDescent="0.3">
      <c r="A711" s="7" t="s">
        <v>2266</v>
      </c>
      <c r="B711" s="7" t="s">
        <v>1320</v>
      </c>
      <c r="C711" s="7" t="s">
        <v>1323</v>
      </c>
      <c r="D711" s="7" t="s">
        <v>1792</v>
      </c>
      <c r="E711" s="7" t="s">
        <v>1739</v>
      </c>
      <c r="F711" s="36">
        <v>43831</v>
      </c>
      <c r="G711" s="36">
        <v>44926</v>
      </c>
      <c r="I711" s="36">
        <v>44926</v>
      </c>
      <c r="J711" s="7" t="s">
        <v>1699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f t="shared" si="168"/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7">
        <v>0</v>
      </c>
      <c r="AB711" s="8">
        <v>0</v>
      </c>
      <c r="AC711" s="7">
        <v>2.0299999999999998</v>
      </c>
      <c r="AD711" s="7" t="s">
        <v>1226</v>
      </c>
      <c r="AE711" s="8">
        <v>375</v>
      </c>
      <c r="AF711" s="8">
        <v>0</v>
      </c>
      <c r="AG711" s="8">
        <v>375</v>
      </c>
      <c r="AH711" s="8">
        <v>0</v>
      </c>
      <c r="AI711" s="7" t="s">
        <v>1760</v>
      </c>
      <c r="AJ711" s="7">
        <f t="shared" ca="1" si="169"/>
        <v>2</v>
      </c>
      <c r="AK711" s="100">
        <f>(+AA711*AB711)/$AB$1103</f>
        <v>0</v>
      </c>
      <c r="AL711" s="97">
        <f>AC711/$AE$1103*AE711</f>
        <v>9.1387117831612588E-5</v>
      </c>
    </row>
    <row r="712" spans="1:38" x14ac:dyDescent="0.3">
      <c r="A712" s="7" t="s">
        <v>2267</v>
      </c>
      <c r="B712" s="7" t="s">
        <v>1320</v>
      </c>
      <c r="C712" s="7" t="s">
        <v>1323</v>
      </c>
      <c r="D712" s="7" t="s">
        <v>1792</v>
      </c>
      <c r="E712" s="7" t="s">
        <v>1739</v>
      </c>
      <c r="F712" s="36">
        <v>43831</v>
      </c>
      <c r="G712" s="36">
        <v>44926</v>
      </c>
      <c r="I712" s="36">
        <v>44926</v>
      </c>
      <c r="J712" s="7" t="s">
        <v>1696</v>
      </c>
      <c r="K712" s="8">
        <v>0</v>
      </c>
      <c r="L712" s="8">
        <v>0</v>
      </c>
      <c r="M712" s="8">
        <v>4500</v>
      </c>
      <c r="N712" s="8">
        <v>0</v>
      </c>
      <c r="O712" s="8">
        <v>0</v>
      </c>
      <c r="P712" s="8">
        <v>0</v>
      </c>
      <c r="Q712" s="8">
        <v>0</v>
      </c>
      <c r="R712" s="8">
        <f t="shared" si="168"/>
        <v>4500</v>
      </c>
      <c r="S712" s="8">
        <v>0</v>
      </c>
      <c r="T712" s="8">
        <v>0</v>
      </c>
      <c r="U712" s="8">
        <v>4500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7">
        <v>0</v>
      </c>
      <c r="AB712" s="8">
        <v>0</v>
      </c>
      <c r="AC712" s="7">
        <v>2.0299999999999998</v>
      </c>
      <c r="AD712" s="7" t="s">
        <v>1226</v>
      </c>
      <c r="AE712" s="8">
        <v>0</v>
      </c>
      <c r="AF712" s="8">
        <v>0</v>
      </c>
      <c r="AG712" s="8">
        <v>0</v>
      </c>
      <c r="AH712" s="8">
        <v>0</v>
      </c>
      <c r="AI712" s="7" t="s">
        <v>1760</v>
      </c>
      <c r="AJ712" s="7">
        <f t="shared" ca="1" si="169"/>
        <v>1</v>
      </c>
      <c r="AK712" s="96">
        <f>(+AA712*AB712)/$AB$1102</f>
        <v>0</v>
      </c>
      <c r="AL712" s="97">
        <f>AC712/$AE$1102*AE712</f>
        <v>0</v>
      </c>
    </row>
    <row r="713" spans="1:38" x14ac:dyDescent="0.3">
      <c r="A713" s="7" t="s">
        <v>2267</v>
      </c>
      <c r="B713" s="7" t="s">
        <v>1320</v>
      </c>
      <c r="C713" s="7" t="s">
        <v>1323</v>
      </c>
      <c r="D713" s="7" t="s">
        <v>1792</v>
      </c>
      <c r="E713" s="7" t="s">
        <v>1739</v>
      </c>
      <c r="F713" s="36">
        <v>43831</v>
      </c>
      <c r="G713" s="36">
        <v>44926</v>
      </c>
      <c r="I713" s="36">
        <v>44926</v>
      </c>
      <c r="J713" s="7" t="s">
        <v>1699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f t="shared" si="168"/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7">
        <v>0</v>
      </c>
      <c r="AB713" s="8">
        <v>0</v>
      </c>
      <c r="AC713" s="7">
        <v>2.0299999999999998</v>
      </c>
      <c r="AD713" s="7" t="s">
        <v>1226</v>
      </c>
      <c r="AE713" s="8">
        <v>375</v>
      </c>
      <c r="AF713" s="8">
        <v>0</v>
      </c>
      <c r="AG713" s="8">
        <v>375</v>
      </c>
      <c r="AH713" s="8">
        <v>0</v>
      </c>
      <c r="AI713" s="7" t="s">
        <v>1760</v>
      </c>
      <c r="AJ713" s="7">
        <f t="shared" ca="1" si="169"/>
        <v>2</v>
      </c>
      <c r="AK713" s="100">
        <f>(+AA713*AB713)/$AB$1103</f>
        <v>0</v>
      </c>
      <c r="AL713" s="97">
        <f>AC713/$AE$1103*AE713</f>
        <v>9.1387117831612588E-5</v>
      </c>
    </row>
    <row r="714" spans="1:38" x14ac:dyDescent="0.3">
      <c r="A714" s="7" t="s">
        <v>2268</v>
      </c>
      <c r="B714" s="7" t="s">
        <v>1320</v>
      </c>
      <c r="C714" s="7" t="s">
        <v>1323</v>
      </c>
      <c r="D714" s="7" t="s">
        <v>1792</v>
      </c>
      <c r="E714" s="7" t="s">
        <v>1739</v>
      </c>
      <c r="F714" s="36">
        <v>43831</v>
      </c>
      <c r="G714" s="36">
        <v>44926</v>
      </c>
      <c r="I714" s="36">
        <v>44926</v>
      </c>
      <c r="J714" s="7" t="s">
        <v>1696</v>
      </c>
      <c r="K714" s="8">
        <v>0</v>
      </c>
      <c r="L714" s="8">
        <v>0</v>
      </c>
      <c r="M714" s="8">
        <v>4500</v>
      </c>
      <c r="N714" s="8">
        <v>0</v>
      </c>
      <c r="O714" s="8">
        <v>0</v>
      </c>
      <c r="P714" s="8">
        <v>0</v>
      </c>
      <c r="Q714" s="8">
        <v>0</v>
      </c>
      <c r="R714" s="8">
        <f t="shared" si="168"/>
        <v>4500</v>
      </c>
      <c r="S714" s="8">
        <v>0</v>
      </c>
      <c r="T714" s="8">
        <v>0</v>
      </c>
      <c r="U714" s="8">
        <v>4500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7">
        <v>0</v>
      </c>
      <c r="AB714" s="8">
        <v>0</v>
      </c>
      <c r="AC714" s="7">
        <v>2.0299999999999998</v>
      </c>
      <c r="AD714" s="7" t="s">
        <v>1226</v>
      </c>
      <c r="AE714" s="8">
        <v>0</v>
      </c>
      <c r="AF714" s="8">
        <v>0</v>
      </c>
      <c r="AG714" s="8">
        <v>0</v>
      </c>
      <c r="AH714" s="8">
        <v>0</v>
      </c>
      <c r="AI714" s="7" t="s">
        <v>1760</v>
      </c>
      <c r="AJ714" s="7">
        <f t="shared" ca="1" si="169"/>
        <v>1</v>
      </c>
      <c r="AK714" s="96">
        <f>(+AA714*AB714)/$AB$1102</f>
        <v>0</v>
      </c>
      <c r="AL714" s="97">
        <f>AC714/$AE$1102*AE714</f>
        <v>0</v>
      </c>
    </row>
    <row r="715" spans="1:38" x14ac:dyDescent="0.3">
      <c r="A715" s="7" t="s">
        <v>2268</v>
      </c>
      <c r="B715" s="7" t="s">
        <v>1320</v>
      </c>
      <c r="C715" s="7" t="s">
        <v>1323</v>
      </c>
      <c r="D715" s="7" t="s">
        <v>1792</v>
      </c>
      <c r="E715" s="7" t="s">
        <v>1739</v>
      </c>
      <c r="F715" s="36">
        <v>43831</v>
      </c>
      <c r="G715" s="36">
        <v>44926</v>
      </c>
      <c r="I715" s="36">
        <v>44926</v>
      </c>
      <c r="J715" s="7" t="s">
        <v>1699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f t="shared" si="168"/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7">
        <v>0</v>
      </c>
      <c r="AB715" s="8">
        <v>0</v>
      </c>
      <c r="AC715" s="7">
        <v>2.0299999999999998</v>
      </c>
      <c r="AD715" s="7" t="s">
        <v>1226</v>
      </c>
      <c r="AE715" s="8">
        <v>375</v>
      </c>
      <c r="AF715" s="8">
        <v>0</v>
      </c>
      <c r="AG715" s="8">
        <v>375</v>
      </c>
      <c r="AH715" s="8">
        <v>0</v>
      </c>
      <c r="AI715" s="7" t="s">
        <v>1760</v>
      </c>
      <c r="AJ715" s="7">
        <f t="shared" ca="1" si="169"/>
        <v>2</v>
      </c>
      <c r="AK715" s="100">
        <f>(+AA715*AB715)/$AB$1103</f>
        <v>0</v>
      </c>
      <c r="AL715" s="97">
        <f>AC715/$AE$1103*AE715</f>
        <v>9.1387117831612588E-5</v>
      </c>
    </row>
    <row r="716" spans="1:38" x14ac:dyDescent="0.3">
      <c r="A716" s="7" t="s">
        <v>2269</v>
      </c>
      <c r="B716" s="7" t="s">
        <v>1320</v>
      </c>
      <c r="C716" s="7" t="s">
        <v>1323</v>
      </c>
      <c r="D716" s="7" t="s">
        <v>1792</v>
      </c>
      <c r="E716" s="7" t="s">
        <v>1775</v>
      </c>
      <c r="F716" s="36">
        <v>43831</v>
      </c>
      <c r="G716" s="36">
        <v>44926</v>
      </c>
      <c r="H716" s="36">
        <v>44926</v>
      </c>
      <c r="I716" s="36">
        <v>44926</v>
      </c>
      <c r="J716" s="7" t="s">
        <v>1696</v>
      </c>
      <c r="K716" s="8">
        <v>0</v>
      </c>
      <c r="L716" s="8">
        <v>0</v>
      </c>
      <c r="M716" s="8">
        <v>-9000</v>
      </c>
      <c r="N716" s="8">
        <v>0</v>
      </c>
      <c r="O716" s="8">
        <v>0</v>
      </c>
      <c r="P716" s="8">
        <v>0</v>
      </c>
      <c r="Q716" s="8">
        <v>0</v>
      </c>
      <c r="R716" s="8">
        <f t="shared" si="168"/>
        <v>-9000</v>
      </c>
      <c r="S716" s="8">
        <v>0</v>
      </c>
      <c r="T716" s="8">
        <v>0</v>
      </c>
      <c r="U716" s="8">
        <v>-9000</v>
      </c>
      <c r="V716" s="8">
        <v>0</v>
      </c>
      <c r="W716" s="8">
        <v>0</v>
      </c>
      <c r="X716" s="8">
        <v>0</v>
      </c>
      <c r="Y716" s="8">
        <v>0</v>
      </c>
      <c r="Z716" s="8">
        <v>-13108.549878</v>
      </c>
      <c r="AA716" s="7">
        <v>0</v>
      </c>
      <c r="AB716" s="8">
        <v>0</v>
      </c>
      <c r="AC716" s="7">
        <v>2.0299999999999998</v>
      </c>
      <c r="AD716" s="7" t="s">
        <v>1226</v>
      </c>
      <c r="AE716" s="8">
        <v>0</v>
      </c>
      <c r="AF716" s="8">
        <v>0</v>
      </c>
      <c r="AG716" s="8">
        <v>0</v>
      </c>
      <c r="AH716" s="8">
        <v>0</v>
      </c>
      <c r="AI716" s="7" t="s">
        <v>1760</v>
      </c>
      <c r="AJ716" s="7">
        <f t="shared" ca="1" si="169"/>
        <v>1</v>
      </c>
      <c r="AK716" s="96">
        <f t="shared" ref="AK716:AK717" si="172">(+AA716*AB716)/$AB$1102</f>
        <v>0</v>
      </c>
      <c r="AL716" s="97">
        <f t="shared" ref="AL716:AL717" si="173">AC716/$AE$1102*AE716</f>
        <v>0</v>
      </c>
    </row>
    <row r="717" spans="1:38" x14ac:dyDescent="0.3">
      <c r="A717" s="7" t="s">
        <v>2270</v>
      </c>
      <c r="B717" s="7" t="s">
        <v>1320</v>
      </c>
      <c r="C717" s="7" t="s">
        <v>1323</v>
      </c>
      <c r="D717" s="7" t="s">
        <v>1792</v>
      </c>
      <c r="E717" s="7" t="s">
        <v>1739</v>
      </c>
      <c r="F717" s="36">
        <v>43831</v>
      </c>
      <c r="G717" s="36">
        <v>44926</v>
      </c>
      <c r="I717" s="36">
        <v>44926</v>
      </c>
      <c r="J717" s="7" t="s">
        <v>1696</v>
      </c>
      <c r="K717" s="8">
        <v>0</v>
      </c>
      <c r="L717" s="8">
        <v>0</v>
      </c>
      <c r="M717" s="8">
        <v>4500</v>
      </c>
      <c r="N717" s="8">
        <v>0</v>
      </c>
      <c r="O717" s="8">
        <v>0</v>
      </c>
      <c r="P717" s="8">
        <v>0</v>
      </c>
      <c r="Q717" s="8">
        <v>0</v>
      </c>
      <c r="R717" s="8">
        <f t="shared" si="168"/>
        <v>4500</v>
      </c>
      <c r="S717" s="8">
        <v>0</v>
      </c>
      <c r="T717" s="8">
        <v>0</v>
      </c>
      <c r="U717" s="8">
        <v>4500</v>
      </c>
      <c r="V717" s="8">
        <v>0</v>
      </c>
      <c r="W717" s="8">
        <v>0</v>
      </c>
      <c r="X717" s="8">
        <v>0</v>
      </c>
      <c r="Y717" s="8">
        <v>0</v>
      </c>
      <c r="Z717" s="8">
        <v>0</v>
      </c>
      <c r="AA717" s="7">
        <v>0</v>
      </c>
      <c r="AB717" s="8">
        <v>0</v>
      </c>
      <c r="AC717" s="7">
        <v>2.0299999999999998</v>
      </c>
      <c r="AD717" s="7" t="s">
        <v>1226</v>
      </c>
      <c r="AE717" s="8">
        <v>0</v>
      </c>
      <c r="AF717" s="8">
        <v>0</v>
      </c>
      <c r="AG717" s="8">
        <v>0</v>
      </c>
      <c r="AH717" s="8">
        <v>0</v>
      </c>
      <c r="AI717" s="7" t="s">
        <v>1760</v>
      </c>
      <c r="AJ717" s="7">
        <f t="shared" ca="1" si="169"/>
        <v>1</v>
      </c>
      <c r="AK717" s="96">
        <f t="shared" si="172"/>
        <v>0</v>
      </c>
      <c r="AL717" s="97">
        <f t="shared" si="173"/>
        <v>0</v>
      </c>
    </row>
    <row r="718" spans="1:38" x14ac:dyDescent="0.3">
      <c r="A718" s="7" t="s">
        <v>2270</v>
      </c>
      <c r="B718" s="7" t="s">
        <v>1320</v>
      </c>
      <c r="C718" s="7" t="s">
        <v>1323</v>
      </c>
      <c r="D718" s="7" t="s">
        <v>1792</v>
      </c>
      <c r="E718" s="7" t="s">
        <v>1739</v>
      </c>
      <c r="F718" s="36">
        <v>43831</v>
      </c>
      <c r="G718" s="36">
        <v>44926</v>
      </c>
      <c r="I718" s="36">
        <v>44926</v>
      </c>
      <c r="J718" s="7" t="s">
        <v>1699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f t="shared" si="168"/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7">
        <v>0</v>
      </c>
      <c r="AB718" s="8">
        <v>0</v>
      </c>
      <c r="AC718" s="7">
        <v>2.0299999999999998</v>
      </c>
      <c r="AD718" s="7" t="s">
        <v>1226</v>
      </c>
      <c r="AE718" s="8">
        <v>375</v>
      </c>
      <c r="AF718" s="8">
        <v>0</v>
      </c>
      <c r="AG718" s="8">
        <v>375</v>
      </c>
      <c r="AH718" s="8">
        <v>0</v>
      </c>
      <c r="AI718" s="7" t="s">
        <v>1760</v>
      </c>
      <c r="AJ718" s="7">
        <f t="shared" ca="1" si="169"/>
        <v>2</v>
      </c>
      <c r="AK718" s="100">
        <f>(+AA718*AB718)/$AB$1103</f>
        <v>0</v>
      </c>
      <c r="AL718" s="97">
        <f>AC718/$AE$1103*AE718</f>
        <v>9.1387117831612588E-5</v>
      </c>
    </row>
    <row r="719" spans="1:38" x14ac:dyDescent="0.3">
      <c r="A719" s="7" t="s">
        <v>2271</v>
      </c>
      <c r="B719" s="7" t="s">
        <v>1320</v>
      </c>
      <c r="C719" s="7" t="s">
        <v>1323</v>
      </c>
      <c r="D719" s="7" t="s">
        <v>1792</v>
      </c>
      <c r="E719" s="7" t="s">
        <v>1739</v>
      </c>
      <c r="F719" s="36">
        <v>43831</v>
      </c>
      <c r="G719" s="36">
        <v>44926</v>
      </c>
      <c r="I719" s="36">
        <v>44926</v>
      </c>
      <c r="J719" s="7" t="s">
        <v>1696</v>
      </c>
      <c r="K719" s="8">
        <v>0</v>
      </c>
      <c r="L719" s="8">
        <v>0</v>
      </c>
      <c r="M719" s="8">
        <v>4500</v>
      </c>
      <c r="N719" s="8">
        <v>0</v>
      </c>
      <c r="O719" s="8">
        <v>0</v>
      </c>
      <c r="P719" s="8">
        <v>0</v>
      </c>
      <c r="Q719" s="8">
        <v>0</v>
      </c>
      <c r="R719" s="8">
        <f t="shared" si="168"/>
        <v>4500</v>
      </c>
      <c r="S719" s="8">
        <v>0</v>
      </c>
      <c r="T719" s="8">
        <v>0</v>
      </c>
      <c r="U719" s="8">
        <v>4500</v>
      </c>
      <c r="V719" s="8">
        <v>0</v>
      </c>
      <c r="W719" s="8">
        <v>0</v>
      </c>
      <c r="X719" s="8">
        <v>0</v>
      </c>
      <c r="Y719" s="8">
        <v>0</v>
      </c>
      <c r="Z719" s="8">
        <v>0</v>
      </c>
      <c r="AA719" s="7">
        <v>0</v>
      </c>
      <c r="AB719" s="8">
        <v>0</v>
      </c>
      <c r="AC719" s="7">
        <v>2.0299999999999998</v>
      </c>
      <c r="AD719" s="7" t="s">
        <v>1226</v>
      </c>
      <c r="AE719" s="8">
        <v>0</v>
      </c>
      <c r="AF719" s="8">
        <v>0</v>
      </c>
      <c r="AG719" s="8">
        <v>0</v>
      </c>
      <c r="AH719" s="8">
        <v>0</v>
      </c>
      <c r="AI719" s="7" t="s">
        <v>1781</v>
      </c>
      <c r="AJ719" s="7">
        <f t="shared" ca="1" si="169"/>
        <v>1</v>
      </c>
      <c r="AK719" s="96">
        <f>(+AA719*AB719)/$AB$1102</f>
        <v>0</v>
      </c>
      <c r="AL719" s="97">
        <f>AC719/$AE$1102*AE719</f>
        <v>0</v>
      </c>
    </row>
    <row r="720" spans="1:38" x14ac:dyDescent="0.3">
      <c r="A720" s="7" t="s">
        <v>2271</v>
      </c>
      <c r="B720" s="7" t="s">
        <v>1320</v>
      </c>
      <c r="C720" s="7" t="s">
        <v>1323</v>
      </c>
      <c r="D720" s="7" t="s">
        <v>1792</v>
      </c>
      <c r="E720" s="7" t="s">
        <v>1739</v>
      </c>
      <c r="F720" s="36">
        <v>43831</v>
      </c>
      <c r="G720" s="36">
        <v>44926</v>
      </c>
      <c r="I720" s="36">
        <v>44926</v>
      </c>
      <c r="J720" s="7" t="s">
        <v>1699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f t="shared" si="168"/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8">
        <v>0</v>
      </c>
      <c r="AA720" s="7">
        <v>0</v>
      </c>
      <c r="AB720" s="8">
        <v>0</v>
      </c>
      <c r="AC720" s="7">
        <v>2.0299999999999998</v>
      </c>
      <c r="AD720" s="7" t="s">
        <v>1226</v>
      </c>
      <c r="AE720" s="8">
        <v>375</v>
      </c>
      <c r="AF720" s="8">
        <v>0</v>
      </c>
      <c r="AG720" s="8">
        <v>375</v>
      </c>
      <c r="AH720" s="8">
        <v>0</v>
      </c>
      <c r="AI720" s="7" t="s">
        <v>1781</v>
      </c>
      <c r="AJ720" s="7">
        <f t="shared" ca="1" si="169"/>
        <v>2</v>
      </c>
      <c r="AK720" s="100">
        <f>(+AA720*AB720)/$AB$1103</f>
        <v>0</v>
      </c>
      <c r="AL720" s="97">
        <f>AC720/$AE$1103*AE720</f>
        <v>9.1387117831612588E-5</v>
      </c>
    </row>
    <row r="721" spans="1:38" x14ac:dyDescent="0.3">
      <c r="A721" s="7" t="s">
        <v>2272</v>
      </c>
      <c r="B721" s="7" t="s">
        <v>1320</v>
      </c>
      <c r="C721" s="7" t="s">
        <v>1323</v>
      </c>
      <c r="D721" s="7" t="s">
        <v>1792</v>
      </c>
      <c r="E721" s="7" t="s">
        <v>1322</v>
      </c>
      <c r="F721" s="36">
        <v>44378</v>
      </c>
      <c r="G721" s="36">
        <v>45473</v>
      </c>
      <c r="H721" s="36">
        <v>45473</v>
      </c>
      <c r="I721" s="36">
        <v>45473</v>
      </c>
      <c r="J721" s="7" t="s">
        <v>1696</v>
      </c>
      <c r="K721" s="8">
        <v>0</v>
      </c>
      <c r="L721" s="8">
        <v>0</v>
      </c>
      <c r="M721" s="8">
        <v>13500</v>
      </c>
      <c r="N721" s="8">
        <v>0</v>
      </c>
      <c r="O721" s="8">
        <v>0</v>
      </c>
      <c r="P721" s="8">
        <v>0</v>
      </c>
      <c r="Q721" s="8">
        <v>0</v>
      </c>
      <c r="R721" s="8">
        <f t="shared" si="168"/>
        <v>13500</v>
      </c>
      <c r="S721" s="8">
        <v>0</v>
      </c>
      <c r="T721" s="8">
        <v>0</v>
      </c>
      <c r="U721" s="8">
        <v>13500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7">
        <v>1.4986299999999999</v>
      </c>
      <c r="AB721" s="8">
        <v>19826.416512</v>
      </c>
      <c r="AC721" s="7">
        <v>3</v>
      </c>
      <c r="AD721" s="7" t="s">
        <v>1226</v>
      </c>
      <c r="AE721" s="8">
        <v>20250</v>
      </c>
      <c r="AF721" s="8">
        <v>0</v>
      </c>
      <c r="AG721" s="8">
        <v>20250</v>
      </c>
      <c r="AH721" s="8">
        <v>0</v>
      </c>
      <c r="AI721" s="7" t="s">
        <v>1760</v>
      </c>
      <c r="AJ721" s="7">
        <f t="shared" ca="1" si="169"/>
        <v>1</v>
      </c>
      <c r="AK721" s="96">
        <f t="shared" ref="AK721:AK737" si="174">(+AA721*AB721)/$AB$1102</f>
        <v>2.6040715490547192E-5</v>
      </c>
      <c r="AL721" s="97">
        <f t="shared" ref="AL721:AL737" si="175">AC721/$AE$1102*AE721</f>
        <v>5.1981398331946409E-5</v>
      </c>
    </row>
    <row r="722" spans="1:38" x14ac:dyDescent="0.3">
      <c r="A722" s="7" t="s">
        <v>2273</v>
      </c>
      <c r="B722" s="7" t="s">
        <v>1320</v>
      </c>
      <c r="C722" s="7" t="s">
        <v>1323</v>
      </c>
      <c r="D722" s="7" t="s">
        <v>1792</v>
      </c>
      <c r="E722" s="7" t="s">
        <v>1322</v>
      </c>
      <c r="F722" s="36">
        <v>44378</v>
      </c>
      <c r="G722" s="36">
        <v>45473</v>
      </c>
      <c r="H722" s="36">
        <v>45473</v>
      </c>
      <c r="I722" s="36">
        <v>45473</v>
      </c>
      <c r="J722" s="7" t="s">
        <v>1696</v>
      </c>
      <c r="K722" s="8">
        <v>0</v>
      </c>
      <c r="L722" s="8">
        <v>0</v>
      </c>
      <c r="M722" s="8">
        <v>4500</v>
      </c>
      <c r="N722" s="8">
        <v>0</v>
      </c>
      <c r="O722" s="8">
        <v>0</v>
      </c>
      <c r="P722" s="8">
        <v>0</v>
      </c>
      <c r="Q722" s="8">
        <v>0</v>
      </c>
      <c r="R722" s="8">
        <f t="shared" si="168"/>
        <v>4500</v>
      </c>
      <c r="S722" s="8">
        <v>0</v>
      </c>
      <c r="T722" s="8">
        <v>0</v>
      </c>
      <c r="U722" s="8">
        <v>4500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7">
        <v>1.4986299999999999</v>
      </c>
      <c r="AB722" s="8">
        <v>6608.8055039999999</v>
      </c>
      <c r="AC722" s="7">
        <v>3</v>
      </c>
      <c r="AD722" s="7" t="s">
        <v>1226</v>
      </c>
      <c r="AE722" s="8">
        <v>6750</v>
      </c>
      <c r="AF722" s="8">
        <v>0</v>
      </c>
      <c r="AG722" s="8">
        <v>6750</v>
      </c>
      <c r="AH722" s="8">
        <v>0</v>
      </c>
      <c r="AI722" s="7" t="s">
        <v>1760</v>
      </c>
      <c r="AJ722" s="7">
        <f t="shared" ca="1" si="169"/>
        <v>1</v>
      </c>
      <c r="AK722" s="96">
        <f t="shared" si="174"/>
        <v>8.6802384968490635E-6</v>
      </c>
      <c r="AL722" s="97">
        <f t="shared" si="175"/>
        <v>1.7327132777315471E-5</v>
      </c>
    </row>
    <row r="723" spans="1:38" x14ac:dyDescent="0.3">
      <c r="A723" s="7" t="s">
        <v>2274</v>
      </c>
      <c r="B723" s="7" t="s">
        <v>1320</v>
      </c>
      <c r="C723" s="7" t="s">
        <v>1323</v>
      </c>
      <c r="D723" s="7" t="s">
        <v>1792</v>
      </c>
      <c r="E723" s="7" t="s">
        <v>1322</v>
      </c>
      <c r="F723" s="36">
        <v>44378</v>
      </c>
      <c r="G723" s="36">
        <v>45473</v>
      </c>
      <c r="H723" s="36">
        <v>45473</v>
      </c>
      <c r="I723" s="36">
        <v>45473</v>
      </c>
      <c r="J723" s="7" t="s">
        <v>1696</v>
      </c>
      <c r="K723" s="8">
        <v>0</v>
      </c>
      <c r="L723" s="8">
        <v>0</v>
      </c>
      <c r="M723" s="8">
        <v>4500</v>
      </c>
      <c r="N723" s="8">
        <v>0</v>
      </c>
      <c r="O723" s="8">
        <v>0</v>
      </c>
      <c r="P723" s="8">
        <v>0</v>
      </c>
      <c r="Q723" s="8">
        <v>0</v>
      </c>
      <c r="R723" s="8">
        <f t="shared" si="168"/>
        <v>4500</v>
      </c>
      <c r="S723" s="8">
        <v>0</v>
      </c>
      <c r="T723" s="8">
        <v>0</v>
      </c>
      <c r="U723" s="8">
        <v>4500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7">
        <v>1.4986299999999999</v>
      </c>
      <c r="AB723" s="8">
        <v>6608.8055039999999</v>
      </c>
      <c r="AC723" s="7">
        <v>3</v>
      </c>
      <c r="AD723" s="7" t="s">
        <v>1226</v>
      </c>
      <c r="AE723" s="8">
        <v>6750</v>
      </c>
      <c r="AF723" s="8">
        <v>0</v>
      </c>
      <c r="AG723" s="8">
        <v>6750</v>
      </c>
      <c r="AH723" s="8">
        <v>0</v>
      </c>
      <c r="AI723" s="7" t="s">
        <v>1760</v>
      </c>
      <c r="AJ723" s="7">
        <f t="shared" ca="1" si="169"/>
        <v>1</v>
      </c>
      <c r="AK723" s="96">
        <f t="shared" si="174"/>
        <v>8.6802384968490635E-6</v>
      </c>
      <c r="AL723" s="97">
        <f t="shared" si="175"/>
        <v>1.7327132777315471E-5</v>
      </c>
    </row>
    <row r="724" spans="1:38" x14ac:dyDescent="0.3">
      <c r="A724" s="7" t="s">
        <v>2275</v>
      </c>
      <c r="B724" s="7" t="s">
        <v>1320</v>
      </c>
      <c r="C724" s="7" t="s">
        <v>1323</v>
      </c>
      <c r="D724" s="7" t="s">
        <v>1792</v>
      </c>
      <c r="E724" s="7" t="s">
        <v>1322</v>
      </c>
      <c r="F724" s="36">
        <v>44378</v>
      </c>
      <c r="G724" s="36">
        <v>45473</v>
      </c>
      <c r="H724" s="36">
        <v>45473</v>
      </c>
      <c r="I724" s="36">
        <v>45473</v>
      </c>
      <c r="J724" s="7" t="s">
        <v>1696</v>
      </c>
      <c r="K724" s="8">
        <v>0</v>
      </c>
      <c r="L724" s="8">
        <v>0</v>
      </c>
      <c r="M724" s="8">
        <v>4500</v>
      </c>
      <c r="N724" s="8">
        <v>0</v>
      </c>
      <c r="O724" s="8">
        <v>0</v>
      </c>
      <c r="P724" s="8">
        <v>0</v>
      </c>
      <c r="Q724" s="8">
        <v>0</v>
      </c>
      <c r="R724" s="8">
        <f t="shared" si="168"/>
        <v>4500</v>
      </c>
      <c r="S724" s="8">
        <v>0</v>
      </c>
      <c r="T724" s="8">
        <v>0</v>
      </c>
      <c r="U724" s="8">
        <v>4500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7">
        <v>1.4986299999999999</v>
      </c>
      <c r="AB724" s="8">
        <v>6608.8055039999999</v>
      </c>
      <c r="AC724" s="7">
        <v>3</v>
      </c>
      <c r="AD724" s="7" t="s">
        <v>1226</v>
      </c>
      <c r="AE724" s="8">
        <v>6750</v>
      </c>
      <c r="AF724" s="8">
        <v>0</v>
      </c>
      <c r="AG724" s="8">
        <v>6750</v>
      </c>
      <c r="AH724" s="8">
        <v>0</v>
      </c>
      <c r="AI724" s="7" t="s">
        <v>1760</v>
      </c>
      <c r="AJ724" s="7">
        <f t="shared" ca="1" si="169"/>
        <v>1</v>
      </c>
      <c r="AK724" s="96">
        <f t="shared" si="174"/>
        <v>8.6802384968490635E-6</v>
      </c>
      <c r="AL724" s="97">
        <f t="shared" si="175"/>
        <v>1.7327132777315471E-5</v>
      </c>
    </row>
    <row r="725" spans="1:38" x14ac:dyDescent="0.3">
      <c r="A725" s="7" t="s">
        <v>2276</v>
      </c>
      <c r="B725" s="7" t="s">
        <v>1320</v>
      </c>
      <c r="C725" s="7" t="s">
        <v>1323</v>
      </c>
      <c r="D725" s="7" t="s">
        <v>1792</v>
      </c>
      <c r="E725" s="7" t="s">
        <v>1322</v>
      </c>
      <c r="F725" s="36">
        <v>44378</v>
      </c>
      <c r="G725" s="36">
        <v>45473</v>
      </c>
      <c r="H725" s="36">
        <v>45473</v>
      </c>
      <c r="I725" s="36">
        <v>45473</v>
      </c>
      <c r="J725" s="7" t="s">
        <v>1696</v>
      </c>
      <c r="K725" s="8">
        <v>0</v>
      </c>
      <c r="L725" s="8">
        <v>0</v>
      </c>
      <c r="M725" s="8">
        <v>4500</v>
      </c>
      <c r="N725" s="8">
        <v>0</v>
      </c>
      <c r="O725" s="8">
        <v>0</v>
      </c>
      <c r="P725" s="8">
        <v>0</v>
      </c>
      <c r="Q725" s="8">
        <v>0</v>
      </c>
      <c r="R725" s="8">
        <f t="shared" si="168"/>
        <v>4500</v>
      </c>
      <c r="S725" s="8">
        <v>0</v>
      </c>
      <c r="T725" s="8">
        <v>0</v>
      </c>
      <c r="U725" s="8">
        <v>4500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7">
        <v>1.4986299999999999</v>
      </c>
      <c r="AB725" s="8">
        <v>6608.8055039999999</v>
      </c>
      <c r="AC725" s="7">
        <v>3</v>
      </c>
      <c r="AD725" s="7" t="s">
        <v>1226</v>
      </c>
      <c r="AE725" s="8">
        <v>6750</v>
      </c>
      <c r="AF725" s="8">
        <v>0</v>
      </c>
      <c r="AG725" s="8">
        <v>6750</v>
      </c>
      <c r="AH725" s="8">
        <v>0</v>
      </c>
      <c r="AI725" s="7" t="s">
        <v>1760</v>
      </c>
      <c r="AJ725" s="7">
        <f t="shared" ca="1" si="169"/>
        <v>1</v>
      </c>
      <c r="AK725" s="96">
        <f t="shared" si="174"/>
        <v>8.6802384968490635E-6</v>
      </c>
      <c r="AL725" s="97">
        <f t="shared" si="175"/>
        <v>1.7327132777315471E-5</v>
      </c>
    </row>
    <row r="726" spans="1:38" x14ac:dyDescent="0.3">
      <c r="A726" s="7" t="s">
        <v>2277</v>
      </c>
      <c r="B726" s="7" t="s">
        <v>1320</v>
      </c>
      <c r="C726" s="7" t="s">
        <v>1323</v>
      </c>
      <c r="D726" s="7" t="s">
        <v>1792</v>
      </c>
      <c r="E726" s="7" t="s">
        <v>1322</v>
      </c>
      <c r="F726" s="36">
        <v>44378</v>
      </c>
      <c r="G726" s="36">
        <v>45473</v>
      </c>
      <c r="H726" s="36">
        <v>45473</v>
      </c>
      <c r="I726" s="36">
        <v>45473</v>
      </c>
      <c r="J726" s="7" t="s">
        <v>1696</v>
      </c>
      <c r="K726" s="8">
        <v>0</v>
      </c>
      <c r="L726" s="8">
        <v>0</v>
      </c>
      <c r="M726" s="8">
        <v>4500</v>
      </c>
      <c r="N726" s="8">
        <v>0</v>
      </c>
      <c r="O726" s="8">
        <v>0</v>
      </c>
      <c r="P726" s="8">
        <v>0</v>
      </c>
      <c r="Q726" s="8">
        <v>0</v>
      </c>
      <c r="R726" s="8">
        <f t="shared" si="168"/>
        <v>4500</v>
      </c>
      <c r="S726" s="8">
        <v>0</v>
      </c>
      <c r="T726" s="8">
        <v>0</v>
      </c>
      <c r="U726" s="8">
        <v>4500</v>
      </c>
      <c r="V726" s="8">
        <v>0</v>
      </c>
      <c r="W726" s="8">
        <v>0</v>
      </c>
      <c r="X726" s="8">
        <v>0</v>
      </c>
      <c r="Y726" s="8">
        <v>0</v>
      </c>
      <c r="Z726" s="8">
        <v>0</v>
      </c>
      <c r="AA726" s="7">
        <v>1.4986299999999999</v>
      </c>
      <c r="AB726" s="8">
        <v>6608.8055039999999</v>
      </c>
      <c r="AC726" s="7">
        <v>3</v>
      </c>
      <c r="AD726" s="7" t="s">
        <v>1226</v>
      </c>
      <c r="AE726" s="8">
        <v>6750</v>
      </c>
      <c r="AF726" s="8">
        <v>0</v>
      </c>
      <c r="AG726" s="8">
        <v>6750</v>
      </c>
      <c r="AH726" s="8">
        <v>0</v>
      </c>
      <c r="AI726" s="7" t="s">
        <v>1760</v>
      </c>
      <c r="AJ726" s="7">
        <f t="shared" ca="1" si="169"/>
        <v>1</v>
      </c>
      <c r="AK726" s="96">
        <f t="shared" si="174"/>
        <v>8.6802384968490635E-6</v>
      </c>
      <c r="AL726" s="97">
        <f t="shared" si="175"/>
        <v>1.7327132777315471E-5</v>
      </c>
    </row>
    <row r="727" spans="1:38" x14ac:dyDescent="0.3">
      <c r="A727" s="7" t="s">
        <v>2278</v>
      </c>
      <c r="B727" s="7" t="s">
        <v>1320</v>
      </c>
      <c r="C727" s="7" t="s">
        <v>1323</v>
      </c>
      <c r="D727" s="7" t="s">
        <v>1792</v>
      </c>
      <c r="E727" s="7" t="s">
        <v>1322</v>
      </c>
      <c r="F727" s="36">
        <v>44378</v>
      </c>
      <c r="G727" s="36">
        <v>45473</v>
      </c>
      <c r="H727" s="36">
        <v>45473</v>
      </c>
      <c r="I727" s="36">
        <v>45473</v>
      </c>
      <c r="J727" s="7" t="s">
        <v>1696</v>
      </c>
      <c r="K727" s="8">
        <v>0</v>
      </c>
      <c r="L727" s="8">
        <v>0</v>
      </c>
      <c r="M727" s="8">
        <v>4500</v>
      </c>
      <c r="N727" s="8">
        <v>0</v>
      </c>
      <c r="O727" s="8">
        <v>0</v>
      </c>
      <c r="P727" s="8">
        <v>0</v>
      </c>
      <c r="Q727" s="8">
        <v>0</v>
      </c>
      <c r="R727" s="8">
        <f t="shared" si="168"/>
        <v>4500</v>
      </c>
      <c r="S727" s="8">
        <v>0</v>
      </c>
      <c r="T727" s="8">
        <v>0</v>
      </c>
      <c r="U727" s="8">
        <v>4500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7">
        <v>1.4986299999999999</v>
      </c>
      <c r="AB727" s="8">
        <v>6608.8055039999999</v>
      </c>
      <c r="AC727" s="7">
        <v>3</v>
      </c>
      <c r="AD727" s="7" t="s">
        <v>1226</v>
      </c>
      <c r="AE727" s="8">
        <v>6750</v>
      </c>
      <c r="AF727" s="8">
        <v>0</v>
      </c>
      <c r="AG727" s="8">
        <v>6750</v>
      </c>
      <c r="AH727" s="8">
        <v>0</v>
      </c>
      <c r="AI727" s="7" t="s">
        <v>1760</v>
      </c>
      <c r="AJ727" s="7">
        <f t="shared" ca="1" si="169"/>
        <v>1</v>
      </c>
      <c r="AK727" s="96">
        <f t="shared" si="174"/>
        <v>8.6802384968490635E-6</v>
      </c>
      <c r="AL727" s="97">
        <f t="shared" si="175"/>
        <v>1.7327132777315471E-5</v>
      </c>
    </row>
    <row r="728" spans="1:38" x14ac:dyDescent="0.3">
      <c r="A728" s="7" t="s">
        <v>2279</v>
      </c>
      <c r="B728" s="7" t="s">
        <v>1320</v>
      </c>
      <c r="C728" s="7" t="s">
        <v>1323</v>
      </c>
      <c r="D728" s="7" t="s">
        <v>1792</v>
      </c>
      <c r="E728" s="7" t="s">
        <v>1322</v>
      </c>
      <c r="F728" s="36">
        <v>44378</v>
      </c>
      <c r="G728" s="36">
        <v>45473</v>
      </c>
      <c r="H728" s="36">
        <v>45473</v>
      </c>
      <c r="I728" s="36">
        <v>45473</v>
      </c>
      <c r="J728" s="7" t="s">
        <v>1696</v>
      </c>
      <c r="K728" s="8">
        <v>0</v>
      </c>
      <c r="L728" s="8">
        <v>0</v>
      </c>
      <c r="M728" s="8">
        <v>4500</v>
      </c>
      <c r="N728" s="8">
        <v>0</v>
      </c>
      <c r="O728" s="8">
        <v>0</v>
      </c>
      <c r="P728" s="8">
        <v>0</v>
      </c>
      <c r="Q728" s="8">
        <v>0</v>
      </c>
      <c r="R728" s="8">
        <f t="shared" si="168"/>
        <v>4500</v>
      </c>
      <c r="S728" s="8">
        <v>0</v>
      </c>
      <c r="T728" s="8">
        <v>0</v>
      </c>
      <c r="U728" s="8">
        <v>4500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7">
        <v>1.4986299999999999</v>
      </c>
      <c r="AB728" s="8">
        <v>6608.8055039999999</v>
      </c>
      <c r="AC728" s="7">
        <v>3</v>
      </c>
      <c r="AD728" s="7" t="s">
        <v>1226</v>
      </c>
      <c r="AE728" s="8">
        <v>6750</v>
      </c>
      <c r="AF728" s="8">
        <v>0</v>
      </c>
      <c r="AG728" s="8">
        <v>6750</v>
      </c>
      <c r="AH728" s="8">
        <v>0</v>
      </c>
      <c r="AI728" s="7" t="s">
        <v>1760</v>
      </c>
      <c r="AJ728" s="7">
        <f t="shared" ca="1" si="169"/>
        <v>1</v>
      </c>
      <c r="AK728" s="96">
        <f t="shared" si="174"/>
        <v>8.6802384968490635E-6</v>
      </c>
      <c r="AL728" s="97">
        <f t="shared" si="175"/>
        <v>1.7327132777315471E-5</v>
      </c>
    </row>
    <row r="729" spans="1:38" x14ac:dyDescent="0.3">
      <c r="A729" s="7" t="s">
        <v>2280</v>
      </c>
      <c r="B729" s="7" t="s">
        <v>1320</v>
      </c>
      <c r="C729" s="7" t="s">
        <v>1323</v>
      </c>
      <c r="D729" s="7" t="s">
        <v>1792</v>
      </c>
      <c r="E729" s="7" t="s">
        <v>1322</v>
      </c>
      <c r="F729" s="36">
        <v>44378</v>
      </c>
      <c r="G729" s="36">
        <v>45473</v>
      </c>
      <c r="H729" s="36">
        <v>45473</v>
      </c>
      <c r="I729" s="36">
        <v>45473</v>
      </c>
      <c r="J729" s="7" t="s">
        <v>1696</v>
      </c>
      <c r="K729" s="8">
        <v>0</v>
      </c>
      <c r="L729" s="8">
        <v>0</v>
      </c>
      <c r="M729" s="8">
        <v>4500</v>
      </c>
      <c r="N729" s="8">
        <v>0</v>
      </c>
      <c r="O729" s="8">
        <v>0</v>
      </c>
      <c r="P729" s="8">
        <v>0</v>
      </c>
      <c r="Q729" s="8">
        <v>0</v>
      </c>
      <c r="R729" s="8">
        <f t="shared" si="168"/>
        <v>4500</v>
      </c>
      <c r="S729" s="8">
        <v>0</v>
      </c>
      <c r="T729" s="8">
        <v>0</v>
      </c>
      <c r="U729" s="8">
        <v>4500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7">
        <v>1.4986299999999999</v>
      </c>
      <c r="AB729" s="8">
        <v>6608.8055039999999</v>
      </c>
      <c r="AC729" s="7">
        <v>3</v>
      </c>
      <c r="AD729" s="7" t="s">
        <v>1226</v>
      </c>
      <c r="AE729" s="8">
        <v>6750</v>
      </c>
      <c r="AF729" s="8">
        <v>0</v>
      </c>
      <c r="AG729" s="8">
        <v>6750</v>
      </c>
      <c r="AH729" s="8">
        <v>0</v>
      </c>
      <c r="AI729" s="7" t="s">
        <v>1760</v>
      </c>
      <c r="AJ729" s="7">
        <f t="shared" ca="1" si="169"/>
        <v>1</v>
      </c>
      <c r="AK729" s="96">
        <f t="shared" si="174"/>
        <v>8.6802384968490635E-6</v>
      </c>
      <c r="AL729" s="97">
        <f t="shared" si="175"/>
        <v>1.7327132777315471E-5</v>
      </c>
    </row>
    <row r="730" spans="1:38" x14ac:dyDescent="0.3">
      <c r="A730" s="7" t="s">
        <v>2281</v>
      </c>
      <c r="B730" s="7" t="s">
        <v>1320</v>
      </c>
      <c r="C730" s="7" t="s">
        <v>1323</v>
      </c>
      <c r="D730" s="7" t="s">
        <v>1792</v>
      </c>
      <c r="E730" s="7" t="s">
        <v>1322</v>
      </c>
      <c r="F730" s="36">
        <v>44378</v>
      </c>
      <c r="G730" s="36">
        <v>45473</v>
      </c>
      <c r="H730" s="36">
        <v>45473</v>
      </c>
      <c r="I730" s="36">
        <v>45473</v>
      </c>
      <c r="J730" s="7" t="s">
        <v>1696</v>
      </c>
      <c r="K730" s="8">
        <v>0</v>
      </c>
      <c r="L730" s="8">
        <v>0</v>
      </c>
      <c r="M730" s="8">
        <v>4500</v>
      </c>
      <c r="N730" s="8">
        <v>0</v>
      </c>
      <c r="O730" s="8">
        <v>0</v>
      </c>
      <c r="P730" s="8">
        <v>0</v>
      </c>
      <c r="Q730" s="8">
        <v>0</v>
      </c>
      <c r="R730" s="8">
        <f t="shared" si="168"/>
        <v>4500</v>
      </c>
      <c r="S730" s="8">
        <v>0</v>
      </c>
      <c r="T730" s="8">
        <v>0</v>
      </c>
      <c r="U730" s="8">
        <v>4500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7">
        <v>1.4986299999999999</v>
      </c>
      <c r="AB730" s="8">
        <v>6608.8055039999999</v>
      </c>
      <c r="AC730" s="7">
        <v>3</v>
      </c>
      <c r="AD730" s="7" t="s">
        <v>1226</v>
      </c>
      <c r="AE730" s="8">
        <v>6750</v>
      </c>
      <c r="AF730" s="8">
        <v>0</v>
      </c>
      <c r="AG730" s="8">
        <v>6750</v>
      </c>
      <c r="AH730" s="8">
        <v>0</v>
      </c>
      <c r="AI730" s="7" t="s">
        <v>1760</v>
      </c>
      <c r="AJ730" s="7">
        <f t="shared" ca="1" si="169"/>
        <v>1</v>
      </c>
      <c r="AK730" s="96">
        <f t="shared" si="174"/>
        <v>8.6802384968490635E-6</v>
      </c>
      <c r="AL730" s="97">
        <f t="shared" si="175"/>
        <v>1.7327132777315471E-5</v>
      </c>
    </row>
    <row r="731" spans="1:38" x14ac:dyDescent="0.3">
      <c r="A731" s="7" t="s">
        <v>2282</v>
      </c>
      <c r="B731" s="7" t="s">
        <v>1320</v>
      </c>
      <c r="C731" s="7" t="s">
        <v>1323</v>
      </c>
      <c r="D731" s="7" t="s">
        <v>1792</v>
      </c>
      <c r="E731" s="7" t="s">
        <v>1322</v>
      </c>
      <c r="F731" s="36">
        <v>44378</v>
      </c>
      <c r="G731" s="36">
        <v>45473</v>
      </c>
      <c r="H731" s="36">
        <v>45473</v>
      </c>
      <c r="I731" s="36">
        <v>45473</v>
      </c>
      <c r="J731" s="7" t="s">
        <v>1696</v>
      </c>
      <c r="K731" s="8">
        <v>0</v>
      </c>
      <c r="L731" s="8">
        <v>0</v>
      </c>
      <c r="M731" s="8">
        <v>4500</v>
      </c>
      <c r="N731" s="8">
        <v>0</v>
      </c>
      <c r="O731" s="8">
        <v>0</v>
      </c>
      <c r="P731" s="8">
        <v>0</v>
      </c>
      <c r="Q731" s="8">
        <v>0</v>
      </c>
      <c r="R731" s="8">
        <f t="shared" si="168"/>
        <v>4500</v>
      </c>
      <c r="S731" s="8">
        <v>0</v>
      </c>
      <c r="T731" s="8">
        <v>0</v>
      </c>
      <c r="U731" s="8">
        <v>4500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7">
        <v>1.4986299999999999</v>
      </c>
      <c r="AB731" s="8">
        <v>6608.8055039999999</v>
      </c>
      <c r="AC731" s="7">
        <v>3</v>
      </c>
      <c r="AD731" s="7" t="s">
        <v>1226</v>
      </c>
      <c r="AE731" s="8">
        <v>6750</v>
      </c>
      <c r="AF731" s="8">
        <v>0</v>
      </c>
      <c r="AG731" s="8">
        <v>6750</v>
      </c>
      <c r="AH731" s="8">
        <v>0</v>
      </c>
      <c r="AI731" s="7" t="s">
        <v>1760</v>
      </c>
      <c r="AJ731" s="7">
        <f t="shared" ca="1" si="169"/>
        <v>1</v>
      </c>
      <c r="AK731" s="96">
        <f t="shared" si="174"/>
        <v>8.6802384968490635E-6</v>
      </c>
      <c r="AL731" s="97">
        <f t="shared" si="175"/>
        <v>1.7327132777315471E-5</v>
      </c>
    </row>
    <row r="732" spans="1:38" x14ac:dyDescent="0.3">
      <c r="A732" s="7" t="s">
        <v>2283</v>
      </c>
      <c r="B732" s="7" t="s">
        <v>1320</v>
      </c>
      <c r="C732" s="7" t="s">
        <v>1323</v>
      </c>
      <c r="D732" s="7" t="s">
        <v>1792</v>
      </c>
      <c r="E732" s="7" t="s">
        <v>1322</v>
      </c>
      <c r="F732" s="36">
        <v>44378</v>
      </c>
      <c r="G732" s="36">
        <v>45473</v>
      </c>
      <c r="H732" s="36">
        <v>45473</v>
      </c>
      <c r="I732" s="36">
        <v>45473</v>
      </c>
      <c r="J732" s="7" t="s">
        <v>1696</v>
      </c>
      <c r="K732" s="8">
        <v>0</v>
      </c>
      <c r="L732" s="8">
        <v>0</v>
      </c>
      <c r="M732" s="8">
        <v>4500</v>
      </c>
      <c r="N732" s="8">
        <v>0</v>
      </c>
      <c r="O732" s="8">
        <v>0</v>
      </c>
      <c r="P732" s="8">
        <v>0</v>
      </c>
      <c r="Q732" s="8">
        <v>0</v>
      </c>
      <c r="R732" s="8">
        <f t="shared" si="168"/>
        <v>4500</v>
      </c>
      <c r="S732" s="8">
        <v>0</v>
      </c>
      <c r="T732" s="8">
        <v>0</v>
      </c>
      <c r="U732" s="8">
        <v>4500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7">
        <v>1.4986299999999999</v>
      </c>
      <c r="AB732" s="8">
        <v>6608.8055039999999</v>
      </c>
      <c r="AC732" s="7">
        <v>3</v>
      </c>
      <c r="AD732" s="7" t="s">
        <v>1226</v>
      </c>
      <c r="AE732" s="8">
        <v>6750</v>
      </c>
      <c r="AF732" s="8">
        <v>0</v>
      </c>
      <c r="AG732" s="8">
        <v>6750</v>
      </c>
      <c r="AH732" s="8">
        <v>0</v>
      </c>
      <c r="AI732" s="7" t="s">
        <v>1781</v>
      </c>
      <c r="AJ732" s="7">
        <f t="shared" ca="1" si="169"/>
        <v>1</v>
      </c>
      <c r="AK732" s="96">
        <f t="shared" si="174"/>
        <v>8.6802384968490635E-6</v>
      </c>
      <c r="AL732" s="97">
        <f t="shared" si="175"/>
        <v>1.7327132777315471E-5</v>
      </c>
    </row>
    <row r="733" spans="1:38" x14ac:dyDescent="0.3">
      <c r="A733" s="7" t="s">
        <v>2284</v>
      </c>
      <c r="B733" s="7" t="s">
        <v>1768</v>
      </c>
      <c r="C733" s="7" t="s">
        <v>1323</v>
      </c>
      <c r="D733" s="7" t="s">
        <v>1324</v>
      </c>
      <c r="E733" s="7" t="s">
        <v>1695</v>
      </c>
      <c r="F733" s="36">
        <v>44743</v>
      </c>
      <c r="G733" s="36">
        <v>45838</v>
      </c>
      <c r="H733" s="36">
        <v>44866</v>
      </c>
      <c r="I733" s="36">
        <v>44866</v>
      </c>
      <c r="J733" s="7" t="s">
        <v>1696</v>
      </c>
      <c r="K733" s="8">
        <v>0</v>
      </c>
      <c r="L733" s="8">
        <v>0</v>
      </c>
      <c r="M733" s="8">
        <v>210704.24276896488</v>
      </c>
      <c r="N733" s="8">
        <v>0</v>
      </c>
      <c r="O733" s="8">
        <v>0</v>
      </c>
      <c r="P733" s="8">
        <v>0</v>
      </c>
      <c r="Q733" s="8">
        <v>0</v>
      </c>
      <c r="R733" s="8">
        <f t="shared" si="168"/>
        <v>210704.24276896488</v>
      </c>
      <c r="S733" s="8">
        <v>0</v>
      </c>
      <c r="T733" s="8">
        <v>0</v>
      </c>
      <c r="U733" s="8">
        <v>210704.242977594</v>
      </c>
      <c r="V733" s="8">
        <v>0</v>
      </c>
      <c r="W733" s="8">
        <v>0</v>
      </c>
      <c r="X733" s="8">
        <v>0</v>
      </c>
      <c r="Y733" s="8">
        <v>2476836.6040669428</v>
      </c>
      <c r="Z733" s="8">
        <v>-2291707.9426263855</v>
      </c>
      <c r="AA733" s="7">
        <v>0</v>
      </c>
      <c r="AB733" s="8">
        <v>0</v>
      </c>
      <c r="AC733" s="7">
        <v>2.5</v>
      </c>
      <c r="AD733" s="7" t="s">
        <v>1726</v>
      </c>
      <c r="AE733" s="8">
        <v>0</v>
      </c>
      <c r="AF733" s="8">
        <v>0</v>
      </c>
      <c r="AG733" s="8">
        <v>0</v>
      </c>
      <c r="AH733" s="8">
        <v>0</v>
      </c>
      <c r="AI733" s="7" t="s">
        <v>1758</v>
      </c>
      <c r="AJ733" s="7">
        <f t="shared" ca="1" si="169"/>
        <v>1</v>
      </c>
      <c r="AK733" s="96">
        <f t="shared" si="174"/>
        <v>0</v>
      </c>
      <c r="AL733" s="97">
        <f t="shared" si="175"/>
        <v>0</v>
      </c>
    </row>
    <row r="734" spans="1:38" x14ac:dyDescent="0.3">
      <c r="A734" s="7" t="s">
        <v>2285</v>
      </c>
      <c r="B734" s="7" t="s">
        <v>1768</v>
      </c>
      <c r="C734" s="7" t="s">
        <v>1323</v>
      </c>
      <c r="D734" s="7" t="s">
        <v>1324</v>
      </c>
      <c r="E734" s="7" t="s">
        <v>1322</v>
      </c>
      <c r="F734" s="36">
        <v>44866</v>
      </c>
      <c r="G734" s="36">
        <v>45961</v>
      </c>
      <c r="H734" s="36">
        <v>45961</v>
      </c>
      <c r="I734" s="36">
        <v>46326</v>
      </c>
      <c r="J734" s="7" t="s">
        <v>1696</v>
      </c>
      <c r="K734" s="8">
        <v>0</v>
      </c>
      <c r="L734" s="8">
        <v>0</v>
      </c>
      <c r="M734" s="8">
        <v>101616.73204754053</v>
      </c>
      <c r="N734" s="8">
        <v>0</v>
      </c>
      <c r="O734" s="8">
        <v>0</v>
      </c>
      <c r="P734" s="8">
        <v>229.41601120300001</v>
      </c>
      <c r="Q734" s="8">
        <v>0</v>
      </c>
      <c r="R734" s="8">
        <f t="shared" si="168"/>
        <v>101846.14805874352</v>
      </c>
      <c r="S734" s="8">
        <v>0</v>
      </c>
      <c r="T734" s="8">
        <v>0</v>
      </c>
      <c r="U734" s="8">
        <v>104278.053177594</v>
      </c>
      <c r="V734" s="8">
        <v>0</v>
      </c>
      <c r="W734" s="8">
        <v>229.41601120300001</v>
      </c>
      <c r="X734" s="8">
        <v>0</v>
      </c>
      <c r="Y734" s="8">
        <v>0</v>
      </c>
      <c r="Z734" s="8">
        <v>2487579.2452426432</v>
      </c>
      <c r="AA734" s="7">
        <v>3.8356159999999999</v>
      </c>
      <c r="AB734" s="8">
        <v>2386076.6021617907</v>
      </c>
      <c r="AC734" s="7">
        <v>2.5</v>
      </c>
      <c r="AD734" s="7" t="s">
        <v>1226</v>
      </c>
      <c r="AE734" s="8">
        <v>2514705.680022445</v>
      </c>
      <c r="AF734" s="8">
        <v>0</v>
      </c>
      <c r="AG734" s="8">
        <v>2514705.680022445</v>
      </c>
      <c r="AH734" s="8">
        <v>0</v>
      </c>
      <c r="AI734" s="7" t="s">
        <v>1758</v>
      </c>
      <c r="AJ734" s="7">
        <f t="shared" ca="1" si="169"/>
        <v>1</v>
      </c>
      <c r="AK734" s="96">
        <f t="shared" si="174"/>
        <v>8.0210970043157193E-3</v>
      </c>
      <c r="AL734" s="97">
        <f t="shared" si="175"/>
        <v>5.379338174520778E-3</v>
      </c>
    </row>
    <row r="735" spans="1:38" x14ac:dyDescent="0.3">
      <c r="A735" s="7" t="s">
        <v>2286</v>
      </c>
      <c r="B735" s="7" t="s">
        <v>1768</v>
      </c>
      <c r="C735" s="7" t="s">
        <v>1323</v>
      </c>
      <c r="D735" s="7" t="s">
        <v>1324</v>
      </c>
      <c r="E735" s="7" t="s">
        <v>1775</v>
      </c>
      <c r="F735" s="36">
        <v>44013</v>
      </c>
      <c r="G735" s="36">
        <v>45107</v>
      </c>
      <c r="H735" s="36">
        <v>45107</v>
      </c>
      <c r="I735" s="36">
        <v>45107</v>
      </c>
      <c r="J735" s="7" t="s">
        <v>1696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f t="shared" si="168"/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17130.57456921335</v>
      </c>
      <c r="Z735" s="8">
        <v>-17130.57456921335</v>
      </c>
      <c r="AA735" s="7">
        <v>0.49589</v>
      </c>
      <c r="AB735" s="8">
        <v>0</v>
      </c>
      <c r="AC735" s="7">
        <v>2.5</v>
      </c>
      <c r="AD735" s="7" t="s">
        <v>1226</v>
      </c>
      <c r="AE735" s="8">
        <v>0</v>
      </c>
      <c r="AF735" s="8">
        <v>0</v>
      </c>
      <c r="AG735" s="8">
        <v>0</v>
      </c>
      <c r="AH735" s="8">
        <v>0</v>
      </c>
      <c r="AI735" s="7" t="s">
        <v>1730</v>
      </c>
      <c r="AJ735" s="7">
        <f t="shared" ca="1" si="169"/>
        <v>1</v>
      </c>
      <c r="AK735" s="96">
        <f t="shared" si="174"/>
        <v>0</v>
      </c>
      <c r="AL735" s="97">
        <f t="shared" si="175"/>
        <v>0</v>
      </c>
    </row>
    <row r="736" spans="1:38" x14ac:dyDescent="0.3">
      <c r="A736" s="7" t="s">
        <v>2287</v>
      </c>
      <c r="B736" s="7" t="s">
        <v>1768</v>
      </c>
      <c r="C736" s="7" t="s">
        <v>1323</v>
      </c>
      <c r="D736" s="7" t="s">
        <v>1324</v>
      </c>
      <c r="E736" s="7" t="s">
        <v>1750</v>
      </c>
      <c r="F736" s="36">
        <v>43678</v>
      </c>
      <c r="G736" s="36">
        <v>44773</v>
      </c>
      <c r="H736" s="36">
        <v>45138</v>
      </c>
      <c r="I736" s="36">
        <v>45138</v>
      </c>
      <c r="J736" s="7" t="s">
        <v>1696</v>
      </c>
      <c r="K736" s="8">
        <v>0</v>
      </c>
      <c r="L736" s="8">
        <v>0</v>
      </c>
      <c r="M736" s="8">
        <v>14637.728284622792</v>
      </c>
      <c r="N736" s="8">
        <v>0</v>
      </c>
      <c r="O736" s="8">
        <v>0</v>
      </c>
      <c r="P736" s="8">
        <v>0</v>
      </c>
      <c r="Q736" s="8">
        <v>0</v>
      </c>
      <c r="R736" s="8">
        <f t="shared" si="168"/>
        <v>14637.728284622792</v>
      </c>
      <c r="S736" s="8">
        <v>0</v>
      </c>
      <c r="T736" s="8">
        <v>0</v>
      </c>
      <c r="U736" s="8">
        <v>14659.634246011001</v>
      </c>
      <c r="V736" s="8">
        <v>0</v>
      </c>
      <c r="W736" s="8">
        <v>0</v>
      </c>
      <c r="X736" s="8">
        <v>0</v>
      </c>
      <c r="Y736" s="8">
        <v>20119.432374351283</v>
      </c>
      <c r="Z736" s="8">
        <v>1004.649448675768</v>
      </c>
      <c r="AA736" s="7">
        <v>0.58082199999999995</v>
      </c>
      <c r="AB736" s="8">
        <v>588.84493763673254</v>
      </c>
      <c r="AC736" s="7">
        <v>1.6375</v>
      </c>
      <c r="AD736" s="7" t="s">
        <v>1697</v>
      </c>
      <c r="AE736" s="8">
        <v>594.46456999999998</v>
      </c>
      <c r="AF736" s="8">
        <v>0</v>
      </c>
      <c r="AG736" s="8">
        <v>594.46456999999998</v>
      </c>
      <c r="AH736" s="8">
        <v>0</v>
      </c>
      <c r="AI736" s="7" t="s">
        <v>1781</v>
      </c>
      <c r="AJ736" s="7">
        <f t="shared" ca="1" si="169"/>
        <v>1</v>
      </c>
      <c r="AK736" s="96">
        <f t="shared" si="174"/>
        <v>2.9974936281370727E-7</v>
      </c>
      <c r="AL736" s="97">
        <f t="shared" si="175"/>
        <v>8.3293087419121406E-7</v>
      </c>
    </row>
    <row r="737" spans="1:38" x14ac:dyDescent="0.3">
      <c r="A737" s="7" t="s">
        <v>2288</v>
      </c>
      <c r="B737" s="7" t="s">
        <v>1320</v>
      </c>
      <c r="D737" s="7" t="s">
        <v>1324</v>
      </c>
      <c r="E737" s="7" t="s">
        <v>1695</v>
      </c>
      <c r="F737" s="36">
        <v>43770</v>
      </c>
      <c r="G737" s="36">
        <v>44865</v>
      </c>
      <c r="H737" s="36">
        <v>44895</v>
      </c>
      <c r="I737" s="36">
        <v>44895</v>
      </c>
      <c r="J737" s="7" t="s">
        <v>1696</v>
      </c>
      <c r="K737" s="8">
        <v>0</v>
      </c>
      <c r="L737" s="8">
        <v>0</v>
      </c>
      <c r="M737" s="8">
        <v>27777.600001999999</v>
      </c>
      <c r="N737" s="8">
        <v>0</v>
      </c>
      <c r="O737" s="8">
        <v>0</v>
      </c>
      <c r="P737" s="8">
        <v>0</v>
      </c>
      <c r="Q737" s="8">
        <v>0</v>
      </c>
      <c r="R737" s="8">
        <f t="shared" si="168"/>
        <v>27777.600001999999</v>
      </c>
      <c r="S737" s="8">
        <v>0</v>
      </c>
      <c r="T737" s="8">
        <v>0</v>
      </c>
      <c r="U737" s="8">
        <v>27777.599999999999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7">
        <v>0</v>
      </c>
      <c r="AB737" s="8">
        <v>0</v>
      </c>
      <c r="AC737" s="7">
        <v>2.0299999999999998</v>
      </c>
      <c r="AD737" s="7" t="s">
        <v>1226</v>
      </c>
      <c r="AE737" s="8">
        <v>0</v>
      </c>
      <c r="AF737" s="8">
        <v>0</v>
      </c>
      <c r="AG737" s="8">
        <v>0</v>
      </c>
      <c r="AH737" s="8">
        <v>0</v>
      </c>
      <c r="AI737" s="7" t="s">
        <v>1730</v>
      </c>
      <c r="AJ737" s="7">
        <f t="shared" ca="1" si="169"/>
        <v>1</v>
      </c>
      <c r="AK737" s="96">
        <f t="shared" si="174"/>
        <v>0</v>
      </c>
      <c r="AL737" s="97">
        <f t="shared" si="175"/>
        <v>0</v>
      </c>
    </row>
    <row r="738" spans="1:38" x14ac:dyDescent="0.3">
      <c r="A738" s="7" t="s">
        <v>2288</v>
      </c>
      <c r="B738" s="7" t="s">
        <v>1320</v>
      </c>
      <c r="D738" s="7" t="s">
        <v>1324</v>
      </c>
      <c r="E738" s="7" t="s">
        <v>1695</v>
      </c>
      <c r="F738" s="36">
        <v>43770</v>
      </c>
      <c r="G738" s="36">
        <v>44865</v>
      </c>
      <c r="H738" s="36">
        <v>44895</v>
      </c>
      <c r="I738" s="36">
        <v>44895</v>
      </c>
      <c r="J738" s="7" t="s">
        <v>1699</v>
      </c>
      <c r="K738" s="8">
        <v>0</v>
      </c>
      <c r="L738" s="8">
        <v>0</v>
      </c>
      <c r="M738" s="8">
        <v>0</v>
      </c>
      <c r="N738" s="8">
        <v>2777.76</v>
      </c>
      <c r="O738" s="8">
        <v>0</v>
      </c>
      <c r="P738" s="8">
        <v>0</v>
      </c>
      <c r="Q738" s="8">
        <v>0</v>
      </c>
      <c r="R738" s="8">
        <f t="shared" si="168"/>
        <v>2777.76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7">
        <v>0</v>
      </c>
      <c r="AB738" s="8">
        <v>0</v>
      </c>
      <c r="AC738" s="7">
        <v>2.0299999999999998</v>
      </c>
      <c r="AD738" s="7" t="s">
        <v>1226</v>
      </c>
      <c r="AE738" s="8">
        <v>0</v>
      </c>
      <c r="AF738" s="8">
        <v>0</v>
      </c>
      <c r="AG738" s="8">
        <v>0</v>
      </c>
      <c r="AH738" s="8">
        <v>0</v>
      </c>
      <c r="AI738" s="7" t="s">
        <v>1730</v>
      </c>
      <c r="AJ738" s="7">
        <f t="shared" ca="1" si="169"/>
        <v>2</v>
      </c>
      <c r="AK738" s="100">
        <f>(+AA738*AB738)/$AB$1103</f>
        <v>0</v>
      </c>
      <c r="AL738" s="97">
        <f>AC738/$AE$1103*AE738</f>
        <v>0</v>
      </c>
    </row>
    <row r="739" spans="1:38" x14ac:dyDescent="0.3">
      <c r="A739" s="7" t="s">
        <v>2289</v>
      </c>
      <c r="B739" s="7" t="s">
        <v>1320</v>
      </c>
      <c r="C739" s="7" t="s">
        <v>1323</v>
      </c>
      <c r="D739" s="7" t="s">
        <v>1780</v>
      </c>
      <c r="E739" s="7" t="s">
        <v>1322</v>
      </c>
      <c r="F739" s="36">
        <v>44825</v>
      </c>
      <c r="G739" s="36">
        <v>45920</v>
      </c>
      <c r="H739" s="36">
        <v>45920</v>
      </c>
      <c r="I739" s="36">
        <v>45920</v>
      </c>
      <c r="J739" s="7" t="s">
        <v>1239</v>
      </c>
      <c r="K739" s="8">
        <v>3249.35</v>
      </c>
      <c r="L739" s="8">
        <v>276.29915499999998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f t="shared" si="168"/>
        <v>3525.6491550000001</v>
      </c>
      <c r="S739" s="8">
        <v>0</v>
      </c>
      <c r="T739" s="8">
        <v>248.56008700000001</v>
      </c>
      <c r="U739" s="8">
        <v>0</v>
      </c>
      <c r="V739" s="8">
        <v>3823.4399130000002</v>
      </c>
      <c r="W739" s="8">
        <v>0</v>
      </c>
      <c r="X739" s="8">
        <v>35092.935023999999</v>
      </c>
      <c r="Y739" s="8">
        <v>0</v>
      </c>
      <c r="Z739" s="8">
        <v>0</v>
      </c>
      <c r="AA739" s="7">
        <v>2.7232880000000002</v>
      </c>
      <c r="AB739" s="8">
        <v>31269.495111</v>
      </c>
      <c r="AC739" s="7">
        <v>3</v>
      </c>
      <c r="AD739" s="7" t="s">
        <v>1226</v>
      </c>
      <c r="AE739" s="8">
        <v>32576</v>
      </c>
      <c r="AF739" s="8">
        <v>0</v>
      </c>
      <c r="AG739" s="8">
        <v>32576</v>
      </c>
      <c r="AH739" s="8">
        <v>0</v>
      </c>
      <c r="AI739" s="7" t="s">
        <v>1730</v>
      </c>
      <c r="AJ739" s="7">
        <f t="shared" ca="1" si="169"/>
        <v>1</v>
      </c>
      <c r="AK739" s="96">
        <f t="shared" ref="AK739:AK768" si="176">(+AA739*AB739)/$AB$1101</f>
        <v>5.7046242391449865E-4</v>
      </c>
      <c r="AL739" s="97">
        <f t="shared" ref="AL739:AL768" si="177">AC739/$AE$1101*AE739</f>
        <v>6.2126030338328464E-4</v>
      </c>
    </row>
    <row r="740" spans="1:38" x14ac:dyDescent="0.3">
      <c r="A740" s="7" t="s">
        <v>2290</v>
      </c>
      <c r="B740" s="7" t="s">
        <v>1320</v>
      </c>
      <c r="C740" s="7" t="s">
        <v>1323</v>
      </c>
      <c r="D740" s="7" t="s">
        <v>1780</v>
      </c>
      <c r="E740" s="7" t="s">
        <v>1322</v>
      </c>
      <c r="F740" s="36">
        <v>44826</v>
      </c>
      <c r="G740" s="36">
        <v>45921</v>
      </c>
      <c r="H740" s="36">
        <v>45921</v>
      </c>
      <c r="I740" s="36">
        <v>45921</v>
      </c>
      <c r="J740" s="7" t="s">
        <v>1239</v>
      </c>
      <c r="K740" s="8">
        <v>3128.38</v>
      </c>
      <c r="L740" s="8">
        <v>266.24719800000003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f t="shared" si="168"/>
        <v>3394.6271980000001</v>
      </c>
      <c r="S740" s="8">
        <v>0</v>
      </c>
      <c r="T740" s="8">
        <v>241.72346400000001</v>
      </c>
      <c r="U740" s="8">
        <v>0</v>
      </c>
      <c r="V740" s="8">
        <v>3718.2765359999999</v>
      </c>
      <c r="W740" s="8">
        <v>0</v>
      </c>
      <c r="X740" s="8">
        <v>34127.706948999999</v>
      </c>
      <c r="Y740" s="8">
        <v>0</v>
      </c>
      <c r="Z740" s="8">
        <v>0</v>
      </c>
      <c r="AA740" s="7">
        <v>2.7260270000000002</v>
      </c>
      <c r="AB740" s="8">
        <v>30409.430412999998</v>
      </c>
      <c r="AC740" s="7">
        <v>3</v>
      </c>
      <c r="AD740" s="7" t="s">
        <v>1226</v>
      </c>
      <c r="AE740" s="8">
        <v>31680</v>
      </c>
      <c r="AF740" s="8">
        <v>0</v>
      </c>
      <c r="AG740" s="8">
        <v>31680</v>
      </c>
      <c r="AH740" s="8">
        <v>0</v>
      </c>
      <c r="AI740" s="7" t="s">
        <v>1730</v>
      </c>
      <c r="AJ740" s="7">
        <f t="shared" ca="1" si="169"/>
        <v>1</v>
      </c>
      <c r="AK740" s="96">
        <f t="shared" si="176"/>
        <v>5.5532987804812457E-4</v>
      </c>
      <c r="AL740" s="97">
        <f t="shared" si="177"/>
        <v>6.0417259366350869E-4</v>
      </c>
    </row>
    <row r="741" spans="1:38" x14ac:dyDescent="0.3">
      <c r="A741" s="7" t="s">
        <v>2291</v>
      </c>
      <c r="B741" s="7" t="s">
        <v>1320</v>
      </c>
      <c r="C741" s="7" t="s">
        <v>1323</v>
      </c>
      <c r="D741" s="7" t="s">
        <v>1780</v>
      </c>
      <c r="E741" s="7" t="s">
        <v>1773</v>
      </c>
      <c r="F741" s="36">
        <v>44867</v>
      </c>
      <c r="G741" s="36">
        <v>45931</v>
      </c>
      <c r="H741" s="36">
        <v>45931</v>
      </c>
      <c r="I741" s="36">
        <v>45962</v>
      </c>
      <c r="J741" s="7" t="s">
        <v>1239</v>
      </c>
      <c r="K741" s="8">
        <v>381.68</v>
      </c>
      <c r="L741" s="8">
        <v>32.272559000000001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f t="shared" si="168"/>
        <v>413.95255900000001</v>
      </c>
      <c r="S741" s="8">
        <v>0</v>
      </c>
      <c r="T741" s="8">
        <v>16.624824</v>
      </c>
      <c r="U741" s="8">
        <v>0</v>
      </c>
      <c r="V741" s="8">
        <v>388.37517600000001</v>
      </c>
      <c r="W741" s="8">
        <v>0</v>
      </c>
      <c r="X741" s="8">
        <v>6986.6032759999998</v>
      </c>
      <c r="Y741" s="8">
        <v>0</v>
      </c>
      <c r="Z741" s="8">
        <v>0</v>
      </c>
      <c r="AA741" s="7">
        <v>2.8383560000000001</v>
      </c>
      <c r="AB741" s="8">
        <v>6598.2281000000003</v>
      </c>
      <c r="AC741" s="7">
        <v>2.9406669999999999</v>
      </c>
      <c r="AD741" s="7" t="s">
        <v>1226</v>
      </c>
      <c r="AE741" s="8">
        <v>6885</v>
      </c>
      <c r="AF741" s="8">
        <v>0</v>
      </c>
      <c r="AG741" s="8">
        <v>6885</v>
      </c>
      <c r="AH741" s="8">
        <v>0</v>
      </c>
      <c r="AI741" s="7" t="s">
        <v>1760</v>
      </c>
      <c r="AJ741" s="7">
        <f t="shared" ca="1" si="169"/>
        <v>1</v>
      </c>
      <c r="AK741" s="96">
        <f t="shared" si="176"/>
        <v>1.2546043595836086E-4</v>
      </c>
      <c r="AL741" s="97">
        <f t="shared" si="177"/>
        <v>1.2870765743327434E-4</v>
      </c>
    </row>
    <row r="742" spans="1:38" x14ac:dyDescent="0.3">
      <c r="A742" s="7" t="s">
        <v>2292</v>
      </c>
      <c r="B742" s="7" t="s">
        <v>2293</v>
      </c>
      <c r="C742" s="7" t="s">
        <v>1323</v>
      </c>
      <c r="D742" s="7" t="s">
        <v>1324</v>
      </c>
      <c r="E742" s="7" t="s">
        <v>1695</v>
      </c>
      <c r="F742" s="36">
        <v>43709</v>
      </c>
      <c r="G742" s="36">
        <v>44804</v>
      </c>
      <c r="H742" s="36">
        <v>44895</v>
      </c>
      <c r="I742" s="36">
        <v>44895</v>
      </c>
      <c r="J742" s="7" t="s">
        <v>1239</v>
      </c>
      <c r="K742" s="8">
        <v>11917.581108</v>
      </c>
      <c r="L742" s="8">
        <v>239.244619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f t="shared" si="168"/>
        <v>12156.825726999999</v>
      </c>
      <c r="S742" s="8">
        <v>0</v>
      </c>
      <c r="T742" s="8">
        <v>259.77305100000001</v>
      </c>
      <c r="U742" s="8">
        <v>0</v>
      </c>
      <c r="V742" s="8">
        <v>11777.186949000001</v>
      </c>
      <c r="W742" s="8">
        <v>0</v>
      </c>
      <c r="X742" s="8">
        <v>0</v>
      </c>
      <c r="Y742" s="8">
        <v>0</v>
      </c>
      <c r="Z742" s="8">
        <v>-13035.978776</v>
      </c>
      <c r="AA742" s="7">
        <v>0</v>
      </c>
      <c r="AB742" s="8">
        <v>0</v>
      </c>
      <c r="AC742" s="7">
        <v>1.6353329999999999</v>
      </c>
      <c r="AD742" s="7" t="s">
        <v>1697</v>
      </c>
      <c r="AE742" s="8">
        <v>0</v>
      </c>
      <c r="AF742" s="8">
        <v>0</v>
      </c>
      <c r="AG742" s="8">
        <v>0</v>
      </c>
      <c r="AH742" s="8">
        <v>0</v>
      </c>
      <c r="AI742" s="7" t="s">
        <v>1730</v>
      </c>
      <c r="AJ742" s="7">
        <f t="shared" ca="1" si="169"/>
        <v>1</v>
      </c>
      <c r="AK742" s="96">
        <f t="shared" si="176"/>
        <v>0</v>
      </c>
      <c r="AL742" s="97">
        <f t="shared" si="177"/>
        <v>0</v>
      </c>
    </row>
    <row r="743" spans="1:38" x14ac:dyDescent="0.3">
      <c r="A743" s="7" t="s">
        <v>2294</v>
      </c>
      <c r="B743" s="7" t="s">
        <v>1320</v>
      </c>
      <c r="C743" s="7" t="s">
        <v>1323</v>
      </c>
      <c r="D743" s="7" t="s">
        <v>1324</v>
      </c>
      <c r="E743" s="7" t="s">
        <v>1695</v>
      </c>
      <c r="F743" s="36">
        <v>43770</v>
      </c>
      <c r="G743" s="36">
        <v>44865</v>
      </c>
      <c r="H743" s="36">
        <v>44895</v>
      </c>
      <c r="I743" s="36">
        <v>44895</v>
      </c>
      <c r="J743" s="7" t="s">
        <v>1696</v>
      </c>
      <c r="K743" s="8">
        <v>0</v>
      </c>
      <c r="L743" s="8">
        <v>0</v>
      </c>
      <c r="M743" s="8">
        <v>14693.900369999999</v>
      </c>
      <c r="N743" s="8">
        <v>0</v>
      </c>
      <c r="O743" s="8">
        <v>0</v>
      </c>
      <c r="P743" s="8">
        <v>0</v>
      </c>
      <c r="Q743" s="8">
        <v>0</v>
      </c>
      <c r="R743" s="8">
        <f t="shared" si="168"/>
        <v>14693.900369999999</v>
      </c>
      <c r="S743" s="8">
        <v>0</v>
      </c>
      <c r="T743" s="8">
        <v>0</v>
      </c>
      <c r="U743" s="8">
        <v>14693.9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7">
        <v>0</v>
      </c>
      <c r="AB743" s="8">
        <v>0</v>
      </c>
      <c r="AC743" s="7">
        <v>2.0299999999999998</v>
      </c>
      <c r="AD743" s="7" t="s">
        <v>1226</v>
      </c>
      <c r="AE743" s="8">
        <v>0</v>
      </c>
      <c r="AF743" s="8">
        <v>0</v>
      </c>
      <c r="AG743" s="8">
        <v>0</v>
      </c>
      <c r="AH743" s="8">
        <v>0</v>
      </c>
      <c r="AI743" s="7" t="s">
        <v>1730</v>
      </c>
      <c r="AJ743" s="7">
        <f t="shared" ca="1" si="169"/>
        <v>1</v>
      </c>
      <c r="AK743" s="96">
        <f>(+AA743*AB743)/$AB$1102</f>
        <v>0</v>
      </c>
      <c r="AL743" s="97">
        <f>AC743/$AE$1102*AE743</f>
        <v>0</v>
      </c>
    </row>
    <row r="744" spans="1:38" x14ac:dyDescent="0.3">
      <c r="A744" s="7" t="s">
        <v>2294</v>
      </c>
      <c r="B744" s="7" t="s">
        <v>1320</v>
      </c>
      <c r="C744" s="7" t="s">
        <v>1323</v>
      </c>
      <c r="D744" s="7" t="s">
        <v>1324</v>
      </c>
      <c r="E744" s="7" t="s">
        <v>1695</v>
      </c>
      <c r="F744" s="36">
        <v>43770</v>
      </c>
      <c r="G744" s="36">
        <v>44865</v>
      </c>
      <c r="H744" s="36">
        <v>44895</v>
      </c>
      <c r="I744" s="36">
        <v>44895</v>
      </c>
      <c r="J744" s="7" t="s">
        <v>1699</v>
      </c>
      <c r="K744" s="8">
        <v>0</v>
      </c>
      <c r="L744" s="8">
        <v>0</v>
      </c>
      <c r="M744" s="8">
        <v>0</v>
      </c>
      <c r="N744" s="8">
        <v>1469.39</v>
      </c>
      <c r="O744" s="8">
        <v>0</v>
      </c>
      <c r="P744" s="8">
        <v>0</v>
      </c>
      <c r="Q744" s="8">
        <v>0</v>
      </c>
      <c r="R744" s="8">
        <f t="shared" si="168"/>
        <v>1469.39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7">
        <v>0</v>
      </c>
      <c r="AB744" s="8">
        <v>0</v>
      </c>
      <c r="AC744" s="7">
        <v>2.0299999999999998</v>
      </c>
      <c r="AD744" s="7" t="s">
        <v>1226</v>
      </c>
      <c r="AE744" s="8">
        <v>0</v>
      </c>
      <c r="AF744" s="8">
        <v>0</v>
      </c>
      <c r="AG744" s="8">
        <v>0</v>
      </c>
      <c r="AH744" s="8">
        <v>0</v>
      </c>
      <c r="AI744" s="7" t="s">
        <v>1730</v>
      </c>
      <c r="AJ744" s="7">
        <f t="shared" ca="1" si="169"/>
        <v>2</v>
      </c>
      <c r="AK744" s="100">
        <f>(+AA744*AB744)/$AB$1103</f>
        <v>0</v>
      </c>
      <c r="AL744" s="97">
        <f>AC744/$AE$1103*AE744</f>
        <v>0</v>
      </c>
    </row>
    <row r="745" spans="1:38" x14ac:dyDescent="0.3">
      <c r="A745" s="7" t="s">
        <v>2295</v>
      </c>
      <c r="B745" s="7" t="s">
        <v>1320</v>
      </c>
      <c r="C745" s="7" t="s">
        <v>1323</v>
      </c>
      <c r="D745" s="7" t="s">
        <v>1324</v>
      </c>
      <c r="E745" s="7" t="s">
        <v>1695</v>
      </c>
      <c r="F745" s="36">
        <v>43770</v>
      </c>
      <c r="G745" s="36">
        <v>44865</v>
      </c>
      <c r="H745" s="36">
        <v>44895</v>
      </c>
      <c r="I745" s="36">
        <v>44895</v>
      </c>
      <c r="J745" s="7" t="s">
        <v>1239</v>
      </c>
      <c r="K745" s="8">
        <v>14267.831833</v>
      </c>
      <c r="L745" s="8">
        <v>111.16699199999999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f t="shared" si="168"/>
        <v>14378.998825000001</v>
      </c>
      <c r="S745" s="8">
        <v>0</v>
      </c>
      <c r="T745" s="8">
        <v>135.794454</v>
      </c>
      <c r="U745" s="8">
        <v>0</v>
      </c>
      <c r="V745" s="8">
        <v>14558.105546000001</v>
      </c>
      <c r="W745" s="8">
        <v>0</v>
      </c>
      <c r="X745" s="8">
        <v>0</v>
      </c>
      <c r="Y745" s="8">
        <v>0</v>
      </c>
      <c r="Z745" s="8">
        <v>0</v>
      </c>
      <c r="AA745" s="7">
        <v>0</v>
      </c>
      <c r="AB745" s="8">
        <v>0</v>
      </c>
      <c r="AC745" s="7">
        <v>2.0299999999999998</v>
      </c>
      <c r="AD745" s="7" t="s">
        <v>1226</v>
      </c>
      <c r="AE745" s="8">
        <v>0</v>
      </c>
      <c r="AF745" s="8">
        <v>0</v>
      </c>
      <c r="AG745" s="8">
        <v>0</v>
      </c>
      <c r="AH745" s="8">
        <v>0</v>
      </c>
      <c r="AI745" s="7" t="s">
        <v>1730</v>
      </c>
      <c r="AJ745" s="7">
        <f t="shared" ca="1" si="169"/>
        <v>1</v>
      </c>
      <c r="AK745" s="96">
        <f t="shared" si="176"/>
        <v>0</v>
      </c>
      <c r="AL745" s="97">
        <f t="shared" si="177"/>
        <v>0</v>
      </c>
    </row>
    <row r="746" spans="1:38" x14ac:dyDescent="0.3">
      <c r="A746" s="7" t="s">
        <v>2295</v>
      </c>
      <c r="B746" s="7" t="s">
        <v>1320</v>
      </c>
      <c r="C746" s="7" t="s">
        <v>1323</v>
      </c>
      <c r="D746" s="7" t="s">
        <v>1324</v>
      </c>
      <c r="E746" s="7" t="s">
        <v>1695</v>
      </c>
      <c r="F746" s="36">
        <v>43770</v>
      </c>
      <c r="G746" s="36">
        <v>44865</v>
      </c>
      <c r="H746" s="36">
        <v>44895</v>
      </c>
      <c r="I746" s="36">
        <v>44895</v>
      </c>
      <c r="J746" s="7" t="s">
        <v>1699</v>
      </c>
      <c r="K746" s="8">
        <v>0</v>
      </c>
      <c r="L746" s="8">
        <v>0</v>
      </c>
      <c r="M746" s="8">
        <v>0</v>
      </c>
      <c r="N746" s="8">
        <v>1469.39</v>
      </c>
      <c r="O746" s="8">
        <v>0</v>
      </c>
      <c r="P746" s="8">
        <v>0</v>
      </c>
      <c r="Q746" s="8">
        <v>0</v>
      </c>
      <c r="R746" s="8">
        <f t="shared" si="168"/>
        <v>1469.39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7">
        <v>0</v>
      </c>
      <c r="AB746" s="8">
        <v>0</v>
      </c>
      <c r="AC746" s="7">
        <v>2.0299999999999998</v>
      </c>
      <c r="AD746" s="7" t="s">
        <v>1226</v>
      </c>
      <c r="AE746" s="8">
        <v>0</v>
      </c>
      <c r="AF746" s="8">
        <v>0</v>
      </c>
      <c r="AG746" s="8">
        <v>0</v>
      </c>
      <c r="AH746" s="8">
        <v>0</v>
      </c>
      <c r="AI746" s="7" t="s">
        <v>1730</v>
      </c>
      <c r="AJ746" s="7">
        <f t="shared" ca="1" si="169"/>
        <v>2</v>
      </c>
      <c r="AK746" s="100">
        <f>(+AA746*AB746)/$AB$1103</f>
        <v>0</v>
      </c>
      <c r="AL746" s="97">
        <f>AC746/$AE$1103*AE746</f>
        <v>0</v>
      </c>
    </row>
    <row r="747" spans="1:38" x14ac:dyDescent="0.3">
      <c r="A747" s="7" t="s">
        <v>2296</v>
      </c>
      <c r="B747" s="7" t="s">
        <v>194</v>
      </c>
      <c r="C747" s="7" t="s">
        <v>1323</v>
      </c>
      <c r="D747" s="7" t="s">
        <v>1324</v>
      </c>
      <c r="E747" s="7" t="s">
        <v>1750</v>
      </c>
      <c r="F747" s="36">
        <v>43101</v>
      </c>
      <c r="G747" s="36">
        <v>44926</v>
      </c>
      <c r="H747" s="36">
        <v>45291</v>
      </c>
      <c r="I747" s="36">
        <v>45291</v>
      </c>
      <c r="J747" s="7" t="s">
        <v>1696</v>
      </c>
      <c r="K747" s="8">
        <v>0</v>
      </c>
      <c r="L747" s="8">
        <v>0</v>
      </c>
      <c r="M747" s="8">
        <v>287435.90324299998</v>
      </c>
      <c r="N747" s="8">
        <v>0</v>
      </c>
      <c r="O747" s="8">
        <v>0</v>
      </c>
      <c r="P747" s="8">
        <v>0</v>
      </c>
      <c r="Q747" s="8">
        <v>0</v>
      </c>
      <c r="R747" s="8">
        <f t="shared" si="168"/>
        <v>287435.90324299998</v>
      </c>
      <c r="S747" s="8">
        <v>0</v>
      </c>
      <c r="T747" s="8">
        <v>0</v>
      </c>
      <c r="U747" s="8">
        <v>295000</v>
      </c>
      <c r="V747" s="8">
        <v>0</v>
      </c>
      <c r="W747" s="8">
        <v>0</v>
      </c>
      <c r="X747" s="8">
        <v>0</v>
      </c>
      <c r="Y747" s="8">
        <v>289707.32675800001</v>
      </c>
      <c r="Z747" s="8">
        <v>0</v>
      </c>
      <c r="AA747" s="7">
        <v>1</v>
      </c>
      <c r="AB747" s="8">
        <v>0</v>
      </c>
      <c r="AC747" s="7">
        <v>1.6353329999999999</v>
      </c>
      <c r="AD747" s="7" t="s">
        <v>1697</v>
      </c>
      <c r="AE747" s="8">
        <v>0</v>
      </c>
      <c r="AF747" s="8">
        <v>0</v>
      </c>
      <c r="AG747" s="8">
        <v>0</v>
      </c>
      <c r="AH747" s="8">
        <v>0</v>
      </c>
      <c r="AI747" s="7" t="s">
        <v>1758</v>
      </c>
      <c r="AJ747" s="7">
        <f t="shared" ca="1" si="169"/>
        <v>1</v>
      </c>
      <c r="AK747" s="96">
        <f t="shared" ref="AK747:AK756" si="178">(+AA747*AB747)/$AB$1102</f>
        <v>0</v>
      </c>
      <c r="AL747" s="97">
        <f t="shared" ref="AL747:AL756" si="179">AC747/$AE$1102*AE747</f>
        <v>0</v>
      </c>
    </row>
    <row r="748" spans="1:38" x14ac:dyDescent="0.3">
      <c r="A748" s="7" t="s">
        <v>2297</v>
      </c>
      <c r="B748" s="7" t="s">
        <v>194</v>
      </c>
      <c r="C748" s="7" t="s">
        <v>1323</v>
      </c>
      <c r="D748" s="7" t="s">
        <v>1324</v>
      </c>
      <c r="E748" s="7" t="s">
        <v>1695</v>
      </c>
      <c r="F748" s="36">
        <v>43466</v>
      </c>
      <c r="G748" s="36">
        <v>45657</v>
      </c>
      <c r="H748" s="36">
        <v>44896</v>
      </c>
      <c r="I748" s="36">
        <v>44896</v>
      </c>
      <c r="J748" s="7" t="s">
        <v>1696</v>
      </c>
      <c r="K748" s="8">
        <v>0</v>
      </c>
      <c r="L748" s="8">
        <v>0</v>
      </c>
      <c r="M748" s="8">
        <v>211499.99927500001</v>
      </c>
      <c r="N748" s="8">
        <v>0</v>
      </c>
      <c r="O748" s="8">
        <v>0</v>
      </c>
      <c r="P748" s="8">
        <v>0</v>
      </c>
      <c r="Q748" s="8">
        <v>0</v>
      </c>
      <c r="R748" s="8">
        <f t="shared" si="168"/>
        <v>211499.99927500001</v>
      </c>
      <c r="S748" s="8">
        <v>0</v>
      </c>
      <c r="T748" s="8">
        <v>0</v>
      </c>
      <c r="U748" s="8">
        <v>211500</v>
      </c>
      <c r="V748" s="8">
        <v>0</v>
      </c>
      <c r="W748" s="8">
        <v>0</v>
      </c>
      <c r="X748" s="8">
        <v>0</v>
      </c>
      <c r="Y748" s="8">
        <v>302787.13190699997</v>
      </c>
      <c r="Z748" s="8">
        <v>-109934.981182</v>
      </c>
      <c r="AA748" s="7">
        <v>0</v>
      </c>
      <c r="AB748" s="8">
        <v>0</v>
      </c>
      <c r="AC748" s="7">
        <v>2.318333</v>
      </c>
      <c r="AD748" s="7" t="s">
        <v>1226</v>
      </c>
      <c r="AE748" s="8">
        <v>0</v>
      </c>
      <c r="AF748" s="8">
        <v>0</v>
      </c>
      <c r="AG748" s="8">
        <v>0</v>
      </c>
      <c r="AH748" s="8">
        <v>0</v>
      </c>
      <c r="AI748" s="7" t="s">
        <v>1758</v>
      </c>
      <c r="AJ748" s="7">
        <f t="shared" ca="1" si="169"/>
        <v>1</v>
      </c>
      <c r="AK748" s="96">
        <f t="shared" si="178"/>
        <v>0</v>
      </c>
      <c r="AL748" s="97">
        <f t="shared" si="179"/>
        <v>0</v>
      </c>
    </row>
    <row r="749" spans="1:38" x14ac:dyDescent="0.3">
      <c r="A749" s="7" t="s">
        <v>2298</v>
      </c>
      <c r="B749" s="7" t="s">
        <v>194</v>
      </c>
      <c r="C749" s="7" t="s">
        <v>1323</v>
      </c>
      <c r="D749" s="7" t="s">
        <v>1324</v>
      </c>
      <c r="E749" s="7" t="s">
        <v>1322</v>
      </c>
      <c r="F749" s="36">
        <v>44896</v>
      </c>
      <c r="G749" s="36">
        <v>45657</v>
      </c>
      <c r="H749" s="36">
        <v>45657</v>
      </c>
      <c r="I749" s="36">
        <v>46387</v>
      </c>
      <c r="J749" s="7" t="s">
        <v>1696</v>
      </c>
      <c r="K749" s="8">
        <v>0</v>
      </c>
      <c r="L749" s="8">
        <v>0</v>
      </c>
      <c r="M749" s="8">
        <v>4500.0037430000002</v>
      </c>
      <c r="N749" s="8">
        <v>0</v>
      </c>
      <c r="O749" s="8">
        <v>0</v>
      </c>
      <c r="P749" s="8">
        <v>0</v>
      </c>
      <c r="Q749" s="8">
        <v>0</v>
      </c>
      <c r="R749" s="8">
        <f t="shared" si="168"/>
        <v>4500.0037430000002</v>
      </c>
      <c r="S749" s="8">
        <v>0</v>
      </c>
      <c r="T749" s="8">
        <v>0</v>
      </c>
      <c r="U749" s="8">
        <v>4500</v>
      </c>
      <c r="V749" s="8">
        <v>0</v>
      </c>
      <c r="W749" s="8">
        <v>0</v>
      </c>
      <c r="X749" s="8">
        <v>0</v>
      </c>
      <c r="Y749" s="8">
        <v>0</v>
      </c>
      <c r="Z749" s="8">
        <v>211684.77477799999</v>
      </c>
      <c r="AA749" s="7">
        <v>4.0027400000000002</v>
      </c>
      <c r="AB749" s="8">
        <v>207539.81852100001</v>
      </c>
      <c r="AC749" s="7">
        <v>2.0563889999999998</v>
      </c>
      <c r="AD749" s="7" t="s">
        <v>1226</v>
      </c>
      <c r="AE749" s="8">
        <v>216000</v>
      </c>
      <c r="AF749" s="8">
        <v>0</v>
      </c>
      <c r="AG749" s="8">
        <v>216000</v>
      </c>
      <c r="AH749" s="8">
        <v>0</v>
      </c>
      <c r="AI749" s="7" t="s">
        <v>1758</v>
      </c>
      <c r="AJ749" s="7">
        <f t="shared" ca="1" si="169"/>
        <v>1</v>
      </c>
      <c r="AK749" s="96">
        <f t="shared" si="178"/>
        <v>7.2806990338917187E-4</v>
      </c>
      <c r="AL749" s="97">
        <f t="shared" si="179"/>
        <v>3.8006746927798376E-4</v>
      </c>
    </row>
    <row r="750" spans="1:38" x14ac:dyDescent="0.3">
      <c r="A750" s="7" t="s">
        <v>2299</v>
      </c>
      <c r="B750" s="7" t="s">
        <v>194</v>
      </c>
      <c r="C750" s="7" t="s">
        <v>1323</v>
      </c>
      <c r="D750" s="7" t="s">
        <v>1324</v>
      </c>
      <c r="E750" s="7" t="s">
        <v>1739</v>
      </c>
      <c r="F750" s="36">
        <v>43101</v>
      </c>
      <c r="G750" s="36">
        <v>44926</v>
      </c>
      <c r="I750" s="36">
        <v>45322</v>
      </c>
      <c r="J750" s="7" t="s">
        <v>1696</v>
      </c>
      <c r="K750" s="8">
        <v>0</v>
      </c>
      <c r="L750" s="8">
        <v>0</v>
      </c>
      <c r="M750" s="8">
        <v>239999.99520199999</v>
      </c>
      <c r="N750" s="8">
        <v>0</v>
      </c>
      <c r="O750" s="8">
        <v>0</v>
      </c>
      <c r="P750" s="8">
        <v>0</v>
      </c>
      <c r="Q750" s="8">
        <v>0</v>
      </c>
      <c r="R750" s="8">
        <f t="shared" si="168"/>
        <v>239999.99520199999</v>
      </c>
      <c r="S750" s="8">
        <v>0</v>
      </c>
      <c r="T750" s="8">
        <v>0</v>
      </c>
      <c r="U750" s="8">
        <v>240000</v>
      </c>
      <c r="V750" s="8">
        <v>0</v>
      </c>
      <c r="W750" s="8">
        <v>0</v>
      </c>
      <c r="X750" s="8">
        <v>0</v>
      </c>
      <c r="Y750" s="8">
        <v>231113.41266500001</v>
      </c>
      <c r="Z750" s="8">
        <v>47496.857211000002</v>
      </c>
      <c r="AA750" s="7">
        <v>1.084932</v>
      </c>
      <c r="AB750" s="8">
        <v>51562.275077999999</v>
      </c>
      <c r="AC750" s="7">
        <v>1.6946669999999999</v>
      </c>
      <c r="AD750" s="7" t="s">
        <v>1697</v>
      </c>
      <c r="AE750" s="8">
        <v>52000</v>
      </c>
      <c r="AF750" s="8">
        <v>0</v>
      </c>
      <c r="AG750" s="8">
        <v>52000</v>
      </c>
      <c r="AH750" s="8">
        <v>0</v>
      </c>
      <c r="AI750" s="7" t="s">
        <v>1758</v>
      </c>
      <c r="AJ750" s="7">
        <f t="shared" ca="1" si="169"/>
        <v>1</v>
      </c>
      <c r="AK750" s="96">
        <f t="shared" si="178"/>
        <v>4.9028528086564663E-5</v>
      </c>
      <c r="AL750" s="97">
        <f t="shared" si="179"/>
        <v>7.5403133153650049E-5</v>
      </c>
    </row>
    <row r="751" spans="1:38" x14ac:dyDescent="0.3">
      <c r="A751" s="7" t="s">
        <v>2300</v>
      </c>
      <c r="B751" s="7" t="s">
        <v>194</v>
      </c>
      <c r="C751" s="7" t="s">
        <v>1323</v>
      </c>
      <c r="D751" s="7" t="s">
        <v>1324</v>
      </c>
      <c r="E751" s="7" t="s">
        <v>1322</v>
      </c>
      <c r="F751" s="36">
        <v>43831</v>
      </c>
      <c r="G751" s="36">
        <v>46022</v>
      </c>
      <c r="H751" s="36">
        <v>46022</v>
      </c>
      <c r="I751" s="36">
        <v>46022</v>
      </c>
      <c r="J751" s="7" t="s">
        <v>1696</v>
      </c>
      <c r="K751" s="8">
        <v>0</v>
      </c>
      <c r="L751" s="8">
        <v>0</v>
      </c>
      <c r="M751" s="8">
        <v>126900.00120499999</v>
      </c>
      <c r="N751" s="8">
        <v>0</v>
      </c>
      <c r="O751" s="8">
        <v>0</v>
      </c>
      <c r="P751" s="8">
        <v>0</v>
      </c>
      <c r="Q751" s="8">
        <v>0</v>
      </c>
      <c r="R751" s="8">
        <f t="shared" si="168"/>
        <v>126900.00120499999</v>
      </c>
      <c r="S751" s="8">
        <v>0</v>
      </c>
      <c r="T751" s="8">
        <v>0</v>
      </c>
      <c r="U751" s="8">
        <v>126900</v>
      </c>
      <c r="V751" s="8">
        <v>0</v>
      </c>
      <c r="W751" s="8">
        <v>0</v>
      </c>
      <c r="X751" s="8">
        <v>0</v>
      </c>
      <c r="Y751" s="8">
        <v>237183.25332700001</v>
      </c>
      <c r="Z751" s="8">
        <v>0</v>
      </c>
      <c r="AA751" s="7">
        <v>3.0027400000000002</v>
      </c>
      <c r="AB751" s="8">
        <v>122710.014532</v>
      </c>
      <c r="AC751" s="7">
        <v>2.318333</v>
      </c>
      <c r="AD751" s="7" t="s">
        <v>1226</v>
      </c>
      <c r="AE751" s="8">
        <v>126900</v>
      </c>
      <c r="AF751" s="8">
        <v>0</v>
      </c>
      <c r="AG751" s="8">
        <v>126900</v>
      </c>
      <c r="AH751" s="8">
        <v>0</v>
      </c>
      <c r="AI751" s="7" t="s">
        <v>1758</v>
      </c>
      <c r="AJ751" s="7">
        <f t="shared" ca="1" si="169"/>
        <v>1</v>
      </c>
      <c r="AK751" s="96">
        <f t="shared" si="178"/>
        <v>3.2293268371267047E-4</v>
      </c>
      <c r="AL751" s="97">
        <f t="shared" si="179"/>
        <v>2.5173239926833455E-4</v>
      </c>
    </row>
    <row r="752" spans="1:38" x14ac:dyDescent="0.3">
      <c r="A752" s="7" t="s">
        <v>2301</v>
      </c>
      <c r="B752" s="7" t="s">
        <v>194</v>
      </c>
      <c r="C752" s="7" t="s">
        <v>1323</v>
      </c>
      <c r="D752" s="7" t="s">
        <v>1324</v>
      </c>
      <c r="E752" s="7" t="s">
        <v>1322</v>
      </c>
      <c r="F752" s="36">
        <v>44197</v>
      </c>
      <c r="G752" s="36">
        <v>46387</v>
      </c>
      <c r="H752" s="36">
        <v>46387</v>
      </c>
      <c r="I752" s="36">
        <v>46387</v>
      </c>
      <c r="J752" s="7" t="s">
        <v>1696</v>
      </c>
      <c r="K752" s="8">
        <v>0</v>
      </c>
      <c r="L752" s="8">
        <v>0</v>
      </c>
      <c r="M752" s="8">
        <v>71976.003404000003</v>
      </c>
      <c r="N752" s="8">
        <v>0</v>
      </c>
      <c r="O752" s="8">
        <v>0</v>
      </c>
      <c r="P752" s="8">
        <v>0</v>
      </c>
      <c r="Q752" s="8">
        <v>0</v>
      </c>
      <c r="R752" s="8">
        <f t="shared" si="168"/>
        <v>71976.003404000003</v>
      </c>
      <c r="S752" s="8">
        <v>0</v>
      </c>
      <c r="T752" s="8">
        <v>0</v>
      </c>
      <c r="U752" s="8">
        <v>71976</v>
      </c>
      <c r="V752" s="8">
        <v>0</v>
      </c>
      <c r="W752" s="8">
        <v>0</v>
      </c>
      <c r="X752" s="8">
        <v>0</v>
      </c>
      <c r="Y752" s="8">
        <v>201790.80190799999</v>
      </c>
      <c r="Z752" s="8">
        <v>0</v>
      </c>
      <c r="AA752" s="7">
        <v>4.0027400000000002</v>
      </c>
      <c r="AB752" s="8">
        <v>137617.825312</v>
      </c>
      <c r="AC752" s="7">
        <v>2.318333</v>
      </c>
      <c r="AD752" s="7" t="s">
        <v>1226</v>
      </c>
      <c r="AE752" s="8">
        <v>143952</v>
      </c>
      <c r="AF752" s="8">
        <v>0</v>
      </c>
      <c r="AG752" s="8">
        <v>143952</v>
      </c>
      <c r="AH752" s="8">
        <v>0</v>
      </c>
      <c r="AI752" s="7" t="s">
        <v>1758</v>
      </c>
      <c r="AJ752" s="7">
        <f t="shared" ca="1" si="169"/>
        <v>1</v>
      </c>
      <c r="AK752" s="96">
        <f t="shared" si="178"/>
        <v>4.8277673890997187E-4</v>
      </c>
      <c r="AL752" s="97">
        <f t="shared" si="179"/>
        <v>2.8555856847498263E-4</v>
      </c>
    </row>
    <row r="753" spans="1:38" x14ac:dyDescent="0.3">
      <c r="A753" s="7" t="s">
        <v>2302</v>
      </c>
      <c r="B753" s="7" t="s">
        <v>194</v>
      </c>
      <c r="C753" s="7" t="s">
        <v>1323</v>
      </c>
      <c r="D753" s="7" t="s">
        <v>1324</v>
      </c>
      <c r="E753" s="7" t="s">
        <v>1750</v>
      </c>
      <c r="F753" s="36">
        <v>44562</v>
      </c>
      <c r="G753" s="36">
        <v>44865</v>
      </c>
      <c r="H753" s="36">
        <v>45230</v>
      </c>
      <c r="I753" s="36">
        <v>45230</v>
      </c>
      <c r="J753" s="7" t="s">
        <v>1696</v>
      </c>
      <c r="K753" s="8">
        <v>0</v>
      </c>
      <c r="L753" s="8">
        <v>0</v>
      </c>
      <c r="M753" s="8">
        <v>202996.40781541399</v>
      </c>
      <c r="N753" s="8">
        <v>0</v>
      </c>
      <c r="O753" s="8">
        <v>0</v>
      </c>
      <c r="P753" s="8">
        <v>0</v>
      </c>
      <c r="Q753" s="8">
        <v>0</v>
      </c>
      <c r="R753" s="8">
        <f t="shared" si="168"/>
        <v>202996.40781541399</v>
      </c>
      <c r="S753" s="8">
        <v>0</v>
      </c>
      <c r="T753" s="8">
        <v>0</v>
      </c>
      <c r="U753" s="8">
        <v>202996.375</v>
      </c>
      <c r="V753" s="8">
        <v>0</v>
      </c>
      <c r="W753" s="8">
        <v>0</v>
      </c>
      <c r="X753" s="8">
        <v>0</v>
      </c>
      <c r="Y753" s="8">
        <v>179233.24904911249</v>
      </c>
      <c r="Z753" s="8">
        <v>124824.92431068988</v>
      </c>
      <c r="AA753" s="7">
        <v>0.83287699999999998</v>
      </c>
      <c r="AB753" s="8">
        <v>104197.56517886218</v>
      </c>
      <c r="AC753" s="7">
        <v>2.0459290000000001</v>
      </c>
      <c r="AD753" s="7" t="s">
        <v>1697</v>
      </c>
      <c r="AE753" s="8">
        <v>105035.18399999999</v>
      </c>
      <c r="AF753" s="8">
        <v>0</v>
      </c>
      <c r="AG753" s="8">
        <v>105035.18399999999</v>
      </c>
      <c r="AH753" s="8">
        <v>0</v>
      </c>
      <c r="AI753" s="7" t="s">
        <v>1993</v>
      </c>
      <c r="AJ753" s="7">
        <f t="shared" ca="1" si="169"/>
        <v>1</v>
      </c>
      <c r="AK753" s="96">
        <f t="shared" si="178"/>
        <v>7.6059366675563676E-5</v>
      </c>
      <c r="AL753" s="97">
        <f t="shared" si="179"/>
        <v>1.8387684130920684E-4</v>
      </c>
    </row>
    <row r="754" spans="1:38" x14ac:dyDescent="0.3">
      <c r="A754" s="7" t="s">
        <v>2303</v>
      </c>
      <c r="B754" s="7" t="s">
        <v>194</v>
      </c>
      <c r="C754" s="7" t="s">
        <v>1323</v>
      </c>
      <c r="D754" s="7" t="s">
        <v>1324</v>
      </c>
      <c r="E754" s="7" t="s">
        <v>1322</v>
      </c>
      <c r="F754" s="36">
        <v>44562</v>
      </c>
      <c r="G754" s="36">
        <v>45016</v>
      </c>
      <c r="H754" s="36">
        <v>45016</v>
      </c>
      <c r="I754" s="36">
        <v>45016</v>
      </c>
      <c r="J754" s="7" t="s">
        <v>1696</v>
      </c>
      <c r="K754" s="8">
        <v>0</v>
      </c>
      <c r="L754" s="8">
        <v>0</v>
      </c>
      <c r="M754" s="8">
        <v>164157.08524213088</v>
      </c>
      <c r="N754" s="8">
        <v>0</v>
      </c>
      <c r="O754" s="8">
        <v>0</v>
      </c>
      <c r="P754" s="8">
        <v>0</v>
      </c>
      <c r="Q754" s="8">
        <v>0</v>
      </c>
      <c r="R754" s="8">
        <f t="shared" si="168"/>
        <v>164157.08524213088</v>
      </c>
      <c r="S754" s="8">
        <v>0</v>
      </c>
      <c r="T754" s="8">
        <v>0</v>
      </c>
      <c r="U754" s="8">
        <v>143637.435</v>
      </c>
      <c r="V754" s="8">
        <v>0</v>
      </c>
      <c r="W754" s="8">
        <v>0</v>
      </c>
      <c r="X754" s="8">
        <v>0</v>
      </c>
      <c r="Y754" s="8">
        <v>233773.01289036637</v>
      </c>
      <c r="Z754" s="8">
        <v>-47716.299984998623</v>
      </c>
      <c r="AA754" s="7">
        <v>0.24657499999999999</v>
      </c>
      <c r="AB754" s="8">
        <v>47716.299984950907</v>
      </c>
      <c r="AC754" s="7">
        <v>4.0999999999999996</v>
      </c>
      <c r="AD754" s="7" t="s">
        <v>1726</v>
      </c>
      <c r="AE754" s="8">
        <v>47896.043903999998</v>
      </c>
      <c r="AF754" s="8">
        <v>0</v>
      </c>
      <c r="AG754" s="8">
        <v>47896.043903999998</v>
      </c>
      <c r="AH754" s="8">
        <v>0</v>
      </c>
      <c r="AI754" s="7" t="s">
        <v>1993</v>
      </c>
      <c r="AJ754" s="7">
        <f t="shared" ca="1" si="169"/>
        <v>1</v>
      </c>
      <c r="AK754" s="96">
        <f t="shared" si="178"/>
        <v>1.031169519074165E-5</v>
      </c>
      <c r="AL754" s="97">
        <f t="shared" si="179"/>
        <v>1.6802936099527064E-4</v>
      </c>
    </row>
    <row r="755" spans="1:38" x14ac:dyDescent="0.3">
      <c r="A755" s="7" t="s">
        <v>2304</v>
      </c>
      <c r="B755" s="7" t="s">
        <v>1320</v>
      </c>
      <c r="C755" s="7" t="s">
        <v>1323</v>
      </c>
      <c r="D755" s="7" t="s">
        <v>1324</v>
      </c>
      <c r="E755" s="7" t="s">
        <v>1322</v>
      </c>
      <c r="F755" s="36">
        <v>44927</v>
      </c>
      <c r="G755" s="36">
        <v>46022</v>
      </c>
      <c r="H755" s="36">
        <v>46022</v>
      </c>
      <c r="I755" s="36">
        <v>46752</v>
      </c>
      <c r="J755" s="7" t="s">
        <v>1696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f t="shared" si="168"/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7">
        <v>5.0027400000000002</v>
      </c>
      <c r="AB755" s="8">
        <v>0</v>
      </c>
      <c r="AC755" s="7">
        <v>1.93</v>
      </c>
      <c r="AD755" s="7" t="s">
        <v>1226</v>
      </c>
      <c r="AE755" s="8">
        <v>94280.949000061039</v>
      </c>
      <c r="AF755" s="8">
        <v>0</v>
      </c>
      <c r="AG755" s="8">
        <v>94280.949000061039</v>
      </c>
      <c r="AH755" s="8">
        <v>0</v>
      </c>
      <c r="AI755" s="7" t="s">
        <v>1730</v>
      </c>
      <c r="AJ755" s="7">
        <f t="shared" ca="1" si="169"/>
        <v>1</v>
      </c>
      <c r="AK755" s="96">
        <f t="shared" si="178"/>
        <v>0</v>
      </c>
      <c r="AL755" s="97">
        <f t="shared" si="179"/>
        <v>1.5569796280849661E-4</v>
      </c>
    </row>
    <row r="756" spans="1:38" x14ac:dyDescent="0.3">
      <c r="A756" s="7" t="s">
        <v>2305</v>
      </c>
      <c r="B756" s="7" t="s">
        <v>194</v>
      </c>
      <c r="C756" s="7" t="s">
        <v>1323</v>
      </c>
      <c r="D756" s="7" t="s">
        <v>1324</v>
      </c>
      <c r="E756" s="7" t="s">
        <v>1739</v>
      </c>
      <c r="F756" s="36">
        <v>44562</v>
      </c>
      <c r="G756" s="36">
        <v>44773</v>
      </c>
      <c r="J756" s="7" t="s">
        <v>1696</v>
      </c>
      <c r="K756" s="8">
        <v>0</v>
      </c>
      <c r="L756" s="8">
        <v>0</v>
      </c>
      <c r="M756" s="8">
        <v>5601.3887225750577</v>
      </c>
      <c r="N756" s="8">
        <v>0</v>
      </c>
      <c r="O756" s="8">
        <v>0</v>
      </c>
      <c r="P756" s="8">
        <v>0</v>
      </c>
      <c r="Q756" s="8">
        <v>0</v>
      </c>
      <c r="R756" s="8">
        <f t="shared" si="168"/>
        <v>5601.3887225750577</v>
      </c>
      <c r="S756" s="8">
        <v>0</v>
      </c>
      <c r="T756" s="8">
        <v>0</v>
      </c>
      <c r="U756" s="8">
        <v>5601.387746157</v>
      </c>
      <c r="V756" s="8">
        <v>0</v>
      </c>
      <c r="W756" s="8">
        <v>0</v>
      </c>
      <c r="X756" s="8">
        <v>0</v>
      </c>
      <c r="Y756" s="8">
        <v>5583.7926623299409</v>
      </c>
      <c r="Z756" s="8">
        <v>0</v>
      </c>
      <c r="AA756" s="7">
        <v>0</v>
      </c>
      <c r="AB756" s="8">
        <v>0</v>
      </c>
      <c r="AC756" s="7">
        <v>1.26</v>
      </c>
      <c r="AD756" s="7" t="s">
        <v>1226</v>
      </c>
      <c r="AE756" s="8">
        <v>0</v>
      </c>
      <c r="AF756" s="8">
        <v>0</v>
      </c>
      <c r="AG756" s="8">
        <v>0</v>
      </c>
      <c r="AH756" s="8">
        <v>0</v>
      </c>
      <c r="AI756" s="7" t="s">
        <v>1730</v>
      </c>
      <c r="AJ756" s="7">
        <f t="shared" ca="1" si="169"/>
        <v>1</v>
      </c>
      <c r="AK756" s="96">
        <f t="shared" si="178"/>
        <v>0</v>
      </c>
      <c r="AL756" s="97">
        <f t="shared" si="179"/>
        <v>0</v>
      </c>
    </row>
    <row r="757" spans="1:38" x14ac:dyDescent="0.3">
      <c r="A757" s="7" t="s">
        <v>2305</v>
      </c>
      <c r="B757" s="7" t="s">
        <v>194</v>
      </c>
      <c r="C757" s="7" t="s">
        <v>1323</v>
      </c>
      <c r="D757" s="7" t="s">
        <v>1324</v>
      </c>
      <c r="E757" s="7" t="s">
        <v>1739</v>
      </c>
      <c r="F757" s="36">
        <v>44562</v>
      </c>
      <c r="G757" s="36">
        <v>44773</v>
      </c>
      <c r="J757" s="7" t="s">
        <v>1699</v>
      </c>
      <c r="K757" s="8">
        <v>0</v>
      </c>
      <c r="L757" s="8">
        <v>0</v>
      </c>
      <c r="M757" s="8">
        <v>0</v>
      </c>
      <c r="N757" s="8">
        <v>4000.991247255</v>
      </c>
      <c r="O757" s="8">
        <v>0</v>
      </c>
      <c r="P757" s="8">
        <v>0</v>
      </c>
      <c r="Q757" s="8">
        <v>0</v>
      </c>
      <c r="R757" s="8">
        <f t="shared" si="168"/>
        <v>4000.991247255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7">
        <v>0</v>
      </c>
      <c r="AB757" s="8">
        <v>0</v>
      </c>
      <c r="AC757" s="7">
        <v>1.26</v>
      </c>
      <c r="AD757" s="7" t="s">
        <v>1226</v>
      </c>
      <c r="AE757" s="8">
        <v>804.539856687</v>
      </c>
      <c r="AF757" s="8">
        <v>0</v>
      </c>
      <c r="AG757" s="8">
        <v>804.539856687</v>
      </c>
      <c r="AH757" s="8">
        <v>0</v>
      </c>
      <c r="AI757" s="7" t="s">
        <v>1730</v>
      </c>
      <c r="AJ757" s="7">
        <f t="shared" ca="1" si="169"/>
        <v>2</v>
      </c>
      <c r="AK757" s="100">
        <f>(+AA757*AB757)/$AB$1103</f>
        <v>0</v>
      </c>
      <c r="AL757" s="97">
        <f>AC757/$AE$1103*AE757</f>
        <v>1.2169585437233142E-4</v>
      </c>
    </row>
    <row r="758" spans="1:38" x14ac:dyDescent="0.3">
      <c r="A758" s="7" t="s">
        <v>2306</v>
      </c>
      <c r="B758" s="7" t="s">
        <v>194</v>
      </c>
      <c r="C758" s="7" t="s">
        <v>1323</v>
      </c>
      <c r="D758" s="7" t="s">
        <v>1324</v>
      </c>
      <c r="E758" s="7" t="s">
        <v>1322</v>
      </c>
      <c r="F758" s="36">
        <v>44562</v>
      </c>
      <c r="G758" s="36">
        <v>45016</v>
      </c>
      <c r="H758" s="36">
        <v>45016</v>
      </c>
      <c r="I758" s="36">
        <v>45016</v>
      </c>
      <c r="J758" s="7" t="s">
        <v>1696</v>
      </c>
      <c r="K758" s="8">
        <v>0</v>
      </c>
      <c r="L758" s="8">
        <v>0</v>
      </c>
      <c r="M758" s="8">
        <v>13163.091043195202</v>
      </c>
      <c r="N758" s="8">
        <v>0</v>
      </c>
      <c r="O758" s="8">
        <v>0</v>
      </c>
      <c r="P758" s="8">
        <v>0</v>
      </c>
      <c r="Q758" s="8">
        <v>0</v>
      </c>
      <c r="R758" s="8">
        <f t="shared" si="168"/>
        <v>13163.091043195202</v>
      </c>
      <c r="S758" s="8">
        <v>0</v>
      </c>
      <c r="T758" s="8">
        <v>0</v>
      </c>
      <c r="U758" s="8">
        <v>13163.095229291999</v>
      </c>
      <c r="V758" s="8">
        <v>0</v>
      </c>
      <c r="W758" s="8">
        <v>0</v>
      </c>
      <c r="X758" s="8">
        <v>0</v>
      </c>
      <c r="Y758" s="8">
        <v>16333.607329802244</v>
      </c>
      <c r="Z758" s="8">
        <v>0</v>
      </c>
      <c r="AA758" s="7">
        <v>0.24657499999999999</v>
      </c>
      <c r="AB758" s="8">
        <v>3287.3233275034454</v>
      </c>
      <c r="AC758" s="7">
        <v>1.26</v>
      </c>
      <c r="AD758" s="7" t="s">
        <v>1226</v>
      </c>
      <c r="AE758" s="8">
        <v>3308.6284419509998</v>
      </c>
      <c r="AF758" s="8">
        <v>0</v>
      </c>
      <c r="AG758" s="8">
        <v>3308.6284419509998</v>
      </c>
      <c r="AH758" s="8">
        <v>0</v>
      </c>
      <c r="AI758" s="7" t="s">
        <v>1993</v>
      </c>
      <c r="AJ758" s="7">
        <f t="shared" ca="1" si="169"/>
        <v>1</v>
      </c>
      <c r="AK758" s="96">
        <f t="shared" ref="AK758:AK759" si="180">(+AA758*AB758)/$AB$1102</f>
        <v>7.1040454011147257E-7</v>
      </c>
      <c r="AL758" s="97">
        <f t="shared" ref="AL758:AL759" si="181">AC758/$AE$1102*AE758</f>
        <v>3.5671405357458818E-6</v>
      </c>
    </row>
    <row r="759" spans="1:38" x14ac:dyDescent="0.3">
      <c r="A759" s="7" t="s">
        <v>2307</v>
      </c>
      <c r="B759" s="7" t="s">
        <v>194</v>
      </c>
      <c r="C759" s="7" t="s">
        <v>1323</v>
      </c>
      <c r="D759" s="7" t="s">
        <v>1324</v>
      </c>
      <c r="E759" s="7" t="s">
        <v>1739</v>
      </c>
      <c r="F759" s="36">
        <v>44562</v>
      </c>
      <c r="G759" s="36">
        <v>44742</v>
      </c>
      <c r="J759" s="7" t="s">
        <v>1696</v>
      </c>
      <c r="K759" s="8">
        <v>0</v>
      </c>
      <c r="L759" s="8">
        <v>0</v>
      </c>
      <c r="M759" s="8">
        <v>1751.2222086186771</v>
      </c>
      <c r="N759" s="8">
        <v>0</v>
      </c>
      <c r="O759" s="8">
        <v>0</v>
      </c>
      <c r="P759" s="8">
        <v>0</v>
      </c>
      <c r="Q759" s="8">
        <v>0</v>
      </c>
      <c r="R759" s="8">
        <f t="shared" si="168"/>
        <v>1751.2222086186771</v>
      </c>
      <c r="S759" s="8">
        <v>0</v>
      </c>
      <c r="T759" s="8">
        <v>0</v>
      </c>
      <c r="U759" s="8">
        <v>1751.22079568856</v>
      </c>
      <c r="V759" s="8">
        <v>0</v>
      </c>
      <c r="W759" s="8">
        <v>0</v>
      </c>
      <c r="X759" s="8">
        <v>0</v>
      </c>
      <c r="Y759" s="8">
        <v>1744.749095754044</v>
      </c>
      <c r="Z759" s="8">
        <v>0</v>
      </c>
      <c r="AA759" s="7">
        <v>0</v>
      </c>
      <c r="AB759" s="8">
        <v>0</v>
      </c>
      <c r="AC759" s="7">
        <v>1.78</v>
      </c>
      <c r="AD759" s="7" t="s">
        <v>1226</v>
      </c>
      <c r="AE759" s="8">
        <v>0</v>
      </c>
      <c r="AF759" s="8">
        <v>0</v>
      </c>
      <c r="AG759" s="8">
        <v>0</v>
      </c>
      <c r="AH759" s="8">
        <v>0</v>
      </c>
      <c r="AI759" s="7" t="s">
        <v>1730</v>
      </c>
      <c r="AJ759" s="7">
        <f t="shared" ca="1" si="169"/>
        <v>1</v>
      </c>
      <c r="AK759" s="96">
        <f t="shared" si="180"/>
        <v>0</v>
      </c>
      <c r="AL759" s="97">
        <f t="shared" si="181"/>
        <v>0</v>
      </c>
    </row>
    <row r="760" spans="1:38" x14ac:dyDescent="0.3">
      <c r="A760" s="7" t="s">
        <v>2307</v>
      </c>
      <c r="B760" s="7" t="s">
        <v>194</v>
      </c>
      <c r="C760" s="7" t="s">
        <v>1323</v>
      </c>
      <c r="D760" s="7" t="s">
        <v>1324</v>
      </c>
      <c r="E760" s="7" t="s">
        <v>1739</v>
      </c>
      <c r="F760" s="36">
        <v>44562</v>
      </c>
      <c r="G760" s="36">
        <v>44742</v>
      </c>
      <c r="J760" s="7" t="s">
        <v>1699</v>
      </c>
      <c r="K760" s="8">
        <v>0</v>
      </c>
      <c r="L760" s="8">
        <v>0</v>
      </c>
      <c r="M760" s="8">
        <v>0</v>
      </c>
      <c r="N760" s="8">
        <v>1751.22079568856</v>
      </c>
      <c r="O760" s="8">
        <v>0</v>
      </c>
      <c r="P760" s="8">
        <v>0</v>
      </c>
      <c r="Q760" s="8">
        <v>0</v>
      </c>
      <c r="R760" s="8">
        <f t="shared" si="168"/>
        <v>1751.22079568856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7">
        <v>0</v>
      </c>
      <c r="AB760" s="8">
        <v>0</v>
      </c>
      <c r="AC760" s="7">
        <v>1.78</v>
      </c>
      <c r="AD760" s="7" t="s">
        <v>1226</v>
      </c>
      <c r="AE760" s="8">
        <v>291.87013261476</v>
      </c>
      <c r="AF760" s="8">
        <v>0</v>
      </c>
      <c r="AG760" s="8">
        <v>291.87013261476</v>
      </c>
      <c r="AH760" s="8">
        <v>0</v>
      </c>
      <c r="AI760" s="7" t="s">
        <v>1730</v>
      </c>
      <c r="AJ760" s="7">
        <f t="shared" ca="1" si="169"/>
        <v>2</v>
      </c>
      <c r="AK760" s="100">
        <f>(+AA760*AB760)/$AB$1103</f>
        <v>0</v>
      </c>
      <c r="AL760" s="97">
        <f>AC760/$AE$1103*AE760</f>
        <v>6.2368792062282254E-5</v>
      </c>
    </row>
    <row r="761" spans="1:38" x14ac:dyDescent="0.3">
      <c r="A761" s="7" t="s">
        <v>2308</v>
      </c>
      <c r="B761" s="7" t="s">
        <v>194</v>
      </c>
      <c r="C761" s="7" t="s">
        <v>1323</v>
      </c>
      <c r="D761" s="7" t="s">
        <v>1324</v>
      </c>
      <c r="E761" s="7" t="s">
        <v>1322</v>
      </c>
      <c r="F761" s="36">
        <v>44562</v>
      </c>
      <c r="G761" s="36">
        <v>45169</v>
      </c>
      <c r="H761" s="36">
        <v>45169</v>
      </c>
      <c r="I761" s="36">
        <v>45169</v>
      </c>
      <c r="J761" s="7" t="s">
        <v>1696</v>
      </c>
      <c r="K761" s="8">
        <v>0</v>
      </c>
      <c r="L761" s="8">
        <v>0</v>
      </c>
      <c r="M761" s="8">
        <v>3503.3452640115902</v>
      </c>
      <c r="N761" s="8">
        <v>0</v>
      </c>
      <c r="O761" s="8">
        <v>0</v>
      </c>
      <c r="P761" s="8">
        <v>0</v>
      </c>
      <c r="Q761" s="8">
        <v>0</v>
      </c>
      <c r="R761" s="8">
        <f t="shared" si="168"/>
        <v>3503.3452640115902</v>
      </c>
      <c r="S761" s="8">
        <v>0</v>
      </c>
      <c r="T761" s="8">
        <v>0</v>
      </c>
      <c r="U761" s="8">
        <v>3503.3444221219202</v>
      </c>
      <c r="V761" s="8">
        <v>0</v>
      </c>
      <c r="W761" s="8">
        <v>0</v>
      </c>
      <c r="X761" s="8">
        <v>0</v>
      </c>
      <c r="Y761" s="8">
        <v>5757.4748508447283</v>
      </c>
      <c r="Z761" s="8">
        <v>0</v>
      </c>
      <c r="AA761" s="7">
        <v>0.66575300000000004</v>
      </c>
      <c r="AB761" s="8">
        <v>2323.4912425817374</v>
      </c>
      <c r="AC761" s="7">
        <v>1.78</v>
      </c>
      <c r="AD761" s="7" t="s">
        <v>1226</v>
      </c>
      <c r="AE761" s="8">
        <v>2335.56294808128</v>
      </c>
      <c r="AF761" s="8">
        <v>0</v>
      </c>
      <c r="AG761" s="8">
        <v>2335.56294808128</v>
      </c>
      <c r="AH761" s="8">
        <v>0</v>
      </c>
      <c r="AI761" s="7" t="s">
        <v>1194</v>
      </c>
      <c r="AJ761" s="7">
        <f t="shared" ca="1" si="169"/>
        <v>1</v>
      </c>
      <c r="AK761" s="96">
        <f t="shared" ref="AK761:AK767" si="182">(+AA761*AB761)/$AB$1102</f>
        <v>1.355715111571756E-6</v>
      </c>
      <c r="AL761" s="97">
        <f t="shared" ref="AL761:AL767" si="183">AC761/$AE$1102*AE761</f>
        <v>3.5572407196990224E-6</v>
      </c>
    </row>
    <row r="762" spans="1:38" x14ac:dyDescent="0.3">
      <c r="A762" s="7" t="s">
        <v>2309</v>
      </c>
      <c r="B762" s="7" t="s">
        <v>194</v>
      </c>
      <c r="C762" s="7" t="s">
        <v>1323</v>
      </c>
      <c r="D762" s="7" t="s">
        <v>1324</v>
      </c>
      <c r="E762" s="7" t="s">
        <v>1322</v>
      </c>
      <c r="F762" s="36">
        <v>44562</v>
      </c>
      <c r="G762" s="36">
        <v>45322</v>
      </c>
      <c r="H762" s="36">
        <v>45322</v>
      </c>
      <c r="I762" s="36">
        <v>45322</v>
      </c>
      <c r="J762" s="7" t="s">
        <v>1696</v>
      </c>
      <c r="K762" s="8">
        <v>0</v>
      </c>
      <c r="L762" s="8">
        <v>0</v>
      </c>
      <c r="M762" s="8">
        <v>6976813.0774431964</v>
      </c>
      <c r="N762" s="8">
        <v>0</v>
      </c>
      <c r="O762" s="8">
        <v>0</v>
      </c>
      <c r="P762" s="8">
        <v>0</v>
      </c>
      <c r="Q762" s="8">
        <v>0</v>
      </c>
      <c r="R762" s="8">
        <f t="shared" si="168"/>
        <v>6976813.0774431964</v>
      </c>
      <c r="S762" s="8">
        <v>0</v>
      </c>
      <c r="T762" s="8">
        <v>0</v>
      </c>
      <c r="U762" s="8">
        <v>6976812.7143931389</v>
      </c>
      <c r="V762" s="8">
        <v>0</v>
      </c>
      <c r="W762" s="8">
        <v>0</v>
      </c>
      <c r="X762" s="8">
        <v>0</v>
      </c>
      <c r="Y762" s="8">
        <v>14471275.101778587</v>
      </c>
      <c r="Z762" s="8">
        <v>0</v>
      </c>
      <c r="AA762" s="7">
        <v>1.084932</v>
      </c>
      <c r="AB762" s="8">
        <v>7541614.1169878701</v>
      </c>
      <c r="AC762" s="7">
        <v>0.44</v>
      </c>
      <c r="AD762" s="7" t="s">
        <v>1226</v>
      </c>
      <c r="AE762" s="8">
        <v>7558214.2060646703</v>
      </c>
      <c r="AF762" s="8">
        <v>0</v>
      </c>
      <c r="AG762" s="8">
        <v>7558214.2060646703</v>
      </c>
      <c r="AH762" s="8">
        <v>0</v>
      </c>
      <c r="AI762" s="7" t="s">
        <v>1758</v>
      </c>
      <c r="AJ762" s="7">
        <f t="shared" ca="1" si="169"/>
        <v>1</v>
      </c>
      <c r="AK762" s="96">
        <f t="shared" si="182"/>
        <v>7.1710225934257668E-3</v>
      </c>
      <c r="AL762" s="97">
        <f t="shared" si="183"/>
        <v>2.8455980092575214E-3</v>
      </c>
    </row>
    <row r="763" spans="1:38" x14ac:dyDescent="0.3">
      <c r="A763" s="7" t="s">
        <v>2310</v>
      </c>
      <c r="B763" s="7" t="s">
        <v>194</v>
      </c>
      <c r="C763" s="7" t="s">
        <v>1323</v>
      </c>
      <c r="D763" s="7" t="s">
        <v>1324</v>
      </c>
      <c r="E763" s="7" t="s">
        <v>1322</v>
      </c>
      <c r="F763" s="36">
        <v>44562</v>
      </c>
      <c r="G763" s="36">
        <v>45322</v>
      </c>
      <c r="H763" s="36">
        <v>45322</v>
      </c>
      <c r="I763" s="36">
        <v>45322</v>
      </c>
      <c r="J763" s="7" t="s">
        <v>1696</v>
      </c>
      <c r="K763" s="8">
        <v>0</v>
      </c>
      <c r="L763" s="8">
        <v>0</v>
      </c>
      <c r="M763" s="8">
        <v>9053488.8275341913</v>
      </c>
      <c r="N763" s="8">
        <v>0</v>
      </c>
      <c r="O763" s="8">
        <v>0</v>
      </c>
      <c r="P763" s="8">
        <v>0</v>
      </c>
      <c r="Q763" s="8">
        <v>0</v>
      </c>
      <c r="R763" s="8">
        <f t="shared" si="168"/>
        <v>9053488.8275341913</v>
      </c>
      <c r="S763" s="8">
        <v>0</v>
      </c>
      <c r="T763" s="8">
        <v>0</v>
      </c>
      <c r="U763" s="8">
        <v>9053488.6396450568</v>
      </c>
      <c r="V763" s="8">
        <v>0</v>
      </c>
      <c r="W763" s="8">
        <v>0</v>
      </c>
      <c r="X763" s="8">
        <v>0</v>
      </c>
      <c r="Y763" s="8">
        <v>18778707.426823981</v>
      </c>
      <c r="Z763" s="8">
        <v>0</v>
      </c>
      <c r="AA763" s="7">
        <v>1.084932</v>
      </c>
      <c r="AB763" s="8">
        <v>9786405.4157455768</v>
      </c>
      <c r="AC763" s="7">
        <v>0.44</v>
      </c>
      <c r="AD763" s="7" t="s">
        <v>1226</v>
      </c>
      <c r="AE763" s="8">
        <v>9807946.5870487299</v>
      </c>
      <c r="AF763" s="8">
        <v>0</v>
      </c>
      <c r="AG763" s="8">
        <v>9807946.5870487299</v>
      </c>
      <c r="AH763" s="8">
        <v>0</v>
      </c>
      <c r="AI763" s="7" t="s">
        <v>1758</v>
      </c>
      <c r="AJ763" s="7">
        <f t="shared" ca="1" si="169"/>
        <v>1</v>
      </c>
      <c r="AK763" s="96">
        <f t="shared" si="182"/>
        <v>9.305505858043718E-3</v>
      </c>
      <c r="AL763" s="97">
        <f t="shared" si="183"/>
        <v>3.6926015222769892E-3</v>
      </c>
    </row>
    <row r="764" spans="1:38" x14ac:dyDescent="0.3">
      <c r="A764" s="7" t="s">
        <v>2311</v>
      </c>
      <c r="B764" s="7" t="s">
        <v>194</v>
      </c>
      <c r="C764" s="7" t="s">
        <v>1323</v>
      </c>
      <c r="D764" s="7" t="s">
        <v>1324</v>
      </c>
      <c r="E764" s="7" t="s">
        <v>1322</v>
      </c>
      <c r="F764" s="36">
        <v>44562</v>
      </c>
      <c r="G764" s="36">
        <v>46022</v>
      </c>
      <c r="H764" s="36">
        <v>46022</v>
      </c>
      <c r="I764" s="36">
        <v>46022</v>
      </c>
      <c r="J764" s="7" t="s">
        <v>1696</v>
      </c>
      <c r="K764" s="8">
        <v>0</v>
      </c>
      <c r="L764" s="8">
        <v>0</v>
      </c>
      <c r="M764" s="8">
        <v>333022057.82158971</v>
      </c>
      <c r="N764" s="8">
        <v>0</v>
      </c>
      <c r="O764" s="8">
        <v>0</v>
      </c>
      <c r="P764" s="8">
        <v>0</v>
      </c>
      <c r="Q764" s="8">
        <v>0</v>
      </c>
      <c r="R764" s="8">
        <f t="shared" si="168"/>
        <v>333022057.82158971</v>
      </c>
      <c r="S764" s="8">
        <v>0</v>
      </c>
      <c r="T764" s="8">
        <v>0</v>
      </c>
      <c r="U764" s="8">
        <v>333022057.65179998</v>
      </c>
      <c r="V764" s="8">
        <v>0</v>
      </c>
      <c r="W764" s="8">
        <v>0</v>
      </c>
      <c r="X764" s="8">
        <v>0</v>
      </c>
      <c r="Y764" s="8">
        <v>1320420768.8650658</v>
      </c>
      <c r="Z764" s="8">
        <v>0</v>
      </c>
      <c r="AA764" s="7">
        <v>3.0027400000000002</v>
      </c>
      <c r="AB764" s="8">
        <v>992540016.65787721</v>
      </c>
      <c r="AC764" s="7">
        <v>0.45</v>
      </c>
      <c r="AD764" s="7" t="s">
        <v>1226</v>
      </c>
      <c r="AE764" s="8">
        <v>1008514476.22464</v>
      </c>
      <c r="AF764" s="8">
        <v>0</v>
      </c>
      <c r="AG764" s="8">
        <v>1008514476.22464</v>
      </c>
      <c r="AH764" s="8">
        <v>0</v>
      </c>
      <c r="AI764" s="7" t="s">
        <v>1758</v>
      </c>
      <c r="AJ764" s="7">
        <f t="shared" ca="1" si="169"/>
        <v>1</v>
      </c>
      <c r="AK764" s="96">
        <f t="shared" si="182"/>
        <v>2.6120411809417692</v>
      </c>
      <c r="AL764" s="97">
        <f t="shared" si="183"/>
        <v>0.38832587194198009</v>
      </c>
    </row>
    <row r="765" spans="1:38" x14ac:dyDescent="0.3">
      <c r="A765" s="7" t="s">
        <v>2312</v>
      </c>
      <c r="B765" s="7" t="s">
        <v>194</v>
      </c>
      <c r="C765" s="7" t="s">
        <v>1323</v>
      </c>
      <c r="D765" s="7" t="s">
        <v>1324</v>
      </c>
      <c r="E765" s="7" t="s">
        <v>1322</v>
      </c>
      <c r="F765" s="36">
        <v>44562</v>
      </c>
      <c r="G765" s="36">
        <v>47177</v>
      </c>
      <c r="H765" s="36">
        <v>47177</v>
      </c>
      <c r="I765" s="36">
        <v>47177</v>
      </c>
      <c r="J765" s="7" t="s">
        <v>1696</v>
      </c>
      <c r="K765" s="8">
        <v>0</v>
      </c>
      <c r="L765" s="8">
        <v>0</v>
      </c>
      <c r="M765" s="8">
        <v>1266036.0009939999</v>
      </c>
      <c r="N765" s="8">
        <v>0</v>
      </c>
      <c r="O765" s="8">
        <v>0</v>
      </c>
      <c r="P765" s="8">
        <v>0</v>
      </c>
      <c r="Q765" s="8">
        <v>0</v>
      </c>
      <c r="R765" s="8">
        <f t="shared" si="168"/>
        <v>1266036.0009939999</v>
      </c>
      <c r="S765" s="8">
        <v>0</v>
      </c>
      <c r="T765" s="8">
        <v>0</v>
      </c>
      <c r="U765" s="8">
        <v>1266036</v>
      </c>
      <c r="V765" s="8">
        <v>0</v>
      </c>
      <c r="W765" s="8">
        <v>0</v>
      </c>
      <c r="X765" s="8">
        <v>0</v>
      </c>
      <c r="Y765" s="8">
        <v>7898227.4732459998</v>
      </c>
      <c r="Z765" s="8">
        <v>0</v>
      </c>
      <c r="AA765" s="7">
        <v>6.1671230000000001</v>
      </c>
      <c r="AB765" s="8">
        <v>6927706.7242400004</v>
      </c>
      <c r="AC765" s="7">
        <v>4.0199999999999996</v>
      </c>
      <c r="AD765" s="7" t="s">
        <v>1226</v>
      </c>
      <c r="AE765" s="8">
        <v>7807222</v>
      </c>
      <c r="AF765" s="8">
        <v>0</v>
      </c>
      <c r="AG765" s="8">
        <v>7807222</v>
      </c>
      <c r="AH765" s="8">
        <v>0</v>
      </c>
      <c r="AI765" s="7" t="s">
        <v>1758</v>
      </c>
      <c r="AJ765" s="7">
        <f t="shared" ca="1" si="169"/>
        <v>1</v>
      </c>
      <c r="AK765" s="96">
        <f t="shared" si="182"/>
        <v>3.7444356316745198E-2</v>
      </c>
      <c r="AL765" s="97">
        <f t="shared" si="183"/>
        <v>2.6854944410283126E-2</v>
      </c>
    </row>
    <row r="766" spans="1:38" x14ac:dyDescent="0.3">
      <c r="A766" s="7" t="s">
        <v>2313</v>
      </c>
      <c r="B766" s="7" t="s">
        <v>194</v>
      </c>
      <c r="C766" s="7" t="s">
        <v>1323</v>
      </c>
      <c r="D766" s="7" t="s">
        <v>1324</v>
      </c>
      <c r="E766" s="7" t="s">
        <v>1322</v>
      </c>
      <c r="F766" s="36">
        <v>44562</v>
      </c>
      <c r="G766" s="36">
        <v>46053</v>
      </c>
      <c r="H766" s="36">
        <v>46053</v>
      </c>
      <c r="I766" s="36">
        <v>46053</v>
      </c>
      <c r="J766" s="7" t="s">
        <v>1696</v>
      </c>
      <c r="K766" s="8">
        <v>0</v>
      </c>
      <c r="L766" s="8">
        <v>0</v>
      </c>
      <c r="M766" s="8">
        <v>11626.562309000001</v>
      </c>
      <c r="N766" s="8">
        <v>0</v>
      </c>
      <c r="O766" s="8">
        <v>0</v>
      </c>
      <c r="P766" s="8">
        <v>0</v>
      </c>
      <c r="Q766" s="8">
        <v>0</v>
      </c>
      <c r="R766" s="8">
        <f t="shared" si="168"/>
        <v>11626.562309000001</v>
      </c>
      <c r="S766" s="8">
        <v>0</v>
      </c>
      <c r="T766" s="8">
        <v>0</v>
      </c>
      <c r="U766" s="8">
        <v>11626.56</v>
      </c>
      <c r="V766" s="8">
        <v>0</v>
      </c>
      <c r="W766" s="8">
        <v>0</v>
      </c>
      <c r="X766" s="8">
        <v>0</v>
      </c>
      <c r="Y766" s="8">
        <v>44118.478674999998</v>
      </c>
      <c r="Z766" s="8">
        <v>0</v>
      </c>
      <c r="AA766" s="7">
        <v>3.0876709999999998</v>
      </c>
      <c r="AB766" s="8">
        <v>33924.440984000001</v>
      </c>
      <c r="AC766" s="7">
        <v>3.72</v>
      </c>
      <c r="AD766" s="7" t="s">
        <v>1226</v>
      </c>
      <c r="AE766" s="8">
        <v>35848.559999999998</v>
      </c>
      <c r="AF766" s="8">
        <v>0</v>
      </c>
      <c r="AG766" s="8">
        <v>35848.559999999998</v>
      </c>
      <c r="AH766" s="8">
        <v>0</v>
      </c>
      <c r="AI766" s="7" t="s">
        <v>1993</v>
      </c>
      <c r="AJ766" s="7">
        <f t="shared" ca="1" si="169"/>
        <v>1</v>
      </c>
      <c r="AK766" s="96">
        <f t="shared" si="182"/>
        <v>9.1803234663280861E-5</v>
      </c>
      <c r="AL766" s="97">
        <f t="shared" si="183"/>
        <v>1.1410806239325847E-4</v>
      </c>
    </row>
    <row r="767" spans="1:38" x14ac:dyDescent="0.3">
      <c r="A767" s="7" t="s">
        <v>2314</v>
      </c>
      <c r="B767" s="7" t="s">
        <v>194</v>
      </c>
      <c r="C767" s="7" t="s">
        <v>1323</v>
      </c>
      <c r="D767" s="7" t="s">
        <v>1324</v>
      </c>
      <c r="E767" s="7" t="s">
        <v>1322</v>
      </c>
      <c r="F767" s="36">
        <v>44562</v>
      </c>
      <c r="G767" s="36">
        <v>46022</v>
      </c>
      <c r="H767" s="36">
        <v>46022</v>
      </c>
      <c r="I767" s="36">
        <v>46387</v>
      </c>
      <c r="J767" s="7" t="s">
        <v>1696</v>
      </c>
      <c r="K767" s="8">
        <v>0</v>
      </c>
      <c r="L767" s="8">
        <v>0</v>
      </c>
      <c r="M767" s="8">
        <v>55859.833598999998</v>
      </c>
      <c r="N767" s="8">
        <v>0</v>
      </c>
      <c r="O767" s="8">
        <v>0</v>
      </c>
      <c r="P767" s="8">
        <v>0</v>
      </c>
      <c r="Q767" s="8">
        <v>0</v>
      </c>
      <c r="R767" s="8">
        <f t="shared" si="168"/>
        <v>55859.833598999998</v>
      </c>
      <c r="S767" s="8">
        <v>0</v>
      </c>
      <c r="T767" s="8">
        <v>0</v>
      </c>
      <c r="U767" s="8">
        <v>54000</v>
      </c>
      <c r="V767" s="8">
        <v>0</v>
      </c>
      <c r="W767" s="8">
        <v>0</v>
      </c>
      <c r="X767" s="8">
        <v>0</v>
      </c>
      <c r="Y767" s="8">
        <v>264698.45250100002</v>
      </c>
      <c r="Z767" s="8">
        <v>0</v>
      </c>
      <c r="AA767" s="7">
        <v>4.0027400000000002</v>
      </c>
      <c r="AB767" s="8">
        <v>215888.9761</v>
      </c>
      <c r="AC767" s="7">
        <v>2.181667</v>
      </c>
      <c r="AD767" s="7" t="s">
        <v>1226</v>
      </c>
      <c r="AE767" s="8">
        <v>225299.16</v>
      </c>
      <c r="AF767" s="8">
        <v>0</v>
      </c>
      <c r="AG767" s="8">
        <v>225299.16</v>
      </c>
      <c r="AH767" s="8">
        <v>0</v>
      </c>
      <c r="AI767" s="7" t="s">
        <v>1758</v>
      </c>
      <c r="AJ767" s="7">
        <f t="shared" ca="1" si="169"/>
        <v>1</v>
      </c>
      <c r="AK767" s="96">
        <f t="shared" si="182"/>
        <v>7.5735956161111155E-4</v>
      </c>
      <c r="AL767" s="97">
        <f t="shared" si="183"/>
        <v>4.2058105965564328E-4</v>
      </c>
    </row>
    <row r="768" spans="1:38" x14ac:dyDescent="0.3">
      <c r="A768" s="7" t="s">
        <v>2315</v>
      </c>
      <c r="B768" s="7" t="s">
        <v>194</v>
      </c>
      <c r="C768" s="7" t="s">
        <v>1323</v>
      </c>
      <c r="D768" s="7" t="s">
        <v>1324</v>
      </c>
      <c r="E768" s="7" t="s">
        <v>1733</v>
      </c>
      <c r="F768" s="36">
        <v>43831</v>
      </c>
      <c r="G768" s="36">
        <v>46022</v>
      </c>
      <c r="H768" s="36">
        <v>46022</v>
      </c>
      <c r="I768" s="36">
        <v>46387</v>
      </c>
      <c r="J768" s="7" t="s">
        <v>1239</v>
      </c>
      <c r="K768" s="8">
        <v>165565.85</v>
      </c>
      <c r="L768" s="8">
        <v>22517.077856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f t="shared" si="168"/>
        <v>188082.92785599999</v>
      </c>
      <c r="S768" s="8">
        <v>0</v>
      </c>
      <c r="T768" s="8">
        <v>22049.870494999999</v>
      </c>
      <c r="U768" s="8">
        <v>0</v>
      </c>
      <c r="V768" s="8">
        <v>157950.12950499999</v>
      </c>
      <c r="W768" s="8">
        <v>0</v>
      </c>
      <c r="X768" s="8">
        <v>386320.32653800002</v>
      </c>
      <c r="Y768" s="8">
        <v>0</v>
      </c>
      <c r="Z768" s="8">
        <v>0</v>
      </c>
      <c r="AA768" s="7">
        <v>4.0027400000000002</v>
      </c>
      <c r="AB768" s="8">
        <v>228370.197033</v>
      </c>
      <c r="AC768" s="7">
        <v>2.4550000000000001</v>
      </c>
      <c r="AD768" s="7" t="s">
        <v>1226</v>
      </c>
      <c r="AE768" s="8">
        <v>240000</v>
      </c>
      <c r="AF768" s="8">
        <v>0</v>
      </c>
      <c r="AG768" s="8">
        <v>240000</v>
      </c>
      <c r="AH768" s="8">
        <v>0</v>
      </c>
      <c r="AI768" s="7" t="s">
        <v>1758</v>
      </c>
      <c r="AJ768" s="7">
        <f t="shared" ca="1" si="169"/>
        <v>1</v>
      </c>
      <c r="AK768" s="96">
        <f t="shared" si="176"/>
        <v>6.1236365892832394E-3</v>
      </c>
      <c r="AL768" s="97">
        <f t="shared" si="177"/>
        <v>3.745564943040187E-3</v>
      </c>
    </row>
    <row r="769" spans="1:38" x14ac:dyDescent="0.3">
      <c r="A769" s="7" t="s">
        <v>2316</v>
      </c>
      <c r="B769" s="7" t="s">
        <v>194</v>
      </c>
      <c r="C769" s="7" t="s">
        <v>1769</v>
      </c>
      <c r="D769" s="7" t="s">
        <v>1770</v>
      </c>
      <c r="E769" s="7" t="s">
        <v>1322</v>
      </c>
      <c r="F769" s="36">
        <v>42370</v>
      </c>
      <c r="G769" s="36">
        <v>45291</v>
      </c>
      <c r="H769" s="36">
        <v>45291</v>
      </c>
      <c r="I769" s="36">
        <v>45657</v>
      </c>
      <c r="J769" s="7" t="s">
        <v>1696</v>
      </c>
      <c r="K769" s="8">
        <v>0</v>
      </c>
      <c r="L769" s="8">
        <v>0</v>
      </c>
      <c r="M769" s="8">
        <v>3123079.1233040001</v>
      </c>
      <c r="N769" s="8">
        <v>0</v>
      </c>
      <c r="O769" s="8">
        <v>0</v>
      </c>
      <c r="P769" s="8">
        <v>0</v>
      </c>
      <c r="Q769" s="8">
        <v>0</v>
      </c>
      <c r="R769" s="8">
        <f t="shared" si="168"/>
        <v>3123079.1233040001</v>
      </c>
      <c r="S769" s="8">
        <v>0</v>
      </c>
      <c r="T769" s="8">
        <v>0</v>
      </c>
      <c r="U769" s="8">
        <v>3069410.88</v>
      </c>
      <c r="V769" s="8">
        <v>0</v>
      </c>
      <c r="W769" s="8">
        <v>0</v>
      </c>
      <c r="X769" s="8">
        <v>0</v>
      </c>
      <c r="Y769" s="8">
        <v>3640299.1187900002</v>
      </c>
      <c r="Z769" s="8">
        <v>0</v>
      </c>
      <c r="AA769" s="7">
        <v>2.0027400000000002</v>
      </c>
      <c r="AB769" s="8">
        <v>926494.56209400005</v>
      </c>
      <c r="AC769" s="7">
        <v>2.181667</v>
      </c>
      <c r="AD769" s="7" t="s">
        <v>1226</v>
      </c>
      <c r="AE769" s="8">
        <v>945976.56</v>
      </c>
      <c r="AF769" s="8">
        <v>0</v>
      </c>
      <c r="AG769" s="8">
        <v>945976.56</v>
      </c>
      <c r="AH769" s="8">
        <v>0</v>
      </c>
      <c r="AI769" s="7" t="s">
        <v>1758</v>
      </c>
      <c r="AJ769" s="7">
        <f t="shared" ca="1" si="169"/>
        <v>1</v>
      </c>
      <c r="AK769" s="96">
        <f t="shared" ref="AK769:AK776" si="184">(+AA769*AB769)/$AB$1102</f>
        <v>1.6262290376292793E-3</v>
      </c>
      <c r="AL769" s="97">
        <f t="shared" ref="AL769:AL776" si="185">AC769/$AE$1102*AE769</f>
        <v>1.7659179200410699E-3</v>
      </c>
    </row>
    <row r="770" spans="1:38" x14ac:dyDescent="0.3">
      <c r="A770" s="7" t="s">
        <v>2317</v>
      </c>
      <c r="B770" s="7" t="s">
        <v>194</v>
      </c>
      <c r="C770" s="7" t="s">
        <v>1769</v>
      </c>
      <c r="D770" s="7" t="s">
        <v>1770</v>
      </c>
      <c r="E770" s="7" t="s">
        <v>1322</v>
      </c>
      <c r="F770" s="36">
        <v>42370</v>
      </c>
      <c r="G770" s="36">
        <v>45291</v>
      </c>
      <c r="H770" s="36">
        <v>45291</v>
      </c>
      <c r="I770" s="36">
        <v>45657</v>
      </c>
      <c r="J770" s="7" t="s">
        <v>1696</v>
      </c>
      <c r="K770" s="8">
        <v>0</v>
      </c>
      <c r="L770" s="8">
        <v>0</v>
      </c>
      <c r="M770" s="8">
        <v>3116007.246179</v>
      </c>
      <c r="N770" s="8">
        <v>0</v>
      </c>
      <c r="O770" s="8">
        <v>0</v>
      </c>
      <c r="P770" s="8">
        <v>0</v>
      </c>
      <c r="Q770" s="8">
        <v>0</v>
      </c>
      <c r="R770" s="8">
        <f t="shared" si="168"/>
        <v>3116007.246179</v>
      </c>
      <c r="S770" s="8">
        <v>0</v>
      </c>
      <c r="T770" s="8">
        <v>0</v>
      </c>
      <c r="U770" s="8">
        <v>3060318.48</v>
      </c>
      <c r="V770" s="8">
        <v>0</v>
      </c>
      <c r="W770" s="8">
        <v>0</v>
      </c>
      <c r="X770" s="8">
        <v>0</v>
      </c>
      <c r="Y770" s="8">
        <v>3632400.5059239999</v>
      </c>
      <c r="Z770" s="8">
        <v>0</v>
      </c>
      <c r="AA770" s="7">
        <v>2.0027400000000002</v>
      </c>
      <c r="AB770" s="8">
        <v>926494.562103</v>
      </c>
      <c r="AC770" s="7">
        <v>2.181667</v>
      </c>
      <c r="AD770" s="7" t="s">
        <v>1226</v>
      </c>
      <c r="AE770" s="8">
        <v>945976.56</v>
      </c>
      <c r="AF770" s="8">
        <v>0</v>
      </c>
      <c r="AG770" s="8">
        <v>945976.56</v>
      </c>
      <c r="AH770" s="8">
        <v>0</v>
      </c>
      <c r="AI770" s="7" t="s">
        <v>1758</v>
      </c>
      <c r="AJ770" s="7">
        <f t="shared" ca="1" si="169"/>
        <v>1</v>
      </c>
      <c r="AK770" s="96">
        <f t="shared" si="184"/>
        <v>1.6262290376450766E-3</v>
      </c>
      <c r="AL770" s="97">
        <f t="shared" si="185"/>
        <v>1.7659179200410699E-3</v>
      </c>
    </row>
    <row r="771" spans="1:38" x14ac:dyDescent="0.3">
      <c r="A771" s="7" t="s">
        <v>2318</v>
      </c>
      <c r="B771" s="7" t="s">
        <v>194</v>
      </c>
      <c r="C771" s="7" t="s">
        <v>1769</v>
      </c>
      <c r="D771" s="7" t="s">
        <v>1770</v>
      </c>
      <c r="E771" s="7" t="s">
        <v>1322</v>
      </c>
      <c r="F771" s="36">
        <v>42370</v>
      </c>
      <c r="G771" s="36">
        <v>45291</v>
      </c>
      <c r="H771" s="36">
        <v>45291</v>
      </c>
      <c r="I771" s="36">
        <v>45657</v>
      </c>
      <c r="J771" s="7" t="s">
        <v>1696</v>
      </c>
      <c r="K771" s="8">
        <v>0</v>
      </c>
      <c r="L771" s="8">
        <v>0</v>
      </c>
      <c r="M771" s="8">
        <v>3123079.1233040001</v>
      </c>
      <c r="N771" s="8">
        <v>0</v>
      </c>
      <c r="O771" s="8">
        <v>0</v>
      </c>
      <c r="P771" s="8">
        <v>0</v>
      </c>
      <c r="Q771" s="8">
        <v>0</v>
      </c>
      <c r="R771" s="8">
        <f t="shared" ref="R771:R834" si="186">K771+L771+M771+N771+O771+P771+Q771</f>
        <v>3123079.1233040001</v>
      </c>
      <c r="S771" s="8">
        <v>0</v>
      </c>
      <c r="T771" s="8">
        <v>0</v>
      </c>
      <c r="U771" s="8">
        <v>3069410.88</v>
      </c>
      <c r="V771" s="8">
        <v>0</v>
      </c>
      <c r="W771" s="8">
        <v>0</v>
      </c>
      <c r="X771" s="8">
        <v>0</v>
      </c>
      <c r="Y771" s="8">
        <v>3640299.1187900002</v>
      </c>
      <c r="Z771" s="8">
        <v>0</v>
      </c>
      <c r="AA771" s="7">
        <v>2.0027400000000002</v>
      </c>
      <c r="AB771" s="8">
        <v>926494.56209400005</v>
      </c>
      <c r="AC771" s="7">
        <v>2.181667</v>
      </c>
      <c r="AD771" s="7" t="s">
        <v>1226</v>
      </c>
      <c r="AE771" s="8">
        <v>945976.56</v>
      </c>
      <c r="AF771" s="8">
        <v>0</v>
      </c>
      <c r="AG771" s="8">
        <v>945976.56</v>
      </c>
      <c r="AH771" s="8">
        <v>0</v>
      </c>
      <c r="AI771" s="7" t="s">
        <v>1758</v>
      </c>
      <c r="AJ771" s="7">
        <f t="shared" ref="AJ771:AJ834" ca="1" si="187">IF(A771=OFFSET(A771,-1,0),OFFSET(AJ771,-1,0)+1,1)</f>
        <v>1</v>
      </c>
      <c r="AK771" s="96">
        <f t="shared" si="184"/>
        <v>1.6262290376292793E-3</v>
      </c>
      <c r="AL771" s="97">
        <f t="shared" si="185"/>
        <v>1.7659179200410699E-3</v>
      </c>
    </row>
    <row r="772" spans="1:38" x14ac:dyDescent="0.3">
      <c r="A772" s="7" t="s">
        <v>2319</v>
      </c>
      <c r="B772" s="7" t="s">
        <v>194</v>
      </c>
      <c r="C772" s="7" t="s">
        <v>1769</v>
      </c>
      <c r="D772" s="7" t="s">
        <v>1770</v>
      </c>
      <c r="E772" s="7" t="s">
        <v>1322</v>
      </c>
      <c r="F772" s="36">
        <v>42370</v>
      </c>
      <c r="G772" s="36">
        <v>45291</v>
      </c>
      <c r="H772" s="36">
        <v>45291</v>
      </c>
      <c r="I772" s="36">
        <v>45657</v>
      </c>
      <c r="J772" s="7" t="s">
        <v>1696</v>
      </c>
      <c r="K772" s="8">
        <v>0</v>
      </c>
      <c r="L772" s="8">
        <v>0</v>
      </c>
      <c r="M772" s="8">
        <v>3123079.1248289999</v>
      </c>
      <c r="N772" s="8">
        <v>0</v>
      </c>
      <c r="O772" s="8">
        <v>0</v>
      </c>
      <c r="P772" s="8">
        <v>0</v>
      </c>
      <c r="Q772" s="8">
        <v>0</v>
      </c>
      <c r="R772" s="8">
        <f t="shared" si="186"/>
        <v>3123079.1248289999</v>
      </c>
      <c r="S772" s="8">
        <v>0</v>
      </c>
      <c r="T772" s="8">
        <v>0</v>
      </c>
      <c r="U772" s="8">
        <v>3069410.88</v>
      </c>
      <c r="V772" s="8">
        <v>0</v>
      </c>
      <c r="W772" s="8">
        <v>0</v>
      </c>
      <c r="X772" s="8">
        <v>0</v>
      </c>
      <c r="Y772" s="8">
        <v>3550447.4979889998</v>
      </c>
      <c r="Z772" s="8">
        <v>0</v>
      </c>
      <c r="AA772" s="7">
        <v>2.0027400000000002</v>
      </c>
      <c r="AB772" s="8">
        <v>921515.23281800002</v>
      </c>
      <c r="AC772" s="7">
        <v>2.75</v>
      </c>
      <c r="AD772" s="7" t="s">
        <v>1226</v>
      </c>
      <c r="AE772" s="8">
        <v>945976.56</v>
      </c>
      <c r="AF772" s="8">
        <v>0</v>
      </c>
      <c r="AG772" s="8">
        <v>945976.56</v>
      </c>
      <c r="AH772" s="8">
        <v>0</v>
      </c>
      <c r="AI772" s="7" t="s">
        <v>1758</v>
      </c>
      <c r="AJ772" s="7">
        <f t="shared" ca="1" si="187"/>
        <v>1</v>
      </c>
      <c r="AK772" s="96">
        <f t="shared" si="184"/>
        <v>1.6174890728331047E-3</v>
      </c>
      <c r="AL772" s="97">
        <f t="shared" si="185"/>
        <v>2.2259466179361666E-3</v>
      </c>
    </row>
    <row r="773" spans="1:38" x14ac:dyDescent="0.3">
      <c r="A773" s="7" t="s">
        <v>2320</v>
      </c>
      <c r="B773" s="7" t="s">
        <v>194</v>
      </c>
      <c r="C773" s="7" t="s">
        <v>1323</v>
      </c>
      <c r="D773" s="7" t="s">
        <v>1324</v>
      </c>
      <c r="E773" s="7" t="s">
        <v>1695</v>
      </c>
      <c r="F773" s="36">
        <v>43800</v>
      </c>
      <c r="G773" s="36">
        <v>44895</v>
      </c>
      <c r="H773" s="36">
        <v>44895</v>
      </c>
      <c r="I773" s="36">
        <v>44895</v>
      </c>
      <c r="J773" s="7" t="s">
        <v>1696</v>
      </c>
      <c r="K773" s="8">
        <v>0</v>
      </c>
      <c r="L773" s="8">
        <v>0</v>
      </c>
      <c r="M773" s="8">
        <v>25333.200122999999</v>
      </c>
      <c r="N773" s="8">
        <v>0</v>
      </c>
      <c r="O773" s="8">
        <v>0</v>
      </c>
      <c r="P773" s="8">
        <v>0</v>
      </c>
      <c r="Q773" s="8">
        <v>0</v>
      </c>
      <c r="R773" s="8">
        <f t="shared" si="186"/>
        <v>25333.200122999999</v>
      </c>
      <c r="S773" s="8">
        <v>0</v>
      </c>
      <c r="T773" s="8">
        <v>0</v>
      </c>
      <c r="U773" s="8">
        <v>25333.200000000001</v>
      </c>
      <c r="V773" s="8">
        <v>0</v>
      </c>
      <c r="W773" s="8">
        <v>0</v>
      </c>
      <c r="X773" s="8">
        <v>0</v>
      </c>
      <c r="Y773" s="8">
        <v>24258.249878999999</v>
      </c>
      <c r="Z773" s="8">
        <v>0</v>
      </c>
      <c r="AA773" s="7">
        <v>0</v>
      </c>
      <c r="AB773" s="8">
        <v>0</v>
      </c>
      <c r="AC773" s="7">
        <v>3</v>
      </c>
      <c r="AD773" s="7" t="s">
        <v>1226</v>
      </c>
      <c r="AE773" s="8">
        <v>0</v>
      </c>
      <c r="AF773" s="8">
        <v>0</v>
      </c>
      <c r="AG773" s="8">
        <v>0</v>
      </c>
      <c r="AH773" s="8">
        <v>0</v>
      </c>
      <c r="AI773" s="7" t="s">
        <v>1730</v>
      </c>
      <c r="AJ773" s="7">
        <f t="shared" ca="1" si="187"/>
        <v>1</v>
      </c>
      <c r="AK773" s="96">
        <f t="shared" si="184"/>
        <v>0</v>
      </c>
      <c r="AL773" s="97">
        <f t="shared" si="185"/>
        <v>0</v>
      </c>
    </row>
    <row r="774" spans="1:38" x14ac:dyDescent="0.3">
      <c r="A774" s="7" t="s">
        <v>2321</v>
      </c>
      <c r="B774" s="7" t="s">
        <v>194</v>
      </c>
      <c r="C774" s="7" t="s">
        <v>1323</v>
      </c>
      <c r="D774" s="7" t="s">
        <v>1324</v>
      </c>
      <c r="E774" s="7" t="s">
        <v>1695</v>
      </c>
      <c r="F774" s="36">
        <v>43800</v>
      </c>
      <c r="G774" s="36">
        <v>44895</v>
      </c>
      <c r="H774" s="36">
        <v>44895</v>
      </c>
      <c r="I774" s="36">
        <v>44895</v>
      </c>
      <c r="J774" s="7" t="s">
        <v>1696</v>
      </c>
      <c r="K774" s="8">
        <v>0</v>
      </c>
      <c r="L774" s="8">
        <v>0</v>
      </c>
      <c r="M774" s="8">
        <v>25333.200122999999</v>
      </c>
      <c r="N774" s="8">
        <v>0</v>
      </c>
      <c r="O774" s="8">
        <v>0</v>
      </c>
      <c r="P774" s="8">
        <v>0</v>
      </c>
      <c r="Q774" s="8">
        <v>0</v>
      </c>
      <c r="R774" s="8">
        <f t="shared" si="186"/>
        <v>25333.200122999999</v>
      </c>
      <c r="S774" s="8">
        <v>0</v>
      </c>
      <c r="T774" s="8">
        <v>0</v>
      </c>
      <c r="U774" s="8">
        <v>25333.200000000001</v>
      </c>
      <c r="V774" s="8">
        <v>0</v>
      </c>
      <c r="W774" s="8">
        <v>0</v>
      </c>
      <c r="X774" s="8">
        <v>0</v>
      </c>
      <c r="Y774" s="8">
        <v>24258.249878999999</v>
      </c>
      <c r="Z774" s="8">
        <v>0</v>
      </c>
      <c r="AA774" s="7">
        <v>0</v>
      </c>
      <c r="AB774" s="8">
        <v>0</v>
      </c>
      <c r="AC774" s="7">
        <v>3</v>
      </c>
      <c r="AD774" s="7" t="s">
        <v>1226</v>
      </c>
      <c r="AE774" s="8">
        <v>0</v>
      </c>
      <c r="AF774" s="8">
        <v>0</v>
      </c>
      <c r="AG774" s="8">
        <v>0</v>
      </c>
      <c r="AH774" s="8">
        <v>0</v>
      </c>
      <c r="AI774" s="7" t="s">
        <v>1730</v>
      </c>
      <c r="AJ774" s="7">
        <f t="shared" ca="1" si="187"/>
        <v>1</v>
      </c>
      <c r="AK774" s="96">
        <f t="shared" si="184"/>
        <v>0</v>
      </c>
      <c r="AL774" s="97">
        <f t="shared" si="185"/>
        <v>0</v>
      </c>
    </row>
    <row r="775" spans="1:38" x14ac:dyDescent="0.3">
      <c r="A775" s="7" t="s">
        <v>2322</v>
      </c>
      <c r="B775" s="7" t="s">
        <v>194</v>
      </c>
      <c r="C775" s="7" t="s">
        <v>1323</v>
      </c>
      <c r="D775" s="7" t="s">
        <v>1324</v>
      </c>
      <c r="E775" s="7" t="s">
        <v>1695</v>
      </c>
      <c r="F775" s="36">
        <v>43800</v>
      </c>
      <c r="G775" s="36">
        <v>44895</v>
      </c>
      <c r="H775" s="36">
        <v>44895</v>
      </c>
      <c r="I775" s="36">
        <v>44895</v>
      </c>
      <c r="J775" s="7" t="s">
        <v>1696</v>
      </c>
      <c r="K775" s="8">
        <v>0</v>
      </c>
      <c r="L775" s="8">
        <v>0</v>
      </c>
      <c r="M775" s="8">
        <v>25333.200122999999</v>
      </c>
      <c r="N775" s="8">
        <v>0</v>
      </c>
      <c r="O775" s="8">
        <v>0</v>
      </c>
      <c r="P775" s="8">
        <v>0</v>
      </c>
      <c r="Q775" s="8">
        <v>0</v>
      </c>
      <c r="R775" s="8">
        <f t="shared" si="186"/>
        <v>25333.200122999999</v>
      </c>
      <c r="S775" s="8">
        <v>0</v>
      </c>
      <c r="T775" s="8">
        <v>0</v>
      </c>
      <c r="U775" s="8">
        <v>25333.200000000001</v>
      </c>
      <c r="V775" s="8">
        <v>0</v>
      </c>
      <c r="W775" s="8">
        <v>0</v>
      </c>
      <c r="X775" s="8">
        <v>0</v>
      </c>
      <c r="Y775" s="8">
        <v>24258.249878999999</v>
      </c>
      <c r="Z775" s="8">
        <v>0</v>
      </c>
      <c r="AA775" s="7">
        <v>0</v>
      </c>
      <c r="AB775" s="8">
        <v>0</v>
      </c>
      <c r="AC775" s="7">
        <v>3</v>
      </c>
      <c r="AD775" s="7" t="s">
        <v>1226</v>
      </c>
      <c r="AE775" s="8">
        <v>0</v>
      </c>
      <c r="AF775" s="8">
        <v>0</v>
      </c>
      <c r="AG775" s="8">
        <v>0</v>
      </c>
      <c r="AH775" s="8">
        <v>0</v>
      </c>
      <c r="AI775" s="7" t="s">
        <v>1730</v>
      </c>
      <c r="AJ775" s="7">
        <f t="shared" ca="1" si="187"/>
        <v>1</v>
      </c>
      <c r="AK775" s="96">
        <f t="shared" si="184"/>
        <v>0</v>
      </c>
      <c r="AL775" s="97">
        <f t="shared" si="185"/>
        <v>0</v>
      </c>
    </row>
    <row r="776" spans="1:38" x14ac:dyDescent="0.3">
      <c r="A776" s="7" t="s">
        <v>2323</v>
      </c>
      <c r="B776" s="7" t="s">
        <v>194</v>
      </c>
      <c r="C776" s="7" t="s">
        <v>1323</v>
      </c>
      <c r="E776" s="7" t="s">
        <v>1322</v>
      </c>
      <c r="F776" s="36">
        <v>44575</v>
      </c>
      <c r="G776" s="36">
        <v>45670</v>
      </c>
      <c r="H776" s="36">
        <v>45670</v>
      </c>
      <c r="I776" s="36">
        <v>45670</v>
      </c>
      <c r="J776" s="7" t="s">
        <v>1696</v>
      </c>
      <c r="K776" s="8">
        <v>0</v>
      </c>
      <c r="L776" s="8">
        <v>0</v>
      </c>
      <c r="M776" s="8">
        <v>857820.08251800004</v>
      </c>
      <c r="N776" s="8">
        <v>0</v>
      </c>
      <c r="O776" s="8">
        <v>0</v>
      </c>
      <c r="P776" s="8">
        <v>0</v>
      </c>
      <c r="Q776" s="8">
        <v>0</v>
      </c>
      <c r="R776" s="8">
        <f t="shared" si="186"/>
        <v>857820.08251800004</v>
      </c>
      <c r="S776" s="8">
        <v>0</v>
      </c>
      <c r="T776" s="8">
        <v>0</v>
      </c>
      <c r="U776" s="8">
        <v>888883.19999999995</v>
      </c>
      <c r="V776" s="8">
        <v>0</v>
      </c>
      <c r="W776" s="8">
        <v>0</v>
      </c>
      <c r="X776" s="8">
        <v>0</v>
      </c>
      <c r="Y776" s="8">
        <v>2553497.084307</v>
      </c>
      <c r="Z776" s="8">
        <v>0</v>
      </c>
      <c r="AA776" s="7">
        <v>2.0383559999999998</v>
      </c>
      <c r="AB776" s="8">
        <v>1725896.5668250001</v>
      </c>
      <c r="AC776" s="7">
        <v>3</v>
      </c>
      <c r="AD776" s="7" t="s">
        <v>1226</v>
      </c>
      <c r="AE776" s="8">
        <v>1777766.3999999999</v>
      </c>
      <c r="AF776" s="8">
        <v>0</v>
      </c>
      <c r="AG776" s="8">
        <v>1777766.3999999999</v>
      </c>
      <c r="AH776" s="8">
        <v>0</v>
      </c>
      <c r="AI776" s="7" t="s">
        <v>1758</v>
      </c>
      <c r="AJ776" s="7">
        <f t="shared" ca="1" si="187"/>
        <v>1</v>
      </c>
      <c r="AK776" s="96">
        <f t="shared" si="184"/>
        <v>3.0832523119756093E-3</v>
      </c>
      <c r="AL776" s="97">
        <f t="shared" si="185"/>
        <v>4.5634954755333513E-3</v>
      </c>
    </row>
    <row r="777" spans="1:38" x14ac:dyDescent="0.3">
      <c r="A777" s="7" t="s">
        <v>2324</v>
      </c>
      <c r="B777" s="7" t="s">
        <v>194</v>
      </c>
      <c r="C777" s="7" t="s">
        <v>1323</v>
      </c>
      <c r="D777" s="7" t="s">
        <v>1324</v>
      </c>
      <c r="E777" s="7" t="s">
        <v>1322</v>
      </c>
      <c r="F777" s="36">
        <v>43405</v>
      </c>
      <c r="G777" s="36">
        <v>47057</v>
      </c>
      <c r="H777" s="36">
        <v>47057</v>
      </c>
      <c r="I777" s="36">
        <v>48883</v>
      </c>
      <c r="J777" s="7" t="s">
        <v>1239</v>
      </c>
      <c r="K777" s="8">
        <v>3193880.63</v>
      </c>
      <c r="L777" s="8">
        <v>999822.80053300003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f t="shared" si="186"/>
        <v>4193703.4305329998</v>
      </c>
      <c r="S777" s="8">
        <v>0</v>
      </c>
      <c r="T777" s="8">
        <v>982482.58163999999</v>
      </c>
      <c r="U777" s="8">
        <v>0</v>
      </c>
      <c r="V777" s="8">
        <v>2721197.41836</v>
      </c>
      <c r="W777" s="8">
        <v>0</v>
      </c>
      <c r="X777" s="8">
        <v>11497970.253501</v>
      </c>
      <c r="Y777" s="8">
        <v>0</v>
      </c>
      <c r="Z777" s="8">
        <v>0</v>
      </c>
      <c r="AA777" s="7">
        <v>10.841096</v>
      </c>
      <c r="AB777" s="8">
        <v>8776772.8351409994</v>
      </c>
      <c r="AC777" s="7">
        <v>2.3708330000000002</v>
      </c>
      <c r="AD777" s="7" t="s">
        <v>1226</v>
      </c>
      <c r="AE777" s="8">
        <v>9985152</v>
      </c>
      <c r="AF777" s="8">
        <v>0</v>
      </c>
      <c r="AG777" s="8">
        <v>9985152</v>
      </c>
      <c r="AH777" s="8">
        <v>0</v>
      </c>
      <c r="AI777" s="7" t="s">
        <v>1758</v>
      </c>
      <c r="AJ777" s="7">
        <f t="shared" ca="1" si="187"/>
        <v>1</v>
      </c>
      <c r="AK777" s="96">
        <f t="shared" ref="AK777:AK835" si="188">(+AA777*AB777)/$AB$1101</f>
        <v>0.63741260808678268</v>
      </c>
      <c r="AL777" s="97">
        <f t="shared" ref="AL777:AL835" si="189">AC777/$AE$1101*AE777</f>
        <v>0.15049089926685749</v>
      </c>
    </row>
    <row r="778" spans="1:38" x14ac:dyDescent="0.3">
      <c r="A778" s="7" t="s">
        <v>2325</v>
      </c>
      <c r="B778" s="7" t="s">
        <v>194</v>
      </c>
      <c r="C778" s="7" t="s">
        <v>1323</v>
      </c>
      <c r="D778" s="7" t="s">
        <v>1324</v>
      </c>
      <c r="E778" s="7" t="s">
        <v>1773</v>
      </c>
      <c r="F778" s="36">
        <v>43101</v>
      </c>
      <c r="G778" s="36">
        <v>46752</v>
      </c>
      <c r="H778" s="36">
        <v>46752</v>
      </c>
      <c r="I778" s="36">
        <v>46752</v>
      </c>
      <c r="J778" s="7" t="s">
        <v>1239</v>
      </c>
      <c r="K778" s="8">
        <v>4023192.26</v>
      </c>
      <c r="L778" s="8">
        <v>626555.82283700001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f t="shared" si="186"/>
        <v>4649748.0828369996</v>
      </c>
      <c r="S778" s="8">
        <v>0</v>
      </c>
      <c r="T778" s="8">
        <v>619361.97213100002</v>
      </c>
      <c r="U778" s="8">
        <v>0</v>
      </c>
      <c r="V778" s="8">
        <v>3825054.0278690001</v>
      </c>
      <c r="W778" s="8">
        <v>0</v>
      </c>
      <c r="X778" s="8">
        <v>8046384.5152899995</v>
      </c>
      <c r="Y778" s="8">
        <v>0</v>
      </c>
      <c r="Z778" s="8">
        <v>0</v>
      </c>
      <c r="AA778" s="7">
        <v>5.0027400000000002</v>
      </c>
      <c r="AB778" s="8">
        <v>4221330.4874210004</v>
      </c>
      <c r="AC778" s="7">
        <v>2.0449999999999999</v>
      </c>
      <c r="AD778" s="7" t="s">
        <v>1226</v>
      </c>
      <c r="AE778" s="8">
        <v>4444416</v>
      </c>
      <c r="AF778" s="8">
        <v>0</v>
      </c>
      <c r="AG778" s="8">
        <v>4444416</v>
      </c>
      <c r="AH778" s="8">
        <v>0</v>
      </c>
      <c r="AI778" s="7" t="s">
        <v>1758</v>
      </c>
      <c r="AJ778" s="7">
        <f t="shared" ca="1" si="187"/>
        <v>1</v>
      </c>
      <c r="AK778" s="96">
        <f t="shared" si="188"/>
        <v>0.14147180298038986</v>
      </c>
      <c r="AL778" s="97">
        <f t="shared" si="189"/>
        <v>5.7778013778103696E-2</v>
      </c>
    </row>
    <row r="779" spans="1:38" x14ac:dyDescent="0.3">
      <c r="A779" s="7" t="s">
        <v>2326</v>
      </c>
      <c r="B779" s="7" t="s">
        <v>1735</v>
      </c>
      <c r="C779" s="7" t="s">
        <v>1323</v>
      </c>
      <c r="D779" s="7" t="s">
        <v>2327</v>
      </c>
      <c r="E779" s="7" t="s">
        <v>1695</v>
      </c>
      <c r="F779" s="36">
        <v>43873</v>
      </c>
      <c r="G779" s="36">
        <v>44572</v>
      </c>
      <c r="H779" s="36">
        <v>44723</v>
      </c>
      <c r="I779" s="36">
        <v>44723</v>
      </c>
      <c r="J779" s="7" t="s">
        <v>1696</v>
      </c>
      <c r="K779" s="8">
        <v>0</v>
      </c>
      <c r="L779" s="8">
        <v>0</v>
      </c>
      <c r="M779" s="8">
        <v>13670.566682000001</v>
      </c>
      <c r="N779" s="8">
        <v>0</v>
      </c>
      <c r="O779" s="8">
        <v>0</v>
      </c>
      <c r="P779" s="8">
        <v>0</v>
      </c>
      <c r="Q779" s="8">
        <v>0</v>
      </c>
      <c r="R779" s="8">
        <f t="shared" si="186"/>
        <v>13670.566682000001</v>
      </c>
      <c r="S779" s="8">
        <v>0</v>
      </c>
      <c r="T779" s="8">
        <v>0</v>
      </c>
      <c r="U779" s="8">
        <v>8763.2999999999993</v>
      </c>
      <c r="V779" s="8">
        <v>0</v>
      </c>
      <c r="W779" s="8">
        <v>0</v>
      </c>
      <c r="X779" s="8">
        <v>0</v>
      </c>
      <c r="Y779" s="8">
        <v>0</v>
      </c>
      <c r="Z779" s="8">
        <v>-35297.196668999997</v>
      </c>
      <c r="AA779" s="7">
        <v>0</v>
      </c>
      <c r="AB779" s="8">
        <v>0</v>
      </c>
      <c r="AC779" s="7">
        <v>1.7840830000000001</v>
      </c>
      <c r="AD779" s="7" t="s">
        <v>1226</v>
      </c>
      <c r="AE779" s="8">
        <v>0</v>
      </c>
      <c r="AF779" s="8">
        <v>0</v>
      </c>
      <c r="AG779" s="8">
        <v>0</v>
      </c>
      <c r="AH779" s="8">
        <v>0</v>
      </c>
      <c r="AI779" s="7" t="s">
        <v>1730</v>
      </c>
      <c r="AJ779" s="7">
        <f t="shared" ca="1" si="187"/>
        <v>1</v>
      </c>
      <c r="AK779" s="96">
        <f>(+AA779*AB779)/$AB$1102</f>
        <v>0</v>
      </c>
      <c r="AL779" s="97">
        <f>AC779/$AE$1102*AE779</f>
        <v>0</v>
      </c>
    </row>
    <row r="780" spans="1:38" x14ac:dyDescent="0.3">
      <c r="A780" s="7" t="s">
        <v>2328</v>
      </c>
      <c r="B780" s="7" t="s">
        <v>1735</v>
      </c>
      <c r="C780" s="7" t="s">
        <v>1323</v>
      </c>
      <c r="D780" s="7" t="s">
        <v>2327</v>
      </c>
      <c r="E780" s="7" t="s">
        <v>1322</v>
      </c>
      <c r="F780" s="36">
        <v>43855</v>
      </c>
      <c r="G780" s="36">
        <v>45223</v>
      </c>
      <c r="H780" s="36">
        <v>45223</v>
      </c>
      <c r="I780" s="36">
        <v>45315</v>
      </c>
      <c r="J780" s="7" t="s">
        <v>1239</v>
      </c>
      <c r="K780" s="8">
        <v>15694.683358</v>
      </c>
      <c r="L780" s="8">
        <v>613.93842600000005</v>
      </c>
      <c r="M780" s="8">
        <v>0</v>
      </c>
      <c r="N780" s="8">
        <v>1379.0322659999999</v>
      </c>
      <c r="O780" s="8">
        <v>0</v>
      </c>
      <c r="P780" s="8">
        <v>0</v>
      </c>
      <c r="Q780" s="8">
        <v>0</v>
      </c>
      <c r="R780" s="8">
        <f t="shared" si="186"/>
        <v>17687.654050000001</v>
      </c>
      <c r="S780" s="8">
        <v>0</v>
      </c>
      <c r="T780" s="8">
        <v>557.76493400000004</v>
      </c>
      <c r="U780" s="8">
        <v>0</v>
      </c>
      <c r="V780" s="8">
        <v>14770.805075</v>
      </c>
      <c r="W780" s="8">
        <v>0</v>
      </c>
      <c r="X780" s="8">
        <v>0</v>
      </c>
      <c r="Y780" s="8">
        <v>0</v>
      </c>
      <c r="Z780" s="8">
        <v>-45324.878878000003</v>
      </c>
      <c r="AA780" s="7">
        <v>1.065753</v>
      </c>
      <c r="AB780" s="8">
        <v>3164.9369799999999</v>
      </c>
      <c r="AC780" s="7">
        <v>2.0412499999999998</v>
      </c>
      <c r="AD780" s="7" t="s">
        <v>1226</v>
      </c>
      <c r="AE780" s="8">
        <v>3200.04</v>
      </c>
      <c r="AF780" s="8">
        <v>0</v>
      </c>
      <c r="AG780" s="8">
        <v>3200.04</v>
      </c>
      <c r="AH780" s="8">
        <v>0</v>
      </c>
      <c r="AI780" s="7" t="s">
        <v>1730</v>
      </c>
      <c r="AJ780" s="7">
        <f t="shared" ca="1" si="187"/>
        <v>1</v>
      </c>
      <c r="AK780" s="96">
        <f t="shared" si="188"/>
        <v>2.2596138715232452E-5</v>
      </c>
      <c r="AL780" s="97">
        <f t="shared" si="189"/>
        <v>4.1524670796531051E-5</v>
      </c>
    </row>
    <row r="781" spans="1:38" x14ac:dyDescent="0.3">
      <c r="A781" s="7" t="s">
        <v>2329</v>
      </c>
      <c r="B781" s="7" t="s">
        <v>1735</v>
      </c>
      <c r="C781" s="7" t="s">
        <v>1323</v>
      </c>
      <c r="D781" s="7" t="s">
        <v>2327</v>
      </c>
      <c r="E781" s="7" t="s">
        <v>1322</v>
      </c>
      <c r="F781" s="36">
        <v>43831</v>
      </c>
      <c r="G781" s="36">
        <v>44926</v>
      </c>
      <c r="H781" s="36">
        <v>44926</v>
      </c>
      <c r="I781" s="36">
        <v>44926</v>
      </c>
      <c r="J781" s="7" t="s">
        <v>1696</v>
      </c>
      <c r="K781" s="8">
        <v>0</v>
      </c>
      <c r="L781" s="8">
        <v>0</v>
      </c>
      <c r="M781" s="8">
        <v>18556.722104642784</v>
      </c>
      <c r="N781" s="8">
        <v>0</v>
      </c>
      <c r="O781" s="8">
        <v>0</v>
      </c>
      <c r="P781" s="8">
        <v>0</v>
      </c>
      <c r="Q781" s="8">
        <v>0</v>
      </c>
      <c r="R781" s="8">
        <f t="shared" si="186"/>
        <v>18556.722104642784</v>
      </c>
      <c r="S781" s="8">
        <v>0</v>
      </c>
      <c r="T781" s="8">
        <v>0</v>
      </c>
      <c r="U781" s="8">
        <v>34104.427200005615</v>
      </c>
      <c r="V781" s="8">
        <v>0</v>
      </c>
      <c r="W781" s="8">
        <v>0</v>
      </c>
      <c r="X781" s="8">
        <v>0</v>
      </c>
      <c r="Y781" s="8">
        <v>0</v>
      </c>
      <c r="Z781" s="8">
        <v>9.7884637834000005E-2</v>
      </c>
      <c r="AA781" s="7">
        <v>0</v>
      </c>
      <c r="AB781" s="8">
        <v>0</v>
      </c>
      <c r="AC781" s="7">
        <v>2.0299999999999998</v>
      </c>
      <c r="AD781" s="7" t="s">
        <v>1226</v>
      </c>
      <c r="AE781" s="8">
        <v>0</v>
      </c>
      <c r="AF781" s="8">
        <v>0</v>
      </c>
      <c r="AG781" s="8">
        <v>0</v>
      </c>
      <c r="AH781" s="8">
        <v>0</v>
      </c>
      <c r="AI781" s="7" t="s">
        <v>1730</v>
      </c>
      <c r="AJ781" s="7">
        <f t="shared" ca="1" si="187"/>
        <v>1</v>
      </c>
      <c r="AK781" s="96">
        <f>(+AA781*AB781)/$AB$1102</f>
        <v>0</v>
      </c>
      <c r="AL781" s="97">
        <f>AC781/$AE$1102*AE781</f>
        <v>0</v>
      </c>
    </row>
    <row r="782" spans="1:38" x14ac:dyDescent="0.3">
      <c r="A782" s="7" t="s">
        <v>2330</v>
      </c>
      <c r="B782" s="7" t="s">
        <v>1735</v>
      </c>
      <c r="C782" s="7" t="s">
        <v>1769</v>
      </c>
      <c r="D782" s="7" t="s">
        <v>1324</v>
      </c>
      <c r="E782" s="7" t="s">
        <v>1322</v>
      </c>
      <c r="F782" s="36">
        <v>43466</v>
      </c>
      <c r="G782" s="36">
        <v>44926</v>
      </c>
      <c r="H782" s="36">
        <v>44926</v>
      </c>
      <c r="I782" s="36">
        <v>44926</v>
      </c>
      <c r="J782" s="7" t="s">
        <v>1239</v>
      </c>
      <c r="K782" s="8">
        <v>32616.854220000001</v>
      </c>
      <c r="L782" s="8">
        <v>315.77222999999998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f t="shared" si="186"/>
        <v>32932.626450000003</v>
      </c>
      <c r="S782" s="8">
        <v>0</v>
      </c>
      <c r="T782" s="8">
        <v>372.97433000000001</v>
      </c>
      <c r="U782" s="8">
        <v>0</v>
      </c>
      <c r="V782" s="8">
        <v>33566.025670000003</v>
      </c>
      <c r="W782" s="8">
        <v>0</v>
      </c>
      <c r="X782" s="8">
        <v>0</v>
      </c>
      <c r="Y782" s="8">
        <v>0</v>
      </c>
      <c r="Z782" s="8">
        <v>0</v>
      </c>
      <c r="AA782" s="7">
        <v>0</v>
      </c>
      <c r="AB782" s="8">
        <v>0</v>
      </c>
      <c r="AC782" s="7">
        <v>2.0449999999999999</v>
      </c>
      <c r="AD782" s="7" t="s">
        <v>1226</v>
      </c>
      <c r="AE782" s="8">
        <v>0</v>
      </c>
      <c r="AF782" s="8">
        <v>0</v>
      </c>
      <c r="AG782" s="8">
        <v>0</v>
      </c>
      <c r="AH782" s="8">
        <v>0</v>
      </c>
      <c r="AI782" s="7" t="s">
        <v>1730</v>
      </c>
      <c r="AJ782" s="7">
        <f t="shared" ca="1" si="187"/>
        <v>1</v>
      </c>
      <c r="AK782" s="96">
        <f t="shared" si="188"/>
        <v>0</v>
      </c>
      <c r="AL782" s="97">
        <f t="shared" si="189"/>
        <v>0</v>
      </c>
    </row>
    <row r="783" spans="1:38" x14ac:dyDescent="0.3">
      <c r="A783" s="7" t="s">
        <v>2331</v>
      </c>
      <c r="B783" s="7" t="s">
        <v>194</v>
      </c>
      <c r="C783" s="7" t="s">
        <v>1769</v>
      </c>
      <c r="D783" s="7" t="s">
        <v>1324</v>
      </c>
      <c r="E783" s="7" t="s">
        <v>1322</v>
      </c>
      <c r="F783" s="36">
        <v>44927</v>
      </c>
      <c r="G783" s="36">
        <v>45688</v>
      </c>
      <c r="H783" s="36">
        <v>45688</v>
      </c>
      <c r="I783" s="36">
        <v>45688</v>
      </c>
      <c r="J783" s="7" t="s">
        <v>1696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f t="shared" si="186"/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7">
        <v>2.0876709999999998</v>
      </c>
      <c r="AB783" s="8">
        <v>0</v>
      </c>
      <c r="AC783" s="7">
        <v>2.3473329999999999</v>
      </c>
      <c r="AD783" s="7" t="s">
        <v>1226</v>
      </c>
      <c r="AE783" s="8">
        <v>70706.25</v>
      </c>
      <c r="AF783" s="8">
        <v>0</v>
      </c>
      <c r="AG783" s="8">
        <v>70706.25</v>
      </c>
      <c r="AH783" s="8">
        <v>0</v>
      </c>
      <c r="AI783" s="7" t="s">
        <v>1730</v>
      </c>
      <c r="AJ783" s="7">
        <f t="shared" ca="1" si="187"/>
        <v>1</v>
      </c>
      <c r="AK783" s="96">
        <f>(+AA783*AB783)/$AB$1102</f>
        <v>0</v>
      </c>
      <c r="AL783" s="97">
        <f>AC783/$AE$1102*AE783</f>
        <v>1.4201498905114677E-4</v>
      </c>
    </row>
    <row r="784" spans="1:38" x14ac:dyDescent="0.3">
      <c r="A784" s="7" t="s">
        <v>2332</v>
      </c>
      <c r="B784" s="7" t="s">
        <v>1735</v>
      </c>
      <c r="C784" s="7" t="s">
        <v>1756</v>
      </c>
      <c r="D784" s="7" t="s">
        <v>2333</v>
      </c>
      <c r="E784" s="7" t="s">
        <v>1695</v>
      </c>
      <c r="F784" s="36">
        <v>43205</v>
      </c>
      <c r="G784" s="36">
        <v>44665</v>
      </c>
      <c r="H784" s="36">
        <v>44787</v>
      </c>
      <c r="I784" s="36">
        <v>44787</v>
      </c>
      <c r="J784" s="7" t="s">
        <v>1239</v>
      </c>
      <c r="K784" s="8">
        <v>0</v>
      </c>
      <c r="L784" s="8">
        <v>-4015.6759600029591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f t="shared" si="186"/>
        <v>-4015.6759600029591</v>
      </c>
      <c r="S784" s="8">
        <v>0</v>
      </c>
      <c r="T784" s="8">
        <v>-3760.7018500027848</v>
      </c>
      <c r="U784" s="8">
        <v>0</v>
      </c>
      <c r="V784" s="8">
        <v>-36469.298150037939</v>
      </c>
      <c r="W784" s="8">
        <v>0</v>
      </c>
      <c r="X784" s="8">
        <v>0</v>
      </c>
      <c r="Y784" s="8">
        <v>0</v>
      </c>
      <c r="Z784" s="8">
        <v>0</v>
      </c>
      <c r="AA784" s="7">
        <v>0</v>
      </c>
      <c r="AB784" s="8">
        <v>0</v>
      </c>
      <c r="AC784" s="7">
        <v>2.0449999999999999</v>
      </c>
      <c r="AD784" s="7" t="s">
        <v>1226</v>
      </c>
      <c r="AE784" s="8">
        <v>0</v>
      </c>
      <c r="AF784" s="8">
        <v>0</v>
      </c>
      <c r="AG784" s="8">
        <v>0</v>
      </c>
      <c r="AH784" s="8">
        <v>0</v>
      </c>
      <c r="AI784" s="7" t="s">
        <v>1730</v>
      </c>
      <c r="AJ784" s="7">
        <f t="shared" ca="1" si="187"/>
        <v>1</v>
      </c>
      <c r="AK784" s="96">
        <f t="shared" si="188"/>
        <v>0</v>
      </c>
      <c r="AL784" s="97">
        <f t="shared" si="189"/>
        <v>0</v>
      </c>
    </row>
    <row r="785" spans="1:38" x14ac:dyDescent="0.3">
      <c r="A785" s="7" t="s">
        <v>2332</v>
      </c>
      <c r="B785" s="7" t="s">
        <v>1735</v>
      </c>
      <c r="C785" s="7" t="s">
        <v>1756</v>
      </c>
      <c r="D785" s="7" t="s">
        <v>2333</v>
      </c>
      <c r="E785" s="7" t="s">
        <v>1695</v>
      </c>
      <c r="F785" s="36">
        <v>43205</v>
      </c>
      <c r="G785" s="36">
        <v>44665</v>
      </c>
      <c r="H785" s="36">
        <v>44787</v>
      </c>
      <c r="I785" s="36">
        <v>44787</v>
      </c>
      <c r="J785" s="7" t="s">
        <v>1699</v>
      </c>
      <c r="K785" s="8">
        <v>0</v>
      </c>
      <c r="L785" s="8">
        <v>0</v>
      </c>
      <c r="M785" s="8">
        <v>0</v>
      </c>
      <c r="N785" s="8">
        <v>26820.000000004417</v>
      </c>
      <c r="O785" s="8">
        <v>0</v>
      </c>
      <c r="P785" s="8">
        <v>0</v>
      </c>
      <c r="Q785" s="8">
        <v>0</v>
      </c>
      <c r="R785" s="8">
        <f t="shared" si="186"/>
        <v>26820.000000004417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7">
        <v>0</v>
      </c>
      <c r="AB785" s="8">
        <v>0</v>
      </c>
      <c r="AC785" s="7">
        <v>2.0449999999999999</v>
      </c>
      <c r="AD785" s="7" t="s">
        <v>1226</v>
      </c>
      <c r="AE785" s="8">
        <v>0</v>
      </c>
      <c r="AF785" s="8">
        <v>0</v>
      </c>
      <c r="AG785" s="8">
        <v>0</v>
      </c>
      <c r="AH785" s="8">
        <v>0</v>
      </c>
      <c r="AI785" s="7" t="s">
        <v>1730</v>
      </c>
      <c r="AJ785" s="7">
        <f t="shared" ca="1" si="187"/>
        <v>2</v>
      </c>
      <c r="AK785" s="100">
        <f>(+AA785*AB785)/$AB$1103</f>
        <v>0</v>
      </c>
      <c r="AL785" s="97">
        <f>AC785/$AE$1103*AE785</f>
        <v>0</v>
      </c>
    </row>
    <row r="786" spans="1:38" x14ac:dyDescent="0.3">
      <c r="A786" s="7" t="s">
        <v>2334</v>
      </c>
      <c r="B786" s="7" t="s">
        <v>1735</v>
      </c>
      <c r="C786" s="7" t="s">
        <v>1769</v>
      </c>
      <c r="D786" s="7" t="s">
        <v>2335</v>
      </c>
      <c r="E786" s="7" t="s">
        <v>1695</v>
      </c>
      <c r="F786" s="36">
        <v>43582</v>
      </c>
      <c r="G786" s="36">
        <v>44677</v>
      </c>
      <c r="H786" s="36">
        <v>44768</v>
      </c>
      <c r="I786" s="36">
        <v>44768</v>
      </c>
      <c r="J786" s="7" t="s">
        <v>1696</v>
      </c>
      <c r="K786" s="8">
        <v>0</v>
      </c>
      <c r="L786" s="8">
        <v>0</v>
      </c>
      <c r="M786" s="8">
        <v>13780.800012</v>
      </c>
      <c r="N786" s="8">
        <v>0</v>
      </c>
      <c r="O786" s="8">
        <v>0</v>
      </c>
      <c r="P786" s="8">
        <v>0</v>
      </c>
      <c r="Q786" s="8">
        <v>0</v>
      </c>
      <c r="R786" s="8">
        <f t="shared" si="186"/>
        <v>13780.800012</v>
      </c>
      <c r="S786" s="8">
        <v>0</v>
      </c>
      <c r="T786" s="8">
        <v>0</v>
      </c>
      <c r="U786" s="8">
        <v>10692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7">
        <v>0</v>
      </c>
      <c r="AB786" s="8">
        <v>0</v>
      </c>
      <c r="AC786" s="7">
        <v>2.0299999999999998</v>
      </c>
      <c r="AD786" s="7" t="s">
        <v>1226</v>
      </c>
      <c r="AE786" s="8">
        <v>0</v>
      </c>
      <c r="AF786" s="8">
        <v>0</v>
      </c>
      <c r="AG786" s="8">
        <v>0</v>
      </c>
      <c r="AH786" s="8">
        <v>0</v>
      </c>
      <c r="AI786" s="7" t="s">
        <v>1730</v>
      </c>
      <c r="AJ786" s="7">
        <f t="shared" ca="1" si="187"/>
        <v>1</v>
      </c>
      <c r="AK786" s="96">
        <f>(+AA786*AB786)/$AB$1102</f>
        <v>0</v>
      </c>
      <c r="AL786" s="97">
        <f>AC786/$AE$1102*AE786</f>
        <v>0</v>
      </c>
    </row>
    <row r="787" spans="1:38" x14ac:dyDescent="0.3">
      <c r="A787" s="7" t="s">
        <v>2334</v>
      </c>
      <c r="B787" s="7" t="s">
        <v>1735</v>
      </c>
      <c r="C787" s="7" t="s">
        <v>1769</v>
      </c>
      <c r="D787" s="7" t="s">
        <v>2335</v>
      </c>
      <c r="E787" s="7" t="s">
        <v>1695</v>
      </c>
      <c r="F787" s="36">
        <v>43582</v>
      </c>
      <c r="G787" s="36">
        <v>44677</v>
      </c>
      <c r="H787" s="36">
        <v>44768</v>
      </c>
      <c r="I787" s="36">
        <v>44768</v>
      </c>
      <c r="J787" s="7" t="s">
        <v>1699</v>
      </c>
      <c r="K787" s="8">
        <v>0</v>
      </c>
      <c r="L787" s="8">
        <v>0</v>
      </c>
      <c r="M787" s="8">
        <v>0</v>
      </c>
      <c r="N787" s="8">
        <v>10692</v>
      </c>
      <c r="O787" s="8">
        <v>0</v>
      </c>
      <c r="P787" s="8">
        <v>0</v>
      </c>
      <c r="Q787" s="8">
        <v>0</v>
      </c>
      <c r="R787" s="8">
        <f t="shared" si="186"/>
        <v>10692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7">
        <v>0</v>
      </c>
      <c r="AB787" s="8">
        <v>0</v>
      </c>
      <c r="AC787" s="7">
        <v>2.0299999999999998</v>
      </c>
      <c r="AD787" s="7" t="s">
        <v>1226</v>
      </c>
      <c r="AE787" s="8">
        <v>0</v>
      </c>
      <c r="AF787" s="8">
        <v>0</v>
      </c>
      <c r="AG787" s="8">
        <v>0</v>
      </c>
      <c r="AH787" s="8">
        <v>0</v>
      </c>
      <c r="AI787" s="7" t="s">
        <v>1730</v>
      </c>
      <c r="AJ787" s="7">
        <f t="shared" ca="1" si="187"/>
        <v>2</v>
      </c>
      <c r="AK787" s="100">
        <f>(+AA787*AB787)/$AB$1103</f>
        <v>0</v>
      </c>
      <c r="AL787" s="97">
        <f>AC787/$AE$1103*AE787</f>
        <v>0</v>
      </c>
    </row>
    <row r="788" spans="1:38" x14ac:dyDescent="0.3">
      <c r="A788" s="7" t="s">
        <v>2336</v>
      </c>
      <c r="B788" s="7" t="s">
        <v>1735</v>
      </c>
      <c r="C788" s="7" t="s">
        <v>1756</v>
      </c>
      <c r="D788" s="7" t="s">
        <v>2337</v>
      </c>
      <c r="E788" s="7" t="s">
        <v>1695</v>
      </c>
      <c r="F788" s="36">
        <v>43221</v>
      </c>
      <c r="G788" s="36">
        <v>44681</v>
      </c>
      <c r="H788" s="36">
        <v>44773</v>
      </c>
      <c r="I788" s="36">
        <v>44773</v>
      </c>
      <c r="J788" s="7" t="s">
        <v>1239</v>
      </c>
      <c r="K788" s="8">
        <v>0</v>
      </c>
      <c r="L788" s="8">
        <v>-1279.6482090009461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f t="shared" si="186"/>
        <v>-1279.6482090009461</v>
      </c>
      <c r="S788" s="8">
        <v>0</v>
      </c>
      <c r="T788" s="8">
        <v>-1113.9457140008319</v>
      </c>
      <c r="U788" s="8">
        <v>0</v>
      </c>
      <c r="V788" s="8">
        <v>-8012.0542860109827</v>
      </c>
      <c r="W788" s="8">
        <v>0</v>
      </c>
      <c r="X788" s="8">
        <v>0</v>
      </c>
      <c r="Y788" s="8">
        <v>0</v>
      </c>
      <c r="Z788" s="8">
        <v>0</v>
      </c>
      <c r="AA788" s="7">
        <v>0</v>
      </c>
      <c r="AB788" s="8">
        <v>0</v>
      </c>
      <c r="AC788" s="7">
        <v>2.0449999999999999</v>
      </c>
      <c r="AD788" s="7" t="s">
        <v>1226</v>
      </c>
      <c r="AE788" s="8">
        <v>0</v>
      </c>
      <c r="AF788" s="8">
        <v>0</v>
      </c>
      <c r="AG788" s="8">
        <v>0</v>
      </c>
      <c r="AH788" s="8">
        <v>0</v>
      </c>
      <c r="AI788" s="7" t="s">
        <v>1730</v>
      </c>
      <c r="AJ788" s="7">
        <f t="shared" ca="1" si="187"/>
        <v>1</v>
      </c>
      <c r="AK788" s="96">
        <f t="shared" si="188"/>
        <v>0</v>
      </c>
      <c r="AL788" s="97">
        <f t="shared" si="189"/>
        <v>0</v>
      </c>
    </row>
    <row r="789" spans="1:38" x14ac:dyDescent="0.3">
      <c r="A789" s="7" t="s">
        <v>2336</v>
      </c>
      <c r="B789" s="7" t="s">
        <v>1735</v>
      </c>
      <c r="C789" s="7" t="s">
        <v>1756</v>
      </c>
      <c r="D789" s="7" t="s">
        <v>2337</v>
      </c>
      <c r="E789" s="7" t="s">
        <v>1695</v>
      </c>
      <c r="F789" s="36">
        <v>43221</v>
      </c>
      <c r="G789" s="36">
        <v>44681</v>
      </c>
      <c r="H789" s="36">
        <v>44773</v>
      </c>
      <c r="I789" s="36">
        <v>44773</v>
      </c>
      <c r="J789" s="7" t="s">
        <v>1699</v>
      </c>
      <c r="K789" s="8">
        <v>0</v>
      </c>
      <c r="L789" s="8">
        <v>0</v>
      </c>
      <c r="M789" s="8">
        <v>0</v>
      </c>
      <c r="N789" s="8">
        <v>6844.5000000011278</v>
      </c>
      <c r="O789" s="8">
        <v>0</v>
      </c>
      <c r="P789" s="8">
        <v>0</v>
      </c>
      <c r="Q789" s="8">
        <v>0</v>
      </c>
      <c r="R789" s="8">
        <f t="shared" si="186"/>
        <v>6844.5000000011278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7">
        <v>0</v>
      </c>
      <c r="AB789" s="8">
        <v>0</v>
      </c>
      <c r="AC789" s="7">
        <v>2.0449999999999999</v>
      </c>
      <c r="AD789" s="7" t="s">
        <v>1226</v>
      </c>
      <c r="AE789" s="8">
        <v>0</v>
      </c>
      <c r="AF789" s="8">
        <v>0</v>
      </c>
      <c r="AG789" s="8">
        <v>0</v>
      </c>
      <c r="AH789" s="8">
        <v>0</v>
      </c>
      <c r="AI789" s="7" t="s">
        <v>1730</v>
      </c>
      <c r="AJ789" s="7">
        <f t="shared" ca="1" si="187"/>
        <v>2</v>
      </c>
      <c r="AK789" s="100">
        <f>(+AA789*AB789)/$AB$1103</f>
        <v>0</v>
      </c>
      <c r="AL789" s="97">
        <f>AC789/$AE$1103*AE789</f>
        <v>0</v>
      </c>
    </row>
    <row r="790" spans="1:38" x14ac:dyDescent="0.3">
      <c r="A790" s="7" t="s">
        <v>2338</v>
      </c>
      <c r="B790" s="7" t="s">
        <v>1735</v>
      </c>
      <c r="C790" s="7" t="s">
        <v>1769</v>
      </c>
      <c r="D790" s="7" t="s">
        <v>1770</v>
      </c>
      <c r="E790" s="7" t="s">
        <v>1695</v>
      </c>
      <c r="F790" s="36">
        <v>43600</v>
      </c>
      <c r="G790" s="36">
        <v>44695</v>
      </c>
      <c r="H790" s="36">
        <v>44787</v>
      </c>
      <c r="I790" s="36">
        <v>44787</v>
      </c>
      <c r="J790" s="7" t="s">
        <v>1239</v>
      </c>
      <c r="K790" s="8">
        <v>52752.187594000003</v>
      </c>
      <c r="L790" s="8">
        <v>160.659415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f t="shared" si="186"/>
        <v>52912.847009000005</v>
      </c>
      <c r="S790" s="8">
        <v>0</v>
      </c>
      <c r="T790" s="8">
        <v>205.75456299999999</v>
      </c>
      <c r="U790" s="8">
        <v>0</v>
      </c>
      <c r="V790" s="8">
        <v>48610.245456999997</v>
      </c>
      <c r="W790" s="8">
        <v>0</v>
      </c>
      <c r="X790" s="8">
        <v>0</v>
      </c>
      <c r="Y790" s="8">
        <v>0</v>
      </c>
      <c r="Z790" s="8">
        <v>0</v>
      </c>
      <c r="AA790" s="7">
        <v>0</v>
      </c>
      <c r="AB790" s="8">
        <v>0</v>
      </c>
      <c r="AC790" s="7">
        <v>2.0299999999999998</v>
      </c>
      <c r="AD790" s="7" t="s">
        <v>1226</v>
      </c>
      <c r="AE790" s="8">
        <v>0</v>
      </c>
      <c r="AF790" s="8">
        <v>0</v>
      </c>
      <c r="AG790" s="8">
        <v>0</v>
      </c>
      <c r="AH790" s="8">
        <v>0</v>
      </c>
      <c r="AI790" s="7" t="s">
        <v>1730</v>
      </c>
      <c r="AJ790" s="7">
        <f t="shared" ca="1" si="187"/>
        <v>1</v>
      </c>
      <c r="AK790" s="96">
        <f t="shared" si="188"/>
        <v>0</v>
      </c>
      <c r="AL790" s="97">
        <f t="shared" si="189"/>
        <v>0</v>
      </c>
    </row>
    <row r="791" spans="1:38" x14ac:dyDescent="0.3">
      <c r="A791" s="7" t="s">
        <v>2338</v>
      </c>
      <c r="B791" s="7" t="s">
        <v>1735</v>
      </c>
      <c r="C791" s="7" t="s">
        <v>1769</v>
      </c>
      <c r="D791" s="7" t="s">
        <v>1770</v>
      </c>
      <c r="E791" s="7" t="s">
        <v>1695</v>
      </c>
      <c r="F791" s="36">
        <v>43600</v>
      </c>
      <c r="G791" s="36">
        <v>44695</v>
      </c>
      <c r="H791" s="36">
        <v>44787</v>
      </c>
      <c r="I791" s="36">
        <v>44787</v>
      </c>
      <c r="J791" s="7" t="s">
        <v>1699</v>
      </c>
      <c r="K791" s="8">
        <v>0</v>
      </c>
      <c r="L791" s="8">
        <v>0</v>
      </c>
      <c r="M791" s="8">
        <v>0</v>
      </c>
      <c r="N791" s="8">
        <v>36612.000006000002</v>
      </c>
      <c r="O791" s="8">
        <v>0</v>
      </c>
      <c r="P791" s="8">
        <v>0</v>
      </c>
      <c r="Q791" s="8">
        <v>0</v>
      </c>
      <c r="R791" s="8">
        <f t="shared" si="186"/>
        <v>36612.000006000002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7">
        <v>0</v>
      </c>
      <c r="AB791" s="8">
        <v>0</v>
      </c>
      <c r="AC791" s="7">
        <v>2.0299999999999998</v>
      </c>
      <c r="AD791" s="7" t="s">
        <v>1226</v>
      </c>
      <c r="AE791" s="8">
        <v>0</v>
      </c>
      <c r="AF791" s="8">
        <v>0</v>
      </c>
      <c r="AG791" s="8">
        <v>0</v>
      </c>
      <c r="AH791" s="8">
        <v>0</v>
      </c>
      <c r="AI791" s="7" t="s">
        <v>1730</v>
      </c>
      <c r="AJ791" s="7">
        <f t="shared" ca="1" si="187"/>
        <v>2</v>
      </c>
      <c r="AK791" s="100">
        <f>(+AA791*AB791)/$AB$1103</f>
        <v>0</v>
      </c>
      <c r="AL791" s="97">
        <f>AC791/$AE$1103*AE791</f>
        <v>0</v>
      </c>
    </row>
    <row r="792" spans="1:38" x14ac:dyDescent="0.3">
      <c r="A792" s="7" t="s">
        <v>2339</v>
      </c>
      <c r="B792" s="7" t="s">
        <v>1735</v>
      </c>
      <c r="C792" s="7" t="s">
        <v>1756</v>
      </c>
      <c r="D792" s="7" t="s">
        <v>1792</v>
      </c>
      <c r="E792" s="7" t="s">
        <v>1695</v>
      </c>
      <c r="F792" s="36">
        <v>42880</v>
      </c>
      <c r="G792" s="36">
        <v>44705</v>
      </c>
      <c r="H792" s="36">
        <v>44766</v>
      </c>
      <c r="I792" s="36">
        <v>44766</v>
      </c>
      <c r="J792" s="7" t="s">
        <v>1239</v>
      </c>
      <c r="K792" s="8">
        <v>0</v>
      </c>
      <c r="L792" s="8">
        <v>-41352.391736030411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f t="shared" si="186"/>
        <v>-41352.391736030411</v>
      </c>
      <c r="S792" s="8">
        <v>0</v>
      </c>
      <c r="T792" s="8">
        <v>-40914.308320030119</v>
      </c>
      <c r="U792" s="8">
        <v>0</v>
      </c>
      <c r="V792" s="8">
        <v>-360557.69168031961</v>
      </c>
      <c r="W792" s="8">
        <v>0</v>
      </c>
      <c r="X792" s="8">
        <v>0</v>
      </c>
      <c r="Y792" s="8">
        <v>0</v>
      </c>
      <c r="Z792" s="8">
        <v>0</v>
      </c>
      <c r="AA792" s="7">
        <v>0</v>
      </c>
      <c r="AB792" s="8">
        <v>0</v>
      </c>
      <c r="AC792" s="7">
        <v>2.181667</v>
      </c>
      <c r="AD792" s="7" t="s">
        <v>1226</v>
      </c>
      <c r="AE792" s="8">
        <v>0</v>
      </c>
      <c r="AF792" s="8">
        <v>0</v>
      </c>
      <c r="AG792" s="8">
        <v>0</v>
      </c>
      <c r="AH792" s="8">
        <v>0</v>
      </c>
      <c r="AI792" s="7" t="s">
        <v>1877</v>
      </c>
      <c r="AJ792" s="7">
        <f t="shared" ca="1" si="187"/>
        <v>1</v>
      </c>
      <c r="AK792" s="96">
        <f t="shared" si="188"/>
        <v>0</v>
      </c>
      <c r="AL792" s="97">
        <f t="shared" si="189"/>
        <v>0</v>
      </c>
    </row>
    <row r="793" spans="1:38" x14ac:dyDescent="0.3">
      <c r="A793" s="7" t="s">
        <v>2339</v>
      </c>
      <c r="B793" s="7" t="s">
        <v>1735</v>
      </c>
      <c r="C793" s="7" t="s">
        <v>1756</v>
      </c>
      <c r="D793" s="7" t="s">
        <v>1792</v>
      </c>
      <c r="E793" s="7" t="s">
        <v>1695</v>
      </c>
      <c r="F793" s="36">
        <v>42880</v>
      </c>
      <c r="G793" s="36">
        <v>44705</v>
      </c>
      <c r="H793" s="36">
        <v>44766</v>
      </c>
      <c r="I793" s="36">
        <v>44766</v>
      </c>
      <c r="J793" s="7" t="s">
        <v>1699</v>
      </c>
      <c r="K793" s="8">
        <v>0</v>
      </c>
      <c r="L793" s="8">
        <v>0</v>
      </c>
      <c r="M793" s="8">
        <v>0</v>
      </c>
      <c r="N793" s="8">
        <v>50184.000000008265</v>
      </c>
      <c r="O793" s="8">
        <v>0</v>
      </c>
      <c r="P793" s="8">
        <v>0</v>
      </c>
      <c r="Q793" s="8">
        <v>0</v>
      </c>
      <c r="R793" s="8">
        <f t="shared" si="186"/>
        <v>50184.000000008265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7">
        <v>0</v>
      </c>
      <c r="AB793" s="8">
        <v>0</v>
      </c>
      <c r="AC793" s="7">
        <v>2.181667</v>
      </c>
      <c r="AD793" s="7" t="s">
        <v>1226</v>
      </c>
      <c r="AE793" s="8">
        <v>0</v>
      </c>
      <c r="AF793" s="8">
        <v>0</v>
      </c>
      <c r="AG793" s="8">
        <v>0</v>
      </c>
      <c r="AH793" s="8">
        <v>0</v>
      </c>
      <c r="AI793" s="7" t="s">
        <v>1877</v>
      </c>
      <c r="AJ793" s="7">
        <f t="shared" ca="1" si="187"/>
        <v>2</v>
      </c>
      <c r="AK793" s="100">
        <f>(+AA793*AB793)/$AB$1103</f>
        <v>0</v>
      </c>
      <c r="AL793" s="97">
        <f>AC793/$AE$1103*AE793</f>
        <v>0</v>
      </c>
    </row>
    <row r="794" spans="1:38" x14ac:dyDescent="0.3">
      <c r="A794" s="7" t="s">
        <v>2340</v>
      </c>
      <c r="B794" s="7" t="s">
        <v>1735</v>
      </c>
      <c r="C794" s="7" t="s">
        <v>1769</v>
      </c>
      <c r="D794" s="7" t="s">
        <v>2341</v>
      </c>
      <c r="E794" s="7" t="s">
        <v>1695</v>
      </c>
      <c r="F794" s="36">
        <v>43252</v>
      </c>
      <c r="G794" s="36">
        <v>44712</v>
      </c>
      <c r="H794" s="36">
        <v>44773</v>
      </c>
      <c r="I794" s="36">
        <v>44773</v>
      </c>
      <c r="J794" s="7" t="s">
        <v>1239</v>
      </c>
      <c r="K794" s="8">
        <v>56567.014768000001</v>
      </c>
      <c r="L794" s="8">
        <v>199.932772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f t="shared" si="186"/>
        <v>56766.947540000001</v>
      </c>
      <c r="S794" s="8">
        <v>0</v>
      </c>
      <c r="T794" s="8">
        <v>299.72923200000002</v>
      </c>
      <c r="U794" s="8">
        <v>0</v>
      </c>
      <c r="V794" s="8">
        <v>58560.270768000002</v>
      </c>
      <c r="W794" s="8">
        <v>0</v>
      </c>
      <c r="X794" s="8">
        <v>0</v>
      </c>
      <c r="Y794" s="8">
        <v>0</v>
      </c>
      <c r="Z794" s="8">
        <v>0</v>
      </c>
      <c r="AA794" s="7">
        <v>0</v>
      </c>
      <c r="AB794" s="8">
        <v>0</v>
      </c>
      <c r="AC794" s="7">
        <v>2.0449999999999999</v>
      </c>
      <c r="AD794" s="7" t="s">
        <v>1226</v>
      </c>
      <c r="AE794" s="8">
        <v>0</v>
      </c>
      <c r="AF794" s="8">
        <v>0</v>
      </c>
      <c r="AG794" s="8">
        <v>0</v>
      </c>
      <c r="AH794" s="8">
        <v>0</v>
      </c>
      <c r="AI794" s="7" t="s">
        <v>1730</v>
      </c>
      <c r="AJ794" s="7">
        <f t="shared" ca="1" si="187"/>
        <v>1</v>
      </c>
      <c r="AK794" s="96">
        <f t="shared" si="188"/>
        <v>0</v>
      </c>
      <c r="AL794" s="97">
        <f t="shared" si="189"/>
        <v>0</v>
      </c>
    </row>
    <row r="795" spans="1:38" x14ac:dyDescent="0.3">
      <c r="A795" s="7" t="s">
        <v>2340</v>
      </c>
      <c r="B795" s="7" t="s">
        <v>1735</v>
      </c>
      <c r="C795" s="7" t="s">
        <v>1769</v>
      </c>
      <c r="D795" s="7" t="s">
        <v>2341</v>
      </c>
      <c r="E795" s="7" t="s">
        <v>1695</v>
      </c>
      <c r="F795" s="36">
        <v>43252</v>
      </c>
      <c r="G795" s="36">
        <v>44712</v>
      </c>
      <c r="H795" s="36">
        <v>44773</v>
      </c>
      <c r="I795" s="36">
        <v>44773</v>
      </c>
      <c r="J795" s="7" t="s">
        <v>1699</v>
      </c>
      <c r="K795" s="8">
        <v>0</v>
      </c>
      <c r="L795" s="8">
        <v>0</v>
      </c>
      <c r="M795" s="8">
        <v>0</v>
      </c>
      <c r="N795" s="8">
        <v>23544</v>
      </c>
      <c r="O795" s="8">
        <v>0</v>
      </c>
      <c r="P795" s="8">
        <v>0</v>
      </c>
      <c r="Q795" s="8">
        <v>0</v>
      </c>
      <c r="R795" s="8">
        <f t="shared" si="186"/>
        <v>23544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7">
        <v>0</v>
      </c>
      <c r="AB795" s="8">
        <v>0</v>
      </c>
      <c r="AC795" s="7">
        <v>2.0449999999999999</v>
      </c>
      <c r="AD795" s="7" t="s">
        <v>1226</v>
      </c>
      <c r="AE795" s="8">
        <v>0</v>
      </c>
      <c r="AF795" s="8">
        <v>0</v>
      </c>
      <c r="AG795" s="8">
        <v>0</v>
      </c>
      <c r="AH795" s="8">
        <v>0</v>
      </c>
      <c r="AI795" s="7" t="s">
        <v>1730</v>
      </c>
      <c r="AJ795" s="7">
        <f t="shared" ca="1" si="187"/>
        <v>2</v>
      </c>
      <c r="AK795" s="100">
        <f>(+AA795*AB795)/$AB$1103</f>
        <v>0</v>
      </c>
      <c r="AL795" s="97">
        <f>AC795/$AE$1103*AE795</f>
        <v>0</v>
      </c>
    </row>
    <row r="796" spans="1:38" x14ac:dyDescent="0.3">
      <c r="A796" s="7" t="s">
        <v>2342</v>
      </c>
      <c r="B796" s="7" t="s">
        <v>1735</v>
      </c>
      <c r="C796" s="7" t="s">
        <v>1756</v>
      </c>
      <c r="D796" s="7" t="s">
        <v>2343</v>
      </c>
      <c r="E796" s="7" t="s">
        <v>1695</v>
      </c>
      <c r="F796" s="36">
        <v>43621</v>
      </c>
      <c r="G796" s="36">
        <v>45081</v>
      </c>
      <c r="H796" s="36">
        <v>44773</v>
      </c>
      <c r="I796" s="36">
        <v>44773</v>
      </c>
      <c r="J796" s="7" t="s">
        <v>1239</v>
      </c>
      <c r="K796" s="8">
        <v>15738.542679004308</v>
      </c>
      <c r="L796" s="8">
        <v>670.42779300011102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f t="shared" si="186"/>
        <v>16408.970472004417</v>
      </c>
      <c r="S796" s="8">
        <v>0</v>
      </c>
      <c r="T796" s="8">
        <v>714.39215400011994</v>
      </c>
      <c r="U796" s="8">
        <v>0</v>
      </c>
      <c r="V796" s="8">
        <v>29620.107846004874</v>
      </c>
      <c r="W796" s="8">
        <v>0</v>
      </c>
      <c r="X796" s="8">
        <v>0</v>
      </c>
      <c r="Y796" s="8">
        <v>0</v>
      </c>
      <c r="Z796" s="8">
        <v>-22783.425352209371</v>
      </c>
      <c r="AA796" s="7">
        <v>0</v>
      </c>
      <c r="AB796" s="8">
        <v>0</v>
      </c>
      <c r="AC796" s="7">
        <v>2.0449999999999999</v>
      </c>
      <c r="AD796" s="7" t="s">
        <v>1226</v>
      </c>
      <c r="AE796" s="8">
        <v>0</v>
      </c>
      <c r="AF796" s="8">
        <v>0</v>
      </c>
      <c r="AG796" s="8">
        <v>0</v>
      </c>
      <c r="AH796" s="8">
        <v>0</v>
      </c>
      <c r="AI796" s="7" t="s">
        <v>1730</v>
      </c>
      <c r="AJ796" s="7">
        <f t="shared" ca="1" si="187"/>
        <v>1</v>
      </c>
      <c r="AK796" s="96">
        <f t="shared" si="188"/>
        <v>0</v>
      </c>
      <c r="AL796" s="97">
        <f t="shared" si="189"/>
        <v>0</v>
      </c>
    </row>
    <row r="797" spans="1:38" x14ac:dyDescent="0.3">
      <c r="A797" s="7" t="s">
        <v>2344</v>
      </c>
      <c r="B797" s="7" t="s">
        <v>1735</v>
      </c>
      <c r="C797" s="7" t="s">
        <v>1769</v>
      </c>
      <c r="E797" s="7" t="s">
        <v>1695</v>
      </c>
      <c r="F797" s="36">
        <v>43631</v>
      </c>
      <c r="G797" s="36">
        <v>44726</v>
      </c>
      <c r="H797" s="36">
        <v>44787</v>
      </c>
      <c r="I797" s="36">
        <v>44787</v>
      </c>
      <c r="J797" s="7" t="s">
        <v>1696</v>
      </c>
      <c r="K797" s="8">
        <v>0</v>
      </c>
      <c r="L797" s="8">
        <v>0</v>
      </c>
      <c r="M797" s="8">
        <v>18154.800048000001</v>
      </c>
      <c r="N797" s="8">
        <v>0</v>
      </c>
      <c r="O797" s="8">
        <v>0</v>
      </c>
      <c r="P797" s="8">
        <v>0</v>
      </c>
      <c r="Q797" s="8">
        <v>0</v>
      </c>
      <c r="R797" s="8">
        <f t="shared" si="186"/>
        <v>18154.800048000001</v>
      </c>
      <c r="S797" s="8">
        <v>0</v>
      </c>
      <c r="T797" s="8">
        <v>0</v>
      </c>
      <c r="U797" s="8">
        <v>16605.000007999999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7">
        <v>0</v>
      </c>
      <c r="AB797" s="8">
        <v>0</v>
      </c>
      <c r="AC797" s="7">
        <v>2.0299999999999998</v>
      </c>
      <c r="AD797" s="7" t="s">
        <v>1226</v>
      </c>
      <c r="AE797" s="8">
        <v>0</v>
      </c>
      <c r="AF797" s="8">
        <v>0</v>
      </c>
      <c r="AG797" s="8">
        <v>0</v>
      </c>
      <c r="AH797" s="8">
        <v>0</v>
      </c>
      <c r="AI797" s="7" t="s">
        <v>1730</v>
      </c>
      <c r="AJ797" s="7">
        <f t="shared" ca="1" si="187"/>
        <v>1</v>
      </c>
      <c r="AK797" s="96">
        <f>(+AA797*AB797)/$AB$1102</f>
        <v>0</v>
      </c>
      <c r="AL797" s="97">
        <f>AC797/$AE$1102*AE797</f>
        <v>0</v>
      </c>
    </row>
    <row r="798" spans="1:38" x14ac:dyDescent="0.3">
      <c r="A798" s="7" t="s">
        <v>2344</v>
      </c>
      <c r="B798" s="7" t="s">
        <v>1735</v>
      </c>
      <c r="C798" s="7" t="s">
        <v>1769</v>
      </c>
      <c r="E798" s="7" t="s">
        <v>1695</v>
      </c>
      <c r="F798" s="36">
        <v>43631</v>
      </c>
      <c r="G798" s="36">
        <v>44726</v>
      </c>
      <c r="H798" s="36">
        <v>44787</v>
      </c>
      <c r="I798" s="36">
        <v>44787</v>
      </c>
      <c r="J798" s="7" t="s">
        <v>1699</v>
      </c>
      <c r="K798" s="8">
        <v>0</v>
      </c>
      <c r="L798" s="8">
        <v>0</v>
      </c>
      <c r="M798" s="8">
        <v>0</v>
      </c>
      <c r="N798" s="8">
        <v>6642.0000019999998</v>
      </c>
      <c r="O798" s="8">
        <v>0</v>
      </c>
      <c r="P798" s="8">
        <v>0</v>
      </c>
      <c r="Q798" s="8">
        <v>0</v>
      </c>
      <c r="R798" s="8">
        <f t="shared" si="186"/>
        <v>6642.0000019999998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7">
        <v>0</v>
      </c>
      <c r="AB798" s="8">
        <v>0</v>
      </c>
      <c r="AC798" s="7">
        <v>2.0299999999999998</v>
      </c>
      <c r="AD798" s="7" t="s">
        <v>1226</v>
      </c>
      <c r="AE798" s="8">
        <v>0</v>
      </c>
      <c r="AF798" s="8">
        <v>0</v>
      </c>
      <c r="AG798" s="8">
        <v>0</v>
      </c>
      <c r="AH798" s="8">
        <v>0</v>
      </c>
      <c r="AI798" s="7" t="s">
        <v>1730</v>
      </c>
      <c r="AJ798" s="7">
        <f t="shared" ca="1" si="187"/>
        <v>2</v>
      </c>
      <c r="AK798" s="100">
        <f>(+AA798*AB798)/$AB$1103</f>
        <v>0</v>
      </c>
      <c r="AL798" s="97">
        <f>AC798/$AE$1103*AE798</f>
        <v>0</v>
      </c>
    </row>
    <row r="799" spans="1:38" x14ac:dyDescent="0.3">
      <c r="A799" s="7" t="s">
        <v>2345</v>
      </c>
      <c r="B799" s="7" t="s">
        <v>1735</v>
      </c>
      <c r="C799" s="7" t="s">
        <v>1756</v>
      </c>
      <c r="E799" s="7" t="s">
        <v>1695</v>
      </c>
      <c r="F799" s="36">
        <v>43282</v>
      </c>
      <c r="G799" s="36">
        <v>44742</v>
      </c>
      <c r="H799" s="36">
        <v>44773</v>
      </c>
      <c r="I799" s="36">
        <v>44773</v>
      </c>
      <c r="J799" s="7" t="s">
        <v>1239</v>
      </c>
      <c r="K799" s="8">
        <v>0</v>
      </c>
      <c r="L799" s="8">
        <v>-1363.826915001041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f t="shared" si="186"/>
        <v>-1363.826915001041</v>
      </c>
      <c r="S799" s="8">
        <v>0</v>
      </c>
      <c r="T799" s="8">
        <v>-1101.9353599896569</v>
      </c>
      <c r="U799" s="8">
        <v>0</v>
      </c>
      <c r="V799" s="8">
        <v>1101.9353599896569</v>
      </c>
      <c r="W799" s="8">
        <v>0</v>
      </c>
      <c r="X799" s="8">
        <v>0</v>
      </c>
      <c r="Y799" s="8">
        <v>0</v>
      </c>
      <c r="Z799" s="8">
        <v>0</v>
      </c>
      <c r="AA799" s="7">
        <v>0</v>
      </c>
      <c r="AB799" s="8">
        <v>0</v>
      </c>
      <c r="AC799" s="7">
        <v>2.0449999999999999</v>
      </c>
      <c r="AD799" s="7" t="s">
        <v>1226</v>
      </c>
      <c r="AE799" s="8">
        <v>0</v>
      </c>
      <c r="AF799" s="8">
        <v>0</v>
      </c>
      <c r="AG799" s="8">
        <v>0</v>
      </c>
      <c r="AH799" s="8">
        <v>0</v>
      </c>
      <c r="AI799" s="7" t="s">
        <v>1730</v>
      </c>
      <c r="AJ799" s="7">
        <f t="shared" ca="1" si="187"/>
        <v>1</v>
      </c>
      <c r="AK799" s="96">
        <f t="shared" si="188"/>
        <v>0</v>
      </c>
      <c r="AL799" s="97">
        <f t="shared" si="189"/>
        <v>0</v>
      </c>
    </row>
    <row r="800" spans="1:38" x14ac:dyDescent="0.3">
      <c r="A800" s="7" t="s">
        <v>2345</v>
      </c>
      <c r="B800" s="7" t="s">
        <v>1735</v>
      </c>
      <c r="C800" s="7" t="s">
        <v>1756</v>
      </c>
      <c r="E800" s="7" t="s">
        <v>1695</v>
      </c>
      <c r="F800" s="36">
        <v>43282</v>
      </c>
      <c r="G800" s="36">
        <v>44742</v>
      </c>
      <c r="H800" s="36">
        <v>44773</v>
      </c>
      <c r="I800" s="36">
        <v>44773</v>
      </c>
      <c r="J800" s="7" t="s">
        <v>1699</v>
      </c>
      <c r="K800" s="8">
        <v>0</v>
      </c>
      <c r="L800" s="8">
        <v>0</v>
      </c>
      <c r="M800" s="8">
        <v>0</v>
      </c>
      <c r="N800" s="8">
        <v>3307.5000000005448</v>
      </c>
      <c r="O800" s="8">
        <v>0</v>
      </c>
      <c r="P800" s="8">
        <v>0</v>
      </c>
      <c r="Q800" s="8">
        <v>0</v>
      </c>
      <c r="R800" s="8">
        <f t="shared" si="186"/>
        <v>3307.5000000005448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7">
        <v>0</v>
      </c>
      <c r="AB800" s="8">
        <v>0</v>
      </c>
      <c r="AC800" s="7">
        <v>2.0449999999999999</v>
      </c>
      <c r="AD800" s="7" t="s">
        <v>1226</v>
      </c>
      <c r="AE800" s="8">
        <v>0</v>
      </c>
      <c r="AF800" s="8">
        <v>0</v>
      </c>
      <c r="AG800" s="8">
        <v>0</v>
      </c>
      <c r="AH800" s="8">
        <v>0</v>
      </c>
      <c r="AI800" s="7" t="s">
        <v>1730</v>
      </c>
      <c r="AJ800" s="7">
        <f t="shared" ca="1" si="187"/>
        <v>2</v>
      </c>
      <c r="AK800" s="100">
        <f>(+AA800*AB800)/$AB$1103</f>
        <v>0</v>
      </c>
      <c r="AL800" s="97">
        <f>AC800/$AE$1103*AE800</f>
        <v>0</v>
      </c>
    </row>
    <row r="801" spans="1:38" x14ac:dyDescent="0.3">
      <c r="A801" s="7" t="s">
        <v>2346</v>
      </c>
      <c r="B801" s="7" t="s">
        <v>1735</v>
      </c>
      <c r="C801" s="7" t="s">
        <v>1769</v>
      </c>
      <c r="E801" s="7" t="s">
        <v>1695</v>
      </c>
      <c r="F801" s="36">
        <v>43650</v>
      </c>
      <c r="G801" s="36">
        <v>44745</v>
      </c>
      <c r="H801" s="36">
        <v>44773</v>
      </c>
      <c r="I801" s="36">
        <v>44773</v>
      </c>
      <c r="J801" s="7" t="s">
        <v>1239</v>
      </c>
      <c r="K801" s="8">
        <v>27492.434851999999</v>
      </c>
      <c r="L801" s="8">
        <v>121.912644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f t="shared" si="186"/>
        <v>27614.347495999999</v>
      </c>
      <c r="S801" s="8">
        <v>0</v>
      </c>
      <c r="T801" s="8">
        <v>164.23669200000001</v>
      </c>
      <c r="U801" s="8">
        <v>0</v>
      </c>
      <c r="V801" s="8">
        <v>27699.763308000001</v>
      </c>
      <c r="W801" s="8">
        <v>0</v>
      </c>
      <c r="X801" s="8">
        <v>0</v>
      </c>
      <c r="Y801" s="8">
        <v>0</v>
      </c>
      <c r="Z801" s="8">
        <v>0</v>
      </c>
      <c r="AA801" s="7">
        <v>0</v>
      </c>
      <c r="AB801" s="8">
        <v>0</v>
      </c>
      <c r="AC801" s="7">
        <v>2.0299999999999998</v>
      </c>
      <c r="AD801" s="7" t="s">
        <v>1226</v>
      </c>
      <c r="AE801" s="8">
        <v>0</v>
      </c>
      <c r="AF801" s="8">
        <v>0</v>
      </c>
      <c r="AG801" s="8">
        <v>0</v>
      </c>
      <c r="AH801" s="8">
        <v>0</v>
      </c>
      <c r="AI801" s="7" t="s">
        <v>1730</v>
      </c>
      <c r="AJ801" s="7">
        <f t="shared" ca="1" si="187"/>
        <v>1</v>
      </c>
      <c r="AK801" s="96">
        <f t="shared" si="188"/>
        <v>0</v>
      </c>
      <c r="AL801" s="97">
        <f t="shared" si="189"/>
        <v>0</v>
      </c>
    </row>
    <row r="802" spans="1:38" x14ac:dyDescent="0.3">
      <c r="A802" s="7" t="s">
        <v>2346</v>
      </c>
      <c r="B802" s="7" t="s">
        <v>1735</v>
      </c>
      <c r="C802" s="7" t="s">
        <v>1769</v>
      </c>
      <c r="E802" s="7" t="s">
        <v>1695</v>
      </c>
      <c r="F802" s="36">
        <v>43650</v>
      </c>
      <c r="G802" s="36">
        <v>44745</v>
      </c>
      <c r="H802" s="36">
        <v>44773</v>
      </c>
      <c r="I802" s="36">
        <v>44773</v>
      </c>
      <c r="J802" s="7" t="s">
        <v>1699</v>
      </c>
      <c r="K802" s="8">
        <v>0</v>
      </c>
      <c r="L802" s="8">
        <v>0</v>
      </c>
      <c r="M802" s="8">
        <v>0</v>
      </c>
      <c r="N802" s="8">
        <v>4644</v>
      </c>
      <c r="O802" s="8">
        <v>0</v>
      </c>
      <c r="P802" s="8">
        <v>0</v>
      </c>
      <c r="Q802" s="8">
        <v>0</v>
      </c>
      <c r="R802" s="8">
        <f t="shared" si="186"/>
        <v>4644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7">
        <v>0</v>
      </c>
      <c r="AB802" s="8">
        <v>0</v>
      </c>
      <c r="AC802" s="7">
        <v>2.0299999999999998</v>
      </c>
      <c r="AD802" s="7" t="s">
        <v>1226</v>
      </c>
      <c r="AE802" s="8">
        <v>0</v>
      </c>
      <c r="AF802" s="8">
        <v>0</v>
      </c>
      <c r="AG802" s="8">
        <v>0</v>
      </c>
      <c r="AH802" s="8">
        <v>0</v>
      </c>
      <c r="AI802" s="7" t="s">
        <v>1730</v>
      </c>
      <c r="AJ802" s="7">
        <f t="shared" ca="1" si="187"/>
        <v>2</v>
      </c>
      <c r="AK802" s="100">
        <f>(+AA802*AB802)/$AB$1103</f>
        <v>0</v>
      </c>
      <c r="AL802" s="97">
        <f>AC802/$AE$1103*AE802</f>
        <v>0</v>
      </c>
    </row>
    <row r="803" spans="1:38" x14ac:dyDescent="0.3">
      <c r="A803" s="7" t="s">
        <v>2347</v>
      </c>
      <c r="B803" s="7" t="s">
        <v>1735</v>
      </c>
      <c r="C803" s="7" t="s">
        <v>1756</v>
      </c>
      <c r="D803" s="7" t="s">
        <v>2191</v>
      </c>
      <c r="E803" s="7" t="s">
        <v>1695</v>
      </c>
      <c r="F803" s="36">
        <v>43661</v>
      </c>
      <c r="G803" s="36">
        <v>45121</v>
      </c>
      <c r="H803" s="36">
        <v>44773</v>
      </c>
      <c r="I803" s="36">
        <v>44773</v>
      </c>
      <c r="J803" s="7" t="s">
        <v>1239</v>
      </c>
      <c r="K803" s="8">
        <v>7795.7325735492605</v>
      </c>
      <c r="L803" s="8">
        <v>365.13022800006098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f t="shared" si="186"/>
        <v>8160.8628015493214</v>
      </c>
      <c r="S803" s="8">
        <v>0</v>
      </c>
      <c r="T803" s="8">
        <v>378.818181000057</v>
      </c>
      <c r="U803" s="8">
        <v>0</v>
      </c>
      <c r="V803" s="8">
        <v>14646.681819002411</v>
      </c>
      <c r="W803" s="8">
        <v>0</v>
      </c>
      <c r="X803" s="8">
        <v>0</v>
      </c>
      <c r="Y803" s="8">
        <v>0</v>
      </c>
      <c r="Z803" s="8">
        <v>-12753.384099758308</v>
      </c>
      <c r="AA803" s="7">
        <v>0</v>
      </c>
      <c r="AB803" s="8">
        <v>0</v>
      </c>
      <c r="AC803" s="7">
        <v>2.0449999999999999</v>
      </c>
      <c r="AD803" s="7" t="s">
        <v>1226</v>
      </c>
      <c r="AE803" s="8">
        <v>0</v>
      </c>
      <c r="AF803" s="8">
        <v>0</v>
      </c>
      <c r="AG803" s="8">
        <v>0</v>
      </c>
      <c r="AH803" s="8">
        <v>0</v>
      </c>
      <c r="AI803" s="7" t="s">
        <v>1730</v>
      </c>
      <c r="AJ803" s="7">
        <f t="shared" ca="1" si="187"/>
        <v>1</v>
      </c>
      <c r="AK803" s="96">
        <f t="shared" si="188"/>
        <v>0</v>
      </c>
      <c r="AL803" s="97">
        <f t="shared" si="189"/>
        <v>0</v>
      </c>
    </row>
    <row r="804" spans="1:38" x14ac:dyDescent="0.3">
      <c r="A804" s="7" t="s">
        <v>2348</v>
      </c>
      <c r="B804" s="7" t="s">
        <v>1735</v>
      </c>
      <c r="C804" s="7" t="s">
        <v>1756</v>
      </c>
      <c r="D804" s="7" t="s">
        <v>2198</v>
      </c>
      <c r="E804" s="7" t="s">
        <v>1695</v>
      </c>
      <c r="F804" s="36">
        <v>43320</v>
      </c>
      <c r="G804" s="36">
        <v>45145</v>
      </c>
      <c r="H804" s="36">
        <v>44773</v>
      </c>
      <c r="I804" s="36">
        <v>44773</v>
      </c>
      <c r="J804" s="7" t="s">
        <v>1239</v>
      </c>
      <c r="K804" s="8">
        <v>0</v>
      </c>
      <c r="L804" s="8">
        <v>-5749.6463820064173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f t="shared" si="186"/>
        <v>-5749.6463820064173</v>
      </c>
      <c r="S804" s="8">
        <v>0</v>
      </c>
      <c r="T804" s="8">
        <v>-4038.0022350052859</v>
      </c>
      <c r="U804" s="8">
        <v>0</v>
      </c>
      <c r="V804" s="8">
        <v>45195.002234953914</v>
      </c>
      <c r="W804" s="8">
        <v>0</v>
      </c>
      <c r="X804" s="8">
        <v>0</v>
      </c>
      <c r="Y804" s="8">
        <v>0</v>
      </c>
      <c r="Z804" s="8">
        <v>0</v>
      </c>
      <c r="AA804" s="7">
        <v>0</v>
      </c>
      <c r="AB804" s="8">
        <v>0</v>
      </c>
      <c r="AC804" s="7">
        <v>2.181667</v>
      </c>
      <c r="AD804" s="7" t="s">
        <v>1226</v>
      </c>
      <c r="AE804" s="8">
        <v>0</v>
      </c>
      <c r="AF804" s="8">
        <v>0</v>
      </c>
      <c r="AG804" s="8">
        <v>0</v>
      </c>
      <c r="AH804" s="8">
        <v>0</v>
      </c>
      <c r="AI804" s="7" t="s">
        <v>1877</v>
      </c>
      <c r="AJ804" s="7">
        <f t="shared" ca="1" si="187"/>
        <v>1</v>
      </c>
      <c r="AK804" s="96">
        <f t="shared" si="188"/>
        <v>0</v>
      </c>
      <c r="AL804" s="97">
        <f t="shared" si="189"/>
        <v>0</v>
      </c>
    </row>
    <row r="805" spans="1:38" x14ac:dyDescent="0.3">
      <c r="A805" s="7" t="s">
        <v>2349</v>
      </c>
      <c r="B805" s="7" t="s">
        <v>1735</v>
      </c>
      <c r="C805" s="7" t="s">
        <v>1769</v>
      </c>
      <c r="D805" s="7" t="s">
        <v>2193</v>
      </c>
      <c r="E805" s="7" t="s">
        <v>1695</v>
      </c>
      <c r="F805" s="36">
        <v>43692</v>
      </c>
      <c r="G805" s="36">
        <v>44787</v>
      </c>
      <c r="H805" s="36">
        <v>44787</v>
      </c>
      <c r="I805" s="36">
        <v>44787</v>
      </c>
      <c r="J805" s="7" t="s">
        <v>1696</v>
      </c>
      <c r="K805" s="8">
        <v>0</v>
      </c>
      <c r="L805" s="8">
        <v>0</v>
      </c>
      <c r="M805" s="8">
        <v>49694.806462</v>
      </c>
      <c r="N805" s="8">
        <v>0</v>
      </c>
      <c r="O805" s="8">
        <v>0</v>
      </c>
      <c r="P805" s="8">
        <v>0</v>
      </c>
      <c r="Q805" s="8">
        <v>0</v>
      </c>
      <c r="R805" s="8">
        <f t="shared" si="186"/>
        <v>49694.806462</v>
      </c>
      <c r="S805" s="8">
        <v>0</v>
      </c>
      <c r="T805" s="8">
        <v>0</v>
      </c>
      <c r="U805" s="8">
        <v>46683.000006000002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7">
        <v>0</v>
      </c>
      <c r="AB805" s="8">
        <v>0</v>
      </c>
      <c r="AC805" s="7">
        <v>2.0299999999999998</v>
      </c>
      <c r="AD805" s="7" t="s">
        <v>1226</v>
      </c>
      <c r="AE805" s="8">
        <v>0</v>
      </c>
      <c r="AF805" s="8">
        <v>0</v>
      </c>
      <c r="AG805" s="8">
        <v>0</v>
      </c>
      <c r="AH805" s="8">
        <v>0</v>
      </c>
      <c r="AI805" s="7" t="s">
        <v>1730</v>
      </c>
      <c r="AJ805" s="7">
        <f t="shared" ca="1" si="187"/>
        <v>1</v>
      </c>
      <c r="AK805" s="96">
        <f>(+AA805*AB805)/$AB$1102</f>
        <v>0</v>
      </c>
      <c r="AL805" s="97">
        <f>AC805/$AE$1102*AE805</f>
        <v>0</v>
      </c>
    </row>
    <row r="806" spans="1:38" x14ac:dyDescent="0.3">
      <c r="A806" s="7" t="s">
        <v>2350</v>
      </c>
      <c r="B806" s="7" t="s">
        <v>1735</v>
      </c>
      <c r="C806" s="7" t="s">
        <v>1756</v>
      </c>
      <c r="D806" s="7" t="s">
        <v>2200</v>
      </c>
      <c r="E806" s="7" t="s">
        <v>1695</v>
      </c>
      <c r="F806" s="36">
        <v>43344</v>
      </c>
      <c r="G806" s="36">
        <v>44804</v>
      </c>
      <c r="H806" s="36">
        <v>44804</v>
      </c>
      <c r="I806" s="36">
        <v>44804</v>
      </c>
      <c r="J806" s="7" t="s">
        <v>1239</v>
      </c>
      <c r="K806" s="8">
        <v>0</v>
      </c>
      <c r="L806" s="8">
        <v>-1191.3913720009971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f t="shared" si="186"/>
        <v>-1191.3913720009971</v>
      </c>
      <c r="S806" s="8">
        <v>0</v>
      </c>
      <c r="T806" s="8">
        <v>-784.09168400073304</v>
      </c>
      <c r="U806" s="8">
        <v>0</v>
      </c>
      <c r="V806" s="8">
        <v>19792.091683993127</v>
      </c>
      <c r="W806" s="8">
        <v>0</v>
      </c>
      <c r="X806" s="8">
        <v>0</v>
      </c>
      <c r="Y806" s="8">
        <v>0</v>
      </c>
      <c r="Z806" s="8">
        <v>0</v>
      </c>
      <c r="AA806" s="7">
        <v>0</v>
      </c>
      <c r="AB806" s="8">
        <v>0</v>
      </c>
      <c r="AC806" s="7">
        <v>2.0449999999999999</v>
      </c>
      <c r="AD806" s="7" t="s">
        <v>1226</v>
      </c>
      <c r="AE806" s="8">
        <v>0</v>
      </c>
      <c r="AF806" s="8">
        <v>0</v>
      </c>
      <c r="AG806" s="8">
        <v>0</v>
      </c>
      <c r="AH806" s="8">
        <v>0</v>
      </c>
      <c r="AI806" s="7" t="s">
        <v>1730</v>
      </c>
      <c r="AJ806" s="7">
        <f t="shared" ca="1" si="187"/>
        <v>1</v>
      </c>
      <c r="AK806" s="96">
        <f t="shared" si="188"/>
        <v>0</v>
      </c>
      <c r="AL806" s="97">
        <f t="shared" si="189"/>
        <v>0</v>
      </c>
    </row>
    <row r="807" spans="1:38" x14ac:dyDescent="0.3">
      <c r="A807" s="7" t="s">
        <v>2351</v>
      </c>
      <c r="B807" s="7" t="s">
        <v>1735</v>
      </c>
      <c r="C807" s="7" t="s">
        <v>1769</v>
      </c>
      <c r="D807" s="7" t="s">
        <v>2202</v>
      </c>
      <c r="E807" s="7" t="s">
        <v>1695</v>
      </c>
      <c r="F807" s="36">
        <v>43723</v>
      </c>
      <c r="G807" s="36">
        <v>44818</v>
      </c>
      <c r="H807" s="36">
        <v>44818</v>
      </c>
      <c r="I807" s="36">
        <v>44818</v>
      </c>
      <c r="J807" s="7" t="s">
        <v>1696</v>
      </c>
      <c r="K807" s="8">
        <v>0</v>
      </c>
      <c r="L807" s="8">
        <v>0</v>
      </c>
      <c r="M807" s="8">
        <v>19088.100009000002</v>
      </c>
      <c r="N807" s="8">
        <v>0</v>
      </c>
      <c r="O807" s="8">
        <v>0</v>
      </c>
      <c r="P807" s="8">
        <v>0</v>
      </c>
      <c r="Q807" s="8">
        <v>0</v>
      </c>
      <c r="R807" s="8">
        <f t="shared" si="186"/>
        <v>19088.100009000002</v>
      </c>
      <c r="S807" s="8">
        <v>0</v>
      </c>
      <c r="T807" s="8">
        <v>0</v>
      </c>
      <c r="U807" s="8">
        <v>18036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7">
        <v>0</v>
      </c>
      <c r="AB807" s="8">
        <v>0</v>
      </c>
      <c r="AC807" s="7">
        <v>2.0299999999999998</v>
      </c>
      <c r="AD807" s="7" t="s">
        <v>1226</v>
      </c>
      <c r="AE807" s="8">
        <v>0</v>
      </c>
      <c r="AF807" s="8">
        <v>0</v>
      </c>
      <c r="AG807" s="8">
        <v>0</v>
      </c>
      <c r="AH807" s="8">
        <v>0</v>
      </c>
      <c r="AI807" s="7" t="s">
        <v>1730</v>
      </c>
      <c r="AJ807" s="7">
        <f t="shared" ca="1" si="187"/>
        <v>1</v>
      </c>
      <c r="AK807" s="96">
        <f>(+AA807*AB807)/$AB$1102</f>
        <v>0</v>
      </c>
      <c r="AL807" s="97">
        <f>AC807/$AE$1102*AE807</f>
        <v>0</v>
      </c>
    </row>
    <row r="808" spans="1:38" x14ac:dyDescent="0.3">
      <c r="A808" s="7" t="s">
        <v>2352</v>
      </c>
      <c r="B808" s="7" t="s">
        <v>1735</v>
      </c>
      <c r="C808" s="7" t="s">
        <v>1769</v>
      </c>
      <c r="D808" s="7" t="s">
        <v>2353</v>
      </c>
      <c r="E808" s="7" t="s">
        <v>1322</v>
      </c>
      <c r="F808" s="36">
        <v>43466</v>
      </c>
      <c r="G808" s="36">
        <v>44926</v>
      </c>
      <c r="H808" s="36">
        <v>44926</v>
      </c>
      <c r="I808" s="36">
        <v>44926</v>
      </c>
      <c r="J808" s="7" t="s">
        <v>1239</v>
      </c>
      <c r="K808" s="8">
        <v>32616.854220000001</v>
      </c>
      <c r="L808" s="8">
        <v>315.77222999999998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f t="shared" si="186"/>
        <v>32932.626450000003</v>
      </c>
      <c r="S808" s="8">
        <v>0</v>
      </c>
      <c r="T808" s="8">
        <v>372.97433000000001</v>
      </c>
      <c r="U808" s="8">
        <v>0</v>
      </c>
      <c r="V808" s="8">
        <v>33566.025670000003</v>
      </c>
      <c r="W808" s="8">
        <v>0</v>
      </c>
      <c r="X808" s="8">
        <v>0</v>
      </c>
      <c r="Y808" s="8">
        <v>0</v>
      </c>
      <c r="Z808" s="8">
        <v>0</v>
      </c>
      <c r="AA808" s="7">
        <v>0</v>
      </c>
      <c r="AB808" s="8">
        <v>0</v>
      </c>
      <c r="AC808" s="7">
        <v>2.0449999999999999</v>
      </c>
      <c r="AD808" s="7" t="s">
        <v>1226</v>
      </c>
      <c r="AE808" s="8">
        <v>0</v>
      </c>
      <c r="AF808" s="8">
        <v>0</v>
      </c>
      <c r="AG808" s="8">
        <v>0</v>
      </c>
      <c r="AH808" s="8">
        <v>0</v>
      </c>
      <c r="AI808" s="7" t="s">
        <v>1730</v>
      </c>
      <c r="AJ808" s="7">
        <f t="shared" ca="1" si="187"/>
        <v>1</v>
      </c>
      <c r="AK808" s="96">
        <f t="shared" si="188"/>
        <v>0</v>
      </c>
      <c r="AL808" s="97">
        <f t="shared" si="189"/>
        <v>0</v>
      </c>
    </row>
    <row r="809" spans="1:38" x14ac:dyDescent="0.3">
      <c r="A809" s="7" t="s">
        <v>2354</v>
      </c>
      <c r="B809" s="7" t="s">
        <v>1735</v>
      </c>
      <c r="C809" s="7" t="s">
        <v>1769</v>
      </c>
      <c r="D809" s="7" t="s">
        <v>2195</v>
      </c>
      <c r="E809" s="7" t="s">
        <v>1322</v>
      </c>
      <c r="F809" s="36">
        <v>43498</v>
      </c>
      <c r="G809" s="36">
        <v>44958</v>
      </c>
      <c r="H809" s="36">
        <v>44926</v>
      </c>
      <c r="I809" s="36">
        <v>44958</v>
      </c>
      <c r="J809" s="7" t="s">
        <v>1239</v>
      </c>
      <c r="K809" s="8">
        <v>19850.352803999998</v>
      </c>
      <c r="L809" s="8">
        <v>228.110232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f t="shared" si="186"/>
        <v>20078.463035999997</v>
      </c>
      <c r="S809" s="8">
        <v>0</v>
      </c>
      <c r="T809" s="8">
        <v>261.742659</v>
      </c>
      <c r="U809" s="8">
        <v>0</v>
      </c>
      <c r="V809" s="8">
        <v>20393.257341</v>
      </c>
      <c r="W809" s="8">
        <v>0</v>
      </c>
      <c r="X809" s="8">
        <v>0</v>
      </c>
      <c r="Y809" s="8">
        <v>0</v>
      </c>
      <c r="Z809" s="8">
        <v>-1713.2745090000001</v>
      </c>
      <c r="AA809" s="7">
        <v>8.7670999999999999E-2</v>
      </c>
      <c r="AB809" s="8">
        <v>0</v>
      </c>
      <c r="AC809" s="7">
        <v>2.0449999999999999</v>
      </c>
      <c r="AD809" s="7" t="s">
        <v>1226</v>
      </c>
      <c r="AE809" s="8">
        <v>0</v>
      </c>
      <c r="AF809" s="8">
        <v>0</v>
      </c>
      <c r="AG809" s="8">
        <v>0</v>
      </c>
      <c r="AH809" s="8">
        <v>0</v>
      </c>
      <c r="AI809" s="7" t="s">
        <v>1730</v>
      </c>
      <c r="AJ809" s="7">
        <f t="shared" ca="1" si="187"/>
        <v>1</v>
      </c>
      <c r="AK809" s="96">
        <f t="shared" si="188"/>
        <v>0</v>
      </c>
      <c r="AL809" s="97">
        <f t="shared" si="189"/>
        <v>0</v>
      </c>
    </row>
    <row r="810" spans="1:38" x14ac:dyDescent="0.3">
      <c r="A810" s="7" t="s">
        <v>2355</v>
      </c>
      <c r="B810" s="7" t="s">
        <v>1735</v>
      </c>
      <c r="C810" s="7" t="s">
        <v>1756</v>
      </c>
      <c r="D810" s="7" t="s">
        <v>2356</v>
      </c>
      <c r="E810" s="7" t="s">
        <v>1322</v>
      </c>
      <c r="F810" s="36">
        <v>43510</v>
      </c>
      <c r="G810" s="36">
        <v>44970</v>
      </c>
      <c r="H810" s="36">
        <v>44926</v>
      </c>
      <c r="I810" s="36">
        <v>44970</v>
      </c>
      <c r="J810" s="7" t="s">
        <v>1239</v>
      </c>
      <c r="K810" s="8">
        <v>18911.482184700442</v>
      </c>
      <c r="L810" s="8">
        <v>426.28800000007101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f t="shared" si="186"/>
        <v>19337.770184700512</v>
      </c>
      <c r="S810" s="8">
        <v>0</v>
      </c>
      <c r="T810" s="8">
        <v>461.89881000007699</v>
      </c>
      <c r="U810" s="8">
        <v>0</v>
      </c>
      <c r="V810" s="8">
        <v>35988.101190005924</v>
      </c>
      <c r="W810" s="8">
        <v>0</v>
      </c>
      <c r="X810" s="8">
        <v>0</v>
      </c>
      <c r="Y810" s="8">
        <v>0</v>
      </c>
      <c r="Z810" s="8">
        <v>-2307.6503311963579</v>
      </c>
      <c r="AA810" s="7">
        <v>0.120548</v>
      </c>
      <c r="AB810" s="8">
        <v>0</v>
      </c>
      <c r="AC810" s="7">
        <v>2.0449999999999999</v>
      </c>
      <c r="AD810" s="7" t="s">
        <v>1226</v>
      </c>
      <c r="AE810" s="8">
        <v>0</v>
      </c>
      <c r="AF810" s="8">
        <v>0</v>
      </c>
      <c r="AG810" s="8">
        <v>0</v>
      </c>
      <c r="AH810" s="8">
        <v>0</v>
      </c>
      <c r="AI810" s="7" t="s">
        <v>1730</v>
      </c>
      <c r="AJ810" s="7">
        <f t="shared" ca="1" si="187"/>
        <v>1</v>
      </c>
      <c r="AK810" s="96">
        <f t="shared" si="188"/>
        <v>0</v>
      </c>
      <c r="AL810" s="97">
        <f t="shared" si="189"/>
        <v>0</v>
      </c>
    </row>
    <row r="811" spans="1:38" x14ac:dyDescent="0.3">
      <c r="A811" s="7" t="s">
        <v>2357</v>
      </c>
      <c r="B811" s="7" t="s">
        <v>1735</v>
      </c>
      <c r="C811" s="7" t="s">
        <v>1769</v>
      </c>
      <c r="D811" s="7" t="s">
        <v>2193</v>
      </c>
      <c r="E811" s="7" t="s">
        <v>1322</v>
      </c>
      <c r="F811" s="36">
        <v>43498</v>
      </c>
      <c r="G811" s="36">
        <v>44958</v>
      </c>
      <c r="H811" s="36">
        <v>44926</v>
      </c>
      <c r="I811" s="36">
        <v>44958</v>
      </c>
      <c r="J811" s="7" t="s">
        <v>1239</v>
      </c>
      <c r="K811" s="8">
        <v>19850.352803999998</v>
      </c>
      <c r="L811" s="8">
        <v>228.110232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f t="shared" si="186"/>
        <v>20078.463035999997</v>
      </c>
      <c r="S811" s="8">
        <v>0</v>
      </c>
      <c r="T811" s="8">
        <v>261.742659</v>
      </c>
      <c r="U811" s="8">
        <v>0</v>
      </c>
      <c r="V811" s="8">
        <v>20393.257341</v>
      </c>
      <c r="W811" s="8">
        <v>0</v>
      </c>
      <c r="X811" s="8">
        <v>0</v>
      </c>
      <c r="Y811" s="8">
        <v>0</v>
      </c>
      <c r="Z811" s="8">
        <v>-1713.2745090000001</v>
      </c>
      <c r="AA811" s="7">
        <v>8.7670999999999999E-2</v>
      </c>
      <c r="AB811" s="8">
        <v>0</v>
      </c>
      <c r="AC811" s="7">
        <v>2.0449999999999999</v>
      </c>
      <c r="AD811" s="7" t="s">
        <v>1226</v>
      </c>
      <c r="AE811" s="8">
        <v>0</v>
      </c>
      <c r="AF811" s="8">
        <v>0</v>
      </c>
      <c r="AG811" s="8">
        <v>0</v>
      </c>
      <c r="AH811" s="8">
        <v>0</v>
      </c>
      <c r="AI811" s="7" t="s">
        <v>1730</v>
      </c>
      <c r="AJ811" s="7">
        <f t="shared" ca="1" si="187"/>
        <v>1</v>
      </c>
      <c r="AK811" s="96">
        <f t="shared" si="188"/>
        <v>0</v>
      </c>
      <c r="AL811" s="97">
        <f t="shared" si="189"/>
        <v>0</v>
      </c>
    </row>
    <row r="812" spans="1:38" x14ac:dyDescent="0.3">
      <c r="A812" s="7" t="s">
        <v>2358</v>
      </c>
      <c r="B812" s="7" t="s">
        <v>1735</v>
      </c>
      <c r="C812" s="7" t="s">
        <v>1769</v>
      </c>
      <c r="D812" s="7" t="s">
        <v>2333</v>
      </c>
      <c r="E812" s="7" t="s">
        <v>1695</v>
      </c>
      <c r="F812" s="36">
        <v>43511</v>
      </c>
      <c r="G812" s="36">
        <v>44606</v>
      </c>
      <c r="H812" s="36">
        <v>44895</v>
      </c>
      <c r="I812" s="36">
        <v>44895</v>
      </c>
      <c r="J812" s="7" t="s">
        <v>1696</v>
      </c>
      <c r="K812" s="8">
        <v>0</v>
      </c>
      <c r="L812" s="8">
        <v>0</v>
      </c>
      <c r="M812" s="8">
        <v>-113337.00962700001</v>
      </c>
      <c r="N812" s="8">
        <v>0</v>
      </c>
      <c r="O812" s="8">
        <v>0</v>
      </c>
      <c r="P812" s="8">
        <v>-435</v>
      </c>
      <c r="Q812" s="8">
        <v>0</v>
      </c>
      <c r="R812" s="8">
        <f t="shared" si="186"/>
        <v>-113772.00962700001</v>
      </c>
      <c r="S812" s="8">
        <v>0</v>
      </c>
      <c r="T812" s="8">
        <v>0</v>
      </c>
      <c r="U812" s="8">
        <v>-115650</v>
      </c>
      <c r="V812" s="8">
        <v>0</v>
      </c>
      <c r="W812" s="8">
        <v>-435</v>
      </c>
      <c r="X812" s="8">
        <v>0</v>
      </c>
      <c r="Y812" s="8">
        <v>0</v>
      </c>
      <c r="Z812" s="8">
        <v>-116788.440373</v>
      </c>
      <c r="AA812" s="7">
        <v>0</v>
      </c>
      <c r="AB812" s="8">
        <v>0</v>
      </c>
      <c r="AC812" s="7">
        <v>2.0299999999999998</v>
      </c>
      <c r="AD812" s="7" t="s">
        <v>1226</v>
      </c>
      <c r="AE812" s="8">
        <v>0</v>
      </c>
      <c r="AF812" s="8">
        <v>0</v>
      </c>
      <c r="AG812" s="8">
        <v>0</v>
      </c>
      <c r="AH812" s="8">
        <v>0</v>
      </c>
      <c r="AI812" s="7" t="s">
        <v>1730</v>
      </c>
      <c r="AJ812" s="7">
        <f t="shared" ca="1" si="187"/>
        <v>1</v>
      </c>
      <c r="AK812" s="96">
        <f>(+AA812*AB812)/$AB$1102</f>
        <v>0</v>
      </c>
      <c r="AL812" s="97">
        <f>AC812/$AE$1102*AE812</f>
        <v>0</v>
      </c>
    </row>
    <row r="813" spans="1:38" x14ac:dyDescent="0.3">
      <c r="A813" s="7" t="s">
        <v>2358</v>
      </c>
      <c r="B813" s="7" t="s">
        <v>1735</v>
      </c>
      <c r="C813" s="7" t="s">
        <v>1769</v>
      </c>
      <c r="D813" s="7" t="s">
        <v>2333</v>
      </c>
      <c r="E813" s="7" t="s">
        <v>1695</v>
      </c>
      <c r="F813" s="36">
        <v>43511</v>
      </c>
      <c r="G813" s="36">
        <v>44606</v>
      </c>
      <c r="H813" s="36">
        <v>44895</v>
      </c>
      <c r="I813" s="36">
        <v>44895</v>
      </c>
      <c r="J813" s="7" t="s">
        <v>1699</v>
      </c>
      <c r="K813" s="8">
        <v>0</v>
      </c>
      <c r="L813" s="8">
        <v>0</v>
      </c>
      <c r="M813" s="8">
        <v>0</v>
      </c>
      <c r="N813" s="8">
        <v>8500</v>
      </c>
      <c r="O813" s="8">
        <v>0</v>
      </c>
      <c r="P813" s="8">
        <v>-350</v>
      </c>
      <c r="Q813" s="8">
        <v>0</v>
      </c>
      <c r="R813" s="8">
        <f t="shared" si="186"/>
        <v>8150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7">
        <v>0</v>
      </c>
      <c r="AB813" s="8">
        <v>0</v>
      </c>
      <c r="AC813" s="7">
        <v>2.0299999999999998</v>
      </c>
      <c r="AD813" s="7" t="s">
        <v>1226</v>
      </c>
      <c r="AE813" s="8">
        <v>0</v>
      </c>
      <c r="AF813" s="8">
        <v>0</v>
      </c>
      <c r="AG813" s="8">
        <v>0</v>
      </c>
      <c r="AH813" s="8">
        <v>0</v>
      </c>
      <c r="AI813" s="7" t="s">
        <v>1730</v>
      </c>
      <c r="AJ813" s="7">
        <f t="shared" ca="1" si="187"/>
        <v>2</v>
      </c>
      <c r="AK813" s="100">
        <f>(+AA813*AB813)/$AB$1103</f>
        <v>0</v>
      </c>
      <c r="AL813" s="97">
        <f>AC813/$AE$1103*AE813</f>
        <v>0</v>
      </c>
    </row>
    <row r="814" spans="1:38" x14ac:dyDescent="0.3">
      <c r="A814" s="7" t="s">
        <v>2359</v>
      </c>
      <c r="B814" s="7" t="s">
        <v>1735</v>
      </c>
      <c r="C814" s="7" t="s">
        <v>1756</v>
      </c>
      <c r="D814" s="7" t="s">
        <v>2335</v>
      </c>
      <c r="E814" s="7" t="s">
        <v>1322</v>
      </c>
      <c r="F814" s="36">
        <v>43525</v>
      </c>
      <c r="G814" s="36">
        <v>44985</v>
      </c>
      <c r="H814" s="36">
        <v>44926</v>
      </c>
      <c r="I814" s="36">
        <v>44985</v>
      </c>
      <c r="J814" s="7" t="s">
        <v>1239</v>
      </c>
      <c r="K814" s="8">
        <v>10632.452037519644</v>
      </c>
      <c r="L814" s="8">
        <v>259.68977400004201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f t="shared" si="186"/>
        <v>10892.141811519687</v>
      </c>
      <c r="S814" s="8">
        <v>0</v>
      </c>
      <c r="T814" s="8">
        <v>294.112047000046</v>
      </c>
      <c r="U814" s="8">
        <v>0</v>
      </c>
      <c r="V814" s="8">
        <v>20198.887953003323</v>
      </c>
      <c r="W814" s="8">
        <v>0</v>
      </c>
      <c r="X814" s="8">
        <v>0</v>
      </c>
      <c r="Y814" s="8">
        <v>0</v>
      </c>
      <c r="Z814" s="8">
        <v>-1772.075360732526</v>
      </c>
      <c r="AA814" s="7">
        <v>0.16164400000000001</v>
      </c>
      <c r="AB814" s="8">
        <v>0</v>
      </c>
      <c r="AC814" s="7">
        <v>2.0449999999999999</v>
      </c>
      <c r="AD814" s="7" t="s">
        <v>1226</v>
      </c>
      <c r="AE814" s="8">
        <v>0</v>
      </c>
      <c r="AF814" s="8">
        <v>0</v>
      </c>
      <c r="AG814" s="8">
        <v>0</v>
      </c>
      <c r="AH814" s="8">
        <v>0</v>
      </c>
      <c r="AI814" s="7" t="s">
        <v>1730</v>
      </c>
      <c r="AJ814" s="7">
        <f t="shared" ca="1" si="187"/>
        <v>1</v>
      </c>
      <c r="AK814" s="96">
        <f t="shared" si="188"/>
        <v>0</v>
      </c>
      <c r="AL814" s="97">
        <f t="shared" si="189"/>
        <v>0</v>
      </c>
    </row>
    <row r="815" spans="1:38" x14ac:dyDescent="0.3">
      <c r="A815" s="7" t="s">
        <v>2360</v>
      </c>
      <c r="B815" s="7" t="s">
        <v>1735</v>
      </c>
      <c r="C815" s="7" t="s">
        <v>1769</v>
      </c>
      <c r="D815" s="7" t="s">
        <v>2337</v>
      </c>
      <c r="E815" s="7" t="s">
        <v>1695</v>
      </c>
      <c r="F815" s="36">
        <v>43174</v>
      </c>
      <c r="G815" s="36">
        <v>44634</v>
      </c>
      <c r="H815" s="36">
        <v>44787</v>
      </c>
      <c r="I815" s="36">
        <v>44787</v>
      </c>
      <c r="J815" s="7" t="s">
        <v>1239</v>
      </c>
      <c r="K815" s="8">
        <v>8959.0950950000006</v>
      </c>
      <c r="L815" s="8">
        <v>12.307130000000001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f t="shared" si="186"/>
        <v>8971.4022249999998</v>
      </c>
      <c r="S815" s="8">
        <v>0</v>
      </c>
      <c r="T815" s="8">
        <v>19.396204999999998</v>
      </c>
      <c r="U815" s="8">
        <v>0</v>
      </c>
      <c r="V815" s="8">
        <v>7585.603795</v>
      </c>
      <c r="W815" s="8">
        <v>0</v>
      </c>
      <c r="X815" s="8">
        <v>0</v>
      </c>
      <c r="Y815" s="8">
        <v>0</v>
      </c>
      <c r="Z815" s="8">
        <v>0</v>
      </c>
      <c r="AA815" s="7">
        <v>0</v>
      </c>
      <c r="AB815" s="8">
        <v>0</v>
      </c>
      <c r="AC815" s="7">
        <v>2.0449999999999999</v>
      </c>
      <c r="AD815" s="7" t="s">
        <v>1226</v>
      </c>
      <c r="AE815" s="8">
        <v>0</v>
      </c>
      <c r="AF815" s="8">
        <v>0</v>
      </c>
      <c r="AG815" s="8">
        <v>0</v>
      </c>
      <c r="AH815" s="8">
        <v>0</v>
      </c>
      <c r="AI815" s="7" t="s">
        <v>1730</v>
      </c>
      <c r="AJ815" s="7">
        <f t="shared" ca="1" si="187"/>
        <v>1</v>
      </c>
      <c r="AK815" s="96">
        <f t="shared" si="188"/>
        <v>0</v>
      </c>
      <c r="AL815" s="97">
        <f t="shared" si="189"/>
        <v>0</v>
      </c>
    </row>
    <row r="816" spans="1:38" x14ac:dyDescent="0.3">
      <c r="A816" s="7" t="s">
        <v>2360</v>
      </c>
      <c r="B816" s="7" t="s">
        <v>1735</v>
      </c>
      <c r="C816" s="7" t="s">
        <v>1769</v>
      </c>
      <c r="D816" s="7" t="s">
        <v>2337</v>
      </c>
      <c r="E816" s="7" t="s">
        <v>1695</v>
      </c>
      <c r="F816" s="36">
        <v>43174</v>
      </c>
      <c r="G816" s="36">
        <v>44634</v>
      </c>
      <c r="H816" s="36">
        <v>44787</v>
      </c>
      <c r="I816" s="36">
        <v>44787</v>
      </c>
      <c r="J816" s="7" t="s">
        <v>1699</v>
      </c>
      <c r="K816" s="8">
        <v>0</v>
      </c>
      <c r="L816" s="8">
        <v>0</v>
      </c>
      <c r="M816" s="8">
        <v>0</v>
      </c>
      <c r="N816" s="8">
        <v>19012.5</v>
      </c>
      <c r="O816" s="8">
        <v>0</v>
      </c>
      <c r="P816" s="8">
        <v>0</v>
      </c>
      <c r="Q816" s="8">
        <v>0</v>
      </c>
      <c r="R816" s="8">
        <f t="shared" si="186"/>
        <v>19012.5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7">
        <v>0</v>
      </c>
      <c r="AB816" s="8">
        <v>0</v>
      </c>
      <c r="AC816" s="7">
        <v>2.0449999999999999</v>
      </c>
      <c r="AD816" s="7" t="s">
        <v>1226</v>
      </c>
      <c r="AE816" s="8">
        <v>0</v>
      </c>
      <c r="AF816" s="8">
        <v>0</v>
      </c>
      <c r="AG816" s="8">
        <v>0</v>
      </c>
      <c r="AH816" s="8">
        <v>0</v>
      </c>
      <c r="AI816" s="7" t="s">
        <v>1730</v>
      </c>
      <c r="AJ816" s="7">
        <f t="shared" ca="1" si="187"/>
        <v>2</v>
      </c>
      <c r="AK816" s="100">
        <f>(+AA816*AB816)/$AB$1103</f>
        <v>0</v>
      </c>
      <c r="AL816" s="97">
        <f>AC816/$AE$1103*AE816</f>
        <v>0</v>
      </c>
    </row>
    <row r="817" spans="1:38" x14ac:dyDescent="0.3">
      <c r="A817" s="7" t="s">
        <v>2361</v>
      </c>
      <c r="B817" s="7" t="s">
        <v>1735</v>
      </c>
      <c r="C817" s="7" t="s">
        <v>1756</v>
      </c>
      <c r="D817" s="7" t="s">
        <v>2341</v>
      </c>
      <c r="E817" s="7" t="s">
        <v>1695</v>
      </c>
      <c r="F817" s="36">
        <v>43205</v>
      </c>
      <c r="G817" s="36">
        <v>44665</v>
      </c>
      <c r="H817" s="36">
        <v>44787</v>
      </c>
      <c r="I817" s="36">
        <v>44787</v>
      </c>
      <c r="J817" s="7" t="s">
        <v>1239</v>
      </c>
      <c r="K817" s="8">
        <v>0</v>
      </c>
      <c r="L817" s="8">
        <v>-4015.6759600029591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f t="shared" si="186"/>
        <v>-4015.6759600029591</v>
      </c>
      <c r="S817" s="8">
        <v>0</v>
      </c>
      <c r="T817" s="8">
        <v>-3760.7018500027848</v>
      </c>
      <c r="U817" s="8">
        <v>0</v>
      </c>
      <c r="V817" s="8">
        <v>-36469.298150037939</v>
      </c>
      <c r="W817" s="8">
        <v>0</v>
      </c>
      <c r="X817" s="8">
        <v>0</v>
      </c>
      <c r="Y817" s="8">
        <v>0</v>
      </c>
      <c r="Z817" s="8">
        <v>0</v>
      </c>
      <c r="AA817" s="7">
        <v>0</v>
      </c>
      <c r="AB817" s="8">
        <v>0</v>
      </c>
      <c r="AC817" s="7">
        <v>2.0449999999999999</v>
      </c>
      <c r="AD817" s="7" t="s">
        <v>1226</v>
      </c>
      <c r="AE817" s="8">
        <v>0</v>
      </c>
      <c r="AF817" s="8">
        <v>0</v>
      </c>
      <c r="AG817" s="8">
        <v>0</v>
      </c>
      <c r="AH817" s="8">
        <v>0</v>
      </c>
      <c r="AI817" s="7" t="s">
        <v>1730</v>
      </c>
      <c r="AJ817" s="7">
        <f t="shared" ca="1" si="187"/>
        <v>1</v>
      </c>
      <c r="AK817" s="96">
        <f t="shared" si="188"/>
        <v>0</v>
      </c>
      <c r="AL817" s="97">
        <f t="shared" si="189"/>
        <v>0</v>
      </c>
    </row>
    <row r="818" spans="1:38" x14ac:dyDescent="0.3">
      <c r="A818" s="7" t="s">
        <v>2361</v>
      </c>
      <c r="B818" s="7" t="s">
        <v>1735</v>
      </c>
      <c r="C818" s="7" t="s">
        <v>1756</v>
      </c>
      <c r="D818" s="7" t="s">
        <v>2341</v>
      </c>
      <c r="E818" s="7" t="s">
        <v>1695</v>
      </c>
      <c r="F818" s="36">
        <v>43205</v>
      </c>
      <c r="G818" s="36">
        <v>44665</v>
      </c>
      <c r="H818" s="36">
        <v>44787</v>
      </c>
      <c r="I818" s="36">
        <v>44787</v>
      </c>
      <c r="J818" s="7" t="s">
        <v>1699</v>
      </c>
      <c r="K818" s="8">
        <v>0</v>
      </c>
      <c r="L818" s="8">
        <v>0</v>
      </c>
      <c r="M818" s="8">
        <v>0</v>
      </c>
      <c r="N818" s="8">
        <v>26820.000000004417</v>
      </c>
      <c r="O818" s="8">
        <v>0</v>
      </c>
      <c r="P818" s="8">
        <v>0</v>
      </c>
      <c r="Q818" s="8">
        <v>0</v>
      </c>
      <c r="R818" s="8">
        <f t="shared" si="186"/>
        <v>26820.000000004417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7">
        <v>0</v>
      </c>
      <c r="AB818" s="8">
        <v>0</v>
      </c>
      <c r="AC818" s="7">
        <v>2.0449999999999999</v>
      </c>
      <c r="AD818" s="7" t="s">
        <v>1226</v>
      </c>
      <c r="AE818" s="8">
        <v>0</v>
      </c>
      <c r="AF818" s="8">
        <v>0</v>
      </c>
      <c r="AG818" s="8">
        <v>0</v>
      </c>
      <c r="AH818" s="8">
        <v>0</v>
      </c>
      <c r="AI818" s="7" t="s">
        <v>1730</v>
      </c>
      <c r="AJ818" s="7">
        <f t="shared" ca="1" si="187"/>
        <v>2</v>
      </c>
      <c r="AK818" s="100">
        <f>(+AA818*AB818)/$AB$1103</f>
        <v>0</v>
      </c>
      <c r="AL818" s="97">
        <f>AC818/$AE$1103*AE818</f>
        <v>0</v>
      </c>
    </row>
    <row r="819" spans="1:38" x14ac:dyDescent="0.3">
      <c r="A819" s="7" t="s">
        <v>2362</v>
      </c>
      <c r="B819" s="7" t="s">
        <v>1735</v>
      </c>
      <c r="C819" s="7" t="s">
        <v>1769</v>
      </c>
      <c r="D819" s="7" t="s">
        <v>2343</v>
      </c>
      <c r="E819" s="7" t="s">
        <v>1695</v>
      </c>
      <c r="F819" s="36">
        <v>43582</v>
      </c>
      <c r="G819" s="36">
        <v>44677</v>
      </c>
      <c r="H819" s="36">
        <v>44768</v>
      </c>
      <c r="I819" s="36">
        <v>44768</v>
      </c>
      <c r="J819" s="7" t="s">
        <v>1696</v>
      </c>
      <c r="K819" s="8">
        <v>0</v>
      </c>
      <c r="L819" s="8">
        <v>0</v>
      </c>
      <c r="M819" s="8">
        <v>13780.800012</v>
      </c>
      <c r="N819" s="8">
        <v>0</v>
      </c>
      <c r="O819" s="8">
        <v>0</v>
      </c>
      <c r="P819" s="8">
        <v>0</v>
      </c>
      <c r="Q819" s="8">
        <v>0</v>
      </c>
      <c r="R819" s="8">
        <f t="shared" si="186"/>
        <v>13780.800012</v>
      </c>
      <c r="S819" s="8">
        <v>0</v>
      </c>
      <c r="T819" s="8">
        <v>0</v>
      </c>
      <c r="U819" s="8">
        <v>10692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7">
        <v>0</v>
      </c>
      <c r="AB819" s="8">
        <v>0</v>
      </c>
      <c r="AC819" s="7">
        <v>2.0299999999999998</v>
      </c>
      <c r="AD819" s="7" t="s">
        <v>1226</v>
      </c>
      <c r="AE819" s="8">
        <v>0</v>
      </c>
      <c r="AF819" s="8">
        <v>0</v>
      </c>
      <c r="AG819" s="8">
        <v>0</v>
      </c>
      <c r="AH819" s="8">
        <v>0</v>
      </c>
      <c r="AI819" s="7" t="s">
        <v>1730</v>
      </c>
      <c r="AJ819" s="7">
        <f t="shared" ca="1" si="187"/>
        <v>1</v>
      </c>
      <c r="AK819" s="96">
        <f>(+AA819*AB819)/$AB$1102</f>
        <v>0</v>
      </c>
      <c r="AL819" s="97">
        <f>AC819/$AE$1102*AE819</f>
        <v>0</v>
      </c>
    </row>
    <row r="820" spans="1:38" x14ac:dyDescent="0.3">
      <c r="A820" s="7" t="s">
        <v>2362</v>
      </c>
      <c r="B820" s="7" t="s">
        <v>1735</v>
      </c>
      <c r="C820" s="7" t="s">
        <v>1769</v>
      </c>
      <c r="D820" s="7" t="s">
        <v>2343</v>
      </c>
      <c r="E820" s="7" t="s">
        <v>1695</v>
      </c>
      <c r="F820" s="36">
        <v>43582</v>
      </c>
      <c r="G820" s="36">
        <v>44677</v>
      </c>
      <c r="H820" s="36">
        <v>44768</v>
      </c>
      <c r="I820" s="36">
        <v>44768</v>
      </c>
      <c r="J820" s="7" t="s">
        <v>1699</v>
      </c>
      <c r="K820" s="8">
        <v>0</v>
      </c>
      <c r="L820" s="8">
        <v>0</v>
      </c>
      <c r="M820" s="8">
        <v>0</v>
      </c>
      <c r="N820" s="8">
        <v>10692</v>
      </c>
      <c r="O820" s="8">
        <v>0</v>
      </c>
      <c r="P820" s="8">
        <v>0</v>
      </c>
      <c r="Q820" s="8">
        <v>0</v>
      </c>
      <c r="R820" s="8">
        <f t="shared" si="186"/>
        <v>10692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0</v>
      </c>
      <c r="Y820" s="8">
        <v>0</v>
      </c>
      <c r="Z820" s="8">
        <v>0</v>
      </c>
      <c r="AA820" s="7">
        <v>0</v>
      </c>
      <c r="AB820" s="8">
        <v>0</v>
      </c>
      <c r="AC820" s="7">
        <v>2.0299999999999998</v>
      </c>
      <c r="AD820" s="7" t="s">
        <v>1226</v>
      </c>
      <c r="AE820" s="8">
        <v>0</v>
      </c>
      <c r="AF820" s="8">
        <v>0</v>
      </c>
      <c r="AG820" s="8">
        <v>0</v>
      </c>
      <c r="AH820" s="8">
        <v>0</v>
      </c>
      <c r="AI820" s="7" t="s">
        <v>1730</v>
      </c>
      <c r="AJ820" s="7">
        <f t="shared" ca="1" si="187"/>
        <v>2</v>
      </c>
      <c r="AK820" s="100">
        <f>(+AA820*AB820)/$AB$1103</f>
        <v>0</v>
      </c>
      <c r="AL820" s="97">
        <f>AC820/$AE$1103*AE820</f>
        <v>0</v>
      </c>
    </row>
    <row r="821" spans="1:38" x14ac:dyDescent="0.3">
      <c r="A821" s="7" t="s">
        <v>2363</v>
      </c>
      <c r="B821" s="7" t="s">
        <v>1735</v>
      </c>
      <c r="C821" s="7" t="s">
        <v>1756</v>
      </c>
      <c r="E821" s="7" t="s">
        <v>1695</v>
      </c>
      <c r="F821" s="36">
        <v>43221</v>
      </c>
      <c r="G821" s="36">
        <v>44681</v>
      </c>
      <c r="H821" s="36">
        <v>44773</v>
      </c>
      <c r="I821" s="36">
        <v>44773</v>
      </c>
      <c r="J821" s="7" t="s">
        <v>1239</v>
      </c>
      <c r="K821" s="8">
        <v>0</v>
      </c>
      <c r="L821" s="8">
        <v>-1279.6482090009461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f t="shared" si="186"/>
        <v>-1279.6482090009461</v>
      </c>
      <c r="S821" s="8">
        <v>0</v>
      </c>
      <c r="T821" s="8">
        <v>-1113.9457140008319</v>
      </c>
      <c r="U821" s="8">
        <v>0</v>
      </c>
      <c r="V821" s="8">
        <v>-8012.0542860109827</v>
      </c>
      <c r="W821" s="8">
        <v>0</v>
      </c>
      <c r="X821" s="8">
        <v>0</v>
      </c>
      <c r="Y821" s="8">
        <v>0</v>
      </c>
      <c r="Z821" s="8">
        <v>0</v>
      </c>
      <c r="AA821" s="7">
        <v>0</v>
      </c>
      <c r="AB821" s="8">
        <v>0</v>
      </c>
      <c r="AC821" s="7">
        <v>2.0449999999999999</v>
      </c>
      <c r="AD821" s="7" t="s">
        <v>1226</v>
      </c>
      <c r="AE821" s="8">
        <v>0</v>
      </c>
      <c r="AF821" s="8">
        <v>0</v>
      </c>
      <c r="AG821" s="8">
        <v>0</v>
      </c>
      <c r="AH821" s="8">
        <v>0</v>
      </c>
      <c r="AI821" s="7" t="s">
        <v>1730</v>
      </c>
      <c r="AJ821" s="7">
        <f t="shared" ca="1" si="187"/>
        <v>1</v>
      </c>
      <c r="AK821" s="96">
        <f t="shared" si="188"/>
        <v>0</v>
      </c>
      <c r="AL821" s="97">
        <f t="shared" si="189"/>
        <v>0</v>
      </c>
    </row>
    <row r="822" spans="1:38" x14ac:dyDescent="0.3">
      <c r="A822" s="7" t="s">
        <v>2363</v>
      </c>
      <c r="B822" s="7" t="s">
        <v>1735</v>
      </c>
      <c r="C822" s="7" t="s">
        <v>1756</v>
      </c>
      <c r="E822" s="7" t="s">
        <v>1695</v>
      </c>
      <c r="F822" s="36">
        <v>43221</v>
      </c>
      <c r="G822" s="36">
        <v>44681</v>
      </c>
      <c r="H822" s="36">
        <v>44773</v>
      </c>
      <c r="I822" s="36">
        <v>44773</v>
      </c>
      <c r="J822" s="7" t="s">
        <v>1699</v>
      </c>
      <c r="K822" s="8">
        <v>0</v>
      </c>
      <c r="L822" s="8">
        <v>0</v>
      </c>
      <c r="M822" s="8">
        <v>0</v>
      </c>
      <c r="N822" s="8">
        <v>6844.5000000011278</v>
      </c>
      <c r="O822" s="8">
        <v>0</v>
      </c>
      <c r="P822" s="8">
        <v>0</v>
      </c>
      <c r="Q822" s="8">
        <v>0</v>
      </c>
      <c r="R822" s="8">
        <f t="shared" si="186"/>
        <v>6844.5000000011278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7">
        <v>0</v>
      </c>
      <c r="AB822" s="8">
        <v>0</v>
      </c>
      <c r="AC822" s="7">
        <v>2.0449999999999999</v>
      </c>
      <c r="AD822" s="7" t="s">
        <v>1226</v>
      </c>
      <c r="AE822" s="8">
        <v>0</v>
      </c>
      <c r="AF822" s="8">
        <v>0</v>
      </c>
      <c r="AG822" s="8">
        <v>0</v>
      </c>
      <c r="AH822" s="8">
        <v>0</v>
      </c>
      <c r="AI822" s="7" t="s">
        <v>1730</v>
      </c>
      <c r="AJ822" s="7">
        <f t="shared" ca="1" si="187"/>
        <v>2</v>
      </c>
      <c r="AK822" s="100">
        <f>(+AA822*AB822)/$AB$1103</f>
        <v>0</v>
      </c>
      <c r="AL822" s="97">
        <f>AC822/$AE$1103*AE822</f>
        <v>0</v>
      </c>
    </row>
    <row r="823" spans="1:38" x14ac:dyDescent="0.3">
      <c r="A823" s="7" t="s">
        <v>2364</v>
      </c>
      <c r="B823" s="7" t="s">
        <v>1735</v>
      </c>
      <c r="C823" s="7" t="s">
        <v>1769</v>
      </c>
      <c r="E823" s="7" t="s">
        <v>1695</v>
      </c>
      <c r="F823" s="36">
        <v>43600</v>
      </c>
      <c r="G823" s="36">
        <v>44695</v>
      </c>
      <c r="H823" s="36">
        <v>44787</v>
      </c>
      <c r="I823" s="36">
        <v>44787</v>
      </c>
      <c r="J823" s="7" t="s">
        <v>1239</v>
      </c>
      <c r="K823" s="8">
        <v>52752.187594000003</v>
      </c>
      <c r="L823" s="8">
        <v>160.659415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f t="shared" si="186"/>
        <v>52912.847009000005</v>
      </c>
      <c r="S823" s="8">
        <v>0</v>
      </c>
      <c r="T823" s="8">
        <v>205.75456299999999</v>
      </c>
      <c r="U823" s="8">
        <v>0</v>
      </c>
      <c r="V823" s="8">
        <v>48610.245456999997</v>
      </c>
      <c r="W823" s="8">
        <v>0</v>
      </c>
      <c r="X823" s="8">
        <v>0</v>
      </c>
      <c r="Y823" s="8">
        <v>0</v>
      </c>
      <c r="Z823" s="8">
        <v>0</v>
      </c>
      <c r="AA823" s="7">
        <v>0</v>
      </c>
      <c r="AB823" s="8">
        <v>0</v>
      </c>
      <c r="AC823" s="7">
        <v>2.0299999999999998</v>
      </c>
      <c r="AD823" s="7" t="s">
        <v>1226</v>
      </c>
      <c r="AE823" s="8">
        <v>0</v>
      </c>
      <c r="AF823" s="8">
        <v>0</v>
      </c>
      <c r="AG823" s="8">
        <v>0</v>
      </c>
      <c r="AH823" s="8">
        <v>0</v>
      </c>
      <c r="AI823" s="7" t="s">
        <v>1730</v>
      </c>
      <c r="AJ823" s="7">
        <f t="shared" ca="1" si="187"/>
        <v>1</v>
      </c>
      <c r="AK823" s="96">
        <f t="shared" si="188"/>
        <v>0</v>
      </c>
      <c r="AL823" s="97">
        <f t="shared" si="189"/>
        <v>0</v>
      </c>
    </row>
    <row r="824" spans="1:38" x14ac:dyDescent="0.3">
      <c r="A824" s="7" t="s">
        <v>2364</v>
      </c>
      <c r="B824" s="7" t="s">
        <v>1735</v>
      </c>
      <c r="C824" s="7" t="s">
        <v>1769</v>
      </c>
      <c r="E824" s="7" t="s">
        <v>1695</v>
      </c>
      <c r="F824" s="36">
        <v>43600</v>
      </c>
      <c r="G824" s="36">
        <v>44695</v>
      </c>
      <c r="H824" s="36">
        <v>44787</v>
      </c>
      <c r="I824" s="36">
        <v>44787</v>
      </c>
      <c r="J824" s="7" t="s">
        <v>1699</v>
      </c>
      <c r="K824" s="8">
        <v>0</v>
      </c>
      <c r="L824" s="8">
        <v>0</v>
      </c>
      <c r="M824" s="8">
        <v>0</v>
      </c>
      <c r="N824" s="8">
        <v>36612.000006000002</v>
      </c>
      <c r="O824" s="8">
        <v>0</v>
      </c>
      <c r="P824" s="8">
        <v>0</v>
      </c>
      <c r="Q824" s="8">
        <v>0</v>
      </c>
      <c r="R824" s="8">
        <f t="shared" si="186"/>
        <v>36612.000006000002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7">
        <v>0</v>
      </c>
      <c r="AB824" s="8">
        <v>0</v>
      </c>
      <c r="AC824" s="7">
        <v>2.0299999999999998</v>
      </c>
      <c r="AD824" s="7" t="s">
        <v>1226</v>
      </c>
      <c r="AE824" s="8">
        <v>0</v>
      </c>
      <c r="AF824" s="8">
        <v>0</v>
      </c>
      <c r="AG824" s="8">
        <v>0</v>
      </c>
      <c r="AH824" s="8">
        <v>0</v>
      </c>
      <c r="AI824" s="7" t="s">
        <v>1730</v>
      </c>
      <c r="AJ824" s="7">
        <f t="shared" ca="1" si="187"/>
        <v>2</v>
      </c>
      <c r="AK824" s="100">
        <f>(+AA824*AB824)/$AB$1103</f>
        <v>0</v>
      </c>
      <c r="AL824" s="97">
        <f>AC824/$AE$1103*AE824</f>
        <v>0</v>
      </c>
    </row>
    <row r="825" spans="1:38" x14ac:dyDescent="0.3">
      <c r="A825" s="7" t="s">
        <v>2365</v>
      </c>
      <c r="B825" s="7" t="s">
        <v>1735</v>
      </c>
      <c r="C825" s="7" t="s">
        <v>1756</v>
      </c>
      <c r="E825" s="7" t="s">
        <v>1695</v>
      </c>
      <c r="F825" s="36">
        <v>42880</v>
      </c>
      <c r="G825" s="36">
        <v>44705</v>
      </c>
      <c r="H825" s="36">
        <v>44766</v>
      </c>
      <c r="I825" s="36">
        <v>44766</v>
      </c>
      <c r="J825" s="7" t="s">
        <v>1239</v>
      </c>
      <c r="K825" s="8">
        <v>0</v>
      </c>
      <c r="L825" s="8">
        <v>-41352.391736030411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f t="shared" si="186"/>
        <v>-41352.391736030411</v>
      </c>
      <c r="S825" s="8">
        <v>0</v>
      </c>
      <c r="T825" s="8">
        <v>-40914.308320030119</v>
      </c>
      <c r="U825" s="8">
        <v>0</v>
      </c>
      <c r="V825" s="8">
        <v>-360557.69168031961</v>
      </c>
      <c r="W825" s="8">
        <v>0</v>
      </c>
      <c r="X825" s="8">
        <v>0</v>
      </c>
      <c r="Y825" s="8">
        <v>0</v>
      </c>
      <c r="Z825" s="8">
        <v>0</v>
      </c>
      <c r="AA825" s="7">
        <v>0</v>
      </c>
      <c r="AB825" s="8">
        <v>0</v>
      </c>
      <c r="AC825" s="7">
        <v>2.181667</v>
      </c>
      <c r="AD825" s="7" t="s">
        <v>1226</v>
      </c>
      <c r="AE825" s="8">
        <v>0</v>
      </c>
      <c r="AF825" s="8">
        <v>0</v>
      </c>
      <c r="AG825" s="8">
        <v>0</v>
      </c>
      <c r="AH825" s="8">
        <v>0</v>
      </c>
      <c r="AI825" s="7" t="s">
        <v>1877</v>
      </c>
      <c r="AJ825" s="7">
        <f t="shared" ca="1" si="187"/>
        <v>1</v>
      </c>
      <c r="AK825" s="96">
        <f t="shared" si="188"/>
        <v>0</v>
      </c>
      <c r="AL825" s="97">
        <f t="shared" si="189"/>
        <v>0</v>
      </c>
    </row>
    <row r="826" spans="1:38" x14ac:dyDescent="0.3">
      <c r="A826" s="7" t="s">
        <v>2365</v>
      </c>
      <c r="B826" s="7" t="s">
        <v>1735</v>
      </c>
      <c r="C826" s="7" t="s">
        <v>1756</v>
      </c>
      <c r="E826" s="7" t="s">
        <v>1695</v>
      </c>
      <c r="F826" s="36">
        <v>42880</v>
      </c>
      <c r="G826" s="36">
        <v>44705</v>
      </c>
      <c r="H826" s="36">
        <v>44766</v>
      </c>
      <c r="I826" s="36">
        <v>44766</v>
      </c>
      <c r="J826" s="7" t="s">
        <v>1699</v>
      </c>
      <c r="K826" s="8">
        <v>0</v>
      </c>
      <c r="L826" s="8">
        <v>0</v>
      </c>
      <c r="M826" s="8">
        <v>0</v>
      </c>
      <c r="N826" s="8">
        <v>50184.000000008265</v>
      </c>
      <c r="O826" s="8">
        <v>0</v>
      </c>
      <c r="P826" s="8">
        <v>0</v>
      </c>
      <c r="Q826" s="8">
        <v>0</v>
      </c>
      <c r="R826" s="8">
        <f t="shared" si="186"/>
        <v>50184.000000008265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7">
        <v>0</v>
      </c>
      <c r="AB826" s="8">
        <v>0</v>
      </c>
      <c r="AC826" s="7">
        <v>2.181667</v>
      </c>
      <c r="AD826" s="7" t="s">
        <v>1226</v>
      </c>
      <c r="AE826" s="8">
        <v>0</v>
      </c>
      <c r="AF826" s="8">
        <v>0</v>
      </c>
      <c r="AG826" s="8">
        <v>0</v>
      </c>
      <c r="AH826" s="8">
        <v>0</v>
      </c>
      <c r="AI826" s="7" t="s">
        <v>1877</v>
      </c>
      <c r="AJ826" s="7">
        <f t="shared" ca="1" si="187"/>
        <v>2</v>
      </c>
      <c r="AK826" s="100">
        <f>(+AA826*AB826)/$AB$1103</f>
        <v>0</v>
      </c>
      <c r="AL826" s="97">
        <f>AC826/$AE$1103*AE826</f>
        <v>0</v>
      </c>
    </row>
    <row r="827" spans="1:38" x14ac:dyDescent="0.3">
      <c r="A827" s="7" t="s">
        <v>2366</v>
      </c>
      <c r="B827" s="7" t="s">
        <v>1735</v>
      </c>
      <c r="C827" s="7" t="s">
        <v>1756</v>
      </c>
      <c r="D827" s="7" t="s">
        <v>2200</v>
      </c>
      <c r="E827" s="7" t="s">
        <v>1695</v>
      </c>
      <c r="F827" s="36">
        <v>43510</v>
      </c>
      <c r="G827" s="36">
        <v>44970</v>
      </c>
      <c r="H827" s="36">
        <v>44786</v>
      </c>
      <c r="I827" s="36">
        <v>44786</v>
      </c>
      <c r="J827" s="7" t="s">
        <v>1239</v>
      </c>
      <c r="K827" s="8">
        <v>11692.585507805574</v>
      </c>
      <c r="L827" s="8">
        <v>351.11667000006003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f t="shared" si="186"/>
        <v>12043.702177805633</v>
      </c>
      <c r="S827" s="8">
        <v>0</v>
      </c>
      <c r="T827" s="8">
        <v>358.85399500006099</v>
      </c>
      <c r="U827" s="8">
        <v>0</v>
      </c>
      <c r="V827" s="8">
        <v>20903.646005003444</v>
      </c>
      <c r="W827" s="8">
        <v>0</v>
      </c>
      <c r="X827" s="8">
        <v>0</v>
      </c>
      <c r="Y827" s="8">
        <v>0</v>
      </c>
      <c r="Z827" s="8">
        <v>-9526.5470080912237</v>
      </c>
      <c r="AA827" s="7">
        <v>0</v>
      </c>
      <c r="AB827" s="8">
        <v>0</v>
      </c>
      <c r="AC827" s="7">
        <v>2.0449999999999999</v>
      </c>
      <c r="AD827" s="7" t="s">
        <v>1226</v>
      </c>
      <c r="AE827" s="8">
        <v>0</v>
      </c>
      <c r="AF827" s="8">
        <v>0</v>
      </c>
      <c r="AG827" s="8">
        <v>0</v>
      </c>
      <c r="AH827" s="8">
        <v>0</v>
      </c>
      <c r="AI827" s="7" t="s">
        <v>1730</v>
      </c>
      <c r="AJ827" s="7">
        <f t="shared" ca="1" si="187"/>
        <v>1</v>
      </c>
      <c r="AK827" s="96">
        <f t="shared" si="188"/>
        <v>0</v>
      </c>
      <c r="AL827" s="97">
        <f t="shared" si="189"/>
        <v>0</v>
      </c>
    </row>
    <row r="828" spans="1:38" x14ac:dyDescent="0.3">
      <c r="A828" s="7" t="s">
        <v>2367</v>
      </c>
      <c r="B828" s="7" t="s">
        <v>1735</v>
      </c>
      <c r="C828" s="7" t="s">
        <v>1769</v>
      </c>
      <c r="D828" s="7" t="s">
        <v>2191</v>
      </c>
      <c r="E828" s="7" t="s">
        <v>1695</v>
      </c>
      <c r="F828" s="36">
        <v>43252</v>
      </c>
      <c r="G828" s="36">
        <v>44712</v>
      </c>
      <c r="H828" s="36">
        <v>44773</v>
      </c>
      <c r="I828" s="36">
        <v>44773</v>
      </c>
      <c r="J828" s="7" t="s">
        <v>1239</v>
      </c>
      <c r="K828" s="8">
        <v>56567.014768000001</v>
      </c>
      <c r="L828" s="8">
        <v>199.932772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f t="shared" si="186"/>
        <v>56766.947540000001</v>
      </c>
      <c r="S828" s="8">
        <v>0</v>
      </c>
      <c r="T828" s="8">
        <v>299.72923200000002</v>
      </c>
      <c r="U828" s="8">
        <v>0</v>
      </c>
      <c r="V828" s="8">
        <v>58560.270768000002</v>
      </c>
      <c r="W828" s="8">
        <v>0</v>
      </c>
      <c r="X828" s="8">
        <v>0</v>
      </c>
      <c r="Y828" s="8">
        <v>0</v>
      </c>
      <c r="Z828" s="8">
        <v>0</v>
      </c>
      <c r="AA828" s="7">
        <v>0</v>
      </c>
      <c r="AB828" s="8">
        <v>0</v>
      </c>
      <c r="AC828" s="7">
        <v>2.0449999999999999</v>
      </c>
      <c r="AD828" s="7" t="s">
        <v>1226</v>
      </c>
      <c r="AE828" s="8">
        <v>0</v>
      </c>
      <c r="AF828" s="8">
        <v>0</v>
      </c>
      <c r="AG828" s="8">
        <v>0</v>
      </c>
      <c r="AH828" s="8">
        <v>0</v>
      </c>
      <c r="AI828" s="7" t="s">
        <v>1730</v>
      </c>
      <c r="AJ828" s="7">
        <f t="shared" ca="1" si="187"/>
        <v>1</v>
      </c>
      <c r="AK828" s="96">
        <f t="shared" si="188"/>
        <v>0</v>
      </c>
      <c r="AL828" s="97">
        <f t="shared" si="189"/>
        <v>0</v>
      </c>
    </row>
    <row r="829" spans="1:38" x14ac:dyDescent="0.3">
      <c r="A829" s="7" t="s">
        <v>2367</v>
      </c>
      <c r="B829" s="7" t="s">
        <v>1735</v>
      </c>
      <c r="C829" s="7" t="s">
        <v>1769</v>
      </c>
      <c r="D829" s="7" t="s">
        <v>2191</v>
      </c>
      <c r="E829" s="7" t="s">
        <v>1695</v>
      </c>
      <c r="F829" s="36">
        <v>43252</v>
      </c>
      <c r="G829" s="36">
        <v>44712</v>
      </c>
      <c r="H829" s="36">
        <v>44773</v>
      </c>
      <c r="I829" s="36">
        <v>44773</v>
      </c>
      <c r="J829" s="7" t="s">
        <v>1699</v>
      </c>
      <c r="K829" s="8">
        <v>0</v>
      </c>
      <c r="L829" s="8">
        <v>0</v>
      </c>
      <c r="M829" s="8">
        <v>0</v>
      </c>
      <c r="N829" s="8">
        <v>23544</v>
      </c>
      <c r="O829" s="8">
        <v>0</v>
      </c>
      <c r="P829" s="8">
        <v>0</v>
      </c>
      <c r="Q829" s="8">
        <v>0</v>
      </c>
      <c r="R829" s="8">
        <f t="shared" si="186"/>
        <v>23544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7">
        <v>0</v>
      </c>
      <c r="AB829" s="8">
        <v>0</v>
      </c>
      <c r="AC829" s="7">
        <v>2.0449999999999999</v>
      </c>
      <c r="AD829" s="7" t="s">
        <v>1226</v>
      </c>
      <c r="AE829" s="8">
        <v>0</v>
      </c>
      <c r="AF829" s="8">
        <v>0</v>
      </c>
      <c r="AG829" s="8">
        <v>0</v>
      </c>
      <c r="AH829" s="8">
        <v>0</v>
      </c>
      <c r="AI829" s="7" t="s">
        <v>1730</v>
      </c>
      <c r="AJ829" s="7">
        <f t="shared" ca="1" si="187"/>
        <v>2</v>
      </c>
      <c r="AK829" s="100">
        <f>(+AA829*AB829)/$AB$1103</f>
        <v>0</v>
      </c>
      <c r="AL829" s="97">
        <f>AC829/$AE$1103*AE829</f>
        <v>0</v>
      </c>
    </row>
    <row r="830" spans="1:38" x14ac:dyDescent="0.3">
      <c r="A830" s="7" t="s">
        <v>2368</v>
      </c>
      <c r="B830" s="7" t="s">
        <v>1735</v>
      </c>
      <c r="C830" s="7" t="s">
        <v>1756</v>
      </c>
      <c r="D830" s="7" t="s">
        <v>1324</v>
      </c>
      <c r="E830" s="7" t="s">
        <v>1695</v>
      </c>
      <c r="F830" s="36">
        <v>43621</v>
      </c>
      <c r="G830" s="36">
        <v>45081</v>
      </c>
      <c r="H830" s="36">
        <v>44773</v>
      </c>
      <c r="I830" s="36">
        <v>44773</v>
      </c>
      <c r="J830" s="7" t="s">
        <v>1239</v>
      </c>
      <c r="K830" s="8">
        <v>15738.542679004308</v>
      </c>
      <c r="L830" s="8">
        <v>670.42779300011102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f t="shared" si="186"/>
        <v>16408.970472004417</v>
      </c>
      <c r="S830" s="8">
        <v>0</v>
      </c>
      <c r="T830" s="8">
        <v>714.39215400011994</v>
      </c>
      <c r="U830" s="8">
        <v>0</v>
      </c>
      <c r="V830" s="8">
        <v>29620.107846004874</v>
      </c>
      <c r="W830" s="8">
        <v>0</v>
      </c>
      <c r="X830" s="8">
        <v>0</v>
      </c>
      <c r="Y830" s="8">
        <v>0</v>
      </c>
      <c r="Z830" s="8">
        <v>-22783.425352209371</v>
      </c>
      <c r="AA830" s="7">
        <v>0</v>
      </c>
      <c r="AB830" s="8">
        <v>0</v>
      </c>
      <c r="AC830" s="7">
        <v>2.0449999999999999</v>
      </c>
      <c r="AD830" s="7" t="s">
        <v>1226</v>
      </c>
      <c r="AE830" s="8">
        <v>0</v>
      </c>
      <c r="AF830" s="8">
        <v>0</v>
      </c>
      <c r="AG830" s="8">
        <v>0</v>
      </c>
      <c r="AH830" s="8">
        <v>0</v>
      </c>
      <c r="AI830" s="7" t="s">
        <v>1730</v>
      </c>
      <c r="AJ830" s="7">
        <f t="shared" ca="1" si="187"/>
        <v>1</v>
      </c>
      <c r="AK830" s="96">
        <f t="shared" si="188"/>
        <v>0</v>
      </c>
      <c r="AL830" s="97">
        <f t="shared" si="189"/>
        <v>0</v>
      </c>
    </row>
    <row r="831" spans="1:38" x14ac:dyDescent="0.3">
      <c r="A831" s="7" t="s">
        <v>2369</v>
      </c>
      <c r="B831" s="7" t="s">
        <v>1735</v>
      </c>
      <c r="C831" s="7" t="s">
        <v>1769</v>
      </c>
      <c r="D831" s="7" t="s">
        <v>2198</v>
      </c>
      <c r="E831" s="7" t="s">
        <v>1695</v>
      </c>
      <c r="F831" s="36">
        <v>43631</v>
      </c>
      <c r="G831" s="36">
        <v>44726</v>
      </c>
      <c r="H831" s="36">
        <v>44773</v>
      </c>
      <c r="I831" s="36">
        <v>44773</v>
      </c>
      <c r="J831" s="7" t="s">
        <v>1696</v>
      </c>
      <c r="K831" s="8">
        <v>0</v>
      </c>
      <c r="L831" s="8">
        <v>0</v>
      </c>
      <c r="M831" s="8">
        <v>18154.800048000001</v>
      </c>
      <c r="N831" s="8">
        <v>0</v>
      </c>
      <c r="O831" s="8">
        <v>0</v>
      </c>
      <c r="P831" s="8">
        <v>0</v>
      </c>
      <c r="Q831" s="8">
        <v>0</v>
      </c>
      <c r="R831" s="8">
        <f t="shared" si="186"/>
        <v>18154.800048000001</v>
      </c>
      <c r="S831" s="8">
        <v>0</v>
      </c>
      <c r="T831" s="8">
        <v>0</v>
      </c>
      <c r="U831" s="8">
        <v>16605.000007999999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7">
        <v>0</v>
      </c>
      <c r="AB831" s="8">
        <v>0</v>
      </c>
      <c r="AC831" s="7">
        <v>2.0299999999999998</v>
      </c>
      <c r="AD831" s="7" t="s">
        <v>1226</v>
      </c>
      <c r="AE831" s="8">
        <v>0</v>
      </c>
      <c r="AF831" s="8">
        <v>0</v>
      </c>
      <c r="AG831" s="8">
        <v>0</v>
      </c>
      <c r="AH831" s="8">
        <v>0</v>
      </c>
      <c r="AI831" s="7" t="s">
        <v>1730</v>
      </c>
      <c r="AJ831" s="7">
        <f t="shared" ca="1" si="187"/>
        <v>1</v>
      </c>
      <c r="AK831" s="96">
        <f>(+AA831*AB831)/$AB$1102</f>
        <v>0</v>
      </c>
      <c r="AL831" s="97">
        <f>AC831/$AE$1102*AE831</f>
        <v>0</v>
      </c>
    </row>
    <row r="832" spans="1:38" x14ac:dyDescent="0.3">
      <c r="A832" s="7" t="s">
        <v>2369</v>
      </c>
      <c r="B832" s="7" t="s">
        <v>1735</v>
      </c>
      <c r="C832" s="7" t="s">
        <v>1769</v>
      </c>
      <c r="D832" s="7" t="s">
        <v>2198</v>
      </c>
      <c r="E832" s="7" t="s">
        <v>1695</v>
      </c>
      <c r="F832" s="36">
        <v>43631</v>
      </c>
      <c r="G832" s="36">
        <v>44726</v>
      </c>
      <c r="H832" s="36">
        <v>44773</v>
      </c>
      <c r="I832" s="36">
        <v>44773</v>
      </c>
      <c r="J832" s="7" t="s">
        <v>1699</v>
      </c>
      <c r="K832" s="8">
        <v>0</v>
      </c>
      <c r="L832" s="8">
        <v>0</v>
      </c>
      <c r="M832" s="8">
        <v>0</v>
      </c>
      <c r="N832" s="8">
        <v>6642.0000019999998</v>
      </c>
      <c r="O832" s="8">
        <v>0</v>
      </c>
      <c r="P832" s="8">
        <v>0</v>
      </c>
      <c r="Q832" s="8">
        <v>0</v>
      </c>
      <c r="R832" s="8">
        <f t="shared" si="186"/>
        <v>6642.0000019999998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7">
        <v>0</v>
      </c>
      <c r="AB832" s="8">
        <v>0</v>
      </c>
      <c r="AC832" s="7">
        <v>2.0299999999999998</v>
      </c>
      <c r="AD832" s="7" t="s">
        <v>1226</v>
      </c>
      <c r="AE832" s="8">
        <v>0</v>
      </c>
      <c r="AF832" s="8">
        <v>0</v>
      </c>
      <c r="AG832" s="8">
        <v>0</v>
      </c>
      <c r="AH832" s="8">
        <v>0</v>
      </c>
      <c r="AI832" s="7" t="s">
        <v>1730</v>
      </c>
      <c r="AJ832" s="7">
        <f t="shared" ca="1" si="187"/>
        <v>2</v>
      </c>
      <c r="AK832" s="100">
        <f>(+AA832*AB832)/$AB$1103</f>
        <v>0</v>
      </c>
      <c r="AL832" s="97">
        <f>AC832/$AE$1103*AE832</f>
        <v>0</v>
      </c>
    </row>
    <row r="833" spans="1:38" x14ac:dyDescent="0.3">
      <c r="A833" s="7" t="s">
        <v>2370</v>
      </c>
      <c r="B833" s="7" t="s">
        <v>1735</v>
      </c>
      <c r="C833" s="7" t="s">
        <v>1756</v>
      </c>
      <c r="D833" s="7" t="s">
        <v>2193</v>
      </c>
      <c r="E833" s="7" t="s">
        <v>1695</v>
      </c>
      <c r="F833" s="36">
        <v>43282</v>
      </c>
      <c r="G833" s="36">
        <v>44742</v>
      </c>
      <c r="H833" s="36">
        <v>44773</v>
      </c>
      <c r="I833" s="36">
        <v>44773</v>
      </c>
      <c r="J833" s="7" t="s">
        <v>1239</v>
      </c>
      <c r="K833" s="8">
        <v>0</v>
      </c>
      <c r="L833" s="8">
        <v>-1363.826915001041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f t="shared" si="186"/>
        <v>-1363.826915001041</v>
      </c>
      <c r="S833" s="8">
        <v>0</v>
      </c>
      <c r="T833" s="8">
        <v>-1101.9353599896569</v>
      </c>
      <c r="U833" s="8">
        <v>0</v>
      </c>
      <c r="V833" s="8">
        <v>1101.9353599896569</v>
      </c>
      <c r="W833" s="8">
        <v>0</v>
      </c>
      <c r="X833" s="8">
        <v>0</v>
      </c>
      <c r="Y833" s="8">
        <v>0</v>
      </c>
      <c r="Z833" s="8">
        <v>0</v>
      </c>
      <c r="AA833" s="7">
        <v>0</v>
      </c>
      <c r="AB833" s="8">
        <v>0</v>
      </c>
      <c r="AC833" s="7">
        <v>2.0449999999999999</v>
      </c>
      <c r="AD833" s="7" t="s">
        <v>1226</v>
      </c>
      <c r="AE833" s="8">
        <v>0</v>
      </c>
      <c r="AF833" s="8">
        <v>0</v>
      </c>
      <c r="AG833" s="8">
        <v>0</v>
      </c>
      <c r="AH833" s="8">
        <v>0</v>
      </c>
      <c r="AI833" s="7" t="s">
        <v>1730</v>
      </c>
      <c r="AJ833" s="7">
        <f t="shared" ca="1" si="187"/>
        <v>1</v>
      </c>
      <c r="AK833" s="96">
        <f t="shared" si="188"/>
        <v>0</v>
      </c>
      <c r="AL833" s="97">
        <f t="shared" si="189"/>
        <v>0</v>
      </c>
    </row>
    <row r="834" spans="1:38" x14ac:dyDescent="0.3">
      <c r="A834" s="7" t="s">
        <v>2370</v>
      </c>
      <c r="B834" s="7" t="s">
        <v>1735</v>
      </c>
      <c r="C834" s="7" t="s">
        <v>1756</v>
      </c>
      <c r="D834" s="7" t="s">
        <v>2193</v>
      </c>
      <c r="E834" s="7" t="s">
        <v>1695</v>
      </c>
      <c r="F834" s="36">
        <v>43282</v>
      </c>
      <c r="G834" s="36">
        <v>44742</v>
      </c>
      <c r="H834" s="36">
        <v>44773</v>
      </c>
      <c r="I834" s="36">
        <v>44773</v>
      </c>
      <c r="J834" s="7" t="s">
        <v>1699</v>
      </c>
      <c r="K834" s="8">
        <v>0</v>
      </c>
      <c r="L834" s="8">
        <v>0</v>
      </c>
      <c r="M834" s="8">
        <v>0</v>
      </c>
      <c r="N834" s="8">
        <v>3307.5000000005448</v>
      </c>
      <c r="O834" s="8">
        <v>0</v>
      </c>
      <c r="P834" s="8">
        <v>0</v>
      </c>
      <c r="Q834" s="8">
        <v>0</v>
      </c>
      <c r="R834" s="8">
        <f t="shared" si="186"/>
        <v>3307.5000000005448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7">
        <v>0</v>
      </c>
      <c r="AB834" s="8">
        <v>0</v>
      </c>
      <c r="AC834" s="7">
        <v>2.0449999999999999</v>
      </c>
      <c r="AD834" s="7" t="s">
        <v>1226</v>
      </c>
      <c r="AE834" s="8">
        <v>0</v>
      </c>
      <c r="AF834" s="8">
        <v>0</v>
      </c>
      <c r="AG834" s="8">
        <v>0</v>
      </c>
      <c r="AH834" s="8">
        <v>0</v>
      </c>
      <c r="AI834" s="7" t="s">
        <v>1730</v>
      </c>
      <c r="AJ834" s="7">
        <f t="shared" ca="1" si="187"/>
        <v>2</v>
      </c>
      <c r="AK834" s="100">
        <f>(+AA834*AB834)/$AB$1103</f>
        <v>0</v>
      </c>
      <c r="AL834" s="97">
        <f>AC834/$AE$1103*AE834</f>
        <v>0</v>
      </c>
    </row>
    <row r="835" spans="1:38" x14ac:dyDescent="0.3">
      <c r="A835" s="7" t="s">
        <v>2371</v>
      </c>
      <c r="B835" s="7" t="s">
        <v>1735</v>
      </c>
      <c r="C835" s="7" t="s">
        <v>1769</v>
      </c>
      <c r="D835" s="7" t="s">
        <v>2200</v>
      </c>
      <c r="E835" s="7" t="s">
        <v>1695</v>
      </c>
      <c r="F835" s="36">
        <v>43650</v>
      </c>
      <c r="G835" s="36">
        <v>44745</v>
      </c>
      <c r="H835" s="36">
        <v>44773</v>
      </c>
      <c r="I835" s="36">
        <v>44773</v>
      </c>
      <c r="J835" s="7" t="s">
        <v>1239</v>
      </c>
      <c r="K835" s="8">
        <v>27492.434851999999</v>
      </c>
      <c r="L835" s="8">
        <v>121.912644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f t="shared" ref="R835:R898" si="190">K835+L835+M835+N835+O835+P835+Q835</f>
        <v>27614.347495999999</v>
      </c>
      <c r="S835" s="8">
        <v>0</v>
      </c>
      <c r="T835" s="8">
        <v>164.23669200000001</v>
      </c>
      <c r="U835" s="8">
        <v>0</v>
      </c>
      <c r="V835" s="8">
        <v>27699.763308000001</v>
      </c>
      <c r="W835" s="8">
        <v>0</v>
      </c>
      <c r="X835" s="8">
        <v>0</v>
      </c>
      <c r="Y835" s="8">
        <v>0</v>
      </c>
      <c r="Z835" s="8">
        <v>0</v>
      </c>
      <c r="AA835" s="7">
        <v>0</v>
      </c>
      <c r="AB835" s="8">
        <v>0</v>
      </c>
      <c r="AC835" s="7">
        <v>2.0299999999999998</v>
      </c>
      <c r="AD835" s="7" t="s">
        <v>1226</v>
      </c>
      <c r="AE835" s="8">
        <v>0</v>
      </c>
      <c r="AF835" s="8">
        <v>0</v>
      </c>
      <c r="AG835" s="8">
        <v>0</v>
      </c>
      <c r="AH835" s="8">
        <v>0</v>
      </c>
      <c r="AI835" s="7" t="s">
        <v>1730</v>
      </c>
      <c r="AJ835" s="7">
        <f t="shared" ref="AJ835:AJ898" ca="1" si="191">IF(A835=OFFSET(A835,-1,0),OFFSET(AJ835,-1,0)+1,1)</f>
        <v>1</v>
      </c>
      <c r="AK835" s="96">
        <f t="shared" si="188"/>
        <v>0</v>
      </c>
      <c r="AL835" s="97">
        <f t="shared" si="189"/>
        <v>0</v>
      </c>
    </row>
    <row r="836" spans="1:38" x14ac:dyDescent="0.3">
      <c r="A836" s="7" t="s">
        <v>2371</v>
      </c>
      <c r="B836" s="7" t="s">
        <v>1735</v>
      </c>
      <c r="C836" s="7" t="s">
        <v>1769</v>
      </c>
      <c r="D836" s="7" t="s">
        <v>2200</v>
      </c>
      <c r="E836" s="7" t="s">
        <v>1695</v>
      </c>
      <c r="F836" s="36">
        <v>43650</v>
      </c>
      <c r="G836" s="36">
        <v>44745</v>
      </c>
      <c r="H836" s="36">
        <v>44773</v>
      </c>
      <c r="I836" s="36">
        <v>44773</v>
      </c>
      <c r="J836" s="7" t="s">
        <v>1699</v>
      </c>
      <c r="K836" s="8">
        <v>0</v>
      </c>
      <c r="L836" s="8">
        <v>0</v>
      </c>
      <c r="M836" s="8">
        <v>0</v>
      </c>
      <c r="N836" s="8">
        <v>4644</v>
      </c>
      <c r="O836" s="8">
        <v>0</v>
      </c>
      <c r="P836" s="8">
        <v>0</v>
      </c>
      <c r="Q836" s="8">
        <v>0</v>
      </c>
      <c r="R836" s="8">
        <f t="shared" si="190"/>
        <v>4644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7">
        <v>0</v>
      </c>
      <c r="AB836" s="8">
        <v>0</v>
      </c>
      <c r="AC836" s="7">
        <v>2.0299999999999998</v>
      </c>
      <c r="AD836" s="7" t="s">
        <v>1226</v>
      </c>
      <c r="AE836" s="8">
        <v>0</v>
      </c>
      <c r="AF836" s="8">
        <v>0</v>
      </c>
      <c r="AG836" s="8">
        <v>0</v>
      </c>
      <c r="AH836" s="8">
        <v>0</v>
      </c>
      <c r="AI836" s="7" t="s">
        <v>1730</v>
      </c>
      <c r="AJ836" s="7">
        <f t="shared" ca="1" si="191"/>
        <v>2</v>
      </c>
      <c r="AK836" s="100">
        <f>(+AA836*AB836)/$AB$1103</f>
        <v>0</v>
      </c>
      <c r="AL836" s="97">
        <f>AC836/$AE$1103*AE836</f>
        <v>0</v>
      </c>
    </row>
    <row r="837" spans="1:38" x14ac:dyDescent="0.3">
      <c r="A837" s="7" t="s">
        <v>2372</v>
      </c>
      <c r="B837" s="7" t="s">
        <v>1735</v>
      </c>
      <c r="C837" s="7" t="s">
        <v>1756</v>
      </c>
      <c r="D837" s="7" t="s">
        <v>2202</v>
      </c>
      <c r="E837" s="7" t="s">
        <v>1695</v>
      </c>
      <c r="F837" s="36">
        <v>43661</v>
      </c>
      <c r="G837" s="36">
        <v>45121</v>
      </c>
      <c r="H837" s="36">
        <v>44773</v>
      </c>
      <c r="I837" s="36">
        <v>44773</v>
      </c>
      <c r="J837" s="7" t="s">
        <v>1239</v>
      </c>
      <c r="K837" s="8">
        <v>7795.7325735492605</v>
      </c>
      <c r="L837" s="8">
        <v>365.13022800006098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f t="shared" si="190"/>
        <v>8160.8628015493214</v>
      </c>
      <c r="S837" s="8">
        <v>0</v>
      </c>
      <c r="T837" s="8">
        <v>378.818181000057</v>
      </c>
      <c r="U837" s="8">
        <v>0</v>
      </c>
      <c r="V837" s="8">
        <v>14646.681819002411</v>
      </c>
      <c r="W837" s="8">
        <v>0</v>
      </c>
      <c r="X837" s="8">
        <v>0</v>
      </c>
      <c r="Y837" s="8">
        <v>0</v>
      </c>
      <c r="Z837" s="8">
        <v>-12753.384099758308</v>
      </c>
      <c r="AA837" s="7">
        <v>0</v>
      </c>
      <c r="AB837" s="8">
        <v>0</v>
      </c>
      <c r="AC837" s="7">
        <v>2.0449999999999999</v>
      </c>
      <c r="AD837" s="7" t="s">
        <v>1226</v>
      </c>
      <c r="AE837" s="8">
        <v>0</v>
      </c>
      <c r="AF837" s="8">
        <v>0</v>
      </c>
      <c r="AG837" s="8">
        <v>0</v>
      </c>
      <c r="AH837" s="8">
        <v>0</v>
      </c>
      <c r="AI837" s="7" t="s">
        <v>1730</v>
      </c>
      <c r="AJ837" s="7">
        <f t="shared" ca="1" si="191"/>
        <v>1</v>
      </c>
      <c r="AK837" s="96">
        <f t="shared" ref="AK837:AK898" si="192">(+AA837*AB837)/$AB$1101</f>
        <v>0</v>
      </c>
      <c r="AL837" s="97">
        <f t="shared" ref="AL837:AL898" si="193">AC837/$AE$1101*AE837</f>
        <v>0</v>
      </c>
    </row>
    <row r="838" spans="1:38" x14ac:dyDescent="0.3">
      <c r="A838" s="7" t="s">
        <v>2373</v>
      </c>
      <c r="B838" s="7" t="s">
        <v>1735</v>
      </c>
      <c r="C838" s="7" t="s">
        <v>1756</v>
      </c>
      <c r="D838" s="7" t="s">
        <v>2209</v>
      </c>
      <c r="E838" s="7" t="s">
        <v>1695</v>
      </c>
      <c r="F838" s="36">
        <v>43320</v>
      </c>
      <c r="G838" s="36">
        <v>45145</v>
      </c>
      <c r="H838" s="36">
        <v>44773</v>
      </c>
      <c r="I838" s="36">
        <v>44773</v>
      </c>
      <c r="J838" s="7" t="s">
        <v>1239</v>
      </c>
      <c r="K838" s="8">
        <v>0</v>
      </c>
      <c r="L838" s="8">
        <v>-5749.6463820064173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f t="shared" si="190"/>
        <v>-5749.6463820064173</v>
      </c>
      <c r="S838" s="8">
        <v>0</v>
      </c>
      <c r="T838" s="8">
        <v>-4038.0022350052859</v>
      </c>
      <c r="U838" s="8">
        <v>0</v>
      </c>
      <c r="V838" s="8">
        <v>45195.002234953914</v>
      </c>
      <c r="W838" s="8">
        <v>0</v>
      </c>
      <c r="X838" s="8">
        <v>0</v>
      </c>
      <c r="Y838" s="8">
        <v>0</v>
      </c>
      <c r="Z838" s="8">
        <v>0</v>
      </c>
      <c r="AA838" s="7">
        <v>0</v>
      </c>
      <c r="AB838" s="8">
        <v>0</v>
      </c>
      <c r="AC838" s="7">
        <v>2.181667</v>
      </c>
      <c r="AD838" s="7" t="s">
        <v>1226</v>
      </c>
      <c r="AE838" s="8">
        <v>0</v>
      </c>
      <c r="AF838" s="8">
        <v>0</v>
      </c>
      <c r="AG838" s="8">
        <v>0</v>
      </c>
      <c r="AH838" s="8">
        <v>0</v>
      </c>
      <c r="AI838" s="7" t="s">
        <v>1877</v>
      </c>
      <c r="AJ838" s="7">
        <f t="shared" ca="1" si="191"/>
        <v>1</v>
      </c>
      <c r="AK838" s="96">
        <f t="shared" si="192"/>
        <v>0</v>
      </c>
      <c r="AL838" s="97">
        <f t="shared" si="193"/>
        <v>0</v>
      </c>
    </row>
    <row r="839" spans="1:38" x14ac:dyDescent="0.3">
      <c r="A839" s="7" t="s">
        <v>2374</v>
      </c>
      <c r="B839" s="7" t="s">
        <v>1735</v>
      </c>
      <c r="C839" s="7" t="s">
        <v>1769</v>
      </c>
      <c r="D839" s="7" t="s">
        <v>2195</v>
      </c>
      <c r="E839" s="7" t="s">
        <v>1695</v>
      </c>
      <c r="F839" s="36">
        <v>43692</v>
      </c>
      <c r="G839" s="36">
        <v>44787</v>
      </c>
      <c r="H839" s="36">
        <v>44773</v>
      </c>
      <c r="I839" s="36">
        <v>44773</v>
      </c>
      <c r="J839" s="7" t="s">
        <v>1696</v>
      </c>
      <c r="K839" s="8">
        <v>0</v>
      </c>
      <c r="L839" s="8">
        <v>0</v>
      </c>
      <c r="M839" s="8">
        <v>46683.000032999997</v>
      </c>
      <c r="N839" s="8">
        <v>0</v>
      </c>
      <c r="O839" s="8">
        <v>0</v>
      </c>
      <c r="P839" s="8">
        <v>0</v>
      </c>
      <c r="Q839" s="8">
        <v>0</v>
      </c>
      <c r="R839" s="8">
        <f t="shared" si="190"/>
        <v>46683.000032999997</v>
      </c>
      <c r="S839" s="8">
        <v>0</v>
      </c>
      <c r="T839" s="8">
        <v>0</v>
      </c>
      <c r="U839" s="8">
        <v>46683.000006000002</v>
      </c>
      <c r="V839" s="8">
        <v>0</v>
      </c>
      <c r="W839" s="8">
        <v>0</v>
      </c>
      <c r="X839" s="8">
        <v>0</v>
      </c>
      <c r="Y839" s="8">
        <v>0</v>
      </c>
      <c r="Z839" s="8">
        <v>-3011.8063769999999</v>
      </c>
      <c r="AA839" s="7">
        <v>0</v>
      </c>
      <c r="AB839" s="8">
        <v>0</v>
      </c>
      <c r="AC839" s="7">
        <v>2.0299999999999998</v>
      </c>
      <c r="AD839" s="7" t="s">
        <v>1226</v>
      </c>
      <c r="AE839" s="8">
        <v>0</v>
      </c>
      <c r="AF839" s="8">
        <v>0</v>
      </c>
      <c r="AG839" s="8">
        <v>0</v>
      </c>
      <c r="AH839" s="8">
        <v>0</v>
      </c>
      <c r="AI839" s="7" t="s">
        <v>1730</v>
      </c>
      <c r="AJ839" s="7">
        <f t="shared" ca="1" si="191"/>
        <v>1</v>
      </c>
      <c r="AK839" s="96">
        <f>(+AA839*AB839)/$AB$1102</f>
        <v>0</v>
      </c>
      <c r="AL839" s="97">
        <f>AC839/$AE$1102*AE839</f>
        <v>0</v>
      </c>
    </row>
    <row r="840" spans="1:38" x14ac:dyDescent="0.3">
      <c r="A840" s="7" t="s">
        <v>2375</v>
      </c>
      <c r="B840" s="7" t="s">
        <v>1735</v>
      </c>
      <c r="C840" s="7" t="s">
        <v>1756</v>
      </c>
      <c r="D840" s="7" t="s">
        <v>2356</v>
      </c>
      <c r="E840" s="7" t="s">
        <v>1695</v>
      </c>
      <c r="F840" s="36">
        <v>43344</v>
      </c>
      <c r="G840" s="36">
        <v>44804</v>
      </c>
      <c r="H840" s="36">
        <v>44773</v>
      </c>
      <c r="I840" s="36">
        <v>44773</v>
      </c>
      <c r="J840" s="7" t="s">
        <v>1239</v>
      </c>
      <c r="K840" s="8">
        <v>0</v>
      </c>
      <c r="L840" s="8">
        <v>-1191.3913720009971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f t="shared" si="190"/>
        <v>-1191.3913720009971</v>
      </c>
      <c r="S840" s="8">
        <v>0</v>
      </c>
      <c r="T840" s="8">
        <v>-792.17610800073498</v>
      </c>
      <c r="U840" s="8">
        <v>0</v>
      </c>
      <c r="V840" s="8">
        <v>15048.176107992345</v>
      </c>
      <c r="W840" s="8">
        <v>0</v>
      </c>
      <c r="X840" s="8">
        <v>0</v>
      </c>
      <c r="Y840" s="8">
        <v>0</v>
      </c>
      <c r="Z840" s="8">
        <v>0</v>
      </c>
      <c r="AA840" s="7">
        <v>0</v>
      </c>
      <c r="AB840" s="8">
        <v>0</v>
      </c>
      <c r="AC840" s="7">
        <v>2.0449999999999999</v>
      </c>
      <c r="AD840" s="7" t="s">
        <v>1226</v>
      </c>
      <c r="AE840" s="8">
        <v>0</v>
      </c>
      <c r="AF840" s="8">
        <v>0</v>
      </c>
      <c r="AG840" s="8">
        <v>0</v>
      </c>
      <c r="AH840" s="8">
        <v>0</v>
      </c>
      <c r="AI840" s="7" t="s">
        <v>1730</v>
      </c>
      <c r="AJ840" s="7">
        <f t="shared" ca="1" si="191"/>
        <v>1</v>
      </c>
      <c r="AK840" s="96">
        <f t="shared" si="192"/>
        <v>0</v>
      </c>
      <c r="AL840" s="97">
        <f t="shared" si="193"/>
        <v>0</v>
      </c>
    </row>
    <row r="841" spans="1:38" x14ac:dyDescent="0.3">
      <c r="A841" s="7" t="s">
        <v>2376</v>
      </c>
      <c r="B841" s="7" t="s">
        <v>1735</v>
      </c>
      <c r="C841" s="7" t="s">
        <v>1769</v>
      </c>
      <c r="D841" s="7" t="s">
        <v>2202</v>
      </c>
      <c r="E841" s="7" t="s">
        <v>1695</v>
      </c>
      <c r="F841" s="36">
        <v>43511</v>
      </c>
      <c r="G841" s="36">
        <v>44606</v>
      </c>
      <c r="H841" s="36">
        <v>44773</v>
      </c>
      <c r="I841" s="36">
        <v>44773</v>
      </c>
      <c r="J841" s="7" t="s">
        <v>1696</v>
      </c>
      <c r="K841" s="8">
        <v>0</v>
      </c>
      <c r="L841" s="8">
        <v>0</v>
      </c>
      <c r="M841" s="8">
        <v>6939</v>
      </c>
      <c r="N841" s="8">
        <v>0</v>
      </c>
      <c r="O841" s="8">
        <v>0</v>
      </c>
      <c r="P841" s="8">
        <v>0</v>
      </c>
      <c r="Q841" s="8">
        <v>0</v>
      </c>
      <c r="R841" s="8">
        <f t="shared" si="190"/>
        <v>6939</v>
      </c>
      <c r="S841" s="8">
        <v>0</v>
      </c>
      <c r="T841" s="8">
        <v>0</v>
      </c>
      <c r="U841" s="8">
        <v>4626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7">
        <v>0</v>
      </c>
      <c r="AB841" s="8">
        <v>0</v>
      </c>
      <c r="AC841" s="7">
        <v>2.0299999999999998</v>
      </c>
      <c r="AD841" s="7" t="s">
        <v>1226</v>
      </c>
      <c r="AE841" s="8">
        <v>0</v>
      </c>
      <c r="AF841" s="8">
        <v>0</v>
      </c>
      <c r="AG841" s="8">
        <v>0</v>
      </c>
      <c r="AH841" s="8">
        <v>0</v>
      </c>
      <c r="AI841" s="7" t="s">
        <v>1730</v>
      </c>
      <c r="AJ841" s="7">
        <f t="shared" ca="1" si="191"/>
        <v>1</v>
      </c>
      <c r="AK841" s="96">
        <f>(+AA841*AB841)/$AB$1102</f>
        <v>0</v>
      </c>
      <c r="AL841" s="97">
        <f>AC841/$AE$1102*AE841</f>
        <v>0</v>
      </c>
    </row>
    <row r="842" spans="1:38" x14ac:dyDescent="0.3">
      <c r="A842" s="7" t="s">
        <v>2376</v>
      </c>
      <c r="B842" s="7" t="s">
        <v>1735</v>
      </c>
      <c r="C842" s="7" t="s">
        <v>1769</v>
      </c>
      <c r="D842" s="7" t="s">
        <v>2202</v>
      </c>
      <c r="E842" s="7" t="s">
        <v>1695</v>
      </c>
      <c r="F842" s="36">
        <v>43511</v>
      </c>
      <c r="G842" s="36">
        <v>44606</v>
      </c>
      <c r="H842" s="36">
        <v>44773</v>
      </c>
      <c r="I842" s="36">
        <v>44773</v>
      </c>
      <c r="J842" s="7" t="s">
        <v>1699</v>
      </c>
      <c r="K842" s="8">
        <v>0</v>
      </c>
      <c r="L842" s="8">
        <v>0</v>
      </c>
      <c r="M842" s="8">
        <v>0</v>
      </c>
      <c r="N842" s="8">
        <v>27756</v>
      </c>
      <c r="O842" s="8">
        <v>0</v>
      </c>
      <c r="P842" s="8">
        <v>0</v>
      </c>
      <c r="Q842" s="8">
        <v>0</v>
      </c>
      <c r="R842" s="8">
        <f t="shared" si="190"/>
        <v>27756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7">
        <v>0</v>
      </c>
      <c r="AB842" s="8">
        <v>0</v>
      </c>
      <c r="AC842" s="7">
        <v>2.0299999999999998</v>
      </c>
      <c r="AD842" s="7" t="s">
        <v>1226</v>
      </c>
      <c r="AE842" s="8">
        <v>0</v>
      </c>
      <c r="AF842" s="8">
        <v>0</v>
      </c>
      <c r="AG842" s="8">
        <v>0</v>
      </c>
      <c r="AH842" s="8">
        <v>0</v>
      </c>
      <c r="AI842" s="7" t="s">
        <v>1730</v>
      </c>
      <c r="AJ842" s="7">
        <f t="shared" ca="1" si="191"/>
        <v>2</v>
      </c>
      <c r="AK842" s="100">
        <f>(+AA842*AB842)/$AB$1103</f>
        <v>0</v>
      </c>
      <c r="AL842" s="97">
        <f>AC842/$AE$1103*AE842</f>
        <v>0</v>
      </c>
    </row>
    <row r="843" spans="1:38" x14ac:dyDescent="0.3">
      <c r="A843" s="7" t="s">
        <v>2377</v>
      </c>
      <c r="B843" s="7" t="s">
        <v>1735</v>
      </c>
      <c r="C843" s="7" t="s">
        <v>1769</v>
      </c>
      <c r="D843" s="7" t="s">
        <v>2333</v>
      </c>
      <c r="E843" s="7" t="s">
        <v>1695</v>
      </c>
      <c r="F843" s="36">
        <v>43723</v>
      </c>
      <c r="G843" s="36">
        <v>44818</v>
      </c>
      <c r="H843" s="36">
        <v>44773</v>
      </c>
      <c r="I843" s="36">
        <v>44773</v>
      </c>
      <c r="J843" s="7" t="s">
        <v>1696</v>
      </c>
      <c r="K843" s="8">
        <v>0</v>
      </c>
      <c r="L843" s="8">
        <v>0</v>
      </c>
      <c r="M843" s="8">
        <v>15781.500008999999</v>
      </c>
      <c r="N843" s="8">
        <v>0</v>
      </c>
      <c r="O843" s="8">
        <v>0</v>
      </c>
      <c r="P843" s="8">
        <v>0</v>
      </c>
      <c r="Q843" s="8">
        <v>0</v>
      </c>
      <c r="R843" s="8">
        <f t="shared" si="190"/>
        <v>15781.500008999999</v>
      </c>
      <c r="S843" s="8">
        <v>0</v>
      </c>
      <c r="T843" s="8">
        <v>0</v>
      </c>
      <c r="U843" s="8">
        <v>15781.5</v>
      </c>
      <c r="V843" s="8">
        <v>0</v>
      </c>
      <c r="W843" s="8">
        <v>0</v>
      </c>
      <c r="X843" s="8">
        <v>0</v>
      </c>
      <c r="Y843" s="8">
        <v>0</v>
      </c>
      <c r="Z843" s="8">
        <v>-3304.8805349999998</v>
      </c>
      <c r="AA843" s="7">
        <v>0</v>
      </c>
      <c r="AB843" s="8">
        <v>0</v>
      </c>
      <c r="AC843" s="7">
        <v>2.0299999999999998</v>
      </c>
      <c r="AD843" s="7" t="s">
        <v>1226</v>
      </c>
      <c r="AE843" s="8">
        <v>0</v>
      </c>
      <c r="AF843" s="8">
        <v>0</v>
      </c>
      <c r="AG843" s="8">
        <v>0</v>
      </c>
      <c r="AH843" s="8">
        <v>0</v>
      </c>
      <c r="AI843" s="7" t="s">
        <v>1730</v>
      </c>
      <c r="AJ843" s="7">
        <f t="shared" ca="1" si="191"/>
        <v>1</v>
      </c>
      <c r="AK843" s="96">
        <f>(+AA843*AB843)/$AB$1102</f>
        <v>0</v>
      </c>
      <c r="AL843" s="97">
        <f>AC843/$AE$1102*AE843</f>
        <v>0</v>
      </c>
    </row>
    <row r="844" spans="1:38" x14ac:dyDescent="0.3">
      <c r="A844" s="7" t="s">
        <v>2378</v>
      </c>
      <c r="B844" s="7" t="s">
        <v>1735</v>
      </c>
      <c r="C844" s="7" t="s">
        <v>1756</v>
      </c>
      <c r="D844" s="7" t="s">
        <v>2353</v>
      </c>
      <c r="E844" s="7" t="s">
        <v>1695</v>
      </c>
      <c r="F844" s="36">
        <v>43525</v>
      </c>
      <c r="G844" s="36">
        <v>44985</v>
      </c>
      <c r="H844" s="36">
        <v>44773</v>
      </c>
      <c r="I844" s="36">
        <v>44773</v>
      </c>
      <c r="J844" s="7" t="s">
        <v>1239</v>
      </c>
      <c r="K844" s="8">
        <v>6202.2637288149735</v>
      </c>
      <c r="L844" s="8">
        <v>201.75568800003299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f t="shared" si="190"/>
        <v>6404.0194168150065</v>
      </c>
      <c r="S844" s="8">
        <v>0</v>
      </c>
      <c r="T844" s="8">
        <v>221.74982400003501</v>
      </c>
      <c r="U844" s="8">
        <v>0</v>
      </c>
      <c r="V844" s="8">
        <v>11732.50017600193</v>
      </c>
      <c r="W844" s="8">
        <v>0</v>
      </c>
      <c r="X844" s="8">
        <v>0</v>
      </c>
      <c r="Y844" s="8">
        <v>0</v>
      </c>
      <c r="Z844" s="8">
        <v>-6202.2636694371959</v>
      </c>
      <c r="AA844" s="7">
        <v>0</v>
      </c>
      <c r="AB844" s="8">
        <v>0</v>
      </c>
      <c r="AC844" s="7">
        <v>2.0449999999999999</v>
      </c>
      <c r="AD844" s="7" t="s">
        <v>1226</v>
      </c>
      <c r="AE844" s="8">
        <v>0</v>
      </c>
      <c r="AF844" s="8">
        <v>0</v>
      </c>
      <c r="AG844" s="8">
        <v>0</v>
      </c>
      <c r="AH844" s="8">
        <v>0</v>
      </c>
      <c r="AI844" s="7" t="s">
        <v>1730</v>
      </c>
      <c r="AJ844" s="7">
        <f t="shared" ca="1" si="191"/>
        <v>1</v>
      </c>
      <c r="AK844" s="96">
        <f t="shared" si="192"/>
        <v>0</v>
      </c>
      <c r="AL844" s="97">
        <f t="shared" si="193"/>
        <v>0</v>
      </c>
    </row>
    <row r="845" spans="1:38" x14ac:dyDescent="0.3">
      <c r="A845" s="7" t="s">
        <v>2379</v>
      </c>
      <c r="B845" s="7" t="s">
        <v>1735</v>
      </c>
      <c r="C845" s="7" t="s">
        <v>1769</v>
      </c>
      <c r="D845" s="7" t="s">
        <v>2209</v>
      </c>
      <c r="E845" s="7" t="s">
        <v>1695</v>
      </c>
      <c r="F845" s="36">
        <v>43174</v>
      </c>
      <c r="G845" s="36">
        <v>44634</v>
      </c>
      <c r="H845" s="36">
        <v>44773</v>
      </c>
      <c r="I845" s="36">
        <v>44773</v>
      </c>
      <c r="J845" s="7" t="s">
        <v>1239</v>
      </c>
      <c r="K845" s="8">
        <v>8959.0950950000006</v>
      </c>
      <c r="L845" s="8">
        <v>12.307130000000001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f t="shared" si="190"/>
        <v>8971.4022249999998</v>
      </c>
      <c r="S845" s="8">
        <v>0</v>
      </c>
      <c r="T845" s="8">
        <v>19.396204999999998</v>
      </c>
      <c r="U845" s="8">
        <v>0</v>
      </c>
      <c r="V845" s="8">
        <v>7585.603795</v>
      </c>
      <c r="W845" s="8">
        <v>0</v>
      </c>
      <c r="X845" s="8">
        <v>0</v>
      </c>
      <c r="Y845" s="8">
        <v>0</v>
      </c>
      <c r="Z845" s="8">
        <v>0</v>
      </c>
      <c r="AA845" s="7">
        <v>0</v>
      </c>
      <c r="AB845" s="8">
        <v>0</v>
      </c>
      <c r="AC845" s="7">
        <v>2.0449999999999999</v>
      </c>
      <c r="AD845" s="7" t="s">
        <v>1226</v>
      </c>
      <c r="AE845" s="8">
        <v>0</v>
      </c>
      <c r="AF845" s="8">
        <v>0</v>
      </c>
      <c r="AG845" s="8">
        <v>0</v>
      </c>
      <c r="AH845" s="8">
        <v>0</v>
      </c>
      <c r="AI845" s="7" t="s">
        <v>1730</v>
      </c>
      <c r="AJ845" s="7">
        <f t="shared" ca="1" si="191"/>
        <v>1</v>
      </c>
      <c r="AK845" s="96">
        <f t="shared" si="192"/>
        <v>0</v>
      </c>
      <c r="AL845" s="97">
        <f t="shared" si="193"/>
        <v>0</v>
      </c>
    </row>
    <row r="846" spans="1:38" x14ac:dyDescent="0.3">
      <c r="A846" s="7" t="s">
        <v>2379</v>
      </c>
      <c r="B846" s="7" t="s">
        <v>1735</v>
      </c>
      <c r="C846" s="7" t="s">
        <v>1769</v>
      </c>
      <c r="D846" s="7" t="s">
        <v>2209</v>
      </c>
      <c r="E846" s="7" t="s">
        <v>1695</v>
      </c>
      <c r="F846" s="36">
        <v>43174</v>
      </c>
      <c r="G846" s="36">
        <v>44634</v>
      </c>
      <c r="H846" s="36">
        <v>44773</v>
      </c>
      <c r="I846" s="36">
        <v>44773</v>
      </c>
      <c r="J846" s="7" t="s">
        <v>1699</v>
      </c>
      <c r="K846" s="8">
        <v>0</v>
      </c>
      <c r="L846" s="8">
        <v>0</v>
      </c>
      <c r="M846" s="8">
        <v>0</v>
      </c>
      <c r="N846" s="8">
        <v>19012.5</v>
      </c>
      <c r="O846" s="8">
        <v>0</v>
      </c>
      <c r="P846" s="8">
        <v>0</v>
      </c>
      <c r="Q846" s="8">
        <v>0</v>
      </c>
      <c r="R846" s="8">
        <f t="shared" si="190"/>
        <v>19012.5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7">
        <v>0</v>
      </c>
      <c r="AB846" s="8">
        <v>0</v>
      </c>
      <c r="AC846" s="7">
        <v>2.0449999999999999</v>
      </c>
      <c r="AD846" s="7" t="s">
        <v>1226</v>
      </c>
      <c r="AE846" s="8">
        <v>0</v>
      </c>
      <c r="AF846" s="8">
        <v>0</v>
      </c>
      <c r="AG846" s="8">
        <v>0</v>
      </c>
      <c r="AH846" s="8">
        <v>0</v>
      </c>
      <c r="AI846" s="7" t="s">
        <v>1730</v>
      </c>
      <c r="AJ846" s="7">
        <f t="shared" ca="1" si="191"/>
        <v>2</v>
      </c>
      <c r="AK846" s="100">
        <f>(+AA846*AB846)/$AB$1103</f>
        <v>0</v>
      </c>
      <c r="AL846" s="97">
        <f>AC846/$AE$1103*AE846</f>
        <v>0</v>
      </c>
    </row>
    <row r="847" spans="1:38" x14ac:dyDescent="0.3">
      <c r="A847" s="7" t="s">
        <v>2380</v>
      </c>
      <c r="B847" s="7" t="s">
        <v>1735</v>
      </c>
      <c r="C847" s="7" t="s">
        <v>1756</v>
      </c>
      <c r="D847" s="7" t="s">
        <v>2381</v>
      </c>
      <c r="E847" s="7" t="s">
        <v>1695</v>
      </c>
      <c r="F847" s="36">
        <v>43657</v>
      </c>
      <c r="G847" s="36">
        <v>44752</v>
      </c>
      <c r="H847" s="36">
        <v>43657</v>
      </c>
      <c r="I847" s="36">
        <v>43657</v>
      </c>
      <c r="J847" s="7" t="s">
        <v>1696</v>
      </c>
      <c r="K847" s="8">
        <v>0</v>
      </c>
      <c r="L847" s="8">
        <v>0</v>
      </c>
      <c r="M847" s="8">
        <v>-36.106858142973998</v>
      </c>
      <c r="N847" s="8">
        <v>0</v>
      </c>
      <c r="O847" s="8">
        <v>0</v>
      </c>
      <c r="P847" s="8">
        <v>-250.00000000018201</v>
      </c>
      <c r="Q847" s="8">
        <v>0</v>
      </c>
      <c r="R847" s="8">
        <f t="shared" si="190"/>
        <v>-286.10685814315599</v>
      </c>
      <c r="S847" s="8">
        <v>0</v>
      </c>
      <c r="T847" s="8">
        <v>0</v>
      </c>
      <c r="U847" s="8">
        <v>0</v>
      </c>
      <c r="V847" s="8">
        <v>0</v>
      </c>
      <c r="W847" s="8">
        <v>-250.00000000018201</v>
      </c>
      <c r="X847" s="8">
        <v>0</v>
      </c>
      <c r="Y847" s="8">
        <v>0</v>
      </c>
      <c r="Z847" s="8">
        <v>222.73226500016301</v>
      </c>
      <c r="AA847" s="7">
        <v>0</v>
      </c>
      <c r="AB847" s="8">
        <v>0</v>
      </c>
      <c r="AC847" s="7">
        <v>2.0299999999999998</v>
      </c>
      <c r="AD847" s="7" t="s">
        <v>1226</v>
      </c>
      <c r="AE847" s="8">
        <v>0</v>
      </c>
      <c r="AF847" s="8">
        <v>0</v>
      </c>
      <c r="AG847" s="8">
        <v>0</v>
      </c>
      <c r="AH847" s="8">
        <v>0</v>
      </c>
      <c r="AI847" s="7" t="s">
        <v>1730</v>
      </c>
      <c r="AJ847" s="7">
        <f t="shared" ca="1" si="191"/>
        <v>1</v>
      </c>
      <c r="AK847" s="96">
        <f t="shared" ref="AK847:AK849" si="194">(+AA847*AB847)/$AB$1102</f>
        <v>0</v>
      </c>
      <c r="AL847" s="97">
        <f t="shared" ref="AL847:AL849" si="195">AC847/$AE$1102*AE847</f>
        <v>0</v>
      </c>
    </row>
    <row r="848" spans="1:38" x14ac:dyDescent="0.3">
      <c r="A848" s="7" t="s">
        <v>2382</v>
      </c>
      <c r="B848" s="7" t="s">
        <v>1735</v>
      </c>
      <c r="C848" s="7" t="s">
        <v>1756</v>
      </c>
      <c r="D848" s="7" t="s">
        <v>2381</v>
      </c>
      <c r="E848" s="7" t="s">
        <v>1695</v>
      </c>
      <c r="F848" s="36">
        <v>43657</v>
      </c>
      <c r="G848" s="36">
        <v>44875</v>
      </c>
      <c r="H848" s="36">
        <v>44773</v>
      </c>
      <c r="I848" s="36">
        <v>44773</v>
      </c>
      <c r="J848" s="7" t="s">
        <v>1696</v>
      </c>
      <c r="K848" s="8">
        <v>0</v>
      </c>
      <c r="L848" s="8">
        <v>0</v>
      </c>
      <c r="M848" s="8">
        <v>19798.140466344001</v>
      </c>
      <c r="N848" s="8">
        <v>0</v>
      </c>
      <c r="O848" s="8">
        <v>0</v>
      </c>
      <c r="P848" s="8">
        <v>0</v>
      </c>
      <c r="Q848" s="8">
        <v>0</v>
      </c>
      <c r="R848" s="8">
        <f t="shared" si="190"/>
        <v>19798.140466344001</v>
      </c>
      <c r="S848" s="8">
        <v>0</v>
      </c>
      <c r="T848" s="8">
        <v>0</v>
      </c>
      <c r="U848" s="8">
        <v>15838.200000002611</v>
      </c>
      <c r="V848" s="8">
        <v>0</v>
      </c>
      <c r="W848" s="8">
        <v>0</v>
      </c>
      <c r="X848" s="8">
        <v>0</v>
      </c>
      <c r="Y848" s="8">
        <v>0</v>
      </c>
      <c r="Z848" s="8">
        <v>17117.416737275576</v>
      </c>
      <c r="AA848" s="7">
        <v>0</v>
      </c>
      <c r="AB848" s="8">
        <v>0</v>
      </c>
      <c r="AC848" s="7">
        <v>2.0350000000000001</v>
      </c>
      <c r="AD848" s="7" t="s">
        <v>1226</v>
      </c>
      <c r="AE848" s="8">
        <v>0</v>
      </c>
      <c r="AF848" s="8">
        <v>0</v>
      </c>
      <c r="AG848" s="8">
        <v>0</v>
      </c>
      <c r="AH848" s="8">
        <v>0</v>
      </c>
      <c r="AI848" s="7" t="s">
        <v>1730</v>
      </c>
      <c r="AJ848" s="7">
        <f t="shared" ca="1" si="191"/>
        <v>1</v>
      </c>
      <c r="AK848" s="96">
        <f t="shared" si="194"/>
        <v>0</v>
      </c>
      <c r="AL848" s="97">
        <f t="shared" si="195"/>
        <v>0</v>
      </c>
    </row>
    <row r="849" spans="1:38" x14ac:dyDescent="0.3">
      <c r="A849" s="7" t="s">
        <v>2383</v>
      </c>
      <c r="B849" s="7" t="s">
        <v>1735</v>
      </c>
      <c r="C849" s="7" t="s">
        <v>1323</v>
      </c>
      <c r="D849" s="7" t="s">
        <v>2381</v>
      </c>
      <c r="E849" s="7" t="s">
        <v>1739</v>
      </c>
      <c r="F849" s="36">
        <v>43691</v>
      </c>
      <c r="G849" s="36">
        <v>44786</v>
      </c>
      <c r="J849" s="7" t="s">
        <v>1696</v>
      </c>
      <c r="K849" s="8">
        <v>0</v>
      </c>
      <c r="L849" s="8">
        <v>0</v>
      </c>
      <c r="M849" s="8">
        <v>11585.555094230816</v>
      </c>
      <c r="N849" s="8">
        <v>0</v>
      </c>
      <c r="O849" s="8">
        <v>0</v>
      </c>
      <c r="P849" s="8">
        <v>0</v>
      </c>
      <c r="Q849" s="8">
        <v>0</v>
      </c>
      <c r="R849" s="8">
        <f t="shared" si="190"/>
        <v>11585.555094230816</v>
      </c>
      <c r="S849" s="8">
        <v>0</v>
      </c>
      <c r="T849" s="8">
        <v>0</v>
      </c>
      <c r="U849" s="8">
        <v>21491.330000003541</v>
      </c>
      <c r="V849" s="8">
        <v>0</v>
      </c>
      <c r="W849" s="8">
        <v>0</v>
      </c>
      <c r="X849" s="8">
        <v>0</v>
      </c>
      <c r="Y849" s="8">
        <v>0</v>
      </c>
      <c r="Z849" s="8">
        <v>-5.197359000004</v>
      </c>
      <c r="AA849" s="7">
        <v>0</v>
      </c>
      <c r="AB849" s="8">
        <v>0</v>
      </c>
      <c r="AC849" s="7">
        <v>2.0299999999999998</v>
      </c>
      <c r="AD849" s="7" t="s">
        <v>1726</v>
      </c>
      <c r="AE849" s="8">
        <v>0</v>
      </c>
      <c r="AF849" s="8">
        <v>0</v>
      </c>
      <c r="AG849" s="8">
        <v>0</v>
      </c>
      <c r="AH849" s="8">
        <v>0</v>
      </c>
      <c r="AI849" s="7" t="s">
        <v>1730</v>
      </c>
      <c r="AJ849" s="7">
        <f t="shared" ca="1" si="191"/>
        <v>1</v>
      </c>
      <c r="AK849" s="96">
        <f t="shared" si="194"/>
        <v>0</v>
      </c>
      <c r="AL849" s="97">
        <f t="shared" si="195"/>
        <v>0</v>
      </c>
    </row>
    <row r="850" spans="1:38" x14ac:dyDescent="0.3">
      <c r="A850" s="7" t="s">
        <v>2383</v>
      </c>
      <c r="B850" s="7" t="s">
        <v>1735</v>
      </c>
      <c r="C850" s="7" t="s">
        <v>1323</v>
      </c>
      <c r="D850" s="7" t="s">
        <v>2381</v>
      </c>
      <c r="E850" s="7" t="s">
        <v>1739</v>
      </c>
      <c r="F850" s="36">
        <v>43691</v>
      </c>
      <c r="G850" s="36">
        <v>44786</v>
      </c>
      <c r="J850" s="7" t="s">
        <v>1699</v>
      </c>
      <c r="K850" s="8">
        <v>0</v>
      </c>
      <c r="L850" s="8">
        <v>0</v>
      </c>
      <c r="M850" s="8">
        <v>0</v>
      </c>
      <c r="N850" s="8">
        <v>14063.450964002315</v>
      </c>
      <c r="O850" s="8">
        <v>0</v>
      </c>
      <c r="P850" s="8">
        <v>0</v>
      </c>
      <c r="Q850" s="8">
        <v>0</v>
      </c>
      <c r="R850" s="8">
        <f t="shared" si="190"/>
        <v>14063.450964002315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7">
        <v>0</v>
      </c>
      <c r="AB850" s="8">
        <v>0</v>
      </c>
      <c r="AC850" s="7">
        <v>2.0299999999999998</v>
      </c>
      <c r="AD850" s="7" t="s">
        <v>1726</v>
      </c>
      <c r="AE850" s="8">
        <v>3070.1900000011942</v>
      </c>
      <c r="AF850" s="8">
        <v>0</v>
      </c>
      <c r="AG850" s="8">
        <v>3070.1900000011942</v>
      </c>
      <c r="AH850" s="8">
        <v>0</v>
      </c>
      <c r="AI850" s="7" t="s">
        <v>1730</v>
      </c>
      <c r="AJ850" s="7">
        <f t="shared" ca="1" si="191"/>
        <v>2</v>
      </c>
      <c r="AK850" s="100">
        <f>(+AA850*AB850)/$AB$1103</f>
        <v>0</v>
      </c>
      <c r="AL850" s="97">
        <f>AC850/$AE$1103*AE850</f>
        <v>7.4820217412146074E-4</v>
      </c>
    </row>
    <row r="851" spans="1:38" x14ac:dyDescent="0.3">
      <c r="A851" s="7" t="s">
        <v>2384</v>
      </c>
      <c r="B851" s="7" t="s">
        <v>1320</v>
      </c>
      <c r="C851" s="7" t="s">
        <v>1769</v>
      </c>
      <c r="D851" s="7" t="s">
        <v>1324</v>
      </c>
      <c r="E851" s="7" t="s">
        <v>1695</v>
      </c>
      <c r="F851" s="36">
        <v>43466</v>
      </c>
      <c r="G851" s="36">
        <v>44926</v>
      </c>
      <c r="H851" s="36">
        <v>44773</v>
      </c>
      <c r="I851" s="36">
        <v>44773</v>
      </c>
      <c r="J851" s="7" t="s">
        <v>1239</v>
      </c>
      <c r="K851" s="8">
        <v>19026.498295000001</v>
      </c>
      <c r="L851" s="8">
        <v>267.73791999999997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f t="shared" si="190"/>
        <v>19294.236215000001</v>
      </c>
      <c r="S851" s="8">
        <v>0</v>
      </c>
      <c r="T851" s="8">
        <v>300.96368999999999</v>
      </c>
      <c r="U851" s="8">
        <v>0</v>
      </c>
      <c r="V851" s="8">
        <v>19496.78631</v>
      </c>
      <c r="W851" s="8">
        <v>0</v>
      </c>
      <c r="X851" s="8">
        <v>0</v>
      </c>
      <c r="Y851" s="8">
        <v>0</v>
      </c>
      <c r="Z851" s="8">
        <v>-13590.355925</v>
      </c>
      <c r="AA851" s="7">
        <v>0</v>
      </c>
      <c r="AB851" s="8">
        <v>0</v>
      </c>
      <c r="AC851" s="7">
        <v>2.0449999999999999</v>
      </c>
      <c r="AD851" s="7" t="s">
        <v>1226</v>
      </c>
      <c r="AE851" s="8">
        <v>0</v>
      </c>
      <c r="AF851" s="8">
        <v>0</v>
      </c>
      <c r="AG851" s="8">
        <v>0</v>
      </c>
      <c r="AH851" s="8">
        <v>0</v>
      </c>
      <c r="AI851" s="7" t="s">
        <v>1730</v>
      </c>
      <c r="AJ851" s="7">
        <f t="shared" ca="1" si="191"/>
        <v>1</v>
      </c>
      <c r="AK851" s="96">
        <f t="shared" si="192"/>
        <v>0</v>
      </c>
      <c r="AL851" s="97">
        <f t="shared" si="193"/>
        <v>0</v>
      </c>
    </row>
    <row r="852" spans="1:38" x14ac:dyDescent="0.3">
      <c r="A852" s="7" t="s">
        <v>2385</v>
      </c>
      <c r="B852" s="7" t="s">
        <v>1320</v>
      </c>
      <c r="C852" s="7" t="s">
        <v>1756</v>
      </c>
      <c r="D852" s="7" t="s">
        <v>1770</v>
      </c>
      <c r="E852" s="7" t="s">
        <v>1695</v>
      </c>
      <c r="F852" s="36">
        <v>43205</v>
      </c>
      <c r="G852" s="36">
        <v>44665</v>
      </c>
      <c r="H852" s="36">
        <v>44773</v>
      </c>
      <c r="I852" s="36">
        <v>44773</v>
      </c>
      <c r="J852" s="7" t="s">
        <v>1239</v>
      </c>
      <c r="K852" s="8">
        <v>0</v>
      </c>
      <c r="L852" s="8">
        <v>-4015.6759600029591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f t="shared" si="190"/>
        <v>-4015.6759600029591</v>
      </c>
      <c r="S852" s="8">
        <v>0</v>
      </c>
      <c r="T852" s="8">
        <v>-3760.7018500027839</v>
      </c>
      <c r="U852" s="8">
        <v>0</v>
      </c>
      <c r="V852" s="8">
        <v>-36469.298150037939</v>
      </c>
      <c r="W852" s="8">
        <v>0</v>
      </c>
      <c r="X852" s="8">
        <v>0</v>
      </c>
      <c r="Y852" s="8">
        <v>0</v>
      </c>
      <c r="Z852" s="8">
        <v>0</v>
      </c>
      <c r="AA852" s="7">
        <v>0</v>
      </c>
      <c r="AB852" s="8">
        <v>0</v>
      </c>
      <c r="AC852" s="7">
        <v>2.0449999999999999</v>
      </c>
      <c r="AD852" s="7" t="s">
        <v>1226</v>
      </c>
      <c r="AE852" s="8">
        <v>0</v>
      </c>
      <c r="AF852" s="8">
        <v>0</v>
      </c>
      <c r="AG852" s="8">
        <v>0</v>
      </c>
      <c r="AH852" s="8">
        <v>0</v>
      </c>
      <c r="AI852" s="7" t="s">
        <v>1730</v>
      </c>
      <c r="AJ852" s="7">
        <f t="shared" ca="1" si="191"/>
        <v>1</v>
      </c>
      <c r="AK852" s="96">
        <f t="shared" si="192"/>
        <v>0</v>
      </c>
      <c r="AL852" s="97">
        <f t="shared" si="193"/>
        <v>0</v>
      </c>
    </row>
    <row r="853" spans="1:38" x14ac:dyDescent="0.3">
      <c r="A853" s="7" t="s">
        <v>2385</v>
      </c>
      <c r="B853" s="7" t="s">
        <v>1320</v>
      </c>
      <c r="C853" s="7" t="s">
        <v>1756</v>
      </c>
      <c r="D853" s="7" t="s">
        <v>1770</v>
      </c>
      <c r="E853" s="7" t="s">
        <v>1695</v>
      </c>
      <c r="F853" s="36">
        <v>43205</v>
      </c>
      <c r="G853" s="36">
        <v>44665</v>
      </c>
      <c r="H853" s="36">
        <v>44773</v>
      </c>
      <c r="I853" s="36">
        <v>44773</v>
      </c>
      <c r="J853" s="7" t="s">
        <v>1699</v>
      </c>
      <c r="K853" s="8">
        <v>0</v>
      </c>
      <c r="L853" s="8">
        <v>0</v>
      </c>
      <c r="M853" s="8">
        <v>0</v>
      </c>
      <c r="N853" s="8">
        <v>26820.000000004417</v>
      </c>
      <c r="O853" s="8">
        <v>0</v>
      </c>
      <c r="P853" s="8">
        <v>0</v>
      </c>
      <c r="Q853" s="8">
        <v>0</v>
      </c>
      <c r="R853" s="8">
        <f t="shared" si="190"/>
        <v>26820.000000004417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7">
        <v>0</v>
      </c>
      <c r="AB853" s="8">
        <v>0</v>
      </c>
      <c r="AC853" s="7">
        <v>2.0449999999999999</v>
      </c>
      <c r="AD853" s="7" t="s">
        <v>1226</v>
      </c>
      <c r="AE853" s="8">
        <v>0</v>
      </c>
      <c r="AF853" s="8">
        <v>0</v>
      </c>
      <c r="AG853" s="8">
        <v>0</v>
      </c>
      <c r="AH853" s="8">
        <v>0</v>
      </c>
      <c r="AI853" s="7" t="s">
        <v>1730</v>
      </c>
      <c r="AJ853" s="7">
        <f t="shared" ca="1" si="191"/>
        <v>2</v>
      </c>
      <c r="AK853" s="100">
        <f>(+AA853*AB853)/$AB$1103</f>
        <v>0</v>
      </c>
      <c r="AL853" s="97">
        <f>AC853/$AE$1103*AE853</f>
        <v>0</v>
      </c>
    </row>
    <row r="854" spans="1:38" x14ac:dyDescent="0.3">
      <c r="A854" s="7" t="s">
        <v>2386</v>
      </c>
      <c r="B854" s="7" t="s">
        <v>1320</v>
      </c>
      <c r="C854" s="7" t="s">
        <v>1769</v>
      </c>
      <c r="D854" s="7" t="s">
        <v>1792</v>
      </c>
      <c r="E854" s="7" t="s">
        <v>1695</v>
      </c>
      <c r="F854" s="36">
        <v>43582</v>
      </c>
      <c r="G854" s="36">
        <v>44677</v>
      </c>
      <c r="H854" s="36">
        <v>44773</v>
      </c>
      <c r="I854" s="36">
        <v>44773</v>
      </c>
      <c r="J854" s="7" t="s">
        <v>1696</v>
      </c>
      <c r="K854" s="8">
        <v>0</v>
      </c>
      <c r="L854" s="8">
        <v>0</v>
      </c>
      <c r="M854" s="8">
        <v>13780.800012</v>
      </c>
      <c r="N854" s="8">
        <v>0</v>
      </c>
      <c r="O854" s="8">
        <v>0</v>
      </c>
      <c r="P854" s="8">
        <v>0</v>
      </c>
      <c r="Q854" s="8">
        <v>0</v>
      </c>
      <c r="R854" s="8">
        <f t="shared" si="190"/>
        <v>13780.800012</v>
      </c>
      <c r="S854" s="8">
        <v>0</v>
      </c>
      <c r="T854" s="8">
        <v>0</v>
      </c>
      <c r="U854" s="8">
        <v>10692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7">
        <v>0</v>
      </c>
      <c r="AB854" s="8">
        <v>0</v>
      </c>
      <c r="AC854" s="7">
        <v>2.0299999999999998</v>
      </c>
      <c r="AD854" s="7" t="s">
        <v>1226</v>
      </c>
      <c r="AE854" s="8">
        <v>0</v>
      </c>
      <c r="AF854" s="8">
        <v>0</v>
      </c>
      <c r="AG854" s="8">
        <v>0</v>
      </c>
      <c r="AH854" s="8">
        <v>0</v>
      </c>
      <c r="AI854" s="7" t="s">
        <v>1730</v>
      </c>
      <c r="AJ854" s="7">
        <f t="shared" ca="1" si="191"/>
        <v>1</v>
      </c>
      <c r="AK854" s="96">
        <f>(+AA854*AB854)/$AB$1102</f>
        <v>0</v>
      </c>
      <c r="AL854" s="97">
        <f>AC854/$AE$1102*AE854</f>
        <v>0</v>
      </c>
    </row>
    <row r="855" spans="1:38" x14ac:dyDescent="0.3">
      <c r="A855" s="7" t="s">
        <v>2386</v>
      </c>
      <c r="B855" s="7" t="s">
        <v>1320</v>
      </c>
      <c r="C855" s="7" t="s">
        <v>1769</v>
      </c>
      <c r="D855" s="7" t="s">
        <v>1792</v>
      </c>
      <c r="E855" s="7" t="s">
        <v>1695</v>
      </c>
      <c r="F855" s="36">
        <v>43582</v>
      </c>
      <c r="G855" s="36">
        <v>44677</v>
      </c>
      <c r="H855" s="36">
        <v>44773</v>
      </c>
      <c r="I855" s="36">
        <v>44773</v>
      </c>
      <c r="J855" s="7" t="s">
        <v>1699</v>
      </c>
      <c r="K855" s="8">
        <v>0</v>
      </c>
      <c r="L855" s="8">
        <v>0</v>
      </c>
      <c r="M855" s="8">
        <v>0</v>
      </c>
      <c r="N855" s="8">
        <v>10692</v>
      </c>
      <c r="O855" s="8">
        <v>0</v>
      </c>
      <c r="P855" s="8">
        <v>0</v>
      </c>
      <c r="Q855" s="8">
        <v>0</v>
      </c>
      <c r="R855" s="8">
        <f t="shared" si="190"/>
        <v>10692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7">
        <v>0</v>
      </c>
      <c r="AB855" s="8">
        <v>0</v>
      </c>
      <c r="AC855" s="7">
        <v>2.0299999999999998</v>
      </c>
      <c r="AD855" s="7" t="s">
        <v>1226</v>
      </c>
      <c r="AE855" s="8">
        <v>0</v>
      </c>
      <c r="AF855" s="8">
        <v>0</v>
      </c>
      <c r="AG855" s="8">
        <v>0</v>
      </c>
      <c r="AH855" s="8">
        <v>0</v>
      </c>
      <c r="AI855" s="7" t="s">
        <v>1730</v>
      </c>
      <c r="AJ855" s="7">
        <f t="shared" ca="1" si="191"/>
        <v>2</v>
      </c>
      <c r="AK855" s="100">
        <f>(+AA855*AB855)/$AB$1103</f>
        <v>0</v>
      </c>
      <c r="AL855" s="97">
        <f>AC855/$AE$1103*AE855</f>
        <v>0</v>
      </c>
    </row>
    <row r="856" spans="1:38" x14ac:dyDescent="0.3">
      <c r="A856" s="7" t="s">
        <v>2387</v>
      </c>
      <c r="B856" s="7" t="s">
        <v>1320</v>
      </c>
      <c r="C856" s="7" t="s">
        <v>1756</v>
      </c>
      <c r="D856" s="7" t="s">
        <v>2341</v>
      </c>
      <c r="E856" s="7" t="s">
        <v>1695</v>
      </c>
      <c r="F856" s="36">
        <v>43221</v>
      </c>
      <c r="G856" s="36">
        <v>44681</v>
      </c>
      <c r="H856" s="36">
        <v>44773</v>
      </c>
      <c r="I856" s="36">
        <v>44773</v>
      </c>
      <c r="J856" s="7" t="s">
        <v>1239</v>
      </c>
      <c r="K856" s="8">
        <v>0</v>
      </c>
      <c r="L856" s="8">
        <v>-1279.648209000947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f t="shared" si="190"/>
        <v>-1279.648209000947</v>
      </c>
      <c r="S856" s="8">
        <v>0</v>
      </c>
      <c r="T856" s="8">
        <v>-1113.9457140008319</v>
      </c>
      <c r="U856" s="8">
        <v>0</v>
      </c>
      <c r="V856" s="8">
        <v>-8012.0542860109827</v>
      </c>
      <c r="W856" s="8">
        <v>0</v>
      </c>
      <c r="X856" s="8">
        <v>0</v>
      </c>
      <c r="Y856" s="8">
        <v>0</v>
      </c>
      <c r="Z856" s="8">
        <v>0</v>
      </c>
      <c r="AA856" s="7">
        <v>0</v>
      </c>
      <c r="AB856" s="8">
        <v>0</v>
      </c>
      <c r="AC856" s="7">
        <v>2.0449999999999999</v>
      </c>
      <c r="AD856" s="7" t="s">
        <v>1226</v>
      </c>
      <c r="AE856" s="8">
        <v>0</v>
      </c>
      <c r="AF856" s="8">
        <v>0</v>
      </c>
      <c r="AG856" s="8">
        <v>0</v>
      </c>
      <c r="AH856" s="8">
        <v>0</v>
      </c>
      <c r="AI856" s="7" t="s">
        <v>1730</v>
      </c>
      <c r="AJ856" s="7">
        <f t="shared" ca="1" si="191"/>
        <v>1</v>
      </c>
      <c r="AK856" s="96">
        <f t="shared" si="192"/>
        <v>0</v>
      </c>
      <c r="AL856" s="97">
        <f t="shared" si="193"/>
        <v>0</v>
      </c>
    </row>
    <row r="857" spans="1:38" x14ac:dyDescent="0.3">
      <c r="A857" s="7" t="s">
        <v>2387</v>
      </c>
      <c r="B857" s="7" t="s">
        <v>1320</v>
      </c>
      <c r="C857" s="7" t="s">
        <v>1756</v>
      </c>
      <c r="D857" s="7" t="s">
        <v>2341</v>
      </c>
      <c r="E857" s="7" t="s">
        <v>1695</v>
      </c>
      <c r="F857" s="36">
        <v>43221</v>
      </c>
      <c r="G857" s="36">
        <v>44681</v>
      </c>
      <c r="H857" s="36">
        <v>44773</v>
      </c>
      <c r="I857" s="36">
        <v>44773</v>
      </c>
      <c r="J857" s="7" t="s">
        <v>1699</v>
      </c>
      <c r="K857" s="8">
        <v>0</v>
      </c>
      <c r="L857" s="8">
        <v>0</v>
      </c>
      <c r="M857" s="8">
        <v>0</v>
      </c>
      <c r="N857" s="8">
        <v>6844.5000000011278</v>
      </c>
      <c r="O857" s="8">
        <v>0</v>
      </c>
      <c r="P857" s="8">
        <v>0</v>
      </c>
      <c r="Q857" s="8">
        <v>0</v>
      </c>
      <c r="R857" s="8">
        <f t="shared" si="190"/>
        <v>6844.5000000011278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7">
        <v>0</v>
      </c>
      <c r="AB857" s="8">
        <v>0</v>
      </c>
      <c r="AC857" s="7">
        <v>2.0449999999999999</v>
      </c>
      <c r="AD857" s="7" t="s">
        <v>1226</v>
      </c>
      <c r="AE857" s="8">
        <v>0</v>
      </c>
      <c r="AF857" s="8">
        <v>0</v>
      </c>
      <c r="AG857" s="8">
        <v>0</v>
      </c>
      <c r="AH857" s="8">
        <v>0</v>
      </c>
      <c r="AI857" s="7" t="s">
        <v>1730</v>
      </c>
      <c r="AJ857" s="7">
        <f t="shared" ca="1" si="191"/>
        <v>2</v>
      </c>
      <c r="AK857" s="100">
        <f>(+AA857*AB857)/$AB$1103</f>
        <v>0</v>
      </c>
      <c r="AL857" s="97">
        <f>AC857/$AE$1103*AE857</f>
        <v>0</v>
      </c>
    </row>
    <row r="858" spans="1:38" x14ac:dyDescent="0.3">
      <c r="A858" s="7" t="s">
        <v>2388</v>
      </c>
      <c r="B858" s="7" t="s">
        <v>1320</v>
      </c>
      <c r="C858" s="7" t="s">
        <v>1769</v>
      </c>
      <c r="D858" s="7" t="s">
        <v>2343</v>
      </c>
      <c r="E858" s="7" t="s">
        <v>1695</v>
      </c>
      <c r="F858" s="36">
        <v>43600</v>
      </c>
      <c r="G858" s="36">
        <v>44695</v>
      </c>
      <c r="H858" s="36">
        <v>44773</v>
      </c>
      <c r="I858" s="36">
        <v>44773</v>
      </c>
      <c r="J858" s="7" t="s">
        <v>1239</v>
      </c>
      <c r="K858" s="8">
        <v>52752.187594000003</v>
      </c>
      <c r="L858" s="8">
        <v>160.659414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f t="shared" si="190"/>
        <v>52912.847008000004</v>
      </c>
      <c r="S858" s="8">
        <v>0</v>
      </c>
      <c r="T858" s="8">
        <v>205.75456199999999</v>
      </c>
      <c r="U858" s="8">
        <v>0</v>
      </c>
      <c r="V858" s="8">
        <v>48610.245448000001</v>
      </c>
      <c r="W858" s="8">
        <v>0</v>
      </c>
      <c r="X858" s="8">
        <v>0</v>
      </c>
      <c r="Y858" s="8">
        <v>0</v>
      </c>
      <c r="Z858" s="8">
        <v>0</v>
      </c>
      <c r="AA858" s="7">
        <v>0</v>
      </c>
      <c r="AB858" s="8">
        <v>0</v>
      </c>
      <c r="AC858" s="7">
        <v>2.0299999999999998</v>
      </c>
      <c r="AD858" s="7" t="s">
        <v>1226</v>
      </c>
      <c r="AE858" s="8">
        <v>0</v>
      </c>
      <c r="AF858" s="8">
        <v>0</v>
      </c>
      <c r="AG858" s="8">
        <v>0</v>
      </c>
      <c r="AH858" s="8">
        <v>0</v>
      </c>
      <c r="AI858" s="7" t="s">
        <v>1730</v>
      </c>
      <c r="AJ858" s="7">
        <f t="shared" ca="1" si="191"/>
        <v>1</v>
      </c>
      <c r="AK858" s="96">
        <f t="shared" si="192"/>
        <v>0</v>
      </c>
      <c r="AL858" s="97">
        <f t="shared" si="193"/>
        <v>0</v>
      </c>
    </row>
    <row r="859" spans="1:38" x14ac:dyDescent="0.3">
      <c r="A859" s="7" t="s">
        <v>2388</v>
      </c>
      <c r="B859" s="7" t="s">
        <v>1320</v>
      </c>
      <c r="C859" s="7" t="s">
        <v>1769</v>
      </c>
      <c r="D859" s="7" t="s">
        <v>2343</v>
      </c>
      <c r="E859" s="7" t="s">
        <v>1695</v>
      </c>
      <c r="F859" s="36">
        <v>43600</v>
      </c>
      <c r="G859" s="36">
        <v>44695</v>
      </c>
      <c r="H859" s="36">
        <v>44773</v>
      </c>
      <c r="I859" s="36">
        <v>44773</v>
      </c>
      <c r="J859" s="7" t="s">
        <v>1699</v>
      </c>
      <c r="K859" s="8">
        <v>0</v>
      </c>
      <c r="L859" s="8">
        <v>0</v>
      </c>
      <c r="M859" s="8">
        <v>0</v>
      </c>
      <c r="N859" s="8">
        <v>36612.000006000002</v>
      </c>
      <c r="O859" s="8">
        <v>0</v>
      </c>
      <c r="P859" s="8">
        <v>0</v>
      </c>
      <c r="Q859" s="8">
        <v>0</v>
      </c>
      <c r="R859" s="8">
        <f t="shared" si="190"/>
        <v>36612.000006000002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7">
        <v>0</v>
      </c>
      <c r="AB859" s="8">
        <v>0</v>
      </c>
      <c r="AC859" s="7">
        <v>2.0299999999999998</v>
      </c>
      <c r="AD859" s="7" t="s">
        <v>1226</v>
      </c>
      <c r="AE859" s="8">
        <v>0</v>
      </c>
      <c r="AF859" s="8">
        <v>0</v>
      </c>
      <c r="AG859" s="8">
        <v>0</v>
      </c>
      <c r="AH859" s="8">
        <v>0</v>
      </c>
      <c r="AI859" s="7" t="s">
        <v>1730</v>
      </c>
      <c r="AJ859" s="7">
        <f t="shared" ca="1" si="191"/>
        <v>2</v>
      </c>
      <c r="AK859" s="100">
        <f>(+AA859*AB859)/$AB$1103</f>
        <v>0</v>
      </c>
      <c r="AL859" s="97">
        <f>AC859/$AE$1103*AE859</f>
        <v>0</v>
      </c>
    </row>
    <row r="860" spans="1:38" x14ac:dyDescent="0.3">
      <c r="A860" s="7" t="s">
        <v>2389</v>
      </c>
      <c r="B860" s="7" t="s">
        <v>1320</v>
      </c>
      <c r="C860" s="7" t="s">
        <v>1756</v>
      </c>
      <c r="D860" s="7" t="s">
        <v>2191</v>
      </c>
      <c r="E860" s="7" t="s">
        <v>1695</v>
      </c>
      <c r="F860" s="36">
        <v>42880</v>
      </c>
      <c r="G860" s="36">
        <v>44705</v>
      </c>
      <c r="H860" s="36">
        <v>44773</v>
      </c>
      <c r="I860" s="36">
        <v>44773</v>
      </c>
      <c r="J860" s="7" t="s">
        <v>1239</v>
      </c>
      <c r="K860" s="8">
        <v>0</v>
      </c>
      <c r="L860" s="8">
        <v>-41352.391736030411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f t="shared" si="190"/>
        <v>-41352.391736030411</v>
      </c>
      <c r="S860" s="8">
        <v>0</v>
      </c>
      <c r="T860" s="8">
        <v>-40914.308320030119</v>
      </c>
      <c r="U860" s="8">
        <v>0</v>
      </c>
      <c r="V860" s="8">
        <v>-360557.69168031961</v>
      </c>
      <c r="W860" s="8">
        <v>0</v>
      </c>
      <c r="X860" s="8">
        <v>0</v>
      </c>
      <c r="Y860" s="8">
        <v>0</v>
      </c>
      <c r="Z860" s="8">
        <v>0</v>
      </c>
      <c r="AA860" s="7">
        <v>0</v>
      </c>
      <c r="AB860" s="8">
        <v>0</v>
      </c>
      <c r="AC860" s="7">
        <v>2.181667</v>
      </c>
      <c r="AD860" s="7" t="s">
        <v>1226</v>
      </c>
      <c r="AE860" s="8">
        <v>0</v>
      </c>
      <c r="AF860" s="8">
        <v>0</v>
      </c>
      <c r="AG860" s="8">
        <v>0</v>
      </c>
      <c r="AH860" s="8">
        <v>0</v>
      </c>
      <c r="AI860" s="7" t="s">
        <v>1877</v>
      </c>
      <c r="AJ860" s="7">
        <f t="shared" ca="1" si="191"/>
        <v>1</v>
      </c>
      <c r="AK860" s="96">
        <f t="shared" si="192"/>
        <v>0</v>
      </c>
      <c r="AL860" s="97">
        <f t="shared" si="193"/>
        <v>0</v>
      </c>
    </row>
    <row r="861" spans="1:38" x14ac:dyDescent="0.3">
      <c r="A861" s="7" t="s">
        <v>2389</v>
      </c>
      <c r="B861" s="7" t="s">
        <v>1320</v>
      </c>
      <c r="C861" s="7" t="s">
        <v>1756</v>
      </c>
      <c r="D861" s="7" t="s">
        <v>2191</v>
      </c>
      <c r="E861" s="7" t="s">
        <v>1695</v>
      </c>
      <c r="F861" s="36">
        <v>42880</v>
      </c>
      <c r="G861" s="36">
        <v>44705</v>
      </c>
      <c r="H861" s="36">
        <v>44773</v>
      </c>
      <c r="I861" s="36">
        <v>44773</v>
      </c>
      <c r="J861" s="7" t="s">
        <v>1699</v>
      </c>
      <c r="K861" s="8">
        <v>0</v>
      </c>
      <c r="L861" s="8">
        <v>0</v>
      </c>
      <c r="M861" s="8">
        <v>0</v>
      </c>
      <c r="N861" s="8">
        <v>75276.000000012398</v>
      </c>
      <c r="O861" s="8">
        <v>0</v>
      </c>
      <c r="P861" s="8">
        <v>0</v>
      </c>
      <c r="Q861" s="8">
        <v>0</v>
      </c>
      <c r="R861" s="8">
        <f t="shared" si="190"/>
        <v>75276.000000012398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7">
        <v>0</v>
      </c>
      <c r="AB861" s="8">
        <v>0</v>
      </c>
      <c r="AC861" s="7">
        <v>2.181667</v>
      </c>
      <c r="AD861" s="7" t="s">
        <v>1226</v>
      </c>
      <c r="AE861" s="8">
        <v>0</v>
      </c>
      <c r="AF861" s="8">
        <v>0</v>
      </c>
      <c r="AG861" s="8">
        <v>0</v>
      </c>
      <c r="AH861" s="8">
        <v>0</v>
      </c>
      <c r="AI861" s="7" t="s">
        <v>1877</v>
      </c>
      <c r="AJ861" s="7">
        <f t="shared" ca="1" si="191"/>
        <v>2</v>
      </c>
      <c r="AK861" s="100">
        <f>(+AA861*AB861)/$AB$1103</f>
        <v>0</v>
      </c>
      <c r="AL861" s="97">
        <f>AC861/$AE$1103*AE861</f>
        <v>0</v>
      </c>
    </row>
    <row r="862" spans="1:38" x14ac:dyDescent="0.3">
      <c r="A862" s="7" t="s">
        <v>2390</v>
      </c>
      <c r="B862" s="7" t="s">
        <v>1320</v>
      </c>
      <c r="C862" s="7" t="s">
        <v>1769</v>
      </c>
      <c r="D862" s="7" t="s">
        <v>1324</v>
      </c>
      <c r="E862" s="7" t="s">
        <v>1695</v>
      </c>
      <c r="F862" s="36">
        <v>43252</v>
      </c>
      <c r="G862" s="36">
        <v>44712</v>
      </c>
      <c r="H862" s="36">
        <v>44773</v>
      </c>
      <c r="I862" s="36">
        <v>44773</v>
      </c>
      <c r="J862" s="7" t="s">
        <v>1239</v>
      </c>
      <c r="K862" s="8">
        <v>56567.014768000001</v>
      </c>
      <c r="L862" s="8">
        <v>199.932772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f t="shared" si="190"/>
        <v>56766.947540000001</v>
      </c>
      <c r="S862" s="8">
        <v>0</v>
      </c>
      <c r="T862" s="8">
        <v>299.72923200000002</v>
      </c>
      <c r="U862" s="8">
        <v>0</v>
      </c>
      <c r="V862" s="8">
        <v>58560.270768000002</v>
      </c>
      <c r="W862" s="8">
        <v>0</v>
      </c>
      <c r="X862" s="8">
        <v>0</v>
      </c>
      <c r="Y862" s="8">
        <v>0</v>
      </c>
      <c r="Z862" s="8">
        <v>0</v>
      </c>
      <c r="AA862" s="7">
        <v>0</v>
      </c>
      <c r="AB862" s="8">
        <v>0</v>
      </c>
      <c r="AC862" s="7">
        <v>2.0449999999999999</v>
      </c>
      <c r="AD862" s="7" t="s">
        <v>1226</v>
      </c>
      <c r="AE862" s="8">
        <v>0</v>
      </c>
      <c r="AF862" s="8">
        <v>0</v>
      </c>
      <c r="AG862" s="8">
        <v>0</v>
      </c>
      <c r="AH862" s="8">
        <v>0</v>
      </c>
      <c r="AI862" s="7" t="s">
        <v>1730</v>
      </c>
      <c r="AJ862" s="7">
        <f t="shared" ca="1" si="191"/>
        <v>1</v>
      </c>
      <c r="AK862" s="96">
        <f t="shared" si="192"/>
        <v>0</v>
      </c>
      <c r="AL862" s="97">
        <f t="shared" si="193"/>
        <v>0</v>
      </c>
    </row>
    <row r="863" spans="1:38" x14ac:dyDescent="0.3">
      <c r="A863" s="7" t="s">
        <v>2390</v>
      </c>
      <c r="B863" s="7" t="s">
        <v>1320</v>
      </c>
      <c r="C863" s="7" t="s">
        <v>1769</v>
      </c>
      <c r="D863" s="7" t="s">
        <v>1324</v>
      </c>
      <c r="E863" s="7" t="s">
        <v>1695</v>
      </c>
      <c r="F863" s="36">
        <v>43252</v>
      </c>
      <c r="G863" s="36">
        <v>44712</v>
      </c>
      <c r="H863" s="36">
        <v>44773</v>
      </c>
      <c r="I863" s="36">
        <v>44773</v>
      </c>
      <c r="J863" s="7" t="s">
        <v>1699</v>
      </c>
      <c r="K863" s="8">
        <v>0</v>
      </c>
      <c r="L863" s="8">
        <v>0</v>
      </c>
      <c r="M863" s="8">
        <v>0</v>
      </c>
      <c r="N863" s="8">
        <v>23544</v>
      </c>
      <c r="O863" s="8">
        <v>0</v>
      </c>
      <c r="P863" s="8">
        <v>0</v>
      </c>
      <c r="Q863" s="8">
        <v>0</v>
      </c>
      <c r="R863" s="8">
        <f t="shared" si="190"/>
        <v>23544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7">
        <v>0</v>
      </c>
      <c r="AB863" s="8">
        <v>0</v>
      </c>
      <c r="AC863" s="7">
        <v>2.0449999999999999</v>
      </c>
      <c r="AD863" s="7" t="s">
        <v>1226</v>
      </c>
      <c r="AE863" s="8">
        <v>0</v>
      </c>
      <c r="AF863" s="8">
        <v>0</v>
      </c>
      <c r="AG863" s="8">
        <v>0</v>
      </c>
      <c r="AH863" s="8">
        <v>0</v>
      </c>
      <c r="AI863" s="7" t="s">
        <v>1730</v>
      </c>
      <c r="AJ863" s="7">
        <f t="shared" ca="1" si="191"/>
        <v>2</v>
      </c>
      <c r="AK863" s="100">
        <f>(+AA863*AB863)/$AB$1103</f>
        <v>0</v>
      </c>
      <c r="AL863" s="97">
        <f>AC863/$AE$1103*AE863</f>
        <v>0</v>
      </c>
    </row>
    <row r="864" spans="1:38" x14ac:dyDescent="0.3">
      <c r="A864" s="7" t="s">
        <v>2391</v>
      </c>
      <c r="B864" s="7" t="s">
        <v>1320</v>
      </c>
      <c r="C864" s="7" t="s">
        <v>1756</v>
      </c>
      <c r="D864" s="7" t="s">
        <v>2198</v>
      </c>
      <c r="E864" s="7" t="s">
        <v>1695</v>
      </c>
      <c r="F864" s="36">
        <v>43621</v>
      </c>
      <c r="G864" s="36">
        <v>45081</v>
      </c>
      <c r="H864" s="36">
        <v>44773</v>
      </c>
      <c r="I864" s="36">
        <v>44773</v>
      </c>
      <c r="J864" s="7" t="s">
        <v>1239</v>
      </c>
      <c r="K864" s="8">
        <v>15738.553726119044</v>
      </c>
      <c r="L864" s="8">
        <v>670.42779300011102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f t="shared" si="190"/>
        <v>16408.981519119156</v>
      </c>
      <c r="S864" s="8">
        <v>0</v>
      </c>
      <c r="T864" s="8">
        <v>714.39215400012097</v>
      </c>
      <c r="U864" s="8">
        <v>0</v>
      </c>
      <c r="V864" s="8">
        <v>29620.107846004878</v>
      </c>
      <c r="W864" s="8">
        <v>0</v>
      </c>
      <c r="X864" s="8">
        <v>0</v>
      </c>
      <c r="Y864" s="8">
        <v>0</v>
      </c>
      <c r="Z864" s="8">
        <v>-22783.425352209371</v>
      </c>
      <c r="AA864" s="7">
        <v>0</v>
      </c>
      <c r="AB864" s="8">
        <v>0</v>
      </c>
      <c r="AC864" s="7">
        <v>2.0449999999999999</v>
      </c>
      <c r="AD864" s="7" t="s">
        <v>1226</v>
      </c>
      <c r="AE864" s="8">
        <v>0</v>
      </c>
      <c r="AF864" s="8">
        <v>0</v>
      </c>
      <c r="AG864" s="8">
        <v>0</v>
      </c>
      <c r="AH864" s="8">
        <v>0</v>
      </c>
      <c r="AI864" s="7" t="s">
        <v>1730</v>
      </c>
      <c r="AJ864" s="7">
        <f t="shared" ca="1" si="191"/>
        <v>1</v>
      </c>
      <c r="AK864" s="96">
        <f t="shared" si="192"/>
        <v>0</v>
      </c>
      <c r="AL864" s="97">
        <f t="shared" si="193"/>
        <v>0</v>
      </c>
    </row>
    <row r="865" spans="1:38" x14ac:dyDescent="0.3">
      <c r="A865" s="7" t="s">
        <v>2392</v>
      </c>
      <c r="B865" s="7" t="s">
        <v>1320</v>
      </c>
      <c r="C865" s="7" t="s">
        <v>1769</v>
      </c>
      <c r="D865" s="7" t="s">
        <v>2193</v>
      </c>
      <c r="E865" s="7" t="s">
        <v>1695</v>
      </c>
      <c r="F865" s="36">
        <v>43631</v>
      </c>
      <c r="G865" s="36">
        <v>44726</v>
      </c>
      <c r="H865" s="36">
        <v>44773</v>
      </c>
      <c r="I865" s="36">
        <v>44773</v>
      </c>
      <c r="J865" s="7" t="s">
        <v>1696</v>
      </c>
      <c r="K865" s="8">
        <v>0</v>
      </c>
      <c r="L865" s="8">
        <v>0</v>
      </c>
      <c r="M865" s="8">
        <v>18154.800048000001</v>
      </c>
      <c r="N865" s="8">
        <v>0</v>
      </c>
      <c r="O865" s="8">
        <v>0</v>
      </c>
      <c r="P865" s="8">
        <v>0</v>
      </c>
      <c r="Q865" s="8">
        <v>0</v>
      </c>
      <c r="R865" s="8">
        <f t="shared" si="190"/>
        <v>18154.800048000001</v>
      </c>
      <c r="S865" s="8">
        <v>0</v>
      </c>
      <c r="T865" s="8">
        <v>0</v>
      </c>
      <c r="U865" s="8">
        <v>16605.000003000001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7">
        <v>0</v>
      </c>
      <c r="AB865" s="8">
        <v>0</v>
      </c>
      <c r="AC865" s="7">
        <v>2.0299999999999998</v>
      </c>
      <c r="AD865" s="7" t="s">
        <v>1226</v>
      </c>
      <c r="AE865" s="8">
        <v>0</v>
      </c>
      <c r="AF865" s="8">
        <v>0</v>
      </c>
      <c r="AG865" s="8">
        <v>0</v>
      </c>
      <c r="AH865" s="8">
        <v>0</v>
      </c>
      <c r="AI865" s="7" t="s">
        <v>1730</v>
      </c>
      <c r="AJ865" s="7">
        <f t="shared" ca="1" si="191"/>
        <v>1</v>
      </c>
      <c r="AK865" s="96">
        <f>(+AA865*AB865)/$AB$1102</f>
        <v>0</v>
      </c>
      <c r="AL865" s="97">
        <f>AC865/$AE$1102*AE865</f>
        <v>0</v>
      </c>
    </row>
    <row r="866" spans="1:38" x14ac:dyDescent="0.3">
      <c r="A866" s="7" t="s">
        <v>2392</v>
      </c>
      <c r="B866" s="7" t="s">
        <v>1320</v>
      </c>
      <c r="C866" s="7" t="s">
        <v>1769</v>
      </c>
      <c r="D866" s="7" t="s">
        <v>2193</v>
      </c>
      <c r="E866" s="7" t="s">
        <v>1695</v>
      </c>
      <c r="F866" s="36">
        <v>43631</v>
      </c>
      <c r="G866" s="36">
        <v>44726</v>
      </c>
      <c r="H866" s="36">
        <v>44773</v>
      </c>
      <c r="I866" s="36">
        <v>44773</v>
      </c>
      <c r="J866" s="7" t="s">
        <v>1699</v>
      </c>
      <c r="K866" s="8">
        <v>0</v>
      </c>
      <c r="L866" s="8">
        <v>0</v>
      </c>
      <c r="M866" s="8">
        <v>0</v>
      </c>
      <c r="N866" s="8">
        <v>6642.0000019999998</v>
      </c>
      <c r="O866" s="8">
        <v>0</v>
      </c>
      <c r="P866" s="8">
        <v>0</v>
      </c>
      <c r="Q866" s="8">
        <v>0</v>
      </c>
      <c r="R866" s="8">
        <f t="shared" si="190"/>
        <v>6642.0000019999998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7">
        <v>0</v>
      </c>
      <c r="AB866" s="8">
        <v>0</v>
      </c>
      <c r="AC866" s="7">
        <v>2.0299999999999998</v>
      </c>
      <c r="AD866" s="7" t="s">
        <v>1226</v>
      </c>
      <c r="AE866" s="8">
        <v>0</v>
      </c>
      <c r="AF866" s="8">
        <v>0</v>
      </c>
      <c r="AG866" s="8">
        <v>0</v>
      </c>
      <c r="AH866" s="8">
        <v>0</v>
      </c>
      <c r="AI866" s="7" t="s">
        <v>1730</v>
      </c>
      <c r="AJ866" s="7">
        <f t="shared" ca="1" si="191"/>
        <v>2</v>
      </c>
      <c r="AK866" s="100">
        <f>(+AA866*AB866)/$AB$1103</f>
        <v>0</v>
      </c>
      <c r="AL866" s="97">
        <f>AC866/$AE$1103*AE866</f>
        <v>0</v>
      </c>
    </row>
    <row r="867" spans="1:38" x14ac:dyDescent="0.3">
      <c r="A867" s="7" t="s">
        <v>2393</v>
      </c>
      <c r="B867" s="7" t="s">
        <v>1320</v>
      </c>
      <c r="C867" s="7" t="s">
        <v>1756</v>
      </c>
      <c r="D867" s="7" t="s">
        <v>2200</v>
      </c>
      <c r="E867" s="7" t="s">
        <v>1695</v>
      </c>
      <c r="F867" s="36">
        <v>43282</v>
      </c>
      <c r="G867" s="36">
        <v>44742</v>
      </c>
      <c r="H867" s="36">
        <v>44773</v>
      </c>
      <c r="I867" s="36">
        <v>44773</v>
      </c>
      <c r="J867" s="7" t="s">
        <v>1239</v>
      </c>
      <c r="K867" s="8">
        <v>0</v>
      </c>
      <c r="L867" s="8">
        <v>-1363.826915001041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f t="shared" si="190"/>
        <v>-1363.826915001041</v>
      </c>
      <c r="S867" s="8">
        <v>0</v>
      </c>
      <c r="T867" s="8">
        <v>-1101.935359989656</v>
      </c>
      <c r="U867" s="8">
        <v>0</v>
      </c>
      <c r="V867" s="8">
        <v>1101.935359989656</v>
      </c>
      <c r="W867" s="8">
        <v>0</v>
      </c>
      <c r="X867" s="8">
        <v>0</v>
      </c>
      <c r="Y867" s="8">
        <v>0</v>
      </c>
      <c r="Z867" s="8">
        <v>0</v>
      </c>
      <c r="AA867" s="7">
        <v>0</v>
      </c>
      <c r="AB867" s="8">
        <v>0</v>
      </c>
      <c r="AC867" s="7">
        <v>2.0449999999999999</v>
      </c>
      <c r="AD867" s="7" t="s">
        <v>1226</v>
      </c>
      <c r="AE867" s="8">
        <v>0</v>
      </c>
      <c r="AF867" s="8">
        <v>0</v>
      </c>
      <c r="AG867" s="8">
        <v>0</v>
      </c>
      <c r="AH867" s="8">
        <v>0</v>
      </c>
      <c r="AI867" s="7" t="s">
        <v>1730</v>
      </c>
      <c r="AJ867" s="7">
        <f t="shared" ca="1" si="191"/>
        <v>1</v>
      </c>
      <c r="AK867" s="96">
        <f t="shared" si="192"/>
        <v>0</v>
      </c>
      <c r="AL867" s="97">
        <f t="shared" si="193"/>
        <v>0</v>
      </c>
    </row>
    <row r="868" spans="1:38" x14ac:dyDescent="0.3">
      <c r="A868" s="7" t="s">
        <v>2393</v>
      </c>
      <c r="B868" s="7" t="s">
        <v>1320</v>
      </c>
      <c r="C868" s="7" t="s">
        <v>1756</v>
      </c>
      <c r="D868" s="7" t="s">
        <v>2200</v>
      </c>
      <c r="E868" s="7" t="s">
        <v>1695</v>
      </c>
      <c r="F868" s="36">
        <v>43282</v>
      </c>
      <c r="G868" s="36">
        <v>44742</v>
      </c>
      <c r="H868" s="36">
        <v>44773</v>
      </c>
      <c r="I868" s="36">
        <v>44773</v>
      </c>
      <c r="J868" s="7" t="s">
        <v>1699</v>
      </c>
      <c r="K868" s="8">
        <v>0</v>
      </c>
      <c r="L868" s="8">
        <v>0</v>
      </c>
      <c r="M868" s="8">
        <v>0</v>
      </c>
      <c r="N868" s="8">
        <v>3307.5000000005448</v>
      </c>
      <c r="O868" s="8">
        <v>0</v>
      </c>
      <c r="P868" s="8">
        <v>0</v>
      </c>
      <c r="Q868" s="8">
        <v>0</v>
      </c>
      <c r="R868" s="8">
        <f t="shared" si="190"/>
        <v>3307.5000000005448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7">
        <v>0</v>
      </c>
      <c r="AB868" s="8">
        <v>0</v>
      </c>
      <c r="AC868" s="7">
        <v>2.0449999999999999</v>
      </c>
      <c r="AD868" s="7" t="s">
        <v>1226</v>
      </c>
      <c r="AE868" s="8">
        <v>0</v>
      </c>
      <c r="AF868" s="8">
        <v>0</v>
      </c>
      <c r="AG868" s="8">
        <v>0</v>
      </c>
      <c r="AH868" s="8">
        <v>0</v>
      </c>
      <c r="AI868" s="7" t="s">
        <v>1730</v>
      </c>
      <c r="AJ868" s="7">
        <f t="shared" ca="1" si="191"/>
        <v>2</v>
      </c>
      <c r="AK868" s="100">
        <f>(+AA868*AB868)/$AB$1103</f>
        <v>0</v>
      </c>
      <c r="AL868" s="97">
        <f>AC868/$AE$1103*AE868</f>
        <v>0</v>
      </c>
    </row>
    <row r="869" spans="1:38" x14ac:dyDescent="0.3">
      <c r="A869" s="7" t="s">
        <v>2394</v>
      </c>
      <c r="B869" s="7" t="s">
        <v>1320</v>
      </c>
      <c r="C869" s="7" t="s">
        <v>1769</v>
      </c>
      <c r="D869" s="7" t="s">
        <v>2202</v>
      </c>
      <c r="E869" s="7" t="s">
        <v>1695</v>
      </c>
      <c r="F869" s="36">
        <v>43650</v>
      </c>
      <c r="G869" s="36">
        <v>44745</v>
      </c>
      <c r="H869" s="36">
        <v>44773</v>
      </c>
      <c r="I869" s="36">
        <v>44773</v>
      </c>
      <c r="J869" s="7" t="s">
        <v>1239</v>
      </c>
      <c r="K869" s="8">
        <v>27492.434851999999</v>
      </c>
      <c r="L869" s="8">
        <v>121.912644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f t="shared" si="190"/>
        <v>27614.347495999999</v>
      </c>
      <c r="S869" s="8">
        <v>0</v>
      </c>
      <c r="T869" s="8">
        <v>164.23669200000001</v>
      </c>
      <c r="U869" s="8">
        <v>0</v>
      </c>
      <c r="V869" s="8">
        <v>27699.763308000001</v>
      </c>
      <c r="W869" s="8">
        <v>0</v>
      </c>
      <c r="X869" s="8">
        <v>0</v>
      </c>
      <c r="Y869" s="8">
        <v>0</v>
      </c>
      <c r="Z869" s="8">
        <v>0</v>
      </c>
      <c r="AA869" s="7">
        <v>0</v>
      </c>
      <c r="AB869" s="8">
        <v>0</v>
      </c>
      <c r="AC869" s="7">
        <v>2.0299999999999998</v>
      </c>
      <c r="AD869" s="7" t="s">
        <v>1226</v>
      </c>
      <c r="AE869" s="8">
        <v>0</v>
      </c>
      <c r="AF869" s="8">
        <v>0</v>
      </c>
      <c r="AG869" s="8">
        <v>0</v>
      </c>
      <c r="AH869" s="8">
        <v>0</v>
      </c>
      <c r="AI869" s="7" t="s">
        <v>1730</v>
      </c>
      <c r="AJ869" s="7">
        <f t="shared" ca="1" si="191"/>
        <v>1</v>
      </c>
      <c r="AK869" s="96">
        <f t="shared" si="192"/>
        <v>0</v>
      </c>
      <c r="AL869" s="97">
        <f t="shared" si="193"/>
        <v>0</v>
      </c>
    </row>
    <row r="870" spans="1:38" x14ac:dyDescent="0.3">
      <c r="A870" s="7" t="s">
        <v>2394</v>
      </c>
      <c r="B870" s="7" t="s">
        <v>1320</v>
      </c>
      <c r="C870" s="7" t="s">
        <v>1769</v>
      </c>
      <c r="D870" s="7" t="s">
        <v>2202</v>
      </c>
      <c r="E870" s="7" t="s">
        <v>1695</v>
      </c>
      <c r="F870" s="36">
        <v>43650</v>
      </c>
      <c r="G870" s="36">
        <v>44745</v>
      </c>
      <c r="H870" s="36">
        <v>44773</v>
      </c>
      <c r="I870" s="36">
        <v>44773</v>
      </c>
      <c r="J870" s="7" t="s">
        <v>1699</v>
      </c>
      <c r="K870" s="8">
        <v>0</v>
      </c>
      <c r="L870" s="8">
        <v>0</v>
      </c>
      <c r="M870" s="8">
        <v>0</v>
      </c>
      <c r="N870" s="8">
        <v>4644</v>
      </c>
      <c r="O870" s="8">
        <v>0</v>
      </c>
      <c r="P870" s="8">
        <v>0</v>
      </c>
      <c r="Q870" s="8">
        <v>0</v>
      </c>
      <c r="R870" s="8">
        <f t="shared" si="190"/>
        <v>4644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7">
        <v>0</v>
      </c>
      <c r="AB870" s="8">
        <v>0</v>
      </c>
      <c r="AC870" s="7">
        <v>2.0299999999999998</v>
      </c>
      <c r="AD870" s="7" t="s">
        <v>1226</v>
      </c>
      <c r="AE870" s="8">
        <v>0</v>
      </c>
      <c r="AF870" s="8">
        <v>0</v>
      </c>
      <c r="AG870" s="8">
        <v>0</v>
      </c>
      <c r="AH870" s="8">
        <v>0</v>
      </c>
      <c r="AI870" s="7" t="s">
        <v>1730</v>
      </c>
      <c r="AJ870" s="7">
        <f t="shared" ca="1" si="191"/>
        <v>2</v>
      </c>
      <c r="AK870" s="100">
        <f>(+AA870*AB870)/$AB$1103</f>
        <v>0</v>
      </c>
      <c r="AL870" s="97">
        <f>AC870/$AE$1103*AE870</f>
        <v>0</v>
      </c>
    </row>
    <row r="871" spans="1:38" x14ac:dyDescent="0.3">
      <c r="A871" s="7" t="s">
        <v>2395</v>
      </c>
      <c r="B871" s="7" t="s">
        <v>1320</v>
      </c>
      <c r="C871" s="7" t="s">
        <v>1756</v>
      </c>
      <c r="D871" s="7" t="s">
        <v>2353</v>
      </c>
      <c r="E871" s="7" t="s">
        <v>1695</v>
      </c>
      <c r="F871" s="36">
        <v>43661</v>
      </c>
      <c r="G871" s="36">
        <v>45121</v>
      </c>
      <c r="H871" s="36">
        <v>44773</v>
      </c>
      <c r="I871" s="36">
        <v>44773</v>
      </c>
      <c r="J871" s="7" t="s">
        <v>1239</v>
      </c>
      <c r="K871" s="8">
        <v>7795.736721669814</v>
      </c>
      <c r="L871" s="8">
        <v>365.13022800006098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f t="shared" si="190"/>
        <v>8160.8669496698749</v>
      </c>
      <c r="S871" s="8">
        <v>0</v>
      </c>
      <c r="T871" s="8">
        <v>378.81818100005898</v>
      </c>
      <c r="U871" s="8">
        <v>0</v>
      </c>
      <c r="V871" s="8">
        <v>14646.681819002411</v>
      </c>
      <c r="W871" s="8">
        <v>0</v>
      </c>
      <c r="X871" s="8">
        <v>0</v>
      </c>
      <c r="Y871" s="8">
        <v>0</v>
      </c>
      <c r="Z871" s="8">
        <v>-12753.384099758308</v>
      </c>
      <c r="AA871" s="7">
        <v>0</v>
      </c>
      <c r="AB871" s="8">
        <v>0</v>
      </c>
      <c r="AC871" s="7">
        <v>2.0449999999999999</v>
      </c>
      <c r="AD871" s="7" t="s">
        <v>1226</v>
      </c>
      <c r="AE871" s="8">
        <v>0</v>
      </c>
      <c r="AF871" s="8">
        <v>0</v>
      </c>
      <c r="AG871" s="8">
        <v>0</v>
      </c>
      <c r="AH871" s="8">
        <v>0</v>
      </c>
      <c r="AI871" s="7" t="s">
        <v>1730</v>
      </c>
      <c r="AJ871" s="7">
        <f t="shared" ca="1" si="191"/>
        <v>1</v>
      </c>
      <c r="AK871" s="96">
        <f t="shared" si="192"/>
        <v>0</v>
      </c>
      <c r="AL871" s="97">
        <f t="shared" si="193"/>
        <v>0</v>
      </c>
    </row>
    <row r="872" spans="1:38" x14ac:dyDescent="0.3">
      <c r="A872" s="7" t="s">
        <v>2396</v>
      </c>
      <c r="B872" s="7" t="s">
        <v>1320</v>
      </c>
      <c r="C872" s="7" t="s">
        <v>1756</v>
      </c>
      <c r="D872" s="7" t="s">
        <v>2195</v>
      </c>
      <c r="E872" s="7" t="s">
        <v>1695</v>
      </c>
      <c r="F872" s="36">
        <v>43320</v>
      </c>
      <c r="G872" s="36">
        <v>45145</v>
      </c>
      <c r="H872" s="36">
        <v>44773</v>
      </c>
      <c r="I872" s="36">
        <v>44773</v>
      </c>
      <c r="J872" s="7" t="s">
        <v>1239</v>
      </c>
      <c r="K872" s="8">
        <v>0</v>
      </c>
      <c r="L872" s="8">
        <v>-5749.6463820064164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f t="shared" si="190"/>
        <v>-5749.6463820064164</v>
      </c>
      <c r="S872" s="8">
        <v>0</v>
      </c>
      <c r="T872" s="8">
        <v>-4038.0022350052818</v>
      </c>
      <c r="U872" s="8">
        <v>0</v>
      </c>
      <c r="V872" s="8">
        <v>45195.002234953914</v>
      </c>
      <c r="W872" s="8">
        <v>0</v>
      </c>
      <c r="X872" s="8">
        <v>0</v>
      </c>
      <c r="Y872" s="8">
        <v>0</v>
      </c>
      <c r="Z872" s="8">
        <v>0</v>
      </c>
      <c r="AA872" s="7">
        <v>0</v>
      </c>
      <c r="AB872" s="8">
        <v>0</v>
      </c>
      <c r="AC872" s="7">
        <v>2.181667</v>
      </c>
      <c r="AD872" s="7" t="s">
        <v>1226</v>
      </c>
      <c r="AE872" s="8">
        <v>0</v>
      </c>
      <c r="AF872" s="8">
        <v>0</v>
      </c>
      <c r="AG872" s="8">
        <v>0</v>
      </c>
      <c r="AH872" s="8">
        <v>0</v>
      </c>
      <c r="AI872" s="7" t="s">
        <v>1877</v>
      </c>
      <c r="AJ872" s="7">
        <f t="shared" ca="1" si="191"/>
        <v>1</v>
      </c>
      <c r="AK872" s="96">
        <f t="shared" si="192"/>
        <v>0</v>
      </c>
      <c r="AL872" s="97">
        <f t="shared" si="193"/>
        <v>0</v>
      </c>
    </row>
    <row r="873" spans="1:38" x14ac:dyDescent="0.3">
      <c r="A873" s="7" t="s">
        <v>2397</v>
      </c>
      <c r="B873" s="7" t="s">
        <v>1320</v>
      </c>
      <c r="C873" s="7" t="s">
        <v>1769</v>
      </c>
      <c r="D873" s="7" t="s">
        <v>2356</v>
      </c>
      <c r="E873" s="7" t="s">
        <v>1695</v>
      </c>
      <c r="F873" s="36">
        <v>43692</v>
      </c>
      <c r="G873" s="36">
        <v>44787</v>
      </c>
      <c r="H873" s="36">
        <v>44773</v>
      </c>
      <c r="I873" s="36">
        <v>44773</v>
      </c>
      <c r="J873" s="7" t="s">
        <v>1696</v>
      </c>
      <c r="K873" s="8">
        <v>0</v>
      </c>
      <c r="L873" s="8">
        <v>0</v>
      </c>
      <c r="M873" s="8">
        <v>46683.000033999997</v>
      </c>
      <c r="N873" s="8">
        <v>0</v>
      </c>
      <c r="O873" s="8">
        <v>0</v>
      </c>
      <c r="P873" s="8">
        <v>0</v>
      </c>
      <c r="Q873" s="8">
        <v>0</v>
      </c>
      <c r="R873" s="8">
        <f t="shared" si="190"/>
        <v>46683.000033999997</v>
      </c>
      <c r="S873" s="8">
        <v>0</v>
      </c>
      <c r="T873" s="8">
        <v>0</v>
      </c>
      <c r="U873" s="8">
        <v>46683.000001</v>
      </c>
      <c r="V873" s="8">
        <v>0</v>
      </c>
      <c r="W873" s="8">
        <v>0</v>
      </c>
      <c r="X873" s="8">
        <v>0</v>
      </c>
      <c r="Y873" s="8">
        <v>0</v>
      </c>
      <c r="Z873" s="8">
        <v>-3011.8063769999999</v>
      </c>
      <c r="AA873" s="7">
        <v>0</v>
      </c>
      <c r="AB873" s="8">
        <v>0</v>
      </c>
      <c r="AC873" s="7">
        <v>2.0299999999999998</v>
      </c>
      <c r="AD873" s="7" t="s">
        <v>1226</v>
      </c>
      <c r="AE873" s="8">
        <v>0</v>
      </c>
      <c r="AF873" s="8">
        <v>0</v>
      </c>
      <c r="AG873" s="8">
        <v>0</v>
      </c>
      <c r="AH873" s="8">
        <v>0</v>
      </c>
      <c r="AI873" s="7" t="s">
        <v>1730</v>
      </c>
      <c r="AJ873" s="7">
        <f t="shared" ca="1" si="191"/>
        <v>1</v>
      </c>
      <c r="AK873" s="96">
        <f>(+AA873*AB873)/$AB$1102</f>
        <v>0</v>
      </c>
      <c r="AL873" s="97">
        <f>AC873/$AE$1102*AE873</f>
        <v>0</v>
      </c>
    </row>
    <row r="874" spans="1:38" x14ac:dyDescent="0.3">
      <c r="A874" s="7" t="s">
        <v>2398</v>
      </c>
      <c r="B874" s="7" t="s">
        <v>1320</v>
      </c>
      <c r="C874" s="7" t="s">
        <v>1756</v>
      </c>
      <c r="D874" s="7" t="s">
        <v>1770</v>
      </c>
      <c r="E874" s="7" t="s">
        <v>1695</v>
      </c>
      <c r="F874" s="36">
        <v>43344</v>
      </c>
      <c r="G874" s="36">
        <v>44804</v>
      </c>
      <c r="H874" s="36">
        <v>44773</v>
      </c>
      <c r="I874" s="36">
        <v>44773</v>
      </c>
      <c r="J874" s="7" t="s">
        <v>1239</v>
      </c>
      <c r="K874" s="8">
        <v>0</v>
      </c>
      <c r="L874" s="8">
        <v>-1191.3913720009971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f t="shared" si="190"/>
        <v>-1191.3913720009971</v>
      </c>
      <c r="S874" s="8">
        <v>0</v>
      </c>
      <c r="T874" s="8">
        <v>-792.17610800073498</v>
      </c>
      <c r="U874" s="8">
        <v>0</v>
      </c>
      <c r="V874" s="8">
        <v>15048.176107992345</v>
      </c>
      <c r="W874" s="8">
        <v>0</v>
      </c>
      <c r="X874" s="8">
        <v>0</v>
      </c>
      <c r="Y874" s="8">
        <v>0</v>
      </c>
      <c r="Z874" s="8">
        <v>0</v>
      </c>
      <c r="AA874" s="7">
        <v>0</v>
      </c>
      <c r="AB874" s="8">
        <v>0</v>
      </c>
      <c r="AC874" s="7">
        <v>2.0449999999999999</v>
      </c>
      <c r="AD874" s="7" t="s">
        <v>1226</v>
      </c>
      <c r="AE874" s="8">
        <v>0</v>
      </c>
      <c r="AF874" s="8">
        <v>0</v>
      </c>
      <c r="AG874" s="8">
        <v>0</v>
      </c>
      <c r="AH874" s="8">
        <v>0</v>
      </c>
      <c r="AI874" s="7" t="s">
        <v>1730</v>
      </c>
      <c r="AJ874" s="7">
        <f t="shared" ca="1" si="191"/>
        <v>1</v>
      </c>
      <c r="AK874" s="96">
        <f t="shared" si="192"/>
        <v>0</v>
      </c>
      <c r="AL874" s="97">
        <f t="shared" si="193"/>
        <v>0</v>
      </c>
    </row>
    <row r="875" spans="1:38" x14ac:dyDescent="0.3">
      <c r="A875" s="7" t="s">
        <v>2399</v>
      </c>
      <c r="B875" s="7" t="s">
        <v>1320</v>
      </c>
      <c r="C875" s="7" t="s">
        <v>1756</v>
      </c>
      <c r="D875" s="7" t="s">
        <v>1324</v>
      </c>
      <c r="E875" s="7" t="s">
        <v>1695</v>
      </c>
      <c r="F875" s="36">
        <v>43510</v>
      </c>
      <c r="G875" s="36">
        <v>44970</v>
      </c>
      <c r="H875" s="36">
        <v>44773</v>
      </c>
      <c r="I875" s="36">
        <v>44773</v>
      </c>
      <c r="J875" s="7" t="s">
        <v>1239</v>
      </c>
      <c r="K875" s="8">
        <v>11031.699520873435</v>
      </c>
      <c r="L875" s="8">
        <v>338.16950000005698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f t="shared" si="190"/>
        <v>11369.869020873492</v>
      </c>
      <c r="S875" s="8">
        <v>0</v>
      </c>
      <c r="T875" s="8">
        <v>358.85399500006002</v>
      </c>
      <c r="U875" s="8">
        <v>0</v>
      </c>
      <c r="V875" s="8">
        <v>20903.64600500344</v>
      </c>
      <c r="W875" s="8">
        <v>0</v>
      </c>
      <c r="X875" s="8">
        <v>0</v>
      </c>
      <c r="Y875" s="8">
        <v>0</v>
      </c>
      <c r="Z875" s="8">
        <v>-10187.431913705195</v>
      </c>
      <c r="AA875" s="7">
        <v>0</v>
      </c>
      <c r="AB875" s="8">
        <v>0</v>
      </c>
      <c r="AC875" s="7">
        <v>2.0449999999999999</v>
      </c>
      <c r="AD875" s="7" t="s">
        <v>1226</v>
      </c>
      <c r="AE875" s="8">
        <v>0</v>
      </c>
      <c r="AF875" s="8">
        <v>0</v>
      </c>
      <c r="AG875" s="8">
        <v>0</v>
      </c>
      <c r="AH875" s="8">
        <v>0</v>
      </c>
      <c r="AI875" s="7" t="s">
        <v>1730</v>
      </c>
      <c r="AJ875" s="7">
        <f t="shared" ca="1" si="191"/>
        <v>1</v>
      </c>
      <c r="AK875" s="96">
        <f t="shared" si="192"/>
        <v>0</v>
      </c>
      <c r="AL875" s="97">
        <f t="shared" si="193"/>
        <v>0</v>
      </c>
    </row>
    <row r="876" spans="1:38" x14ac:dyDescent="0.3">
      <c r="A876" s="7" t="s">
        <v>2400</v>
      </c>
      <c r="B876" s="7" t="s">
        <v>1320</v>
      </c>
      <c r="C876" s="7" t="s">
        <v>1769</v>
      </c>
      <c r="D876" s="7" t="s">
        <v>2193</v>
      </c>
      <c r="E876" s="7" t="s">
        <v>1695</v>
      </c>
      <c r="F876" s="36">
        <v>43498</v>
      </c>
      <c r="G876" s="36">
        <v>44958</v>
      </c>
      <c r="H876" s="36">
        <v>44773</v>
      </c>
      <c r="I876" s="36">
        <v>44773</v>
      </c>
      <c r="J876" s="7" t="s">
        <v>1239</v>
      </c>
      <c r="K876" s="8">
        <v>11579.372469</v>
      </c>
      <c r="L876" s="8">
        <v>183.81524099999999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f t="shared" si="190"/>
        <v>11763.18771</v>
      </c>
      <c r="S876" s="8">
        <v>0</v>
      </c>
      <c r="T876" s="8">
        <v>203.350596</v>
      </c>
      <c r="U876" s="8">
        <v>0</v>
      </c>
      <c r="V876" s="8">
        <v>11845.399404</v>
      </c>
      <c r="W876" s="8">
        <v>0</v>
      </c>
      <c r="X876" s="8">
        <v>0</v>
      </c>
      <c r="Y876" s="8">
        <v>0</v>
      </c>
      <c r="Z876" s="8">
        <v>-9984.2548439999991</v>
      </c>
      <c r="AA876" s="7">
        <v>0</v>
      </c>
      <c r="AB876" s="8">
        <v>0</v>
      </c>
      <c r="AC876" s="7">
        <v>2.0449999999999999</v>
      </c>
      <c r="AD876" s="7" t="s">
        <v>1226</v>
      </c>
      <c r="AE876" s="8">
        <v>0</v>
      </c>
      <c r="AF876" s="8">
        <v>0</v>
      </c>
      <c r="AG876" s="8">
        <v>0</v>
      </c>
      <c r="AH876" s="8">
        <v>0</v>
      </c>
      <c r="AI876" s="7" t="s">
        <v>1730</v>
      </c>
      <c r="AJ876" s="7">
        <f t="shared" ca="1" si="191"/>
        <v>1</v>
      </c>
      <c r="AK876" s="96">
        <f t="shared" si="192"/>
        <v>0</v>
      </c>
      <c r="AL876" s="97">
        <f t="shared" si="193"/>
        <v>0</v>
      </c>
    </row>
    <row r="877" spans="1:38" x14ac:dyDescent="0.3">
      <c r="A877" s="7" t="s">
        <v>2401</v>
      </c>
      <c r="B877" s="7" t="s">
        <v>1320</v>
      </c>
      <c r="C877" s="7" t="s">
        <v>1769</v>
      </c>
      <c r="D877" s="7" t="s">
        <v>2198</v>
      </c>
      <c r="E877" s="7" t="s">
        <v>1695</v>
      </c>
      <c r="F877" s="36">
        <v>43511</v>
      </c>
      <c r="G877" s="36">
        <v>44606</v>
      </c>
      <c r="H877" s="36">
        <v>44773</v>
      </c>
      <c r="I877" s="36">
        <v>44773</v>
      </c>
      <c r="J877" s="7" t="s">
        <v>1696</v>
      </c>
      <c r="K877" s="8">
        <v>0</v>
      </c>
      <c r="L877" s="8">
        <v>0</v>
      </c>
      <c r="M877" s="8">
        <v>6939</v>
      </c>
      <c r="N877" s="8">
        <v>0</v>
      </c>
      <c r="O877" s="8">
        <v>0</v>
      </c>
      <c r="P877" s="8">
        <v>0</v>
      </c>
      <c r="Q877" s="8">
        <v>0</v>
      </c>
      <c r="R877" s="8">
        <f t="shared" si="190"/>
        <v>6939</v>
      </c>
      <c r="S877" s="8">
        <v>0</v>
      </c>
      <c r="T877" s="8">
        <v>0</v>
      </c>
      <c r="U877" s="8">
        <v>4626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7">
        <v>0</v>
      </c>
      <c r="AB877" s="8">
        <v>0</v>
      </c>
      <c r="AC877" s="7">
        <v>2.0299999999999998</v>
      </c>
      <c r="AD877" s="7" t="s">
        <v>1226</v>
      </c>
      <c r="AE877" s="8">
        <v>0</v>
      </c>
      <c r="AF877" s="8">
        <v>0</v>
      </c>
      <c r="AG877" s="8">
        <v>0</v>
      </c>
      <c r="AH877" s="8">
        <v>0</v>
      </c>
      <c r="AI877" s="7" t="s">
        <v>1730</v>
      </c>
      <c r="AJ877" s="7">
        <f t="shared" ca="1" si="191"/>
        <v>1</v>
      </c>
      <c r="AK877" s="96">
        <f>(+AA877*AB877)/$AB$1102</f>
        <v>0</v>
      </c>
      <c r="AL877" s="97">
        <f>AC877/$AE$1102*AE877</f>
        <v>0</v>
      </c>
    </row>
    <row r="878" spans="1:38" x14ac:dyDescent="0.3">
      <c r="A878" s="7" t="s">
        <v>2401</v>
      </c>
      <c r="B878" s="7" t="s">
        <v>1320</v>
      </c>
      <c r="C878" s="7" t="s">
        <v>1769</v>
      </c>
      <c r="D878" s="7" t="s">
        <v>2198</v>
      </c>
      <c r="E878" s="7" t="s">
        <v>1695</v>
      </c>
      <c r="F878" s="36">
        <v>43511</v>
      </c>
      <c r="G878" s="36">
        <v>44606</v>
      </c>
      <c r="H878" s="36">
        <v>44773</v>
      </c>
      <c r="I878" s="36">
        <v>44773</v>
      </c>
      <c r="J878" s="7" t="s">
        <v>1699</v>
      </c>
      <c r="K878" s="8">
        <v>0</v>
      </c>
      <c r="L878" s="8">
        <v>0</v>
      </c>
      <c r="M878" s="8">
        <v>0</v>
      </c>
      <c r="N878" s="8">
        <v>27756</v>
      </c>
      <c r="O878" s="8">
        <v>0</v>
      </c>
      <c r="P878" s="8">
        <v>0</v>
      </c>
      <c r="Q878" s="8">
        <v>0</v>
      </c>
      <c r="R878" s="8">
        <f t="shared" si="190"/>
        <v>27756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7">
        <v>0</v>
      </c>
      <c r="AB878" s="8">
        <v>0</v>
      </c>
      <c r="AC878" s="7">
        <v>2.0299999999999998</v>
      </c>
      <c r="AD878" s="7" t="s">
        <v>1226</v>
      </c>
      <c r="AE878" s="8">
        <v>0</v>
      </c>
      <c r="AF878" s="8">
        <v>0</v>
      </c>
      <c r="AG878" s="8">
        <v>0</v>
      </c>
      <c r="AH878" s="8">
        <v>0</v>
      </c>
      <c r="AI878" s="7" t="s">
        <v>1730</v>
      </c>
      <c r="AJ878" s="7">
        <f t="shared" ca="1" si="191"/>
        <v>2</v>
      </c>
      <c r="AK878" s="100">
        <f>(+AA878*AB878)/$AB$1103</f>
        <v>0</v>
      </c>
      <c r="AL878" s="97">
        <f>AC878/$AE$1103*AE878</f>
        <v>0</v>
      </c>
    </row>
    <row r="879" spans="1:38" x14ac:dyDescent="0.3">
      <c r="A879" s="7" t="s">
        <v>2402</v>
      </c>
      <c r="B879" s="7" t="s">
        <v>1320</v>
      </c>
      <c r="C879" s="7" t="s">
        <v>1756</v>
      </c>
      <c r="D879" s="7" t="s">
        <v>2193</v>
      </c>
      <c r="E879" s="7" t="s">
        <v>1695</v>
      </c>
      <c r="F879" s="36">
        <v>43525</v>
      </c>
      <c r="G879" s="36">
        <v>44985</v>
      </c>
      <c r="H879" s="36">
        <v>44773</v>
      </c>
      <c r="I879" s="36">
        <v>44773</v>
      </c>
      <c r="J879" s="7" t="s">
        <v>1239</v>
      </c>
      <c r="K879" s="8">
        <v>6202.2636805007551</v>
      </c>
      <c r="L879" s="8">
        <v>201.75568800003299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f t="shared" si="190"/>
        <v>6404.019368500788</v>
      </c>
      <c r="S879" s="8">
        <v>0</v>
      </c>
      <c r="T879" s="8">
        <v>221.749824000036</v>
      </c>
      <c r="U879" s="8">
        <v>0</v>
      </c>
      <c r="V879" s="8">
        <v>11732.50017600193</v>
      </c>
      <c r="W879" s="8">
        <v>0</v>
      </c>
      <c r="X879" s="8">
        <v>0</v>
      </c>
      <c r="Y879" s="8">
        <v>0</v>
      </c>
      <c r="Z879" s="8">
        <v>-6202.2636694371959</v>
      </c>
      <c r="AA879" s="7">
        <v>0</v>
      </c>
      <c r="AB879" s="8">
        <v>0</v>
      </c>
      <c r="AC879" s="7">
        <v>2.0449999999999999</v>
      </c>
      <c r="AD879" s="7" t="s">
        <v>1226</v>
      </c>
      <c r="AE879" s="8">
        <v>0</v>
      </c>
      <c r="AF879" s="8">
        <v>0</v>
      </c>
      <c r="AG879" s="8">
        <v>0</v>
      </c>
      <c r="AH879" s="8">
        <v>0</v>
      </c>
      <c r="AI879" s="7" t="s">
        <v>1730</v>
      </c>
      <c r="AJ879" s="7">
        <f t="shared" ca="1" si="191"/>
        <v>1</v>
      </c>
      <c r="AK879" s="96">
        <f t="shared" si="192"/>
        <v>0</v>
      </c>
      <c r="AL879" s="97">
        <f t="shared" si="193"/>
        <v>0</v>
      </c>
    </row>
    <row r="880" spans="1:38" x14ac:dyDescent="0.3">
      <c r="A880" s="7" t="s">
        <v>2403</v>
      </c>
      <c r="B880" s="7" t="s">
        <v>1320</v>
      </c>
      <c r="C880" s="7" t="s">
        <v>1769</v>
      </c>
      <c r="D880" s="7" t="s">
        <v>2200</v>
      </c>
      <c r="E880" s="7" t="s">
        <v>1695</v>
      </c>
      <c r="F880" s="36">
        <v>43174</v>
      </c>
      <c r="G880" s="36">
        <v>44634</v>
      </c>
      <c r="H880" s="36">
        <v>44773</v>
      </c>
      <c r="I880" s="36">
        <v>44773</v>
      </c>
      <c r="J880" s="7" t="s">
        <v>1239</v>
      </c>
      <c r="K880" s="8">
        <v>8959.0950950000006</v>
      </c>
      <c r="L880" s="8">
        <v>12.307130000000001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f t="shared" si="190"/>
        <v>8971.4022249999998</v>
      </c>
      <c r="S880" s="8">
        <v>0</v>
      </c>
      <c r="T880" s="8">
        <v>19.396204999999998</v>
      </c>
      <c r="U880" s="8">
        <v>0</v>
      </c>
      <c r="V880" s="8">
        <v>7585.603795</v>
      </c>
      <c r="W880" s="8">
        <v>0</v>
      </c>
      <c r="X880" s="8">
        <v>0</v>
      </c>
      <c r="Y880" s="8">
        <v>0</v>
      </c>
      <c r="Z880" s="8">
        <v>0</v>
      </c>
      <c r="AA880" s="7">
        <v>0</v>
      </c>
      <c r="AB880" s="8">
        <v>0</v>
      </c>
      <c r="AC880" s="7">
        <v>2.0449999999999999</v>
      </c>
      <c r="AD880" s="7" t="s">
        <v>1226</v>
      </c>
      <c r="AE880" s="8">
        <v>0</v>
      </c>
      <c r="AF880" s="8">
        <v>0</v>
      </c>
      <c r="AG880" s="8">
        <v>0</v>
      </c>
      <c r="AH880" s="8">
        <v>0</v>
      </c>
      <c r="AI880" s="7" t="s">
        <v>1730</v>
      </c>
      <c r="AJ880" s="7">
        <f t="shared" ca="1" si="191"/>
        <v>1</v>
      </c>
      <c r="AK880" s="96">
        <f t="shared" si="192"/>
        <v>0</v>
      </c>
      <c r="AL880" s="97">
        <f t="shared" si="193"/>
        <v>0</v>
      </c>
    </row>
    <row r="881" spans="1:38" x14ac:dyDescent="0.3">
      <c r="A881" s="7" t="s">
        <v>2403</v>
      </c>
      <c r="B881" s="7" t="s">
        <v>1320</v>
      </c>
      <c r="C881" s="7" t="s">
        <v>1769</v>
      </c>
      <c r="D881" s="7" t="s">
        <v>2200</v>
      </c>
      <c r="E881" s="7" t="s">
        <v>1695</v>
      </c>
      <c r="F881" s="36">
        <v>43174</v>
      </c>
      <c r="G881" s="36">
        <v>44634</v>
      </c>
      <c r="H881" s="36">
        <v>44773</v>
      </c>
      <c r="I881" s="36">
        <v>44773</v>
      </c>
      <c r="J881" s="7" t="s">
        <v>1699</v>
      </c>
      <c r="K881" s="8">
        <v>0</v>
      </c>
      <c r="L881" s="8">
        <v>0</v>
      </c>
      <c r="M881" s="8">
        <v>0</v>
      </c>
      <c r="N881" s="8">
        <v>19012.5</v>
      </c>
      <c r="O881" s="8">
        <v>0</v>
      </c>
      <c r="P881" s="8">
        <v>0</v>
      </c>
      <c r="Q881" s="8">
        <v>0</v>
      </c>
      <c r="R881" s="8">
        <f t="shared" si="190"/>
        <v>19012.5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7">
        <v>0</v>
      </c>
      <c r="AB881" s="8">
        <v>0</v>
      </c>
      <c r="AC881" s="7">
        <v>2.0449999999999999</v>
      </c>
      <c r="AD881" s="7" t="s">
        <v>1226</v>
      </c>
      <c r="AE881" s="8">
        <v>0</v>
      </c>
      <c r="AF881" s="8">
        <v>0</v>
      </c>
      <c r="AG881" s="8">
        <v>0</v>
      </c>
      <c r="AH881" s="8">
        <v>0</v>
      </c>
      <c r="AI881" s="7" t="s">
        <v>1730</v>
      </c>
      <c r="AJ881" s="7">
        <f t="shared" ca="1" si="191"/>
        <v>2</v>
      </c>
      <c r="AK881" s="100">
        <f>(+AA881*AB881)/$AB$1103</f>
        <v>0</v>
      </c>
      <c r="AL881" s="97">
        <f>AC881/$AE$1103*AE881</f>
        <v>0</v>
      </c>
    </row>
    <row r="882" spans="1:38" x14ac:dyDescent="0.3">
      <c r="A882" s="7" t="s">
        <v>2404</v>
      </c>
      <c r="B882" s="7" t="s">
        <v>1320</v>
      </c>
      <c r="C882" s="7" t="s">
        <v>1756</v>
      </c>
      <c r="D882" s="7" t="s">
        <v>2209</v>
      </c>
      <c r="E882" s="7" t="s">
        <v>1695</v>
      </c>
      <c r="F882" s="36">
        <v>43205</v>
      </c>
      <c r="G882" s="36">
        <v>44665</v>
      </c>
      <c r="H882" s="36">
        <v>44773</v>
      </c>
      <c r="I882" s="36">
        <v>44773</v>
      </c>
      <c r="J882" s="7" t="s">
        <v>1239</v>
      </c>
      <c r="K882" s="8">
        <v>0</v>
      </c>
      <c r="L882" s="8">
        <v>-4015.6759600029591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f t="shared" si="190"/>
        <v>-4015.6759600029591</v>
      </c>
      <c r="S882" s="8">
        <v>0</v>
      </c>
      <c r="T882" s="8">
        <v>-3760.7018500027839</v>
      </c>
      <c r="U882" s="8">
        <v>0</v>
      </c>
      <c r="V882" s="8">
        <v>-36469.298150037939</v>
      </c>
      <c r="W882" s="8">
        <v>0</v>
      </c>
      <c r="X882" s="8">
        <v>0</v>
      </c>
      <c r="Y882" s="8">
        <v>0</v>
      </c>
      <c r="Z882" s="8">
        <v>0</v>
      </c>
      <c r="AA882" s="7">
        <v>0</v>
      </c>
      <c r="AB882" s="8">
        <v>0</v>
      </c>
      <c r="AC882" s="7">
        <v>2.0449999999999999</v>
      </c>
      <c r="AD882" s="7" t="s">
        <v>1226</v>
      </c>
      <c r="AE882" s="8">
        <v>0</v>
      </c>
      <c r="AF882" s="8">
        <v>0</v>
      </c>
      <c r="AG882" s="8">
        <v>0</v>
      </c>
      <c r="AH882" s="8">
        <v>0</v>
      </c>
      <c r="AI882" s="7" t="s">
        <v>1730</v>
      </c>
      <c r="AJ882" s="7">
        <f t="shared" ca="1" si="191"/>
        <v>1</v>
      </c>
      <c r="AK882" s="96">
        <f t="shared" si="192"/>
        <v>0</v>
      </c>
      <c r="AL882" s="97">
        <f t="shared" si="193"/>
        <v>0</v>
      </c>
    </row>
    <row r="883" spans="1:38" x14ac:dyDescent="0.3">
      <c r="A883" s="7" t="s">
        <v>2404</v>
      </c>
      <c r="B883" s="7" t="s">
        <v>1320</v>
      </c>
      <c r="C883" s="7" t="s">
        <v>1756</v>
      </c>
      <c r="D883" s="7" t="s">
        <v>2209</v>
      </c>
      <c r="E883" s="7" t="s">
        <v>1695</v>
      </c>
      <c r="F883" s="36">
        <v>43205</v>
      </c>
      <c r="G883" s="36">
        <v>44665</v>
      </c>
      <c r="H883" s="36">
        <v>44773</v>
      </c>
      <c r="I883" s="36">
        <v>44773</v>
      </c>
      <c r="J883" s="7" t="s">
        <v>1699</v>
      </c>
      <c r="K883" s="8">
        <v>0</v>
      </c>
      <c r="L883" s="8">
        <v>0</v>
      </c>
      <c r="M883" s="8">
        <v>0</v>
      </c>
      <c r="N883" s="8">
        <v>26820.000000004417</v>
      </c>
      <c r="O883" s="8">
        <v>0</v>
      </c>
      <c r="P883" s="8">
        <v>0</v>
      </c>
      <c r="Q883" s="8">
        <v>0</v>
      </c>
      <c r="R883" s="8">
        <f t="shared" si="190"/>
        <v>26820.000000004417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7">
        <v>0</v>
      </c>
      <c r="AB883" s="8">
        <v>0</v>
      </c>
      <c r="AC883" s="7">
        <v>2.0449999999999999</v>
      </c>
      <c r="AD883" s="7" t="s">
        <v>1226</v>
      </c>
      <c r="AE883" s="8">
        <v>0</v>
      </c>
      <c r="AF883" s="8">
        <v>0</v>
      </c>
      <c r="AG883" s="8">
        <v>0</v>
      </c>
      <c r="AH883" s="8">
        <v>0</v>
      </c>
      <c r="AI883" s="7" t="s">
        <v>1730</v>
      </c>
      <c r="AJ883" s="7">
        <f t="shared" ca="1" si="191"/>
        <v>2</v>
      </c>
      <c r="AK883" s="100">
        <f>(+AA883*AB883)/$AB$1103</f>
        <v>0</v>
      </c>
      <c r="AL883" s="97">
        <f>AC883/$AE$1103*AE883</f>
        <v>0</v>
      </c>
    </row>
    <row r="884" spans="1:38" x14ac:dyDescent="0.3">
      <c r="A884" s="7" t="s">
        <v>2405</v>
      </c>
      <c r="B884" s="7" t="s">
        <v>1320</v>
      </c>
      <c r="C884" s="7" t="s">
        <v>1769</v>
      </c>
      <c r="D884" s="7" t="s">
        <v>2195</v>
      </c>
      <c r="E884" s="7" t="s">
        <v>1695</v>
      </c>
      <c r="F884" s="36">
        <v>43582</v>
      </c>
      <c r="G884" s="36">
        <v>44677</v>
      </c>
      <c r="H884" s="36">
        <v>44773</v>
      </c>
      <c r="I884" s="36">
        <v>44773</v>
      </c>
      <c r="J884" s="7" t="s">
        <v>1696</v>
      </c>
      <c r="K884" s="8">
        <v>0</v>
      </c>
      <c r="L884" s="8">
        <v>0</v>
      </c>
      <c r="M884" s="8">
        <v>13780.800012</v>
      </c>
      <c r="N884" s="8">
        <v>0</v>
      </c>
      <c r="O884" s="8">
        <v>0</v>
      </c>
      <c r="P884" s="8">
        <v>0</v>
      </c>
      <c r="Q884" s="8">
        <v>0</v>
      </c>
      <c r="R884" s="8">
        <f t="shared" si="190"/>
        <v>13780.800012</v>
      </c>
      <c r="S884" s="8">
        <v>0</v>
      </c>
      <c r="T884" s="8">
        <v>0</v>
      </c>
      <c r="U884" s="8">
        <v>10692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7">
        <v>0</v>
      </c>
      <c r="AB884" s="8">
        <v>0</v>
      </c>
      <c r="AC884" s="7">
        <v>2.0299999999999998</v>
      </c>
      <c r="AD884" s="7" t="s">
        <v>1226</v>
      </c>
      <c r="AE884" s="8">
        <v>0</v>
      </c>
      <c r="AF884" s="8">
        <v>0</v>
      </c>
      <c r="AG884" s="8">
        <v>0</v>
      </c>
      <c r="AH884" s="8">
        <v>0</v>
      </c>
      <c r="AI884" s="7" t="s">
        <v>1730</v>
      </c>
      <c r="AJ884" s="7">
        <f t="shared" ca="1" si="191"/>
        <v>1</v>
      </c>
      <c r="AK884" s="96">
        <f>(+AA884*AB884)/$AB$1102</f>
        <v>0</v>
      </c>
      <c r="AL884" s="97">
        <f>AC884/$AE$1102*AE884</f>
        <v>0</v>
      </c>
    </row>
    <row r="885" spans="1:38" x14ac:dyDescent="0.3">
      <c r="A885" s="7" t="s">
        <v>2405</v>
      </c>
      <c r="B885" s="7" t="s">
        <v>1320</v>
      </c>
      <c r="C885" s="7" t="s">
        <v>1769</v>
      </c>
      <c r="D885" s="7" t="s">
        <v>2195</v>
      </c>
      <c r="E885" s="7" t="s">
        <v>1695</v>
      </c>
      <c r="F885" s="36">
        <v>43582</v>
      </c>
      <c r="G885" s="36">
        <v>44677</v>
      </c>
      <c r="H885" s="36">
        <v>44773</v>
      </c>
      <c r="I885" s="36">
        <v>44773</v>
      </c>
      <c r="J885" s="7" t="s">
        <v>1699</v>
      </c>
      <c r="K885" s="8">
        <v>0</v>
      </c>
      <c r="L885" s="8">
        <v>0</v>
      </c>
      <c r="M885" s="8">
        <v>0</v>
      </c>
      <c r="N885" s="8">
        <v>10692</v>
      </c>
      <c r="O885" s="8">
        <v>0</v>
      </c>
      <c r="P885" s="8">
        <v>0</v>
      </c>
      <c r="Q885" s="8">
        <v>0</v>
      </c>
      <c r="R885" s="8">
        <f t="shared" si="190"/>
        <v>10692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7">
        <v>0</v>
      </c>
      <c r="AB885" s="8">
        <v>0</v>
      </c>
      <c r="AC885" s="7">
        <v>2.0299999999999998</v>
      </c>
      <c r="AD885" s="7" t="s">
        <v>1226</v>
      </c>
      <c r="AE885" s="8">
        <v>0</v>
      </c>
      <c r="AF885" s="8">
        <v>0</v>
      </c>
      <c r="AG885" s="8">
        <v>0</v>
      </c>
      <c r="AH885" s="8">
        <v>0</v>
      </c>
      <c r="AI885" s="7" t="s">
        <v>1730</v>
      </c>
      <c r="AJ885" s="7">
        <f t="shared" ca="1" si="191"/>
        <v>2</v>
      </c>
      <c r="AK885" s="100">
        <f>(+AA885*AB885)/$AB$1103</f>
        <v>0</v>
      </c>
      <c r="AL885" s="97">
        <f>AC885/$AE$1103*AE885</f>
        <v>0</v>
      </c>
    </row>
    <row r="886" spans="1:38" x14ac:dyDescent="0.3">
      <c r="A886" s="7" t="s">
        <v>2406</v>
      </c>
      <c r="B886" s="7" t="s">
        <v>1320</v>
      </c>
      <c r="C886" s="7" t="s">
        <v>1769</v>
      </c>
      <c r="D886" s="7" t="s">
        <v>1770</v>
      </c>
      <c r="E886" s="7" t="s">
        <v>1695</v>
      </c>
      <c r="F886" s="36">
        <v>43600</v>
      </c>
      <c r="G886" s="36">
        <v>44695</v>
      </c>
      <c r="H886" s="36">
        <v>44773</v>
      </c>
      <c r="I886" s="36">
        <v>44773</v>
      </c>
      <c r="J886" s="7" t="s">
        <v>1239</v>
      </c>
      <c r="K886" s="8">
        <v>52752.187594000003</v>
      </c>
      <c r="L886" s="8">
        <v>160.659414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f t="shared" si="190"/>
        <v>52912.847008000004</v>
      </c>
      <c r="S886" s="8">
        <v>0</v>
      </c>
      <c r="T886" s="8">
        <v>205.75456199999999</v>
      </c>
      <c r="U886" s="8">
        <v>0</v>
      </c>
      <c r="V886" s="8">
        <v>48610.245448000001</v>
      </c>
      <c r="W886" s="8">
        <v>0</v>
      </c>
      <c r="X886" s="8">
        <v>0</v>
      </c>
      <c r="Y886" s="8">
        <v>0</v>
      </c>
      <c r="Z886" s="8">
        <v>0</v>
      </c>
      <c r="AA886" s="7">
        <v>0</v>
      </c>
      <c r="AB886" s="8">
        <v>0</v>
      </c>
      <c r="AC886" s="7">
        <v>2.0299999999999998</v>
      </c>
      <c r="AD886" s="7" t="s">
        <v>1226</v>
      </c>
      <c r="AE886" s="8">
        <v>0</v>
      </c>
      <c r="AF886" s="8">
        <v>0</v>
      </c>
      <c r="AG886" s="8">
        <v>0</v>
      </c>
      <c r="AH886" s="8">
        <v>0</v>
      </c>
      <c r="AI886" s="7" t="s">
        <v>1730</v>
      </c>
      <c r="AJ886" s="7">
        <f t="shared" ca="1" si="191"/>
        <v>1</v>
      </c>
      <c r="AK886" s="96">
        <f t="shared" si="192"/>
        <v>0</v>
      </c>
      <c r="AL886" s="97">
        <f t="shared" si="193"/>
        <v>0</v>
      </c>
    </row>
    <row r="887" spans="1:38" x14ac:dyDescent="0.3">
      <c r="A887" s="7" t="s">
        <v>2406</v>
      </c>
      <c r="B887" s="7" t="s">
        <v>1320</v>
      </c>
      <c r="C887" s="7" t="s">
        <v>1769</v>
      </c>
      <c r="D887" s="7" t="s">
        <v>1770</v>
      </c>
      <c r="E887" s="7" t="s">
        <v>1695</v>
      </c>
      <c r="F887" s="36">
        <v>43600</v>
      </c>
      <c r="G887" s="36">
        <v>44695</v>
      </c>
      <c r="H887" s="36">
        <v>44773</v>
      </c>
      <c r="I887" s="36">
        <v>44773</v>
      </c>
      <c r="J887" s="7" t="s">
        <v>1699</v>
      </c>
      <c r="K887" s="8">
        <v>0</v>
      </c>
      <c r="L887" s="8">
        <v>0</v>
      </c>
      <c r="M887" s="8">
        <v>0</v>
      </c>
      <c r="N887" s="8">
        <v>36612.000006000002</v>
      </c>
      <c r="O887" s="8">
        <v>0</v>
      </c>
      <c r="P887" s="8">
        <v>0</v>
      </c>
      <c r="Q887" s="8">
        <v>0</v>
      </c>
      <c r="R887" s="8">
        <f t="shared" si="190"/>
        <v>36612.000006000002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7">
        <v>0</v>
      </c>
      <c r="AB887" s="8">
        <v>0</v>
      </c>
      <c r="AC887" s="7">
        <v>2.0299999999999998</v>
      </c>
      <c r="AD887" s="7" t="s">
        <v>1226</v>
      </c>
      <c r="AE887" s="8">
        <v>0</v>
      </c>
      <c r="AF887" s="8">
        <v>0</v>
      </c>
      <c r="AG887" s="8">
        <v>0</v>
      </c>
      <c r="AH887" s="8">
        <v>0</v>
      </c>
      <c r="AI887" s="7" t="s">
        <v>1730</v>
      </c>
      <c r="AJ887" s="7">
        <f t="shared" ca="1" si="191"/>
        <v>2</v>
      </c>
      <c r="AK887" s="100">
        <f>(+AA887*AB887)/$AB$1103</f>
        <v>0</v>
      </c>
      <c r="AL887" s="97">
        <f>AC887/$AE$1103*AE887</f>
        <v>0</v>
      </c>
    </row>
    <row r="888" spans="1:38" x14ac:dyDescent="0.3">
      <c r="A888" s="7" t="s">
        <v>2407</v>
      </c>
      <c r="B888" s="7" t="s">
        <v>1320</v>
      </c>
      <c r="C888" s="7" t="s">
        <v>1756</v>
      </c>
      <c r="D888" s="7" t="s">
        <v>1792</v>
      </c>
      <c r="E888" s="7" t="s">
        <v>1695</v>
      </c>
      <c r="F888" s="36">
        <v>42880</v>
      </c>
      <c r="G888" s="36">
        <v>44705</v>
      </c>
      <c r="H888" s="36">
        <v>44773</v>
      </c>
      <c r="I888" s="36">
        <v>44773</v>
      </c>
      <c r="J888" s="7" t="s">
        <v>1239</v>
      </c>
      <c r="K888" s="8">
        <v>0</v>
      </c>
      <c r="L888" s="8">
        <v>-41352.391736030411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f t="shared" si="190"/>
        <v>-41352.391736030411</v>
      </c>
      <c r="S888" s="8">
        <v>0</v>
      </c>
      <c r="T888" s="8">
        <v>-40914.308320030119</v>
      </c>
      <c r="U888" s="8">
        <v>0</v>
      </c>
      <c r="V888" s="8">
        <v>-360557.69168031961</v>
      </c>
      <c r="W888" s="8">
        <v>0</v>
      </c>
      <c r="X888" s="8">
        <v>0</v>
      </c>
      <c r="Y888" s="8">
        <v>0</v>
      </c>
      <c r="Z888" s="8">
        <v>0</v>
      </c>
      <c r="AA888" s="7">
        <v>0</v>
      </c>
      <c r="AB888" s="8">
        <v>0</v>
      </c>
      <c r="AC888" s="7">
        <v>2.181667</v>
      </c>
      <c r="AD888" s="7" t="s">
        <v>1226</v>
      </c>
      <c r="AE888" s="8">
        <v>0</v>
      </c>
      <c r="AF888" s="8">
        <v>0</v>
      </c>
      <c r="AG888" s="8">
        <v>0</v>
      </c>
      <c r="AH888" s="8">
        <v>0</v>
      </c>
      <c r="AI888" s="7" t="s">
        <v>1877</v>
      </c>
      <c r="AJ888" s="7">
        <f t="shared" ca="1" si="191"/>
        <v>1</v>
      </c>
      <c r="AK888" s="96">
        <f t="shared" si="192"/>
        <v>0</v>
      </c>
      <c r="AL888" s="97">
        <f t="shared" si="193"/>
        <v>0</v>
      </c>
    </row>
    <row r="889" spans="1:38" x14ac:dyDescent="0.3">
      <c r="A889" s="7" t="s">
        <v>2407</v>
      </c>
      <c r="B889" s="7" t="s">
        <v>1320</v>
      </c>
      <c r="C889" s="7" t="s">
        <v>1756</v>
      </c>
      <c r="D889" s="7" t="s">
        <v>1792</v>
      </c>
      <c r="E889" s="7" t="s">
        <v>1695</v>
      </c>
      <c r="F889" s="36">
        <v>42880</v>
      </c>
      <c r="G889" s="36">
        <v>44705</v>
      </c>
      <c r="H889" s="36">
        <v>44773</v>
      </c>
      <c r="I889" s="36">
        <v>44773</v>
      </c>
      <c r="J889" s="7" t="s">
        <v>1699</v>
      </c>
      <c r="K889" s="8">
        <v>0</v>
      </c>
      <c r="L889" s="8">
        <v>0</v>
      </c>
      <c r="M889" s="8">
        <v>0</v>
      </c>
      <c r="N889" s="8">
        <v>75276.000000012398</v>
      </c>
      <c r="O889" s="8">
        <v>0</v>
      </c>
      <c r="P889" s="8">
        <v>0</v>
      </c>
      <c r="Q889" s="8">
        <v>0</v>
      </c>
      <c r="R889" s="8">
        <f t="shared" si="190"/>
        <v>75276.000000012398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7">
        <v>0</v>
      </c>
      <c r="AB889" s="8">
        <v>0</v>
      </c>
      <c r="AC889" s="7">
        <v>2.181667</v>
      </c>
      <c r="AD889" s="7" t="s">
        <v>1226</v>
      </c>
      <c r="AE889" s="8">
        <v>0</v>
      </c>
      <c r="AF889" s="8">
        <v>0</v>
      </c>
      <c r="AG889" s="8">
        <v>0</v>
      </c>
      <c r="AH889" s="8">
        <v>0</v>
      </c>
      <c r="AI889" s="7" t="s">
        <v>1877</v>
      </c>
      <c r="AJ889" s="7">
        <f t="shared" ca="1" si="191"/>
        <v>2</v>
      </c>
      <c r="AK889" s="100">
        <f>(+AA889*AB889)/$AB$1103</f>
        <v>0</v>
      </c>
      <c r="AL889" s="97">
        <f>AC889/$AE$1103*AE889</f>
        <v>0</v>
      </c>
    </row>
    <row r="890" spans="1:38" x14ac:dyDescent="0.3">
      <c r="A890" s="7" t="s">
        <v>2408</v>
      </c>
      <c r="B890" s="7" t="s">
        <v>1320</v>
      </c>
      <c r="C890" s="7" t="s">
        <v>1756</v>
      </c>
      <c r="D890" s="7" t="s">
        <v>2200</v>
      </c>
      <c r="E890" s="7" t="s">
        <v>1695</v>
      </c>
      <c r="F890" s="36">
        <v>43510</v>
      </c>
      <c r="G890" s="36">
        <v>44970</v>
      </c>
      <c r="H890" s="36">
        <v>44773</v>
      </c>
      <c r="I890" s="36">
        <v>44773</v>
      </c>
      <c r="J890" s="7" t="s">
        <v>1239</v>
      </c>
      <c r="K890" s="8">
        <v>11031.699520873435</v>
      </c>
      <c r="L890" s="8">
        <v>338.16950000005698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f t="shared" si="190"/>
        <v>11369.869020873492</v>
      </c>
      <c r="S890" s="8">
        <v>0</v>
      </c>
      <c r="T890" s="8">
        <v>358.85399500006002</v>
      </c>
      <c r="U890" s="8">
        <v>0</v>
      </c>
      <c r="V890" s="8">
        <v>20903.64600500344</v>
      </c>
      <c r="W890" s="8">
        <v>0</v>
      </c>
      <c r="X890" s="8">
        <v>0</v>
      </c>
      <c r="Y890" s="8">
        <v>0</v>
      </c>
      <c r="Z890" s="8">
        <v>-10187.431913705195</v>
      </c>
      <c r="AA890" s="7">
        <v>0</v>
      </c>
      <c r="AB890" s="8">
        <v>0</v>
      </c>
      <c r="AC890" s="7">
        <v>2.0449999999999999</v>
      </c>
      <c r="AD890" s="7" t="s">
        <v>1226</v>
      </c>
      <c r="AE890" s="8">
        <v>0</v>
      </c>
      <c r="AF890" s="8">
        <v>0</v>
      </c>
      <c r="AG890" s="8">
        <v>0</v>
      </c>
      <c r="AH890" s="8">
        <v>0</v>
      </c>
      <c r="AI890" s="7" t="s">
        <v>1730</v>
      </c>
      <c r="AJ890" s="7">
        <f t="shared" ca="1" si="191"/>
        <v>1</v>
      </c>
      <c r="AK890" s="96">
        <f t="shared" si="192"/>
        <v>0</v>
      </c>
      <c r="AL890" s="97">
        <f t="shared" si="193"/>
        <v>0</v>
      </c>
    </row>
    <row r="891" spans="1:38" x14ac:dyDescent="0.3">
      <c r="A891" s="7" t="s">
        <v>2409</v>
      </c>
      <c r="B891" s="7" t="s">
        <v>1320</v>
      </c>
      <c r="C891" s="7" t="s">
        <v>1769</v>
      </c>
      <c r="D891" s="7" t="s">
        <v>2341</v>
      </c>
      <c r="E891" s="7" t="s">
        <v>1695</v>
      </c>
      <c r="F891" s="36">
        <v>43252</v>
      </c>
      <c r="G891" s="36">
        <v>44712</v>
      </c>
      <c r="H891" s="36">
        <v>44773</v>
      </c>
      <c r="I891" s="36">
        <v>44773</v>
      </c>
      <c r="J891" s="7" t="s">
        <v>1239</v>
      </c>
      <c r="K891" s="8">
        <v>56567.014768000001</v>
      </c>
      <c r="L891" s="8">
        <v>199.932772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f t="shared" si="190"/>
        <v>56766.947540000001</v>
      </c>
      <c r="S891" s="8">
        <v>0</v>
      </c>
      <c r="T891" s="8">
        <v>299.72923200000002</v>
      </c>
      <c r="U891" s="8">
        <v>0</v>
      </c>
      <c r="V891" s="8">
        <v>58560.270768000002</v>
      </c>
      <c r="W891" s="8">
        <v>0</v>
      </c>
      <c r="X891" s="8">
        <v>0</v>
      </c>
      <c r="Y891" s="8">
        <v>0</v>
      </c>
      <c r="Z891" s="8">
        <v>0</v>
      </c>
      <c r="AA891" s="7">
        <v>0</v>
      </c>
      <c r="AB891" s="8">
        <v>0</v>
      </c>
      <c r="AC891" s="7">
        <v>2.0449999999999999</v>
      </c>
      <c r="AD891" s="7" t="s">
        <v>1226</v>
      </c>
      <c r="AE891" s="8">
        <v>0</v>
      </c>
      <c r="AF891" s="8">
        <v>0</v>
      </c>
      <c r="AG891" s="8">
        <v>0</v>
      </c>
      <c r="AH891" s="8">
        <v>0</v>
      </c>
      <c r="AI891" s="7" t="s">
        <v>1730</v>
      </c>
      <c r="AJ891" s="7">
        <f t="shared" ca="1" si="191"/>
        <v>1</v>
      </c>
      <c r="AK891" s="96">
        <f t="shared" si="192"/>
        <v>0</v>
      </c>
      <c r="AL891" s="97">
        <f t="shared" si="193"/>
        <v>0</v>
      </c>
    </row>
    <row r="892" spans="1:38" x14ac:dyDescent="0.3">
      <c r="A892" s="7" t="s">
        <v>2409</v>
      </c>
      <c r="B892" s="7" t="s">
        <v>1320</v>
      </c>
      <c r="C892" s="7" t="s">
        <v>1769</v>
      </c>
      <c r="D892" s="7" t="s">
        <v>2341</v>
      </c>
      <c r="E892" s="7" t="s">
        <v>1695</v>
      </c>
      <c r="F892" s="36">
        <v>43252</v>
      </c>
      <c r="G892" s="36">
        <v>44712</v>
      </c>
      <c r="H892" s="36">
        <v>44773</v>
      </c>
      <c r="I892" s="36">
        <v>44773</v>
      </c>
      <c r="J892" s="7" t="s">
        <v>1699</v>
      </c>
      <c r="K892" s="8">
        <v>0</v>
      </c>
      <c r="L892" s="8">
        <v>0</v>
      </c>
      <c r="M892" s="8">
        <v>0</v>
      </c>
      <c r="N892" s="8">
        <v>23544</v>
      </c>
      <c r="O892" s="8">
        <v>0</v>
      </c>
      <c r="P892" s="8">
        <v>0</v>
      </c>
      <c r="Q892" s="8">
        <v>0</v>
      </c>
      <c r="R892" s="8">
        <f t="shared" si="190"/>
        <v>23544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7">
        <v>0</v>
      </c>
      <c r="AB892" s="8">
        <v>0</v>
      </c>
      <c r="AC892" s="7">
        <v>2.0449999999999999</v>
      </c>
      <c r="AD892" s="7" t="s">
        <v>1226</v>
      </c>
      <c r="AE892" s="8">
        <v>0</v>
      </c>
      <c r="AF892" s="8">
        <v>0</v>
      </c>
      <c r="AG892" s="8">
        <v>0</v>
      </c>
      <c r="AH892" s="8">
        <v>0</v>
      </c>
      <c r="AI892" s="7" t="s">
        <v>1730</v>
      </c>
      <c r="AJ892" s="7">
        <f t="shared" ca="1" si="191"/>
        <v>2</v>
      </c>
      <c r="AK892" s="100">
        <f>(+AA892*AB892)/$AB$1103</f>
        <v>0</v>
      </c>
      <c r="AL892" s="97">
        <f>AC892/$AE$1103*AE892</f>
        <v>0</v>
      </c>
    </row>
    <row r="893" spans="1:38" x14ac:dyDescent="0.3">
      <c r="A893" s="7" t="s">
        <v>2410</v>
      </c>
      <c r="B893" s="7" t="s">
        <v>1320</v>
      </c>
      <c r="C893" s="7" t="s">
        <v>1756</v>
      </c>
      <c r="D893" s="7" t="s">
        <v>2343</v>
      </c>
      <c r="E893" s="7" t="s">
        <v>1695</v>
      </c>
      <c r="F893" s="36">
        <v>43621</v>
      </c>
      <c r="G893" s="36">
        <v>45081</v>
      </c>
      <c r="H893" s="36">
        <v>44773</v>
      </c>
      <c r="I893" s="36">
        <v>44773</v>
      </c>
      <c r="J893" s="7" t="s">
        <v>1239</v>
      </c>
      <c r="K893" s="8">
        <v>15738.553726119044</v>
      </c>
      <c r="L893" s="8">
        <v>670.42779300011102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f t="shared" si="190"/>
        <v>16408.981519119156</v>
      </c>
      <c r="S893" s="8">
        <v>0</v>
      </c>
      <c r="T893" s="8">
        <v>714.39215400012097</v>
      </c>
      <c r="U893" s="8">
        <v>0</v>
      </c>
      <c r="V893" s="8">
        <v>29620.107846004878</v>
      </c>
      <c r="W893" s="8">
        <v>0</v>
      </c>
      <c r="X893" s="8">
        <v>0</v>
      </c>
      <c r="Y893" s="8">
        <v>0</v>
      </c>
      <c r="Z893" s="8">
        <v>-22783.425352209371</v>
      </c>
      <c r="AA893" s="7">
        <v>0</v>
      </c>
      <c r="AB893" s="8">
        <v>0</v>
      </c>
      <c r="AC893" s="7">
        <v>2.0449999999999999</v>
      </c>
      <c r="AD893" s="7" t="s">
        <v>1226</v>
      </c>
      <c r="AE893" s="8">
        <v>0</v>
      </c>
      <c r="AF893" s="8">
        <v>0</v>
      </c>
      <c r="AG893" s="8">
        <v>0</v>
      </c>
      <c r="AH893" s="8">
        <v>0</v>
      </c>
      <c r="AI893" s="7" t="s">
        <v>1730</v>
      </c>
      <c r="AJ893" s="7">
        <f t="shared" ca="1" si="191"/>
        <v>1</v>
      </c>
      <c r="AK893" s="96">
        <f t="shared" si="192"/>
        <v>0</v>
      </c>
      <c r="AL893" s="97">
        <f t="shared" si="193"/>
        <v>0</v>
      </c>
    </row>
    <row r="894" spans="1:38" x14ac:dyDescent="0.3">
      <c r="A894" s="7" t="s">
        <v>2411</v>
      </c>
      <c r="B894" s="7" t="s">
        <v>1320</v>
      </c>
      <c r="C894" s="7" t="s">
        <v>1769</v>
      </c>
      <c r="D894" s="7" t="s">
        <v>2191</v>
      </c>
      <c r="E894" s="7" t="s">
        <v>1695</v>
      </c>
      <c r="F894" s="36">
        <v>43631</v>
      </c>
      <c r="G894" s="36">
        <v>44726</v>
      </c>
      <c r="H894" s="36">
        <v>44773</v>
      </c>
      <c r="I894" s="36">
        <v>44773</v>
      </c>
      <c r="J894" s="7" t="s">
        <v>1696</v>
      </c>
      <c r="K894" s="8">
        <v>0</v>
      </c>
      <c r="L894" s="8">
        <v>0</v>
      </c>
      <c r="M894" s="8">
        <v>18154.800048000001</v>
      </c>
      <c r="N894" s="8">
        <v>0</v>
      </c>
      <c r="O894" s="8">
        <v>0</v>
      </c>
      <c r="P894" s="8">
        <v>0</v>
      </c>
      <c r="Q894" s="8">
        <v>0</v>
      </c>
      <c r="R894" s="8">
        <f t="shared" si="190"/>
        <v>18154.800048000001</v>
      </c>
      <c r="S894" s="8">
        <v>0</v>
      </c>
      <c r="T894" s="8">
        <v>0</v>
      </c>
      <c r="U894" s="8">
        <v>16605.000003000001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7">
        <v>0</v>
      </c>
      <c r="AB894" s="8">
        <v>0</v>
      </c>
      <c r="AC894" s="7">
        <v>2.0299999999999998</v>
      </c>
      <c r="AD894" s="7" t="s">
        <v>1226</v>
      </c>
      <c r="AE894" s="8">
        <v>0</v>
      </c>
      <c r="AF894" s="8">
        <v>0</v>
      </c>
      <c r="AG894" s="8">
        <v>0</v>
      </c>
      <c r="AH894" s="8">
        <v>0</v>
      </c>
      <c r="AI894" s="7" t="s">
        <v>1730</v>
      </c>
      <c r="AJ894" s="7">
        <f t="shared" ca="1" si="191"/>
        <v>1</v>
      </c>
      <c r="AK894" s="96">
        <f>(+AA894*AB894)/$AB$1102</f>
        <v>0</v>
      </c>
      <c r="AL894" s="97">
        <f>AC894/$AE$1102*AE894</f>
        <v>0</v>
      </c>
    </row>
    <row r="895" spans="1:38" x14ac:dyDescent="0.3">
      <c r="A895" s="7" t="s">
        <v>2411</v>
      </c>
      <c r="B895" s="7" t="s">
        <v>1320</v>
      </c>
      <c r="C895" s="7" t="s">
        <v>1769</v>
      </c>
      <c r="D895" s="7" t="s">
        <v>2191</v>
      </c>
      <c r="E895" s="7" t="s">
        <v>1695</v>
      </c>
      <c r="F895" s="36">
        <v>43631</v>
      </c>
      <c r="G895" s="36">
        <v>44726</v>
      </c>
      <c r="H895" s="36">
        <v>44773</v>
      </c>
      <c r="I895" s="36">
        <v>44773</v>
      </c>
      <c r="J895" s="7" t="s">
        <v>1699</v>
      </c>
      <c r="K895" s="8">
        <v>0</v>
      </c>
      <c r="L895" s="8">
        <v>0</v>
      </c>
      <c r="M895" s="8">
        <v>0</v>
      </c>
      <c r="N895" s="8">
        <v>6642.0000019999998</v>
      </c>
      <c r="O895" s="8">
        <v>0</v>
      </c>
      <c r="P895" s="8">
        <v>0</v>
      </c>
      <c r="Q895" s="8">
        <v>0</v>
      </c>
      <c r="R895" s="8">
        <f t="shared" si="190"/>
        <v>6642.0000019999998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7">
        <v>0</v>
      </c>
      <c r="AB895" s="8">
        <v>0</v>
      </c>
      <c r="AC895" s="7">
        <v>2.0299999999999998</v>
      </c>
      <c r="AD895" s="7" t="s">
        <v>1226</v>
      </c>
      <c r="AE895" s="8">
        <v>0</v>
      </c>
      <c r="AF895" s="8">
        <v>0</v>
      </c>
      <c r="AG895" s="8">
        <v>0</v>
      </c>
      <c r="AH895" s="8">
        <v>0</v>
      </c>
      <c r="AI895" s="7" t="s">
        <v>1730</v>
      </c>
      <c r="AJ895" s="7">
        <f t="shared" ca="1" si="191"/>
        <v>2</v>
      </c>
      <c r="AK895" s="100">
        <f>(+AA895*AB895)/$AB$1103</f>
        <v>0</v>
      </c>
      <c r="AL895" s="97">
        <f>AC895/$AE$1103*AE895</f>
        <v>0</v>
      </c>
    </row>
    <row r="896" spans="1:38" x14ac:dyDescent="0.3">
      <c r="A896" s="7" t="s">
        <v>2412</v>
      </c>
      <c r="B896" s="7" t="s">
        <v>1320</v>
      </c>
      <c r="C896" s="7" t="s">
        <v>1756</v>
      </c>
      <c r="D896" s="7" t="s">
        <v>1324</v>
      </c>
      <c r="E896" s="7" t="s">
        <v>1695</v>
      </c>
      <c r="F896" s="36">
        <v>43282</v>
      </c>
      <c r="G896" s="36">
        <v>44742</v>
      </c>
      <c r="H896" s="36">
        <v>44773</v>
      </c>
      <c r="I896" s="36">
        <v>44773</v>
      </c>
      <c r="J896" s="7" t="s">
        <v>1239</v>
      </c>
      <c r="K896" s="8">
        <v>0</v>
      </c>
      <c r="L896" s="8">
        <v>-1363.826915001041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f t="shared" si="190"/>
        <v>-1363.826915001041</v>
      </c>
      <c r="S896" s="8">
        <v>0</v>
      </c>
      <c r="T896" s="8">
        <v>-1101.935359989656</v>
      </c>
      <c r="U896" s="8">
        <v>0</v>
      </c>
      <c r="V896" s="8">
        <v>1101.935359989656</v>
      </c>
      <c r="W896" s="8">
        <v>0</v>
      </c>
      <c r="X896" s="8">
        <v>0</v>
      </c>
      <c r="Y896" s="8">
        <v>0</v>
      </c>
      <c r="Z896" s="8">
        <v>0</v>
      </c>
      <c r="AA896" s="7">
        <v>0</v>
      </c>
      <c r="AB896" s="8">
        <v>0</v>
      </c>
      <c r="AC896" s="7">
        <v>2.0449999999999999</v>
      </c>
      <c r="AD896" s="7" t="s">
        <v>1226</v>
      </c>
      <c r="AE896" s="8">
        <v>0</v>
      </c>
      <c r="AF896" s="8">
        <v>0</v>
      </c>
      <c r="AG896" s="8">
        <v>0</v>
      </c>
      <c r="AH896" s="8">
        <v>0</v>
      </c>
      <c r="AI896" s="7" t="s">
        <v>1730</v>
      </c>
      <c r="AJ896" s="7">
        <f t="shared" ca="1" si="191"/>
        <v>1</v>
      </c>
      <c r="AK896" s="96">
        <f t="shared" si="192"/>
        <v>0</v>
      </c>
      <c r="AL896" s="97">
        <f t="shared" si="193"/>
        <v>0</v>
      </c>
    </row>
    <row r="897" spans="1:38" x14ac:dyDescent="0.3">
      <c r="A897" s="7" t="s">
        <v>2412</v>
      </c>
      <c r="B897" s="7" t="s">
        <v>1320</v>
      </c>
      <c r="C897" s="7" t="s">
        <v>1756</v>
      </c>
      <c r="D897" s="7" t="s">
        <v>1324</v>
      </c>
      <c r="E897" s="7" t="s">
        <v>1695</v>
      </c>
      <c r="F897" s="36">
        <v>43282</v>
      </c>
      <c r="G897" s="36">
        <v>44742</v>
      </c>
      <c r="H897" s="36">
        <v>44773</v>
      </c>
      <c r="I897" s="36">
        <v>44773</v>
      </c>
      <c r="J897" s="7" t="s">
        <v>1699</v>
      </c>
      <c r="K897" s="8">
        <v>0</v>
      </c>
      <c r="L897" s="8">
        <v>0</v>
      </c>
      <c r="M897" s="8">
        <v>0</v>
      </c>
      <c r="N897" s="8">
        <v>3307.5000000005448</v>
      </c>
      <c r="O897" s="8">
        <v>0</v>
      </c>
      <c r="P897" s="8">
        <v>0</v>
      </c>
      <c r="Q897" s="8">
        <v>0</v>
      </c>
      <c r="R897" s="8">
        <f t="shared" si="190"/>
        <v>3307.5000000005448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7">
        <v>0</v>
      </c>
      <c r="AB897" s="8">
        <v>0</v>
      </c>
      <c r="AC897" s="7">
        <v>2.0449999999999999</v>
      </c>
      <c r="AD897" s="7" t="s">
        <v>1226</v>
      </c>
      <c r="AE897" s="8">
        <v>0</v>
      </c>
      <c r="AF897" s="8">
        <v>0</v>
      </c>
      <c r="AG897" s="8">
        <v>0</v>
      </c>
      <c r="AH897" s="8">
        <v>0</v>
      </c>
      <c r="AI897" s="7" t="s">
        <v>1730</v>
      </c>
      <c r="AJ897" s="7">
        <f t="shared" ca="1" si="191"/>
        <v>2</v>
      </c>
      <c r="AK897" s="100">
        <f>(+AA897*AB897)/$AB$1103</f>
        <v>0</v>
      </c>
      <c r="AL897" s="97">
        <f>AC897/$AE$1103*AE897</f>
        <v>0</v>
      </c>
    </row>
    <row r="898" spans="1:38" x14ac:dyDescent="0.3">
      <c r="A898" s="7" t="s">
        <v>2413</v>
      </c>
      <c r="B898" s="7" t="s">
        <v>1320</v>
      </c>
      <c r="C898" s="7" t="s">
        <v>1769</v>
      </c>
      <c r="D898" s="7" t="s">
        <v>2198</v>
      </c>
      <c r="E898" s="7" t="s">
        <v>1695</v>
      </c>
      <c r="F898" s="36">
        <v>43650</v>
      </c>
      <c r="G898" s="36">
        <v>44745</v>
      </c>
      <c r="H898" s="36">
        <v>44773</v>
      </c>
      <c r="I898" s="36">
        <v>44773</v>
      </c>
      <c r="J898" s="7" t="s">
        <v>1239</v>
      </c>
      <c r="K898" s="8">
        <v>27492.434851999999</v>
      </c>
      <c r="L898" s="8">
        <v>121.912644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f t="shared" si="190"/>
        <v>27614.347495999999</v>
      </c>
      <c r="S898" s="8">
        <v>0</v>
      </c>
      <c r="T898" s="8">
        <v>164.23669200000001</v>
      </c>
      <c r="U898" s="8">
        <v>0</v>
      </c>
      <c r="V898" s="8">
        <v>27699.763308000001</v>
      </c>
      <c r="W898" s="8">
        <v>0</v>
      </c>
      <c r="X898" s="8">
        <v>0</v>
      </c>
      <c r="Y898" s="8">
        <v>0</v>
      </c>
      <c r="Z898" s="8">
        <v>0</v>
      </c>
      <c r="AA898" s="7">
        <v>0</v>
      </c>
      <c r="AB898" s="8">
        <v>0</v>
      </c>
      <c r="AC898" s="7">
        <v>2.0299999999999998</v>
      </c>
      <c r="AD898" s="7" t="s">
        <v>1226</v>
      </c>
      <c r="AE898" s="8">
        <v>0</v>
      </c>
      <c r="AF898" s="8">
        <v>0</v>
      </c>
      <c r="AG898" s="8">
        <v>0</v>
      </c>
      <c r="AH898" s="8">
        <v>0</v>
      </c>
      <c r="AI898" s="7" t="s">
        <v>1730</v>
      </c>
      <c r="AJ898" s="7">
        <f t="shared" ca="1" si="191"/>
        <v>1</v>
      </c>
      <c r="AK898" s="96">
        <f t="shared" si="192"/>
        <v>0</v>
      </c>
      <c r="AL898" s="97">
        <f t="shared" si="193"/>
        <v>0</v>
      </c>
    </row>
    <row r="899" spans="1:38" x14ac:dyDescent="0.3">
      <c r="A899" s="7" t="s">
        <v>2413</v>
      </c>
      <c r="B899" s="7" t="s">
        <v>1320</v>
      </c>
      <c r="C899" s="7" t="s">
        <v>1769</v>
      </c>
      <c r="D899" s="7" t="s">
        <v>2198</v>
      </c>
      <c r="E899" s="7" t="s">
        <v>1695</v>
      </c>
      <c r="F899" s="36">
        <v>43650</v>
      </c>
      <c r="G899" s="36">
        <v>44745</v>
      </c>
      <c r="H899" s="36">
        <v>44773</v>
      </c>
      <c r="I899" s="36">
        <v>44773</v>
      </c>
      <c r="J899" s="7" t="s">
        <v>1699</v>
      </c>
      <c r="K899" s="8">
        <v>0</v>
      </c>
      <c r="L899" s="8">
        <v>0</v>
      </c>
      <c r="M899" s="8">
        <v>0</v>
      </c>
      <c r="N899" s="8">
        <v>4644</v>
      </c>
      <c r="O899" s="8">
        <v>0</v>
      </c>
      <c r="P899" s="8">
        <v>0</v>
      </c>
      <c r="Q899" s="8">
        <v>0</v>
      </c>
      <c r="R899" s="8">
        <f t="shared" ref="R899:R962" si="196">K899+L899+M899+N899+O899+P899+Q899</f>
        <v>4644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7">
        <v>0</v>
      </c>
      <c r="AB899" s="8">
        <v>0</v>
      </c>
      <c r="AC899" s="7">
        <v>2.0299999999999998</v>
      </c>
      <c r="AD899" s="7" t="s">
        <v>1226</v>
      </c>
      <c r="AE899" s="8">
        <v>0</v>
      </c>
      <c r="AF899" s="8">
        <v>0</v>
      </c>
      <c r="AG899" s="8">
        <v>0</v>
      </c>
      <c r="AH899" s="8">
        <v>0</v>
      </c>
      <c r="AI899" s="7" t="s">
        <v>1730</v>
      </c>
      <c r="AJ899" s="7">
        <f t="shared" ref="AJ899:AJ962" ca="1" si="197">IF(A899=OFFSET(A899,-1,0),OFFSET(AJ899,-1,0)+1,1)</f>
        <v>2</v>
      </c>
      <c r="AK899" s="100">
        <f>(+AA899*AB899)/$AB$1103</f>
        <v>0</v>
      </c>
      <c r="AL899" s="97">
        <f>AC899/$AE$1103*AE899</f>
        <v>0</v>
      </c>
    </row>
    <row r="900" spans="1:38" x14ac:dyDescent="0.3">
      <c r="A900" s="7" t="s">
        <v>2414</v>
      </c>
      <c r="B900" s="7" t="s">
        <v>1320</v>
      </c>
      <c r="C900" s="7" t="s">
        <v>1756</v>
      </c>
      <c r="D900" s="7" t="s">
        <v>2193</v>
      </c>
      <c r="E900" s="7" t="s">
        <v>1695</v>
      </c>
      <c r="F900" s="36">
        <v>43661</v>
      </c>
      <c r="G900" s="36">
        <v>45121</v>
      </c>
      <c r="H900" s="36">
        <v>44773</v>
      </c>
      <c r="I900" s="36">
        <v>44773</v>
      </c>
      <c r="J900" s="7" t="s">
        <v>1239</v>
      </c>
      <c r="K900" s="8">
        <v>7795.736721669814</v>
      </c>
      <c r="L900" s="8">
        <v>365.13022800006098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f t="shared" si="196"/>
        <v>8160.8669496698749</v>
      </c>
      <c r="S900" s="8">
        <v>0</v>
      </c>
      <c r="T900" s="8">
        <v>378.81818100005898</v>
      </c>
      <c r="U900" s="8">
        <v>0</v>
      </c>
      <c r="V900" s="8">
        <v>14646.681819002411</v>
      </c>
      <c r="W900" s="8">
        <v>0</v>
      </c>
      <c r="X900" s="8">
        <v>0</v>
      </c>
      <c r="Y900" s="8">
        <v>0</v>
      </c>
      <c r="Z900" s="8">
        <v>-12753.384099758308</v>
      </c>
      <c r="AA900" s="7">
        <v>0</v>
      </c>
      <c r="AB900" s="8">
        <v>0</v>
      </c>
      <c r="AC900" s="7">
        <v>2.0449999999999999</v>
      </c>
      <c r="AD900" s="7" t="s">
        <v>1226</v>
      </c>
      <c r="AE900" s="8">
        <v>0</v>
      </c>
      <c r="AF900" s="8">
        <v>0</v>
      </c>
      <c r="AG900" s="8">
        <v>0</v>
      </c>
      <c r="AH900" s="8">
        <v>0</v>
      </c>
      <c r="AI900" s="7" t="s">
        <v>1730</v>
      </c>
      <c r="AJ900" s="7">
        <f t="shared" ca="1" si="197"/>
        <v>1</v>
      </c>
      <c r="AK900" s="96">
        <f t="shared" ref="AK900:AK937" si="198">(+AA900*AB900)/$AB$1101</f>
        <v>0</v>
      </c>
      <c r="AL900" s="97">
        <f t="shared" ref="AL900:AL937" si="199">AC900/$AE$1101*AE900</f>
        <v>0</v>
      </c>
    </row>
    <row r="901" spans="1:38" x14ac:dyDescent="0.3">
      <c r="A901" s="7" t="s">
        <v>2415</v>
      </c>
      <c r="B901" s="7" t="s">
        <v>1320</v>
      </c>
      <c r="C901" s="7" t="s">
        <v>1756</v>
      </c>
      <c r="D901" s="7" t="s">
        <v>2202</v>
      </c>
      <c r="E901" s="7" t="s">
        <v>1695</v>
      </c>
      <c r="F901" s="36">
        <v>43320</v>
      </c>
      <c r="G901" s="36">
        <v>45145</v>
      </c>
      <c r="H901" s="36">
        <v>44773</v>
      </c>
      <c r="I901" s="36">
        <v>44773</v>
      </c>
      <c r="J901" s="7" t="s">
        <v>1239</v>
      </c>
      <c r="K901" s="8">
        <v>0</v>
      </c>
      <c r="L901" s="8">
        <v>-5749.6463820064164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f t="shared" si="196"/>
        <v>-5749.6463820064164</v>
      </c>
      <c r="S901" s="8">
        <v>0</v>
      </c>
      <c r="T901" s="8">
        <v>-4038.0022350052818</v>
      </c>
      <c r="U901" s="8">
        <v>0</v>
      </c>
      <c r="V901" s="8">
        <v>45195.002234953914</v>
      </c>
      <c r="W901" s="8">
        <v>0</v>
      </c>
      <c r="X901" s="8">
        <v>0</v>
      </c>
      <c r="Y901" s="8">
        <v>0</v>
      </c>
      <c r="Z901" s="8">
        <v>0</v>
      </c>
      <c r="AA901" s="7">
        <v>0</v>
      </c>
      <c r="AB901" s="8">
        <v>0</v>
      </c>
      <c r="AC901" s="7">
        <v>2.181667</v>
      </c>
      <c r="AD901" s="7" t="s">
        <v>1226</v>
      </c>
      <c r="AE901" s="8">
        <v>0</v>
      </c>
      <c r="AF901" s="8">
        <v>0</v>
      </c>
      <c r="AG901" s="8">
        <v>0</v>
      </c>
      <c r="AH901" s="8">
        <v>0</v>
      </c>
      <c r="AI901" s="7" t="s">
        <v>1877</v>
      </c>
      <c r="AJ901" s="7">
        <f t="shared" ca="1" si="197"/>
        <v>1</v>
      </c>
      <c r="AK901" s="96">
        <f t="shared" si="198"/>
        <v>0</v>
      </c>
      <c r="AL901" s="97">
        <f t="shared" si="199"/>
        <v>0</v>
      </c>
    </row>
    <row r="902" spans="1:38" x14ac:dyDescent="0.3">
      <c r="A902" s="7" t="s">
        <v>2416</v>
      </c>
      <c r="B902" s="7" t="s">
        <v>1320</v>
      </c>
      <c r="C902" s="7" t="s">
        <v>1756</v>
      </c>
      <c r="D902" s="7" t="s">
        <v>2209</v>
      </c>
      <c r="E902" s="7" t="s">
        <v>1695</v>
      </c>
      <c r="F902" s="36">
        <v>43344</v>
      </c>
      <c r="G902" s="36">
        <v>44804</v>
      </c>
      <c r="H902" s="36">
        <v>44773</v>
      </c>
      <c r="I902" s="36">
        <v>44773</v>
      </c>
      <c r="J902" s="7" t="s">
        <v>1239</v>
      </c>
      <c r="K902" s="8">
        <v>0</v>
      </c>
      <c r="L902" s="8">
        <v>-1191.3913720009971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f t="shared" si="196"/>
        <v>-1191.3913720009971</v>
      </c>
      <c r="S902" s="8">
        <v>0</v>
      </c>
      <c r="T902" s="8">
        <v>-792.17610800073498</v>
      </c>
      <c r="U902" s="8">
        <v>0</v>
      </c>
      <c r="V902" s="8">
        <v>15048.176107992345</v>
      </c>
      <c r="W902" s="8">
        <v>0</v>
      </c>
      <c r="X902" s="8">
        <v>0</v>
      </c>
      <c r="Y902" s="8">
        <v>0</v>
      </c>
      <c r="Z902" s="8">
        <v>0</v>
      </c>
      <c r="AA902" s="7">
        <v>0</v>
      </c>
      <c r="AB902" s="8">
        <v>0</v>
      </c>
      <c r="AC902" s="7">
        <v>2.0449999999999999</v>
      </c>
      <c r="AD902" s="7" t="s">
        <v>1226</v>
      </c>
      <c r="AE902" s="8">
        <v>0</v>
      </c>
      <c r="AF902" s="8">
        <v>0</v>
      </c>
      <c r="AG902" s="8">
        <v>0</v>
      </c>
      <c r="AH902" s="8">
        <v>0</v>
      </c>
      <c r="AI902" s="7" t="s">
        <v>1730</v>
      </c>
      <c r="AJ902" s="7">
        <f t="shared" ca="1" si="197"/>
        <v>1</v>
      </c>
      <c r="AK902" s="96">
        <f t="shared" si="198"/>
        <v>0</v>
      </c>
      <c r="AL902" s="97">
        <f t="shared" si="199"/>
        <v>0</v>
      </c>
    </row>
    <row r="903" spans="1:38" x14ac:dyDescent="0.3">
      <c r="A903" s="7" t="s">
        <v>2417</v>
      </c>
      <c r="B903" s="7" t="s">
        <v>1320</v>
      </c>
      <c r="C903" s="7" t="s">
        <v>1769</v>
      </c>
      <c r="D903" s="7" t="s">
        <v>2202</v>
      </c>
      <c r="E903" s="7" t="s">
        <v>1695</v>
      </c>
      <c r="F903" s="36">
        <v>43511</v>
      </c>
      <c r="G903" s="36">
        <v>44606</v>
      </c>
      <c r="H903" s="36">
        <v>44773</v>
      </c>
      <c r="I903" s="36">
        <v>44773</v>
      </c>
      <c r="J903" s="7" t="s">
        <v>1696</v>
      </c>
      <c r="K903" s="8">
        <v>0</v>
      </c>
      <c r="L903" s="8">
        <v>0</v>
      </c>
      <c r="M903" s="8">
        <v>6939</v>
      </c>
      <c r="N903" s="8">
        <v>0</v>
      </c>
      <c r="O903" s="8">
        <v>0</v>
      </c>
      <c r="P903" s="8">
        <v>0</v>
      </c>
      <c r="Q903" s="8">
        <v>0</v>
      </c>
      <c r="R903" s="8">
        <f t="shared" si="196"/>
        <v>6939</v>
      </c>
      <c r="S903" s="8">
        <v>0</v>
      </c>
      <c r="T903" s="8">
        <v>0</v>
      </c>
      <c r="U903" s="8">
        <v>4626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7">
        <v>0</v>
      </c>
      <c r="AB903" s="8">
        <v>0</v>
      </c>
      <c r="AC903" s="7">
        <v>2.0299999999999998</v>
      </c>
      <c r="AD903" s="7" t="s">
        <v>1226</v>
      </c>
      <c r="AE903" s="8">
        <v>0</v>
      </c>
      <c r="AF903" s="8">
        <v>0</v>
      </c>
      <c r="AG903" s="8">
        <v>0</v>
      </c>
      <c r="AH903" s="8">
        <v>0</v>
      </c>
      <c r="AI903" s="7" t="s">
        <v>1730</v>
      </c>
      <c r="AJ903" s="7">
        <f t="shared" ca="1" si="197"/>
        <v>1</v>
      </c>
      <c r="AK903" s="96">
        <f>(+AA903*AB903)/$AB$1102</f>
        <v>0</v>
      </c>
      <c r="AL903" s="97">
        <f>AC903/$AE$1102*AE903</f>
        <v>0</v>
      </c>
    </row>
    <row r="904" spans="1:38" x14ac:dyDescent="0.3">
      <c r="A904" s="7" t="s">
        <v>2417</v>
      </c>
      <c r="B904" s="7" t="s">
        <v>1320</v>
      </c>
      <c r="C904" s="7" t="s">
        <v>1769</v>
      </c>
      <c r="D904" s="7" t="s">
        <v>2202</v>
      </c>
      <c r="E904" s="7" t="s">
        <v>1695</v>
      </c>
      <c r="F904" s="36">
        <v>43511</v>
      </c>
      <c r="G904" s="36">
        <v>44606</v>
      </c>
      <c r="H904" s="36">
        <v>44773</v>
      </c>
      <c r="I904" s="36">
        <v>44773</v>
      </c>
      <c r="J904" s="7" t="s">
        <v>1699</v>
      </c>
      <c r="K904" s="8">
        <v>0</v>
      </c>
      <c r="L904" s="8">
        <v>0</v>
      </c>
      <c r="M904" s="8">
        <v>0</v>
      </c>
      <c r="N904" s="8">
        <v>27756</v>
      </c>
      <c r="O904" s="8">
        <v>0</v>
      </c>
      <c r="P904" s="8">
        <v>0</v>
      </c>
      <c r="Q904" s="8">
        <v>0</v>
      </c>
      <c r="R904" s="8">
        <f t="shared" si="196"/>
        <v>27756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7">
        <v>0</v>
      </c>
      <c r="AB904" s="8">
        <v>0</v>
      </c>
      <c r="AC904" s="7">
        <v>2.0299999999999998</v>
      </c>
      <c r="AD904" s="7" t="s">
        <v>1226</v>
      </c>
      <c r="AE904" s="8">
        <v>0</v>
      </c>
      <c r="AF904" s="8">
        <v>0</v>
      </c>
      <c r="AG904" s="8">
        <v>0</v>
      </c>
      <c r="AH904" s="8">
        <v>0</v>
      </c>
      <c r="AI904" s="7" t="s">
        <v>1730</v>
      </c>
      <c r="AJ904" s="7">
        <f t="shared" ca="1" si="197"/>
        <v>2</v>
      </c>
      <c r="AK904" s="100">
        <f>(+AA904*AB904)/$AB$1103</f>
        <v>0</v>
      </c>
      <c r="AL904" s="97">
        <f>AC904/$AE$1103*AE904</f>
        <v>0</v>
      </c>
    </row>
    <row r="905" spans="1:38" x14ac:dyDescent="0.3">
      <c r="A905" s="7" t="s">
        <v>2418</v>
      </c>
      <c r="B905" s="7" t="s">
        <v>1320</v>
      </c>
      <c r="C905" s="7" t="s">
        <v>1756</v>
      </c>
      <c r="D905" s="7" t="s">
        <v>2353</v>
      </c>
      <c r="E905" s="7" t="s">
        <v>1695</v>
      </c>
      <c r="F905" s="36">
        <v>43525</v>
      </c>
      <c r="G905" s="36">
        <v>44985</v>
      </c>
      <c r="H905" s="36">
        <v>44773</v>
      </c>
      <c r="I905" s="36">
        <v>44773</v>
      </c>
      <c r="J905" s="7" t="s">
        <v>1239</v>
      </c>
      <c r="K905" s="8">
        <v>6202.2636805007551</v>
      </c>
      <c r="L905" s="8">
        <v>201.75568800003299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f t="shared" si="196"/>
        <v>6404.019368500788</v>
      </c>
      <c r="S905" s="8">
        <v>0</v>
      </c>
      <c r="T905" s="8">
        <v>221.749824000036</v>
      </c>
      <c r="U905" s="8">
        <v>0</v>
      </c>
      <c r="V905" s="8">
        <v>11732.50017600193</v>
      </c>
      <c r="W905" s="8">
        <v>0</v>
      </c>
      <c r="X905" s="8">
        <v>0</v>
      </c>
      <c r="Y905" s="8">
        <v>0</v>
      </c>
      <c r="Z905" s="8">
        <v>-6202.2636694371959</v>
      </c>
      <c r="AA905" s="7">
        <v>0</v>
      </c>
      <c r="AB905" s="8">
        <v>0</v>
      </c>
      <c r="AC905" s="7">
        <v>2.0449999999999999</v>
      </c>
      <c r="AD905" s="7" t="s">
        <v>1226</v>
      </c>
      <c r="AE905" s="8">
        <v>0</v>
      </c>
      <c r="AF905" s="8">
        <v>0</v>
      </c>
      <c r="AG905" s="8">
        <v>0</v>
      </c>
      <c r="AH905" s="8">
        <v>0</v>
      </c>
      <c r="AI905" s="7" t="s">
        <v>1730</v>
      </c>
      <c r="AJ905" s="7">
        <f t="shared" ca="1" si="197"/>
        <v>1</v>
      </c>
      <c r="AK905" s="96">
        <f t="shared" si="198"/>
        <v>0</v>
      </c>
      <c r="AL905" s="97">
        <f t="shared" si="199"/>
        <v>0</v>
      </c>
    </row>
    <row r="906" spans="1:38" x14ac:dyDescent="0.3">
      <c r="A906" s="7" t="s">
        <v>2419</v>
      </c>
      <c r="B906" s="7" t="s">
        <v>1320</v>
      </c>
      <c r="C906" s="7" t="s">
        <v>1769</v>
      </c>
      <c r="D906" s="7" t="s">
        <v>2209</v>
      </c>
      <c r="E906" s="7" t="s">
        <v>1695</v>
      </c>
      <c r="F906" s="36">
        <v>43174</v>
      </c>
      <c r="G906" s="36">
        <v>44634</v>
      </c>
      <c r="H906" s="36">
        <v>44773</v>
      </c>
      <c r="I906" s="36">
        <v>44773</v>
      </c>
      <c r="J906" s="7" t="s">
        <v>1239</v>
      </c>
      <c r="K906" s="8">
        <v>8959.0950950000006</v>
      </c>
      <c r="L906" s="8">
        <v>12.307130000000001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f t="shared" si="196"/>
        <v>8971.4022249999998</v>
      </c>
      <c r="S906" s="8">
        <v>0</v>
      </c>
      <c r="T906" s="8">
        <v>19.396204999999998</v>
      </c>
      <c r="U906" s="8">
        <v>0</v>
      </c>
      <c r="V906" s="8">
        <v>7585.603795</v>
      </c>
      <c r="W906" s="8">
        <v>0</v>
      </c>
      <c r="X906" s="8">
        <v>0</v>
      </c>
      <c r="Y906" s="8">
        <v>0</v>
      </c>
      <c r="Z906" s="8">
        <v>0</v>
      </c>
      <c r="AA906" s="7">
        <v>0</v>
      </c>
      <c r="AB906" s="8">
        <v>0</v>
      </c>
      <c r="AC906" s="7">
        <v>2.0449999999999999</v>
      </c>
      <c r="AD906" s="7" t="s">
        <v>1226</v>
      </c>
      <c r="AE906" s="8">
        <v>0</v>
      </c>
      <c r="AF906" s="8">
        <v>0</v>
      </c>
      <c r="AG906" s="8">
        <v>0</v>
      </c>
      <c r="AH906" s="8">
        <v>0</v>
      </c>
      <c r="AI906" s="7" t="s">
        <v>1730</v>
      </c>
      <c r="AJ906" s="7">
        <f t="shared" ca="1" si="197"/>
        <v>1</v>
      </c>
      <c r="AK906" s="96">
        <f t="shared" si="198"/>
        <v>0</v>
      </c>
      <c r="AL906" s="97">
        <f t="shared" si="199"/>
        <v>0</v>
      </c>
    </row>
    <row r="907" spans="1:38" x14ac:dyDescent="0.3">
      <c r="A907" s="7" t="s">
        <v>2419</v>
      </c>
      <c r="B907" s="7" t="s">
        <v>1320</v>
      </c>
      <c r="C907" s="7" t="s">
        <v>1769</v>
      </c>
      <c r="D907" s="7" t="s">
        <v>2209</v>
      </c>
      <c r="E907" s="7" t="s">
        <v>1695</v>
      </c>
      <c r="F907" s="36">
        <v>43174</v>
      </c>
      <c r="G907" s="36">
        <v>44634</v>
      </c>
      <c r="H907" s="36">
        <v>44773</v>
      </c>
      <c r="I907" s="36">
        <v>44773</v>
      </c>
      <c r="J907" s="7" t="s">
        <v>1699</v>
      </c>
      <c r="K907" s="8">
        <v>0</v>
      </c>
      <c r="L907" s="8">
        <v>0</v>
      </c>
      <c r="M907" s="8">
        <v>0</v>
      </c>
      <c r="N907" s="8">
        <v>19012.5</v>
      </c>
      <c r="O907" s="8">
        <v>0</v>
      </c>
      <c r="P907" s="8">
        <v>0</v>
      </c>
      <c r="Q907" s="8">
        <v>0</v>
      </c>
      <c r="R907" s="8">
        <f t="shared" si="196"/>
        <v>19012.5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7">
        <v>0</v>
      </c>
      <c r="AB907" s="8">
        <v>0</v>
      </c>
      <c r="AC907" s="7">
        <v>2.0449999999999999</v>
      </c>
      <c r="AD907" s="7" t="s">
        <v>1226</v>
      </c>
      <c r="AE907" s="8">
        <v>0</v>
      </c>
      <c r="AF907" s="8">
        <v>0</v>
      </c>
      <c r="AG907" s="8">
        <v>0</v>
      </c>
      <c r="AH907" s="8">
        <v>0</v>
      </c>
      <c r="AI907" s="7" t="s">
        <v>1730</v>
      </c>
      <c r="AJ907" s="7">
        <f t="shared" ca="1" si="197"/>
        <v>2</v>
      </c>
      <c r="AK907" s="100">
        <f>(+AA907*AB907)/$AB$1103</f>
        <v>0</v>
      </c>
      <c r="AL907" s="97">
        <f>AC907/$AE$1103*AE907</f>
        <v>0</v>
      </c>
    </row>
    <row r="908" spans="1:38" x14ac:dyDescent="0.3">
      <c r="A908" s="7" t="s">
        <v>2420</v>
      </c>
      <c r="B908" s="7" t="s">
        <v>1320</v>
      </c>
      <c r="C908" s="7" t="s">
        <v>1756</v>
      </c>
      <c r="D908" s="7" t="s">
        <v>2191</v>
      </c>
      <c r="E908" s="7" t="s">
        <v>1695</v>
      </c>
      <c r="F908" s="36">
        <v>42515</v>
      </c>
      <c r="G908" s="36">
        <v>43609</v>
      </c>
      <c r="H908" s="36">
        <v>44773</v>
      </c>
      <c r="I908" s="36">
        <v>44773</v>
      </c>
      <c r="J908" s="7" t="s">
        <v>1696</v>
      </c>
      <c r="K908" s="8">
        <v>0</v>
      </c>
      <c r="L908" s="8">
        <v>0</v>
      </c>
      <c r="M908" s="8">
        <v>914389.60000066727</v>
      </c>
      <c r="N908" s="8">
        <v>0</v>
      </c>
      <c r="O908" s="8">
        <v>0</v>
      </c>
      <c r="P908" s="8">
        <v>0</v>
      </c>
      <c r="Q908" s="8">
        <v>0</v>
      </c>
      <c r="R908" s="8">
        <f t="shared" si="196"/>
        <v>914389.60000066727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1794840.5095361029</v>
      </c>
      <c r="AA908" s="7">
        <v>0</v>
      </c>
      <c r="AB908" s="8">
        <v>0</v>
      </c>
      <c r="AC908" s="7">
        <v>2.0299999999999998</v>
      </c>
      <c r="AD908" s="7" t="s">
        <v>1226</v>
      </c>
      <c r="AE908" s="8">
        <v>0</v>
      </c>
      <c r="AF908" s="8">
        <v>0</v>
      </c>
      <c r="AG908" s="8">
        <v>0</v>
      </c>
      <c r="AH908" s="8">
        <v>0</v>
      </c>
      <c r="AI908" s="7" t="s">
        <v>1877</v>
      </c>
      <c r="AJ908" s="7">
        <f t="shared" ca="1" si="197"/>
        <v>1</v>
      </c>
      <c r="AK908" s="96">
        <f>(+AA908*AB908)/$AB$1102</f>
        <v>0</v>
      </c>
      <c r="AL908" s="97">
        <f>AC908/$AE$1102*AE908</f>
        <v>0</v>
      </c>
    </row>
    <row r="909" spans="1:38" x14ac:dyDescent="0.3">
      <c r="A909" s="7" t="s">
        <v>2420</v>
      </c>
      <c r="B909" s="7" t="s">
        <v>1320</v>
      </c>
      <c r="C909" s="7" t="s">
        <v>1756</v>
      </c>
      <c r="D909" s="7" t="s">
        <v>2191</v>
      </c>
      <c r="E909" s="7" t="s">
        <v>1695</v>
      </c>
      <c r="F909" s="36">
        <v>42515</v>
      </c>
      <c r="G909" s="36">
        <v>43609</v>
      </c>
      <c r="H909" s="36">
        <v>44773</v>
      </c>
      <c r="I909" s="36">
        <v>44773</v>
      </c>
      <c r="J909" s="7" t="s">
        <v>1699</v>
      </c>
      <c r="K909" s="8">
        <v>0</v>
      </c>
      <c r="L909" s="8">
        <v>0</v>
      </c>
      <c r="M909" s="8">
        <v>0</v>
      </c>
      <c r="N909" s="8">
        <v>-501839.99924014317</v>
      </c>
      <c r="O909" s="8">
        <v>0</v>
      </c>
      <c r="P909" s="8">
        <v>0</v>
      </c>
      <c r="Q909" s="8">
        <v>0</v>
      </c>
      <c r="R909" s="8">
        <f t="shared" si="196"/>
        <v>-501839.99924014317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7">
        <v>0</v>
      </c>
      <c r="AB909" s="8">
        <v>0</v>
      </c>
      <c r="AC909" s="7">
        <v>2.0299999999999998</v>
      </c>
      <c r="AD909" s="7" t="s">
        <v>1226</v>
      </c>
      <c r="AE909" s="8">
        <v>0</v>
      </c>
      <c r="AF909" s="8">
        <v>0</v>
      </c>
      <c r="AG909" s="8">
        <v>0</v>
      </c>
      <c r="AH909" s="8">
        <v>0</v>
      </c>
      <c r="AI909" s="7" t="s">
        <v>1877</v>
      </c>
      <c r="AJ909" s="7">
        <f t="shared" ca="1" si="197"/>
        <v>2</v>
      </c>
      <c r="AK909" s="100">
        <f t="shared" ref="AK909:AK912" si="200">(+AA909*AB909)/$AB$1103</f>
        <v>0</v>
      </c>
      <c r="AL909" s="97">
        <f t="shared" ref="AL909:AL912" si="201">AC909/$AE$1103*AE909</f>
        <v>0</v>
      </c>
    </row>
    <row r="910" spans="1:38" x14ac:dyDescent="0.3">
      <c r="A910" s="7" t="s">
        <v>2421</v>
      </c>
      <c r="B910" s="7" t="s">
        <v>1320</v>
      </c>
      <c r="C910" s="7" t="s">
        <v>1769</v>
      </c>
      <c r="D910" s="7" t="s">
        <v>2193</v>
      </c>
      <c r="E910" s="7" t="s">
        <v>1695</v>
      </c>
      <c r="F910" s="36">
        <v>42536</v>
      </c>
      <c r="G910" s="36">
        <v>43630</v>
      </c>
      <c r="H910" s="36">
        <v>44773</v>
      </c>
      <c r="I910" s="36">
        <v>44773</v>
      </c>
      <c r="J910" s="7" t="s">
        <v>1699</v>
      </c>
      <c r="K910" s="8">
        <v>0</v>
      </c>
      <c r="L910" s="8">
        <v>0</v>
      </c>
      <c r="M910" s="8">
        <v>0</v>
      </c>
      <c r="N910" s="8">
        <v>24796.800026000001</v>
      </c>
      <c r="O910" s="8">
        <v>0</v>
      </c>
      <c r="P910" s="8">
        <v>0</v>
      </c>
      <c r="Q910" s="8">
        <v>0</v>
      </c>
      <c r="R910" s="8">
        <f t="shared" si="196"/>
        <v>24796.800026000001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7">
        <v>0</v>
      </c>
      <c r="AB910" s="8">
        <v>0</v>
      </c>
      <c r="AC910" s="7">
        <v>2.0299999999999998</v>
      </c>
      <c r="AD910" s="7" t="s">
        <v>1226</v>
      </c>
      <c r="AE910" s="8">
        <v>0</v>
      </c>
      <c r="AF910" s="8">
        <v>0</v>
      </c>
      <c r="AG910" s="8">
        <v>0</v>
      </c>
      <c r="AH910" s="8">
        <v>0</v>
      </c>
      <c r="AI910" s="7" t="s">
        <v>1730</v>
      </c>
      <c r="AJ910" s="7">
        <f t="shared" ca="1" si="197"/>
        <v>1</v>
      </c>
      <c r="AK910" s="100">
        <f t="shared" si="200"/>
        <v>0</v>
      </c>
      <c r="AL910" s="97">
        <f t="shared" si="201"/>
        <v>0</v>
      </c>
    </row>
    <row r="911" spans="1:38" x14ac:dyDescent="0.3">
      <c r="A911" s="7" t="s">
        <v>2422</v>
      </c>
      <c r="B911" s="7" t="s">
        <v>1320</v>
      </c>
      <c r="C911" s="7" t="s">
        <v>1756</v>
      </c>
      <c r="D911" s="7" t="s">
        <v>2195</v>
      </c>
      <c r="E911" s="7" t="s">
        <v>1695</v>
      </c>
      <c r="F911" s="36">
        <v>41129</v>
      </c>
      <c r="G911" s="36">
        <v>42954</v>
      </c>
      <c r="H911" s="36">
        <v>44773</v>
      </c>
      <c r="I911" s="36">
        <v>44773</v>
      </c>
      <c r="J911" s="7" t="s">
        <v>1699</v>
      </c>
      <c r="K911" s="8">
        <v>0</v>
      </c>
      <c r="L911" s="8">
        <v>0</v>
      </c>
      <c r="M911" s="8">
        <v>0</v>
      </c>
      <c r="N911" s="8">
        <v>148696.25803202449</v>
      </c>
      <c r="O911" s="8">
        <v>0</v>
      </c>
      <c r="P911" s="8">
        <v>0</v>
      </c>
      <c r="Q911" s="8">
        <v>0</v>
      </c>
      <c r="R911" s="8">
        <f t="shared" si="196"/>
        <v>148696.25803202449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7">
        <v>0</v>
      </c>
      <c r="AB911" s="8">
        <v>0</v>
      </c>
      <c r="AC911" s="7">
        <v>2.181667</v>
      </c>
      <c r="AD911" s="7" t="s">
        <v>1226</v>
      </c>
      <c r="AE911" s="8">
        <v>0</v>
      </c>
      <c r="AF911" s="8">
        <v>0</v>
      </c>
      <c r="AG911" s="8">
        <v>0</v>
      </c>
      <c r="AH911" s="8">
        <v>0</v>
      </c>
      <c r="AI911" s="7" t="s">
        <v>1877</v>
      </c>
      <c r="AJ911" s="7">
        <f t="shared" ca="1" si="197"/>
        <v>1</v>
      </c>
      <c r="AK911" s="100">
        <f t="shared" si="200"/>
        <v>0</v>
      </c>
      <c r="AL911" s="97">
        <f t="shared" si="201"/>
        <v>0</v>
      </c>
    </row>
    <row r="912" spans="1:38" x14ac:dyDescent="0.3">
      <c r="A912" s="7" t="s">
        <v>2423</v>
      </c>
      <c r="B912" s="7" t="s">
        <v>1320</v>
      </c>
      <c r="C912" s="7" t="s">
        <v>1756</v>
      </c>
      <c r="D912" s="7" t="s">
        <v>1324</v>
      </c>
      <c r="E912" s="7" t="s">
        <v>1695</v>
      </c>
      <c r="F912" s="36">
        <v>42049</v>
      </c>
      <c r="G912" s="36">
        <v>43509</v>
      </c>
      <c r="H912" s="36">
        <v>44773</v>
      </c>
      <c r="I912" s="36">
        <v>44773</v>
      </c>
      <c r="J912" s="7" t="s">
        <v>1699</v>
      </c>
      <c r="K912" s="8">
        <v>0</v>
      </c>
      <c r="L912" s="8">
        <v>0</v>
      </c>
      <c r="M912" s="8">
        <v>0</v>
      </c>
      <c r="N912" s="8">
        <v>-68452.232155022954</v>
      </c>
      <c r="O912" s="8">
        <v>0</v>
      </c>
      <c r="P912" s="8">
        <v>0</v>
      </c>
      <c r="Q912" s="8">
        <v>0</v>
      </c>
      <c r="R912" s="8">
        <f t="shared" si="196"/>
        <v>-68452.232155022954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7">
        <v>0</v>
      </c>
      <c r="AB912" s="8">
        <v>0</v>
      </c>
      <c r="AC912" s="7">
        <v>2.0449999999999999</v>
      </c>
      <c r="AD912" s="7" t="s">
        <v>1226</v>
      </c>
      <c r="AE912" s="8">
        <v>0</v>
      </c>
      <c r="AF912" s="8">
        <v>0</v>
      </c>
      <c r="AG912" s="8">
        <v>0</v>
      </c>
      <c r="AH912" s="8">
        <v>0</v>
      </c>
      <c r="AI912" s="7" t="s">
        <v>1730</v>
      </c>
      <c r="AJ912" s="7">
        <f t="shared" ca="1" si="197"/>
        <v>1</v>
      </c>
      <c r="AK912" s="100">
        <f t="shared" si="200"/>
        <v>0</v>
      </c>
      <c r="AL912" s="97">
        <f t="shared" si="201"/>
        <v>0</v>
      </c>
    </row>
    <row r="913" spans="1:38" x14ac:dyDescent="0.3">
      <c r="A913" s="7" t="s">
        <v>2424</v>
      </c>
      <c r="B913" s="7" t="s">
        <v>1320</v>
      </c>
      <c r="C913" s="7" t="s">
        <v>1769</v>
      </c>
      <c r="D913" s="7" t="s">
        <v>2198</v>
      </c>
      <c r="E913" s="7" t="s">
        <v>1806</v>
      </c>
      <c r="F913" s="36">
        <v>42415</v>
      </c>
      <c r="G913" s="36">
        <v>43510</v>
      </c>
      <c r="H913" s="36">
        <v>43510</v>
      </c>
      <c r="I913" s="36">
        <v>43510</v>
      </c>
      <c r="J913" s="7" t="s">
        <v>1696</v>
      </c>
      <c r="K913" s="8">
        <v>0</v>
      </c>
      <c r="L913" s="8">
        <v>0</v>
      </c>
      <c r="M913" s="8">
        <v>48457.16</v>
      </c>
      <c r="N913" s="8">
        <v>0</v>
      </c>
      <c r="O913" s="8">
        <v>0</v>
      </c>
      <c r="P913" s="8">
        <v>0</v>
      </c>
      <c r="Q913" s="8">
        <v>0</v>
      </c>
      <c r="R913" s="8">
        <f t="shared" si="196"/>
        <v>48457.16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161707.07128400001</v>
      </c>
      <c r="AA913" s="7">
        <v>0</v>
      </c>
      <c r="AB913" s="8">
        <v>0</v>
      </c>
      <c r="AC913" s="7">
        <v>2.0299999999999998</v>
      </c>
      <c r="AD913" s="7" t="s">
        <v>1226</v>
      </c>
      <c r="AE913" s="8">
        <v>0</v>
      </c>
      <c r="AF913" s="8">
        <v>0</v>
      </c>
      <c r="AG913" s="8">
        <v>0</v>
      </c>
      <c r="AH913" s="8">
        <v>0</v>
      </c>
      <c r="AI913" s="7" t="s">
        <v>1730</v>
      </c>
      <c r="AJ913" s="7">
        <f t="shared" ca="1" si="197"/>
        <v>1</v>
      </c>
      <c r="AK913" s="96">
        <f>(+AA913*AB913)/$AB$1102</f>
        <v>0</v>
      </c>
      <c r="AL913" s="97">
        <f>AC913/$AE$1102*AE913</f>
        <v>0</v>
      </c>
    </row>
    <row r="914" spans="1:38" x14ac:dyDescent="0.3">
      <c r="A914" s="7" t="s">
        <v>2425</v>
      </c>
      <c r="B914" s="7" t="s">
        <v>1320</v>
      </c>
      <c r="C914" s="7" t="s">
        <v>1769</v>
      </c>
      <c r="D914" s="7" t="s">
        <v>2200</v>
      </c>
      <c r="E914" s="7" t="s">
        <v>1695</v>
      </c>
      <c r="F914" s="36">
        <v>42078</v>
      </c>
      <c r="G914" s="36">
        <v>43538</v>
      </c>
      <c r="H914" s="36">
        <v>44773</v>
      </c>
      <c r="I914" s="36">
        <v>44773</v>
      </c>
      <c r="J914" s="7" t="s">
        <v>1699</v>
      </c>
      <c r="K914" s="8">
        <v>0</v>
      </c>
      <c r="L914" s="8">
        <v>0</v>
      </c>
      <c r="M914" s="8">
        <v>0</v>
      </c>
      <c r="N914" s="8">
        <v>28334.75805</v>
      </c>
      <c r="O914" s="8">
        <v>0</v>
      </c>
      <c r="P914" s="8">
        <v>0</v>
      </c>
      <c r="Q914" s="8">
        <v>0</v>
      </c>
      <c r="R914" s="8">
        <f t="shared" si="196"/>
        <v>28334.75805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7">
        <v>0</v>
      </c>
      <c r="AB914" s="8">
        <v>0</v>
      </c>
      <c r="AC914" s="7">
        <v>2.0449999999999999</v>
      </c>
      <c r="AD914" s="7" t="s">
        <v>1226</v>
      </c>
      <c r="AE914" s="8">
        <v>0</v>
      </c>
      <c r="AF914" s="8">
        <v>0</v>
      </c>
      <c r="AG914" s="8">
        <v>0</v>
      </c>
      <c r="AH914" s="8">
        <v>0</v>
      </c>
      <c r="AI914" s="7" t="s">
        <v>1730</v>
      </c>
      <c r="AJ914" s="7">
        <f t="shared" ca="1" si="197"/>
        <v>1</v>
      </c>
      <c r="AK914" s="100">
        <f>(+AA914*AB914)/$AB$1103</f>
        <v>0</v>
      </c>
      <c r="AL914" s="97">
        <f>AC914/$AE$1103*AE914</f>
        <v>0</v>
      </c>
    </row>
    <row r="915" spans="1:38" x14ac:dyDescent="0.3">
      <c r="A915" s="7" t="s">
        <v>2426</v>
      </c>
      <c r="B915" s="7" t="s">
        <v>1320</v>
      </c>
      <c r="C915" s="7" t="s">
        <v>1769</v>
      </c>
      <c r="D915" s="7" t="s">
        <v>1770</v>
      </c>
      <c r="E915" s="7" t="s">
        <v>1695</v>
      </c>
      <c r="F915" s="36">
        <v>43600</v>
      </c>
      <c r="G915" s="36">
        <v>47252</v>
      </c>
      <c r="H915" s="36">
        <v>44773</v>
      </c>
      <c r="I915" s="36">
        <v>44773</v>
      </c>
      <c r="J915" s="7" t="s">
        <v>1239</v>
      </c>
      <c r="K915" s="8">
        <v>572825.784659</v>
      </c>
      <c r="L915" s="8">
        <v>84751.688553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f t="shared" si="196"/>
        <v>657577.47321199998</v>
      </c>
      <c r="S915" s="8">
        <v>0</v>
      </c>
      <c r="T915" s="8">
        <v>85263.385070000004</v>
      </c>
      <c r="U915" s="8">
        <v>0</v>
      </c>
      <c r="V915" s="8">
        <v>547536.61493000004</v>
      </c>
      <c r="W915" s="8">
        <v>0</v>
      </c>
      <c r="X915" s="8">
        <v>0</v>
      </c>
      <c r="Y915" s="8">
        <v>0</v>
      </c>
      <c r="Z915" s="8">
        <v>-6665369.0959160002</v>
      </c>
      <c r="AA915" s="7">
        <v>0</v>
      </c>
      <c r="AB915" s="8">
        <v>0</v>
      </c>
      <c r="AC915" s="7">
        <v>2.0449999999999999</v>
      </c>
      <c r="AD915" s="7" t="s">
        <v>1226</v>
      </c>
      <c r="AE915" s="8">
        <v>0</v>
      </c>
      <c r="AF915" s="8">
        <v>0</v>
      </c>
      <c r="AG915" s="8">
        <v>0</v>
      </c>
      <c r="AH915" s="8">
        <v>0</v>
      </c>
      <c r="AI915" s="7" t="s">
        <v>1758</v>
      </c>
      <c r="AJ915" s="7">
        <f t="shared" ca="1" si="197"/>
        <v>1</v>
      </c>
      <c r="AK915" s="96">
        <f t="shared" si="198"/>
        <v>0</v>
      </c>
      <c r="AL915" s="97">
        <f t="shared" si="199"/>
        <v>0</v>
      </c>
    </row>
    <row r="916" spans="1:38" x14ac:dyDescent="0.3">
      <c r="A916" s="7" t="s">
        <v>2427</v>
      </c>
      <c r="B916" s="7" t="s">
        <v>1320</v>
      </c>
      <c r="C916" s="7" t="s">
        <v>1756</v>
      </c>
      <c r="D916" s="7" t="s">
        <v>1792</v>
      </c>
      <c r="E916" s="7" t="s">
        <v>1695</v>
      </c>
      <c r="F916" s="36">
        <v>42515</v>
      </c>
      <c r="G916" s="36">
        <v>43609</v>
      </c>
      <c r="H916" s="36">
        <v>44773</v>
      </c>
      <c r="I916" s="36">
        <v>44773</v>
      </c>
      <c r="J916" s="7" t="s">
        <v>1696</v>
      </c>
      <c r="K916" s="8">
        <v>0</v>
      </c>
      <c r="L916" s="8">
        <v>0</v>
      </c>
      <c r="M916" s="8">
        <v>914389.60000066727</v>
      </c>
      <c r="N916" s="8">
        <v>0</v>
      </c>
      <c r="O916" s="8">
        <v>0</v>
      </c>
      <c r="P916" s="8">
        <v>0</v>
      </c>
      <c r="Q916" s="8">
        <v>0</v>
      </c>
      <c r="R916" s="8">
        <f t="shared" si="196"/>
        <v>914389.60000066727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1794840.5095361029</v>
      </c>
      <c r="AA916" s="7">
        <v>0</v>
      </c>
      <c r="AB916" s="8">
        <v>0</v>
      </c>
      <c r="AC916" s="7">
        <v>2.0299999999999998</v>
      </c>
      <c r="AD916" s="7" t="s">
        <v>1226</v>
      </c>
      <c r="AE916" s="8">
        <v>0</v>
      </c>
      <c r="AF916" s="8">
        <v>0</v>
      </c>
      <c r="AG916" s="8">
        <v>0</v>
      </c>
      <c r="AH916" s="8">
        <v>0</v>
      </c>
      <c r="AI916" s="7" t="s">
        <v>1877</v>
      </c>
      <c r="AJ916" s="7">
        <f t="shared" ca="1" si="197"/>
        <v>1</v>
      </c>
      <c r="AK916" s="96">
        <f>(+AA916*AB916)/$AB$1102</f>
        <v>0</v>
      </c>
      <c r="AL916" s="97">
        <f>AC916/$AE$1102*AE916</f>
        <v>0</v>
      </c>
    </row>
    <row r="917" spans="1:38" x14ac:dyDescent="0.3">
      <c r="A917" s="7" t="s">
        <v>2427</v>
      </c>
      <c r="B917" s="7" t="s">
        <v>1320</v>
      </c>
      <c r="C917" s="7" t="s">
        <v>1756</v>
      </c>
      <c r="D917" s="7" t="s">
        <v>1792</v>
      </c>
      <c r="E917" s="7" t="s">
        <v>1695</v>
      </c>
      <c r="F917" s="36">
        <v>42515</v>
      </c>
      <c r="G917" s="36">
        <v>43609</v>
      </c>
      <c r="H917" s="36">
        <v>44773</v>
      </c>
      <c r="I917" s="36">
        <v>44773</v>
      </c>
      <c r="J917" s="7" t="s">
        <v>1699</v>
      </c>
      <c r="K917" s="8">
        <v>0</v>
      </c>
      <c r="L917" s="8">
        <v>0</v>
      </c>
      <c r="M917" s="8">
        <v>0</v>
      </c>
      <c r="N917" s="8">
        <v>-501839.99924014317</v>
      </c>
      <c r="O917" s="8">
        <v>0</v>
      </c>
      <c r="P917" s="8">
        <v>0</v>
      </c>
      <c r="Q917" s="8">
        <v>0</v>
      </c>
      <c r="R917" s="8">
        <f t="shared" si="196"/>
        <v>-501839.99924014317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7">
        <v>0</v>
      </c>
      <c r="AB917" s="8">
        <v>0</v>
      </c>
      <c r="AC917" s="7">
        <v>2.0299999999999998</v>
      </c>
      <c r="AD917" s="7" t="s">
        <v>1226</v>
      </c>
      <c r="AE917" s="8">
        <v>0</v>
      </c>
      <c r="AF917" s="8">
        <v>0</v>
      </c>
      <c r="AG917" s="8">
        <v>0</v>
      </c>
      <c r="AH917" s="8">
        <v>0</v>
      </c>
      <c r="AI917" s="7" t="s">
        <v>1877</v>
      </c>
      <c r="AJ917" s="7">
        <f t="shared" ca="1" si="197"/>
        <v>2</v>
      </c>
      <c r="AK917" s="100">
        <f t="shared" ref="AK917:AK920" si="202">(+AA917*AB917)/$AB$1103</f>
        <v>0</v>
      </c>
      <c r="AL917" s="97">
        <f t="shared" ref="AL917:AL920" si="203">AC917/$AE$1103*AE917</f>
        <v>0</v>
      </c>
    </row>
    <row r="918" spans="1:38" x14ac:dyDescent="0.3">
      <c r="A918" s="7" t="s">
        <v>2428</v>
      </c>
      <c r="B918" s="7" t="s">
        <v>1320</v>
      </c>
      <c r="C918" s="7" t="s">
        <v>1756</v>
      </c>
      <c r="D918" s="7" t="s">
        <v>2200</v>
      </c>
      <c r="E918" s="7" t="s">
        <v>1695</v>
      </c>
      <c r="F918" s="36">
        <v>42049</v>
      </c>
      <c r="G918" s="36">
        <v>43509</v>
      </c>
      <c r="H918" s="36">
        <v>44773</v>
      </c>
      <c r="I918" s="36">
        <v>44773</v>
      </c>
      <c r="J918" s="7" t="s">
        <v>1699</v>
      </c>
      <c r="K918" s="8">
        <v>0</v>
      </c>
      <c r="L918" s="8">
        <v>0</v>
      </c>
      <c r="M918" s="8">
        <v>0</v>
      </c>
      <c r="N918" s="8">
        <v>-68452.232155022954</v>
      </c>
      <c r="O918" s="8">
        <v>0</v>
      </c>
      <c r="P918" s="8">
        <v>0</v>
      </c>
      <c r="Q918" s="8">
        <v>0</v>
      </c>
      <c r="R918" s="8">
        <f t="shared" si="196"/>
        <v>-68452.232155022954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7">
        <v>0</v>
      </c>
      <c r="AB918" s="8">
        <v>0</v>
      </c>
      <c r="AC918" s="7">
        <v>2.0449999999999999</v>
      </c>
      <c r="AD918" s="7" t="s">
        <v>1226</v>
      </c>
      <c r="AE918" s="8">
        <v>0</v>
      </c>
      <c r="AF918" s="8">
        <v>0</v>
      </c>
      <c r="AG918" s="8">
        <v>0</v>
      </c>
      <c r="AH918" s="8">
        <v>0</v>
      </c>
      <c r="AI918" s="7" t="s">
        <v>1730</v>
      </c>
      <c r="AJ918" s="7">
        <f t="shared" ca="1" si="197"/>
        <v>1</v>
      </c>
      <c r="AK918" s="100">
        <f t="shared" si="202"/>
        <v>0</v>
      </c>
      <c r="AL918" s="97">
        <f t="shared" si="203"/>
        <v>0</v>
      </c>
    </row>
    <row r="919" spans="1:38" x14ac:dyDescent="0.3">
      <c r="A919" s="7" t="s">
        <v>2429</v>
      </c>
      <c r="B919" s="7" t="s">
        <v>1320</v>
      </c>
      <c r="C919" s="7" t="s">
        <v>1769</v>
      </c>
      <c r="D919" s="7" t="s">
        <v>2191</v>
      </c>
      <c r="E919" s="7" t="s">
        <v>1695</v>
      </c>
      <c r="F919" s="36">
        <v>42536</v>
      </c>
      <c r="G919" s="36">
        <v>43630</v>
      </c>
      <c r="H919" s="36">
        <v>44773</v>
      </c>
      <c r="I919" s="36">
        <v>44773</v>
      </c>
      <c r="J919" s="7" t="s">
        <v>1699</v>
      </c>
      <c r="K919" s="8">
        <v>0</v>
      </c>
      <c r="L919" s="8">
        <v>0</v>
      </c>
      <c r="M919" s="8">
        <v>0</v>
      </c>
      <c r="N919" s="8">
        <v>24796.800026000001</v>
      </c>
      <c r="O919" s="8">
        <v>0</v>
      </c>
      <c r="P919" s="8">
        <v>0</v>
      </c>
      <c r="Q919" s="8">
        <v>0</v>
      </c>
      <c r="R919" s="8">
        <f t="shared" si="196"/>
        <v>24796.800026000001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7">
        <v>0</v>
      </c>
      <c r="AB919" s="8">
        <v>0</v>
      </c>
      <c r="AC919" s="7">
        <v>2.0299999999999998</v>
      </c>
      <c r="AD919" s="7" t="s">
        <v>1226</v>
      </c>
      <c r="AE919" s="8">
        <v>0</v>
      </c>
      <c r="AF919" s="8">
        <v>0</v>
      </c>
      <c r="AG919" s="8">
        <v>0</v>
      </c>
      <c r="AH919" s="8">
        <v>0</v>
      </c>
      <c r="AI919" s="7" t="s">
        <v>1730</v>
      </c>
      <c r="AJ919" s="7">
        <f t="shared" ca="1" si="197"/>
        <v>1</v>
      </c>
      <c r="AK919" s="100">
        <f t="shared" si="202"/>
        <v>0</v>
      </c>
      <c r="AL919" s="97">
        <f t="shared" si="203"/>
        <v>0</v>
      </c>
    </row>
    <row r="920" spans="1:38" x14ac:dyDescent="0.3">
      <c r="A920" s="7" t="s">
        <v>2430</v>
      </c>
      <c r="B920" s="7" t="s">
        <v>1320</v>
      </c>
      <c r="C920" s="7" t="s">
        <v>1756</v>
      </c>
      <c r="D920" s="7" t="s">
        <v>2202</v>
      </c>
      <c r="E920" s="7" t="s">
        <v>1695</v>
      </c>
      <c r="F920" s="36">
        <v>41129</v>
      </c>
      <c r="G920" s="36">
        <v>42954</v>
      </c>
      <c r="H920" s="36">
        <v>44773</v>
      </c>
      <c r="I920" s="36">
        <v>44773</v>
      </c>
      <c r="J920" s="7" t="s">
        <v>1699</v>
      </c>
      <c r="K920" s="8">
        <v>0</v>
      </c>
      <c r="L920" s="8">
        <v>0</v>
      </c>
      <c r="M920" s="8">
        <v>0</v>
      </c>
      <c r="N920" s="8">
        <v>148696.25803202449</v>
      </c>
      <c r="O920" s="8">
        <v>0</v>
      </c>
      <c r="P920" s="8">
        <v>0</v>
      </c>
      <c r="Q920" s="8">
        <v>0</v>
      </c>
      <c r="R920" s="8">
        <f t="shared" si="196"/>
        <v>148696.25803202449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7">
        <v>0</v>
      </c>
      <c r="AB920" s="8">
        <v>0</v>
      </c>
      <c r="AC920" s="7">
        <v>2.181667</v>
      </c>
      <c r="AD920" s="7" t="s">
        <v>1226</v>
      </c>
      <c r="AE920" s="8">
        <v>0</v>
      </c>
      <c r="AF920" s="8">
        <v>0</v>
      </c>
      <c r="AG920" s="8">
        <v>0</v>
      </c>
      <c r="AH920" s="8">
        <v>0</v>
      </c>
      <c r="AI920" s="7" t="s">
        <v>1877</v>
      </c>
      <c r="AJ920" s="7">
        <f t="shared" ca="1" si="197"/>
        <v>1</v>
      </c>
      <c r="AK920" s="100">
        <f t="shared" si="202"/>
        <v>0</v>
      </c>
      <c r="AL920" s="97">
        <f t="shared" si="203"/>
        <v>0</v>
      </c>
    </row>
    <row r="921" spans="1:38" x14ac:dyDescent="0.3">
      <c r="A921" s="7" t="s">
        <v>2431</v>
      </c>
      <c r="B921" s="7" t="s">
        <v>1320</v>
      </c>
      <c r="C921" s="7" t="s">
        <v>1769</v>
      </c>
      <c r="D921" s="7" t="s">
        <v>2202</v>
      </c>
      <c r="E921" s="7" t="s">
        <v>1806</v>
      </c>
      <c r="F921" s="36">
        <v>42415</v>
      </c>
      <c r="G921" s="36">
        <v>43510</v>
      </c>
      <c r="H921" s="36">
        <v>43510</v>
      </c>
      <c r="I921" s="36">
        <v>43510</v>
      </c>
      <c r="J921" s="7" t="s">
        <v>1696</v>
      </c>
      <c r="K921" s="8">
        <v>0</v>
      </c>
      <c r="L921" s="8">
        <v>0</v>
      </c>
      <c r="M921" s="8">
        <v>48457.16</v>
      </c>
      <c r="N921" s="8">
        <v>0</v>
      </c>
      <c r="O921" s="8">
        <v>0</v>
      </c>
      <c r="P921" s="8">
        <v>0</v>
      </c>
      <c r="Q921" s="8">
        <v>0</v>
      </c>
      <c r="R921" s="8">
        <f t="shared" si="196"/>
        <v>48457.16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161707.07128400001</v>
      </c>
      <c r="AA921" s="7">
        <v>0</v>
      </c>
      <c r="AB921" s="8">
        <v>0</v>
      </c>
      <c r="AC921" s="7">
        <v>2.0299999999999998</v>
      </c>
      <c r="AD921" s="7" t="s">
        <v>1226</v>
      </c>
      <c r="AE921" s="8">
        <v>0</v>
      </c>
      <c r="AF921" s="8">
        <v>0</v>
      </c>
      <c r="AG921" s="8">
        <v>0</v>
      </c>
      <c r="AH921" s="8">
        <v>0</v>
      </c>
      <c r="AI921" s="7" t="s">
        <v>1730</v>
      </c>
      <c r="AJ921" s="7">
        <f t="shared" ca="1" si="197"/>
        <v>1</v>
      </c>
      <c r="AK921" s="96">
        <f>(+AA921*AB921)/$AB$1102</f>
        <v>0</v>
      </c>
      <c r="AL921" s="97">
        <f>AC921/$AE$1102*AE921</f>
        <v>0</v>
      </c>
    </row>
    <row r="922" spans="1:38" x14ac:dyDescent="0.3">
      <c r="A922" s="7" t="s">
        <v>2432</v>
      </c>
      <c r="B922" s="7" t="s">
        <v>1320</v>
      </c>
      <c r="C922" s="7" t="s">
        <v>1769</v>
      </c>
      <c r="D922" s="7" t="s">
        <v>2209</v>
      </c>
      <c r="E922" s="7" t="s">
        <v>1695</v>
      </c>
      <c r="F922" s="36">
        <v>42078</v>
      </c>
      <c r="G922" s="36">
        <v>43538</v>
      </c>
      <c r="H922" s="36">
        <v>44773</v>
      </c>
      <c r="I922" s="36">
        <v>44773</v>
      </c>
      <c r="J922" s="7" t="s">
        <v>1699</v>
      </c>
      <c r="K922" s="8">
        <v>0</v>
      </c>
      <c r="L922" s="8">
        <v>0</v>
      </c>
      <c r="M922" s="8">
        <v>0</v>
      </c>
      <c r="N922" s="8">
        <v>28334.75805</v>
      </c>
      <c r="O922" s="8">
        <v>0</v>
      </c>
      <c r="P922" s="8">
        <v>0</v>
      </c>
      <c r="Q922" s="8">
        <v>0</v>
      </c>
      <c r="R922" s="8">
        <f t="shared" si="196"/>
        <v>28334.75805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7">
        <v>0</v>
      </c>
      <c r="AB922" s="8">
        <v>0</v>
      </c>
      <c r="AC922" s="7">
        <v>2.0449999999999999</v>
      </c>
      <c r="AD922" s="7" t="s">
        <v>1226</v>
      </c>
      <c r="AE922" s="8">
        <v>0</v>
      </c>
      <c r="AF922" s="8">
        <v>0</v>
      </c>
      <c r="AG922" s="8">
        <v>0</v>
      </c>
      <c r="AH922" s="8">
        <v>0</v>
      </c>
      <c r="AI922" s="7" t="s">
        <v>1730</v>
      </c>
      <c r="AJ922" s="7">
        <f t="shared" ca="1" si="197"/>
        <v>1</v>
      </c>
      <c r="AK922" s="100">
        <f>(+AA922*AB922)/$AB$1103</f>
        <v>0</v>
      </c>
      <c r="AL922" s="97">
        <f>AC922/$AE$1103*AE922</f>
        <v>0</v>
      </c>
    </row>
    <row r="923" spans="1:38" x14ac:dyDescent="0.3">
      <c r="A923" s="7" t="s">
        <v>2433</v>
      </c>
      <c r="B923" s="7" t="s">
        <v>1320</v>
      </c>
      <c r="C923" s="7" t="s">
        <v>1756</v>
      </c>
      <c r="D923" s="7" t="s">
        <v>2195</v>
      </c>
      <c r="E923" s="7" t="s">
        <v>1695</v>
      </c>
      <c r="F923" s="36">
        <v>42826</v>
      </c>
      <c r="G923" s="36">
        <v>46477</v>
      </c>
      <c r="H923" s="36">
        <v>44773</v>
      </c>
      <c r="I923" s="36">
        <v>44773</v>
      </c>
      <c r="J923" s="7" t="s">
        <v>1239</v>
      </c>
      <c r="K923" s="8">
        <v>0</v>
      </c>
      <c r="L923" s="8">
        <v>-30555.948628026301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f t="shared" si="196"/>
        <v>-30555.948628026301</v>
      </c>
      <c r="S923" s="8">
        <v>0</v>
      </c>
      <c r="T923" s="8">
        <v>-28800.25377202508</v>
      </c>
      <c r="U923" s="8">
        <v>0</v>
      </c>
      <c r="V923" s="8">
        <v>-119361.7462281249</v>
      </c>
      <c r="W923" s="8">
        <v>0</v>
      </c>
      <c r="X923" s="8">
        <v>0</v>
      </c>
      <c r="Y923" s="8">
        <v>0</v>
      </c>
      <c r="Z923" s="8">
        <v>0</v>
      </c>
      <c r="AA923" s="7">
        <v>0</v>
      </c>
      <c r="AB923" s="8">
        <v>0</v>
      </c>
      <c r="AC923" s="7">
        <v>2.0449999999999999</v>
      </c>
      <c r="AD923" s="7" t="s">
        <v>1226</v>
      </c>
      <c r="AE923" s="8">
        <v>0</v>
      </c>
      <c r="AF923" s="8">
        <v>0</v>
      </c>
      <c r="AG923" s="8">
        <v>0</v>
      </c>
      <c r="AH923" s="8">
        <v>0</v>
      </c>
      <c r="AI923" s="7" t="s">
        <v>1758</v>
      </c>
      <c r="AJ923" s="7">
        <f t="shared" ca="1" si="197"/>
        <v>1</v>
      </c>
      <c r="AK923" s="96">
        <f t="shared" si="198"/>
        <v>0</v>
      </c>
      <c r="AL923" s="97">
        <f t="shared" si="199"/>
        <v>0</v>
      </c>
    </row>
    <row r="924" spans="1:38" x14ac:dyDescent="0.3">
      <c r="A924" s="7" t="s">
        <v>2434</v>
      </c>
      <c r="B924" s="7" t="s">
        <v>1320</v>
      </c>
      <c r="C924" s="7" t="s">
        <v>1323</v>
      </c>
      <c r="D924" s="7" t="s">
        <v>2343</v>
      </c>
      <c r="E924" s="7" t="s">
        <v>1695</v>
      </c>
      <c r="F924" s="36">
        <v>43600</v>
      </c>
      <c r="G924" s="36">
        <v>47252</v>
      </c>
      <c r="H924" s="36">
        <v>44773</v>
      </c>
      <c r="I924" s="36">
        <v>44773</v>
      </c>
      <c r="J924" s="7" t="s">
        <v>1239</v>
      </c>
      <c r="K924" s="8">
        <v>128885.80455</v>
      </c>
      <c r="L924" s="8">
        <v>19069.129925000001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f t="shared" si="196"/>
        <v>147954.93447500002</v>
      </c>
      <c r="S924" s="8">
        <v>0</v>
      </c>
      <c r="T924" s="8">
        <v>19184.261641000001</v>
      </c>
      <c r="U924" s="8">
        <v>0</v>
      </c>
      <c r="V924" s="8">
        <v>123195.738359</v>
      </c>
      <c r="W924" s="8">
        <v>0</v>
      </c>
      <c r="X924" s="8">
        <v>0</v>
      </c>
      <c r="Y924" s="8">
        <v>0</v>
      </c>
      <c r="Z924" s="8">
        <v>-1499708.046565</v>
      </c>
      <c r="AA924" s="7">
        <v>0</v>
      </c>
      <c r="AB924" s="8">
        <v>0</v>
      </c>
      <c r="AC924" s="7">
        <v>2.0449999999999999</v>
      </c>
      <c r="AD924" s="7" t="s">
        <v>1226</v>
      </c>
      <c r="AE924" s="8">
        <v>0</v>
      </c>
      <c r="AF924" s="8">
        <v>0</v>
      </c>
      <c r="AG924" s="8">
        <v>0</v>
      </c>
      <c r="AH924" s="8">
        <v>0</v>
      </c>
      <c r="AI924" s="7" t="s">
        <v>1758</v>
      </c>
      <c r="AJ924" s="7">
        <f t="shared" ca="1" si="197"/>
        <v>1</v>
      </c>
      <c r="AK924" s="96">
        <f t="shared" si="198"/>
        <v>0</v>
      </c>
      <c r="AL924" s="97">
        <f t="shared" si="199"/>
        <v>0</v>
      </c>
    </row>
    <row r="925" spans="1:38" x14ac:dyDescent="0.3">
      <c r="A925" s="7" t="s">
        <v>2435</v>
      </c>
      <c r="B925" s="7" t="s">
        <v>1320</v>
      </c>
      <c r="C925" s="7" t="s">
        <v>1769</v>
      </c>
      <c r="D925" s="7" t="s">
        <v>2191</v>
      </c>
      <c r="E925" s="7" t="s">
        <v>1695</v>
      </c>
      <c r="F925" s="36">
        <v>42037</v>
      </c>
      <c r="G925" s="36">
        <v>45689</v>
      </c>
      <c r="H925" s="36">
        <v>44773</v>
      </c>
      <c r="I925" s="36">
        <v>44773</v>
      </c>
      <c r="J925" s="7" t="s">
        <v>1239</v>
      </c>
      <c r="K925" s="8">
        <v>1050286.21013</v>
      </c>
      <c r="L925" s="8">
        <v>63450.074674000003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f t="shared" si="196"/>
        <v>1113736.2848040001</v>
      </c>
      <c r="S925" s="8">
        <v>0</v>
      </c>
      <c r="T925" s="8">
        <v>65255.931826</v>
      </c>
      <c r="U925" s="8">
        <v>0</v>
      </c>
      <c r="V925" s="8">
        <v>1094994.0681739999</v>
      </c>
      <c r="W925" s="8">
        <v>0</v>
      </c>
      <c r="X925" s="8">
        <v>0</v>
      </c>
      <c r="Y925" s="8">
        <v>0</v>
      </c>
      <c r="Z925" s="8">
        <v>-4506585.198717</v>
      </c>
      <c r="AA925" s="7">
        <v>0</v>
      </c>
      <c r="AB925" s="8">
        <v>0</v>
      </c>
      <c r="AC925" s="7">
        <v>2.0449999999999999</v>
      </c>
      <c r="AD925" s="7" t="s">
        <v>1226</v>
      </c>
      <c r="AE925" s="8">
        <v>0</v>
      </c>
      <c r="AF925" s="8">
        <v>0</v>
      </c>
      <c r="AG925" s="8">
        <v>0</v>
      </c>
      <c r="AH925" s="8">
        <v>0</v>
      </c>
      <c r="AI925" s="7" t="s">
        <v>1758</v>
      </c>
      <c r="AJ925" s="7">
        <f t="shared" ca="1" si="197"/>
        <v>1</v>
      </c>
      <c r="AK925" s="96">
        <f t="shared" si="198"/>
        <v>0</v>
      </c>
      <c r="AL925" s="97">
        <f t="shared" si="199"/>
        <v>0</v>
      </c>
    </row>
    <row r="926" spans="1:38" x14ac:dyDescent="0.3">
      <c r="A926" s="7" t="s">
        <v>2436</v>
      </c>
      <c r="B926" s="7" t="s">
        <v>1320</v>
      </c>
      <c r="C926" s="7" t="s">
        <v>1756</v>
      </c>
      <c r="D926" s="7" t="s">
        <v>2202</v>
      </c>
      <c r="E926" s="7" t="s">
        <v>1322</v>
      </c>
      <c r="F926" s="36">
        <v>42826</v>
      </c>
      <c r="G926" s="36">
        <v>46477</v>
      </c>
      <c r="H926" s="36">
        <v>46477</v>
      </c>
      <c r="I926" s="36">
        <v>46477</v>
      </c>
      <c r="J926" s="7" t="s">
        <v>1239</v>
      </c>
      <c r="K926" s="8">
        <v>0</v>
      </c>
      <c r="L926" s="8">
        <v>-683946.33817967225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f t="shared" si="196"/>
        <v>-683946.33817967225</v>
      </c>
      <c r="S926" s="8">
        <v>0</v>
      </c>
      <c r="T926" s="8">
        <v>-635579.24725663988</v>
      </c>
      <c r="U926" s="8">
        <v>0</v>
      </c>
      <c r="V926" s="8">
        <v>-1870920.7527470777</v>
      </c>
      <c r="W926" s="8">
        <v>0</v>
      </c>
      <c r="X926" s="8">
        <v>0</v>
      </c>
      <c r="Y926" s="8">
        <v>0</v>
      </c>
      <c r="Z926" s="8">
        <v>0</v>
      </c>
      <c r="AA926" s="7">
        <v>4.2493150000000002</v>
      </c>
      <c r="AB926" s="8">
        <v>13592686.030371238</v>
      </c>
      <c r="AC926" s="7">
        <v>2.0449999999999999</v>
      </c>
      <c r="AD926" s="7" t="s">
        <v>1226</v>
      </c>
      <c r="AE926" s="8">
        <v>14203500.000005523</v>
      </c>
      <c r="AF926" s="8">
        <v>0</v>
      </c>
      <c r="AG926" s="8">
        <v>14203500.000005523</v>
      </c>
      <c r="AH926" s="8">
        <v>0</v>
      </c>
      <c r="AI926" s="7" t="s">
        <v>1758</v>
      </c>
      <c r="AJ926" s="7">
        <f t="shared" ca="1" si="197"/>
        <v>1</v>
      </c>
      <c r="AK926" s="96">
        <f t="shared" si="198"/>
        <v>0.3869339290943507</v>
      </c>
      <c r="AL926" s="97">
        <f t="shared" si="199"/>
        <v>0.18464743595055344</v>
      </c>
    </row>
    <row r="927" spans="1:38" x14ac:dyDescent="0.3">
      <c r="A927" s="7" t="s">
        <v>2437</v>
      </c>
      <c r="B927" s="7" t="s">
        <v>1320</v>
      </c>
      <c r="C927" s="7" t="s">
        <v>1769</v>
      </c>
      <c r="D927" s="7" t="s">
        <v>2353</v>
      </c>
      <c r="E927" s="7" t="s">
        <v>1695</v>
      </c>
      <c r="F927" s="36">
        <v>40405</v>
      </c>
      <c r="G927" s="36">
        <v>45883</v>
      </c>
      <c r="H927" s="36">
        <v>44773</v>
      </c>
      <c r="I927" s="36">
        <v>44773</v>
      </c>
      <c r="J927" s="7" t="s">
        <v>1239</v>
      </c>
      <c r="K927" s="8">
        <v>-422094.45571430802</v>
      </c>
      <c r="L927" s="8">
        <v>-2558477.6882979018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f t="shared" si="196"/>
        <v>-2980572.14401221</v>
      </c>
      <c r="S927" s="8">
        <v>0</v>
      </c>
      <c r="T927" s="8">
        <v>-2548418.8034608951</v>
      </c>
      <c r="U927" s="8">
        <v>0</v>
      </c>
      <c r="V927" s="8">
        <v>-7899681.1965471692</v>
      </c>
      <c r="W927" s="8">
        <v>0</v>
      </c>
      <c r="X927" s="8">
        <v>0</v>
      </c>
      <c r="Y927" s="8">
        <v>0</v>
      </c>
      <c r="Z927" s="8">
        <v>-16704163.92395119</v>
      </c>
      <c r="AA927" s="7">
        <v>0</v>
      </c>
      <c r="AB927" s="8">
        <v>0</v>
      </c>
      <c r="AC927" s="7">
        <v>2.5</v>
      </c>
      <c r="AD927" s="7" t="s">
        <v>1226</v>
      </c>
      <c r="AE927" s="8">
        <v>0</v>
      </c>
      <c r="AF927" s="8">
        <v>0</v>
      </c>
      <c r="AG927" s="8">
        <v>0</v>
      </c>
      <c r="AH927" s="8">
        <v>0</v>
      </c>
      <c r="AI927" s="7" t="s">
        <v>1758</v>
      </c>
      <c r="AJ927" s="7">
        <f t="shared" ca="1" si="197"/>
        <v>1</v>
      </c>
      <c r="AK927" s="96">
        <f t="shared" si="198"/>
        <v>0</v>
      </c>
      <c r="AL927" s="97">
        <f t="shared" si="199"/>
        <v>0</v>
      </c>
    </row>
    <row r="928" spans="1:38" x14ac:dyDescent="0.3">
      <c r="A928" s="7" t="s">
        <v>2438</v>
      </c>
      <c r="B928" s="7" t="s">
        <v>1735</v>
      </c>
      <c r="C928" s="7" t="s">
        <v>1756</v>
      </c>
      <c r="D928" s="7" t="s">
        <v>2327</v>
      </c>
      <c r="E928" s="7" t="s">
        <v>1739</v>
      </c>
      <c r="F928" s="36">
        <v>43598</v>
      </c>
      <c r="G928" s="36">
        <v>44693</v>
      </c>
      <c r="I928" s="36">
        <v>44957</v>
      </c>
      <c r="J928" s="7" t="s">
        <v>1696</v>
      </c>
      <c r="K928" s="8">
        <v>0</v>
      </c>
      <c r="L928" s="8">
        <v>0</v>
      </c>
      <c r="M928" s="8">
        <v>24802.302093670351</v>
      </c>
      <c r="N928" s="8">
        <v>0</v>
      </c>
      <c r="O928" s="8">
        <v>0</v>
      </c>
      <c r="P928" s="8">
        <v>50.000000000036998</v>
      </c>
      <c r="Q928" s="8">
        <v>0</v>
      </c>
      <c r="R928" s="8">
        <f t="shared" si="196"/>
        <v>24852.302093670387</v>
      </c>
      <c r="S928" s="8">
        <v>0</v>
      </c>
      <c r="T928" s="8">
        <v>0</v>
      </c>
      <c r="U928" s="8">
        <v>31520.00000000708</v>
      </c>
      <c r="V928" s="8">
        <v>0</v>
      </c>
      <c r="W928" s="8">
        <v>50.000000000036998</v>
      </c>
      <c r="X928" s="8">
        <v>0</v>
      </c>
      <c r="Y928" s="8">
        <v>0</v>
      </c>
      <c r="Z928" s="8">
        <v>46217.178588587936</v>
      </c>
      <c r="AA928" s="7">
        <v>8.4931999999999994E-2</v>
      </c>
      <c r="AB928" s="8">
        <v>999.35189200016453</v>
      </c>
      <c r="AC928" s="7">
        <v>2.0125000000000002</v>
      </c>
      <c r="AD928" s="7" t="s">
        <v>1697</v>
      </c>
      <c r="AE928" s="8">
        <v>1000.000000000389</v>
      </c>
      <c r="AF928" s="8">
        <v>0</v>
      </c>
      <c r="AG928" s="8">
        <v>1000.000000000389</v>
      </c>
      <c r="AH928" s="8">
        <v>0</v>
      </c>
      <c r="AI928" s="7" t="s">
        <v>1730</v>
      </c>
      <c r="AJ928" s="7">
        <f t="shared" ca="1" si="197"/>
        <v>1</v>
      </c>
      <c r="AK928" s="96">
        <f>(+AA928*AB928)/$AB$1102</f>
        <v>7.4388200852548285E-8</v>
      </c>
      <c r="AL928" s="97">
        <f>AC928/$AE$1102*AE928</f>
        <v>1.7220175167585656E-6</v>
      </c>
    </row>
    <row r="929" spans="1:38" x14ac:dyDescent="0.3">
      <c r="A929" s="7" t="s">
        <v>2439</v>
      </c>
      <c r="B929" s="7" t="s">
        <v>1320</v>
      </c>
      <c r="C929" s="7" t="s">
        <v>1323</v>
      </c>
      <c r="D929" s="7" t="s">
        <v>2440</v>
      </c>
      <c r="E929" s="7" t="s">
        <v>1695</v>
      </c>
      <c r="F929" s="36">
        <v>43936</v>
      </c>
      <c r="G929" s="36">
        <v>45396</v>
      </c>
      <c r="H929" s="36">
        <v>44773</v>
      </c>
      <c r="I929" s="36">
        <v>44773</v>
      </c>
      <c r="J929" s="7" t="s">
        <v>1239</v>
      </c>
      <c r="K929" s="8">
        <v>20768.255057958751</v>
      </c>
      <c r="L929" s="8">
        <v>1550.3356770002531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f t="shared" si="196"/>
        <v>22318.590734959005</v>
      </c>
      <c r="S929" s="8">
        <v>0</v>
      </c>
      <c r="T929" s="8">
        <v>1585.8720250002621</v>
      </c>
      <c r="U929" s="8">
        <v>0</v>
      </c>
      <c r="V929" s="8">
        <v>38025.37797500626</v>
      </c>
      <c r="W929" s="8">
        <v>0</v>
      </c>
      <c r="X929" s="8">
        <v>0</v>
      </c>
      <c r="Y929" s="8">
        <v>0</v>
      </c>
      <c r="Z929" s="8">
        <v>-60722.444222461891</v>
      </c>
      <c r="AA929" s="7">
        <v>0</v>
      </c>
      <c r="AB929" s="8">
        <v>0</v>
      </c>
      <c r="AC929" s="7">
        <v>2.0449999999999999</v>
      </c>
      <c r="AD929" s="7" t="s">
        <v>1226</v>
      </c>
      <c r="AE929" s="8">
        <v>0</v>
      </c>
      <c r="AF929" s="8">
        <v>0</v>
      </c>
      <c r="AG929" s="8">
        <v>0</v>
      </c>
      <c r="AH929" s="8">
        <v>0</v>
      </c>
      <c r="AI929" s="7" t="s">
        <v>1730</v>
      </c>
      <c r="AJ929" s="7">
        <f t="shared" ca="1" si="197"/>
        <v>1</v>
      </c>
      <c r="AK929" s="96">
        <f t="shared" si="198"/>
        <v>0</v>
      </c>
      <c r="AL929" s="97">
        <f t="shared" si="199"/>
        <v>0</v>
      </c>
    </row>
    <row r="930" spans="1:38" x14ac:dyDescent="0.3">
      <c r="A930" s="7" t="s">
        <v>2441</v>
      </c>
      <c r="B930" s="7" t="s">
        <v>1320</v>
      </c>
      <c r="C930" s="7" t="s">
        <v>1323</v>
      </c>
      <c r="D930" s="7" t="s">
        <v>2440</v>
      </c>
      <c r="E930" s="7" t="s">
        <v>1695</v>
      </c>
      <c r="F930" s="36">
        <v>43916</v>
      </c>
      <c r="G930" s="36">
        <v>44645</v>
      </c>
      <c r="H930" s="36">
        <v>44773</v>
      </c>
      <c r="I930" s="36">
        <v>44773</v>
      </c>
      <c r="J930" s="7" t="s">
        <v>1696</v>
      </c>
      <c r="K930" s="8">
        <v>0</v>
      </c>
      <c r="L930" s="8">
        <v>0</v>
      </c>
      <c r="M930" s="8">
        <v>52171.013180483991</v>
      </c>
      <c r="N930" s="8">
        <v>0</v>
      </c>
      <c r="O930" s="8">
        <v>0</v>
      </c>
      <c r="P930" s="8">
        <v>0</v>
      </c>
      <c r="Q930" s="8">
        <v>0</v>
      </c>
      <c r="R930" s="8">
        <f t="shared" si="196"/>
        <v>52171.013180483991</v>
      </c>
      <c r="S930" s="8">
        <v>0</v>
      </c>
      <c r="T930" s="8">
        <v>0</v>
      </c>
      <c r="U930" s="8">
        <v>86625.000000014261</v>
      </c>
      <c r="V930" s="8">
        <v>0</v>
      </c>
      <c r="W930" s="8">
        <v>0</v>
      </c>
      <c r="X930" s="8">
        <v>0</v>
      </c>
      <c r="Y930" s="8">
        <v>0</v>
      </c>
      <c r="Z930" s="8">
        <v>-129672.44029032851</v>
      </c>
      <c r="AA930" s="7">
        <v>0</v>
      </c>
      <c r="AB930" s="8">
        <v>0</v>
      </c>
      <c r="AC930" s="7">
        <v>1.8029999999999999</v>
      </c>
      <c r="AD930" s="7" t="s">
        <v>1226</v>
      </c>
      <c r="AE930" s="8">
        <v>0</v>
      </c>
      <c r="AF930" s="8">
        <v>0</v>
      </c>
      <c r="AG930" s="8">
        <v>0</v>
      </c>
      <c r="AH930" s="8">
        <v>0</v>
      </c>
      <c r="AI930" s="7" t="s">
        <v>1730</v>
      </c>
      <c r="AJ930" s="7">
        <f t="shared" ca="1" si="197"/>
        <v>1</v>
      </c>
      <c r="AK930" s="96">
        <f>(+AA930*AB930)/$AB$1102</f>
        <v>0</v>
      </c>
      <c r="AL930" s="97">
        <f>AC930/$AE$1102*AE930</f>
        <v>0</v>
      </c>
    </row>
    <row r="931" spans="1:38" x14ac:dyDescent="0.3">
      <c r="A931" s="7" t="s">
        <v>2442</v>
      </c>
      <c r="B931" s="7" t="s">
        <v>1320</v>
      </c>
      <c r="C931" s="7" t="s">
        <v>1323</v>
      </c>
      <c r="D931" s="7" t="s">
        <v>2440</v>
      </c>
      <c r="E931" s="7" t="s">
        <v>1322</v>
      </c>
      <c r="F931" s="36">
        <v>43916</v>
      </c>
      <c r="G931" s="36">
        <v>45010</v>
      </c>
      <c r="H931" s="36">
        <v>45010</v>
      </c>
      <c r="I931" s="36">
        <v>45407</v>
      </c>
      <c r="J931" s="7" t="s">
        <v>1239</v>
      </c>
      <c r="K931" s="8">
        <v>62615.206628407155</v>
      </c>
      <c r="L931" s="8">
        <v>6269.785130001761</v>
      </c>
      <c r="M931" s="8">
        <v>0</v>
      </c>
      <c r="N931" s="8">
        <v>0</v>
      </c>
      <c r="O931" s="8">
        <v>0</v>
      </c>
      <c r="P931" s="8">
        <v>-750.00000000054797</v>
      </c>
      <c r="Q931" s="8">
        <v>0</v>
      </c>
      <c r="R931" s="8">
        <f t="shared" si="196"/>
        <v>68134.99175840836</v>
      </c>
      <c r="S931" s="8">
        <v>0</v>
      </c>
      <c r="T931" s="8">
        <v>-54384.306765015572</v>
      </c>
      <c r="U931" s="8">
        <v>0</v>
      </c>
      <c r="V931" s="8">
        <v>85351.706765021125</v>
      </c>
      <c r="W931" s="8">
        <v>615.00000000044702</v>
      </c>
      <c r="X931" s="8">
        <v>0</v>
      </c>
      <c r="Y931" s="8">
        <v>0</v>
      </c>
      <c r="Z931" s="8">
        <v>212551.27945515511</v>
      </c>
      <c r="AA931" s="7">
        <v>1.3178080000000001</v>
      </c>
      <c r="AB931" s="8">
        <v>4987.1768450008212</v>
      </c>
      <c r="AC931" s="7">
        <v>2.0563889999999998</v>
      </c>
      <c r="AD931" s="7" t="s">
        <v>2443</v>
      </c>
      <c r="AE931" s="8">
        <v>5000.0000000019436</v>
      </c>
      <c r="AF931" s="8">
        <v>0</v>
      </c>
      <c r="AG931" s="8">
        <v>5000.0000000019436</v>
      </c>
      <c r="AH931" s="8">
        <v>0</v>
      </c>
      <c r="AI931" s="7" t="s">
        <v>1730</v>
      </c>
      <c r="AJ931" s="7">
        <f t="shared" ca="1" si="197"/>
        <v>1</v>
      </c>
      <c r="AK931" s="96">
        <f t="shared" si="198"/>
        <v>4.4027042185924557E-5</v>
      </c>
      <c r="AL931" s="97">
        <f t="shared" si="199"/>
        <v>6.5362682855197384E-5</v>
      </c>
    </row>
    <row r="932" spans="1:38" x14ac:dyDescent="0.3">
      <c r="A932" s="7" t="s">
        <v>2444</v>
      </c>
      <c r="B932" s="7" t="s">
        <v>1320</v>
      </c>
      <c r="C932" s="7" t="s">
        <v>1323</v>
      </c>
      <c r="D932" s="7" t="s">
        <v>2440</v>
      </c>
      <c r="E932" s="7" t="s">
        <v>1322</v>
      </c>
      <c r="F932" s="36">
        <v>43891</v>
      </c>
      <c r="G932" s="36">
        <v>44985</v>
      </c>
      <c r="H932" s="36">
        <v>44985</v>
      </c>
      <c r="I932" s="36">
        <v>45382</v>
      </c>
      <c r="J932" s="7" t="s">
        <v>1239</v>
      </c>
      <c r="K932" s="8">
        <v>9239.0429293090183</v>
      </c>
      <c r="L932" s="8">
        <v>1317.4505340004309</v>
      </c>
      <c r="M932" s="8">
        <v>0</v>
      </c>
      <c r="N932" s="8">
        <v>0</v>
      </c>
      <c r="O932" s="8">
        <v>0</v>
      </c>
      <c r="P932" s="8">
        <v>2000.00000000146</v>
      </c>
      <c r="Q932" s="8">
        <v>0</v>
      </c>
      <c r="R932" s="8">
        <f t="shared" si="196"/>
        <v>12556.49346331091</v>
      </c>
      <c r="S932" s="8">
        <v>0</v>
      </c>
      <c r="T932" s="8">
        <v>-622.71476700018002</v>
      </c>
      <c r="U932" s="8">
        <v>0</v>
      </c>
      <c r="V932" s="8">
        <v>22672.714787004388</v>
      </c>
      <c r="W932" s="8">
        <v>2000.00000000146</v>
      </c>
      <c r="X932" s="8">
        <v>0</v>
      </c>
      <c r="Y932" s="8">
        <v>0</v>
      </c>
      <c r="Z932" s="8">
        <v>-167.01984700012301</v>
      </c>
      <c r="AA932" s="7">
        <v>1.249315</v>
      </c>
      <c r="AB932" s="8">
        <v>3491.0238160005747</v>
      </c>
      <c r="AC932" s="7">
        <v>2.0563889999999998</v>
      </c>
      <c r="AD932" s="7" t="s">
        <v>2111</v>
      </c>
      <c r="AE932" s="8">
        <v>3500.0000000013601</v>
      </c>
      <c r="AF932" s="8">
        <v>0</v>
      </c>
      <c r="AG932" s="8">
        <v>3500.0000000013601</v>
      </c>
      <c r="AH932" s="8">
        <v>0</v>
      </c>
      <c r="AI932" s="7" t="s">
        <v>1730</v>
      </c>
      <c r="AJ932" s="7">
        <f t="shared" ca="1" si="197"/>
        <v>1</v>
      </c>
      <c r="AK932" s="96">
        <f t="shared" si="198"/>
        <v>2.9217117528628355E-5</v>
      </c>
      <c r="AL932" s="97">
        <f t="shared" si="199"/>
        <v>4.5753877998638163E-5</v>
      </c>
    </row>
    <row r="933" spans="1:38" x14ac:dyDescent="0.3">
      <c r="A933" s="7" t="s">
        <v>2445</v>
      </c>
      <c r="B933" s="7" t="s">
        <v>1735</v>
      </c>
      <c r="C933" s="7" t="s">
        <v>1769</v>
      </c>
      <c r="D933" s="7" t="s">
        <v>1324</v>
      </c>
      <c r="E933" s="7" t="s">
        <v>1695</v>
      </c>
      <c r="F933" s="36">
        <v>43812</v>
      </c>
      <c r="G933" s="36">
        <v>45089</v>
      </c>
      <c r="H933" s="36">
        <v>44773</v>
      </c>
      <c r="I933" s="36">
        <v>44773</v>
      </c>
      <c r="J933" s="7" t="s">
        <v>1696</v>
      </c>
      <c r="K933" s="8">
        <v>0</v>
      </c>
      <c r="L933" s="8">
        <v>0</v>
      </c>
      <c r="M933" s="8">
        <v>15485.394533000001</v>
      </c>
      <c r="N933" s="8">
        <v>0</v>
      </c>
      <c r="O933" s="8">
        <v>0</v>
      </c>
      <c r="P933" s="8">
        <v>0</v>
      </c>
      <c r="Q933" s="8">
        <v>0</v>
      </c>
      <c r="R933" s="8">
        <f t="shared" si="196"/>
        <v>15485.394533000001</v>
      </c>
      <c r="S933" s="8">
        <v>0</v>
      </c>
      <c r="T933" s="8">
        <v>0</v>
      </c>
      <c r="U933" s="8">
        <v>15223.306225</v>
      </c>
      <c r="V933" s="8">
        <v>0</v>
      </c>
      <c r="W933" s="8">
        <v>0</v>
      </c>
      <c r="X933" s="8">
        <v>0</v>
      </c>
      <c r="Y933" s="8">
        <v>0</v>
      </c>
      <c r="Z933" s="8">
        <v>-23043.044098999999</v>
      </c>
      <c r="AA933" s="7">
        <v>0</v>
      </c>
      <c r="AB933" s="8">
        <v>0</v>
      </c>
      <c r="AC933" s="7">
        <v>2.0375000000000001</v>
      </c>
      <c r="AD933" s="7" t="s">
        <v>1226</v>
      </c>
      <c r="AE933" s="8">
        <v>0</v>
      </c>
      <c r="AF933" s="8">
        <v>0</v>
      </c>
      <c r="AG933" s="8">
        <v>0</v>
      </c>
      <c r="AH933" s="8">
        <v>0</v>
      </c>
      <c r="AI933" s="7" t="s">
        <v>1760</v>
      </c>
      <c r="AJ933" s="7">
        <f t="shared" ca="1" si="197"/>
        <v>1</v>
      </c>
      <c r="AK933" s="96">
        <f t="shared" ref="AK933:AK934" si="204">(+AA933*AB933)/$AB$1102</f>
        <v>0</v>
      </c>
      <c r="AL933" s="97">
        <f t="shared" ref="AL933:AL934" si="205">AC933/$AE$1102*AE933</f>
        <v>0</v>
      </c>
    </row>
    <row r="934" spans="1:38" x14ac:dyDescent="0.3">
      <c r="A934" s="7" t="s">
        <v>2446</v>
      </c>
      <c r="B934" s="7" t="s">
        <v>1320</v>
      </c>
      <c r="C934" s="7" t="s">
        <v>1323</v>
      </c>
      <c r="D934" s="7" t="s">
        <v>1694</v>
      </c>
      <c r="E934" s="7" t="s">
        <v>1695</v>
      </c>
      <c r="F934" s="36">
        <v>43101</v>
      </c>
      <c r="G934" s="36">
        <v>44196</v>
      </c>
      <c r="H934" s="36">
        <v>44773</v>
      </c>
      <c r="I934" s="36">
        <v>44773</v>
      </c>
      <c r="J934" s="7" t="s">
        <v>1696</v>
      </c>
      <c r="K934" s="8">
        <v>0</v>
      </c>
      <c r="L934" s="8">
        <v>0</v>
      </c>
      <c r="M934" s="8">
        <v>16948.195925</v>
      </c>
      <c r="N934" s="8">
        <v>0</v>
      </c>
      <c r="O934" s="8">
        <v>0</v>
      </c>
      <c r="P934" s="8">
        <v>0</v>
      </c>
      <c r="Q934" s="8">
        <v>0</v>
      </c>
      <c r="R934" s="8">
        <f t="shared" si="196"/>
        <v>16948.195925</v>
      </c>
      <c r="S934" s="8">
        <v>0</v>
      </c>
      <c r="T934" s="8">
        <v>0</v>
      </c>
      <c r="U934" s="8">
        <v>50000</v>
      </c>
      <c r="V934" s="8">
        <v>0</v>
      </c>
      <c r="W934" s="8">
        <v>0</v>
      </c>
      <c r="X934" s="8">
        <v>0</v>
      </c>
      <c r="Y934" s="8">
        <v>0</v>
      </c>
      <c r="Z934" s="8">
        <v>-41159.909925</v>
      </c>
      <c r="AA934" s="7">
        <v>0</v>
      </c>
      <c r="AB934" s="8">
        <v>0</v>
      </c>
      <c r="AC934" s="7">
        <v>2.920417</v>
      </c>
      <c r="AD934" s="7" t="s">
        <v>1697</v>
      </c>
      <c r="AE934" s="8">
        <v>0</v>
      </c>
      <c r="AF934" s="8">
        <v>0</v>
      </c>
      <c r="AG934" s="8">
        <v>0</v>
      </c>
      <c r="AH934" s="8">
        <v>0</v>
      </c>
      <c r="AI934" s="7" t="s">
        <v>1194</v>
      </c>
      <c r="AJ934" s="7">
        <f t="shared" ca="1" si="197"/>
        <v>1</v>
      </c>
      <c r="AK934" s="96">
        <f t="shared" si="204"/>
        <v>0</v>
      </c>
      <c r="AL934" s="97">
        <f t="shared" si="205"/>
        <v>0</v>
      </c>
    </row>
    <row r="935" spans="1:38" x14ac:dyDescent="0.3">
      <c r="A935" s="7" t="s">
        <v>2447</v>
      </c>
      <c r="B935" s="7" t="s">
        <v>1320</v>
      </c>
      <c r="C935" s="7" t="s">
        <v>1323</v>
      </c>
      <c r="D935" s="7" t="s">
        <v>1694</v>
      </c>
      <c r="E935" s="7" t="s">
        <v>1695</v>
      </c>
      <c r="F935" s="36">
        <v>43115</v>
      </c>
      <c r="G935" s="36">
        <v>44210</v>
      </c>
      <c r="H935" s="36">
        <v>44773</v>
      </c>
      <c r="I935" s="36">
        <v>44773</v>
      </c>
      <c r="J935" s="7" t="s">
        <v>1699</v>
      </c>
      <c r="K935" s="8">
        <v>0</v>
      </c>
      <c r="L935" s="8">
        <v>0</v>
      </c>
      <c r="M935" s="8">
        <v>0</v>
      </c>
      <c r="N935" s="8">
        <v>372580.64500000002</v>
      </c>
      <c r="O935" s="8">
        <v>0</v>
      </c>
      <c r="P935" s="8">
        <v>0</v>
      </c>
      <c r="Q935" s="8">
        <v>0</v>
      </c>
      <c r="R935" s="8">
        <f t="shared" si="196"/>
        <v>372580.64500000002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7">
        <v>0</v>
      </c>
      <c r="AB935" s="8">
        <v>0</v>
      </c>
      <c r="AC935" s="7">
        <v>7</v>
      </c>
      <c r="AD935" s="7" t="s">
        <v>1226</v>
      </c>
      <c r="AE935" s="8">
        <v>0</v>
      </c>
      <c r="AF935" s="8">
        <v>0</v>
      </c>
      <c r="AG935" s="8">
        <v>0</v>
      </c>
      <c r="AH935" s="8">
        <v>0</v>
      </c>
      <c r="AI935" s="7" t="s">
        <v>1194</v>
      </c>
      <c r="AJ935" s="7">
        <f t="shared" ca="1" si="197"/>
        <v>1</v>
      </c>
      <c r="AK935" s="100">
        <f>(+AA935*AB935)/$AB$1103</f>
        <v>0</v>
      </c>
      <c r="AL935" s="97">
        <f>AC935/$AE$1103*AE935</f>
        <v>0</v>
      </c>
    </row>
    <row r="936" spans="1:38" x14ac:dyDescent="0.3">
      <c r="A936" s="7" t="s">
        <v>2448</v>
      </c>
      <c r="B936" s="7" t="s">
        <v>1320</v>
      </c>
      <c r="C936" s="7" t="s">
        <v>1323</v>
      </c>
      <c r="D936" s="7" t="s">
        <v>1694</v>
      </c>
      <c r="E936" s="7" t="s">
        <v>1695</v>
      </c>
      <c r="F936" s="36">
        <v>43101</v>
      </c>
      <c r="G936" s="36">
        <v>44196</v>
      </c>
      <c r="H936" s="36">
        <v>44773</v>
      </c>
      <c r="I936" s="36">
        <v>44773</v>
      </c>
      <c r="J936" s="7" t="s">
        <v>1696</v>
      </c>
      <c r="K936" s="8">
        <v>0</v>
      </c>
      <c r="L936" s="8">
        <v>0</v>
      </c>
      <c r="M936" s="8">
        <v>76914.409727999999</v>
      </c>
      <c r="N936" s="8">
        <v>0</v>
      </c>
      <c r="O936" s="8">
        <v>0</v>
      </c>
      <c r="P936" s="8">
        <v>0</v>
      </c>
      <c r="Q936" s="8">
        <v>0</v>
      </c>
      <c r="R936" s="8">
        <f t="shared" si="196"/>
        <v>76914.409727999999</v>
      </c>
      <c r="S936" s="8">
        <v>0</v>
      </c>
      <c r="T936" s="8">
        <v>0</v>
      </c>
      <c r="U936" s="8">
        <v>150000</v>
      </c>
      <c r="V936" s="8">
        <v>0</v>
      </c>
      <c r="W936" s="8">
        <v>0</v>
      </c>
      <c r="X936" s="8">
        <v>0</v>
      </c>
      <c r="Y936" s="8">
        <v>0</v>
      </c>
      <c r="Z936" s="8">
        <v>-5627.8909700000004</v>
      </c>
      <c r="AA936" s="7">
        <v>0</v>
      </c>
      <c r="AB936" s="8">
        <v>0</v>
      </c>
      <c r="AC936" s="7">
        <v>2.920417</v>
      </c>
      <c r="AD936" s="7" t="s">
        <v>1697</v>
      </c>
      <c r="AE936" s="8">
        <v>0</v>
      </c>
      <c r="AF936" s="8">
        <v>0</v>
      </c>
      <c r="AG936" s="8">
        <v>0</v>
      </c>
      <c r="AH936" s="8">
        <v>0</v>
      </c>
      <c r="AI936" s="7" t="s">
        <v>1194</v>
      </c>
      <c r="AJ936" s="7">
        <f t="shared" ca="1" si="197"/>
        <v>1</v>
      </c>
      <c r="AK936" s="96">
        <f>(+AA936*AB936)/$AB$1102</f>
        <v>0</v>
      </c>
      <c r="AL936" s="97">
        <f>AC936/$AE$1102*AE936</f>
        <v>0</v>
      </c>
    </row>
    <row r="937" spans="1:38" x14ac:dyDescent="0.3">
      <c r="A937" s="7" t="s">
        <v>2449</v>
      </c>
      <c r="B937" s="7" t="s">
        <v>1735</v>
      </c>
      <c r="C937" s="7" t="s">
        <v>1432</v>
      </c>
      <c r="D937" s="7" t="s">
        <v>1324</v>
      </c>
      <c r="E937" s="7" t="s">
        <v>1322</v>
      </c>
      <c r="F937" s="36">
        <v>43853</v>
      </c>
      <c r="G937" s="36">
        <v>45282</v>
      </c>
      <c r="H937" s="36">
        <v>45282</v>
      </c>
      <c r="I937" s="36">
        <v>45313</v>
      </c>
      <c r="J937" s="7" t="s">
        <v>1239</v>
      </c>
      <c r="K937" s="8">
        <v>4735.503492094429</v>
      </c>
      <c r="L937" s="8">
        <v>300.57223900004499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f t="shared" si="196"/>
        <v>5036.0757310944737</v>
      </c>
      <c r="S937" s="8">
        <v>0</v>
      </c>
      <c r="T937" s="8">
        <v>304.90866000004701</v>
      </c>
      <c r="U937" s="8">
        <v>0</v>
      </c>
      <c r="V937" s="8">
        <v>8770.0913400014451</v>
      </c>
      <c r="W937" s="8">
        <v>0</v>
      </c>
      <c r="X937" s="8">
        <v>0</v>
      </c>
      <c r="Y937" s="8">
        <v>0</v>
      </c>
      <c r="Z937" s="8">
        <v>-7648.8296096920412</v>
      </c>
      <c r="AA937" s="7">
        <v>1.0602739999999999</v>
      </c>
      <c r="AB937" s="8">
        <v>3263.7564740005373</v>
      </c>
      <c r="AC937" s="7">
        <v>2.0437500000000002</v>
      </c>
      <c r="AD937" s="7" t="s">
        <v>1226</v>
      </c>
      <c r="AE937" s="8">
        <v>3300.0000000012842</v>
      </c>
      <c r="AF937" s="8">
        <v>0</v>
      </c>
      <c r="AG937" s="8">
        <v>3300.0000000012842</v>
      </c>
      <c r="AH937" s="8">
        <v>0</v>
      </c>
      <c r="AI937" s="7" t="s">
        <v>1760</v>
      </c>
      <c r="AJ937" s="7">
        <f t="shared" ca="1" si="197"/>
        <v>1</v>
      </c>
      <c r="AK937" s="96">
        <f t="shared" si="198"/>
        <v>2.3181869656946896E-5</v>
      </c>
      <c r="AL937" s="97">
        <f t="shared" si="199"/>
        <v>4.2874227024315156E-5</v>
      </c>
    </row>
    <row r="938" spans="1:38" x14ac:dyDescent="0.3">
      <c r="A938" s="7" t="s">
        <v>2450</v>
      </c>
      <c r="B938" s="7" t="s">
        <v>1735</v>
      </c>
      <c r="C938" s="7" t="s">
        <v>1432</v>
      </c>
      <c r="D938" s="7" t="s">
        <v>1780</v>
      </c>
      <c r="E938" s="7" t="s">
        <v>1695</v>
      </c>
      <c r="F938" s="36">
        <v>43718</v>
      </c>
      <c r="G938" s="36">
        <v>44904</v>
      </c>
      <c r="H938" s="36">
        <v>44562</v>
      </c>
      <c r="I938" s="36">
        <v>44562</v>
      </c>
      <c r="J938" s="7" t="s">
        <v>1696</v>
      </c>
      <c r="K938" s="8">
        <v>0</v>
      </c>
      <c r="L938" s="8">
        <v>0</v>
      </c>
      <c r="M938" s="8">
        <v>-172073.12127999999</v>
      </c>
      <c r="N938" s="8">
        <v>0</v>
      </c>
      <c r="O938" s="8">
        <v>0</v>
      </c>
      <c r="P938" s="8">
        <v>0</v>
      </c>
      <c r="Q938" s="8">
        <v>0</v>
      </c>
      <c r="R938" s="8">
        <f t="shared" si="196"/>
        <v>-172073.12127999999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-364396.24264000001</v>
      </c>
      <c r="AA938" s="7">
        <v>0</v>
      </c>
      <c r="AB938" s="8">
        <v>0</v>
      </c>
      <c r="AC938" s="7">
        <v>2.0337499999999999</v>
      </c>
      <c r="AD938" s="7" t="s">
        <v>1226</v>
      </c>
      <c r="AE938" s="8">
        <v>0</v>
      </c>
      <c r="AF938" s="8">
        <v>0</v>
      </c>
      <c r="AG938" s="8">
        <v>0</v>
      </c>
      <c r="AH938" s="8">
        <v>0</v>
      </c>
      <c r="AI938" s="7" t="s">
        <v>1877</v>
      </c>
      <c r="AJ938" s="7">
        <f t="shared" ca="1" si="197"/>
        <v>1</v>
      </c>
      <c r="AK938" s="96">
        <f t="shared" ref="AK938:AK940" si="206">(+AA938*AB938)/$AB$1102</f>
        <v>0</v>
      </c>
      <c r="AL938" s="97">
        <f t="shared" ref="AL938:AL940" si="207">AC938/$AE$1102*AE938</f>
        <v>0</v>
      </c>
    </row>
    <row r="939" spans="1:38" x14ac:dyDescent="0.3">
      <c r="A939" s="7" t="s">
        <v>2451</v>
      </c>
      <c r="B939" s="7" t="s">
        <v>194</v>
      </c>
      <c r="C939" s="7" t="s">
        <v>1323</v>
      </c>
      <c r="D939" s="7" t="s">
        <v>1324</v>
      </c>
      <c r="E939" s="7" t="s">
        <v>1322</v>
      </c>
      <c r="F939" s="36">
        <v>44652</v>
      </c>
      <c r="G939" s="36">
        <v>45747</v>
      </c>
      <c r="H939" s="36">
        <v>45747</v>
      </c>
      <c r="I939" s="36">
        <v>45747</v>
      </c>
      <c r="J939" s="7" t="s">
        <v>1696</v>
      </c>
      <c r="K939" s="8">
        <v>0</v>
      </c>
      <c r="L939" s="8">
        <v>0</v>
      </c>
      <c r="M939" s="8">
        <v>8333.2813289999995</v>
      </c>
      <c r="N939" s="8">
        <v>0</v>
      </c>
      <c r="O939" s="8">
        <v>0</v>
      </c>
      <c r="P939" s="8">
        <v>0</v>
      </c>
      <c r="Q939" s="8">
        <v>0</v>
      </c>
      <c r="R939" s="8">
        <f t="shared" si="196"/>
        <v>8333.2813289999995</v>
      </c>
      <c r="S939" s="8">
        <v>0</v>
      </c>
      <c r="T939" s="8">
        <v>0</v>
      </c>
      <c r="U939" s="8">
        <v>8333.2800000000007</v>
      </c>
      <c r="V939" s="8">
        <v>0</v>
      </c>
      <c r="W939" s="8">
        <v>0</v>
      </c>
      <c r="X939" s="8">
        <v>0</v>
      </c>
      <c r="Y939" s="8">
        <v>31918.713554000002</v>
      </c>
      <c r="Z939" s="8">
        <v>0</v>
      </c>
      <c r="AA939" s="7">
        <v>2.2493150000000002</v>
      </c>
      <c r="AB939" s="8">
        <v>24205.964883000001</v>
      </c>
      <c r="AC939" s="7">
        <v>3</v>
      </c>
      <c r="AD939" s="7" t="s">
        <v>1226</v>
      </c>
      <c r="AE939" s="8">
        <v>24999.84</v>
      </c>
      <c r="AF939" s="8">
        <v>0</v>
      </c>
      <c r="AG939" s="8">
        <v>24999.84</v>
      </c>
      <c r="AH939" s="8">
        <v>0</v>
      </c>
      <c r="AI939" s="7" t="s">
        <v>1730</v>
      </c>
      <c r="AJ939" s="7">
        <f t="shared" ca="1" si="197"/>
        <v>1</v>
      </c>
      <c r="AK939" s="96">
        <f t="shared" si="206"/>
        <v>4.7718517558881209E-5</v>
      </c>
      <c r="AL939" s="97">
        <f t="shared" si="207"/>
        <v>6.4174155124687753E-5</v>
      </c>
    </row>
    <row r="940" spans="1:38" x14ac:dyDescent="0.3">
      <c r="A940" s="7" t="s">
        <v>2452</v>
      </c>
      <c r="B940" s="7" t="s">
        <v>2453</v>
      </c>
      <c r="D940" s="7" t="s">
        <v>2202</v>
      </c>
      <c r="E940" s="7" t="s">
        <v>1739</v>
      </c>
      <c r="F940" s="36">
        <v>43101</v>
      </c>
      <c r="G940" s="36">
        <v>44926</v>
      </c>
      <c r="I940" s="36">
        <v>44926</v>
      </c>
      <c r="J940" s="7" t="s">
        <v>1696</v>
      </c>
      <c r="K940" s="8">
        <v>0</v>
      </c>
      <c r="L940" s="8">
        <v>0</v>
      </c>
      <c r="M940" s="8">
        <v>-3398.100950002733</v>
      </c>
      <c r="N940" s="8">
        <v>0</v>
      </c>
      <c r="O940" s="8">
        <v>0</v>
      </c>
      <c r="P940" s="8">
        <v>0</v>
      </c>
      <c r="Q940" s="8">
        <v>0</v>
      </c>
      <c r="R940" s="8">
        <f t="shared" si="196"/>
        <v>-3398.100950002733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7">
        <v>0</v>
      </c>
      <c r="AB940" s="8">
        <v>0</v>
      </c>
      <c r="AC940" s="7">
        <v>7</v>
      </c>
      <c r="AD940" s="7" t="s">
        <v>1226</v>
      </c>
      <c r="AE940" s="8">
        <v>0</v>
      </c>
      <c r="AF940" s="8">
        <v>0</v>
      </c>
      <c r="AG940" s="8">
        <v>0</v>
      </c>
      <c r="AH940" s="8">
        <v>0</v>
      </c>
      <c r="AI940" s="7" t="s">
        <v>1758</v>
      </c>
      <c r="AJ940" s="7">
        <f t="shared" ca="1" si="197"/>
        <v>1</v>
      </c>
      <c r="AK940" s="96">
        <f t="shared" si="206"/>
        <v>0</v>
      </c>
      <c r="AL940" s="97">
        <f t="shared" si="207"/>
        <v>0</v>
      </c>
    </row>
    <row r="941" spans="1:38" x14ac:dyDescent="0.3">
      <c r="A941" s="7" t="s">
        <v>2452</v>
      </c>
      <c r="B941" s="7" t="s">
        <v>2453</v>
      </c>
      <c r="D941" s="7" t="s">
        <v>2202</v>
      </c>
      <c r="E941" s="7" t="s">
        <v>1739</v>
      </c>
      <c r="F941" s="36">
        <v>43101</v>
      </c>
      <c r="G941" s="36">
        <v>44926</v>
      </c>
      <c r="I941" s="36">
        <v>44926</v>
      </c>
      <c r="J941" s="7" t="s">
        <v>1699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f t="shared" si="196"/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7">
        <v>0</v>
      </c>
      <c r="AB941" s="8">
        <v>0</v>
      </c>
      <c r="AC941" s="7">
        <v>7</v>
      </c>
      <c r="AD941" s="7" t="s">
        <v>1226</v>
      </c>
      <c r="AE941" s="8">
        <v>1200.000000000467</v>
      </c>
      <c r="AF941" s="8">
        <v>0</v>
      </c>
      <c r="AG941" s="8">
        <v>1200.000000000467</v>
      </c>
      <c r="AH941" s="8">
        <v>0</v>
      </c>
      <c r="AI941" s="7" t="s">
        <v>1758</v>
      </c>
      <c r="AJ941" s="7">
        <f t="shared" ca="1" si="197"/>
        <v>2</v>
      </c>
      <c r="AK941" s="100">
        <f>(+AA941*AB941)/$AB$1103</f>
        <v>0</v>
      </c>
      <c r="AL941" s="97">
        <f>AC941/$AE$1103*AE941</f>
        <v>1.008409576073359E-3</v>
      </c>
    </row>
    <row r="942" spans="1:38" x14ac:dyDescent="0.3">
      <c r="A942" s="7" t="s">
        <v>2454</v>
      </c>
      <c r="B942" s="7" t="s">
        <v>1320</v>
      </c>
      <c r="C942" s="7" t="s">
        <v>1323</v>
      </c>
      <c r="D942" s="7" t="s">
        <v>2455</v>
      </c>
      <c r="E942" s="7" t="s">
        <v>1695</v>
      </c>
      <c r="F942" s="36">
        <v>43617</v>
      </c>
      <c r="G942" s="36">
        <v>44712</v>
      </c>
      <c r="H942" s="36">
        <v>44895</v>
      </c>
      <c r="I942" s="36">
        <v>44895</v>
      </c>
      <c r="J942" s="7" t="s">
        <v>1696</v>
      </c>
      <c r="K942" s="8">
        <v>0</v>
      </c>
      <c r="L942" s="8">
        <v>0</v>
      </c>
      <c r="M942" s="8">
        <v>2777.79979</v>
      </c>
      <c r="N942" s="8">
        <v>0</v>
      </c>
      <c r="O942" s="8">
        <v>0</v>
      </c>
      <c r="P942" s="8">
        <v>0</v>
      </c>
      <c r="Q942" s="8">
        <v>0</v>
      </c>
      <c r="R942" s="8">
        <f t="shared" si="196"/>
        <v>2777.79979</v>
      </c>
      <c r="S942" s="8">
        <v>0</v>
      </c>
      <c r="T942" s="8">
        <v>0</v>
      </c>
      <c r="U942" s="8">
        <v>2777.8049999999998</v>
      </c>
      <c r="V942" s="8">
        <v>0</v>
      </c>
      <c r="W942" s="8">
        <v>0</v>
      </c>
      <c r="X942" s="8">
        <v>0</v>
      </c>
      <c r="Y942" s="8">
        <v>0</v>
      </c>
      <c r="Z942" s="8">
        <v>0.17477999999999999</v>
      </c>
      <c r="AA942" s="7">
        <v>0</v>
      </c>
      <c r="AB942" s="8">
        <v>5.2090000000000001E-3</v>
      </c>
      <c r="AC942" s="7">
        <v>2.0299999999999998</v>
      </c>
      <c r="AD942" s="7" t="s">
        <v>1226</v>
      </c>
      <c r="AE942" s="8">
        <v>0</v>
      </c>
      <c r="AF942" s="8">
        <v>0</v>
      </c>
      <c r="AG942" s="8">
        <v>0</v>
      </c>
      <c r="AH942" s="8">
        <v>0</v>
      </c>
      <c r="AI942" s="7" t="s">
        <v>1730</v>
      </c>
      <c r="AJ942" s="7">
        <f t="shared" ca="1" si="197"/>
        <v>1</v>
      </c>
      <c r="AK942" s="96">
        <f>(+AA942*AB942)/$AB$1102</f>
        <v>0</v>
      </c>
      <c r="AL942" s="97">
        <f>AC942/$AE$1102*AE942</f>
        <v>0</v>
      </c>
    </row>
    <row r="943" spans="1:38" x14ac:dyDescent="0.3">
      <c r="A943" s="7" t="s">
        <v>2454</v>
      </c>
      <c r="B943" s="7" t="s">
        <v>1320</v>
      </c>
      <c r="C943" s="7" t="s">
        <v>1323</v>
      </c>
      <c r="D943" s="7" t="s">
        <v>2455</v>
      </c>
      <c r="E943" s="7" t="s">
        <v>1695</v>
      </c>
      <c r="F943" s="36">
        <v>43617</v>
      </c>
      <c r="G943" s="36">
        <v>44712</v>
      </c>
      <c r="H943" s="36">
        <v>44895</v>
      </c>
      <c r="I943" s="36">
        <v>44895</v>
      </c>
      <c r="J943" s="7" t="s">
        <v>1699</v>
      </c>
      <c r="K943" s="8">
        <v>0</v>
      </c>
      <c r="L943" s="8">
        <v>0</v>
      </c>
      <c r="M943" s="8">
        <v>0</v>
      </c>
      <c r="N943" s="8">
        <v>3333.18</v>
      </c>
      <c r="O943" s="8">
        <v>0</v>
      </c>
      <c r="P943" s="8">
        <v>0</v>
      </c>
      <c r="Q943" s="8">
        <v>0</v>
      </c>
      <c r="R943" s="8">
        <f t="shared" si="196"/>
        <v>3333.18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7">
        <v>0</v>
      </c>
      <c r="AB943" s="8">
        <v>0</v>
      </c>
      <c r="AC943" s="7">
        <v>2.0299999999999998</v>
      </c>
      <c r="AD943" s="7" t="s">
        <v>1226</v>
      </c>
      <c r="AE943" s="8">
        <v>0</v>
      </c>
      <c r="AF943" s="8">
        <v>0</v>
      </c>
      <c r="AG943" s="8">
        <v>0</v>
      </c>
      <c r="AH943" s="8">
        <v>0</v>
      </c>
      <c r="AI943" s="7" t="s">
        <v>1730</v>
      </c>
      <c r="AJ943" s="7">
        <f t="shared" ca="1" si="197"/>
        <v>2</v>
      </c>
      <c r="AK943" s="100">
        <f>(+AA943*AB943)/$AB$1103</f>
        <v>0</v>
      </c>
      <c r="AL943" s="97">
        <f>AC943/$AE$1103*AE943</f>
        <v>0</v>
      </c>
    </row>
    <row r="944" spans="1:38" x14ac:dyDescent="0.3">
      <c r="A944" s="7" t="s">
        <v>2456</v>
      </c>
      <c r="B944" s="7" t="s">
        <v>194</v>
      </c>
      <c r="C944" s="7" t="s">
        <v>1323</v>
      </c>
      <c r="D944" s="7" t="s">
        <v>1324</v>
      </c>
      <c r="E944" s="7" t="s">
        <v>1322</v>
      </c>
      <c r="F944" s="36">
        <v>43466</v>
      </c>
      <c r="G944" s="36">
        <v>46022</v>
      </c>
      <c r="H944" s="36">
        <v>46022</v>
      </c>
      <c r="I944" s="36">
        <v>46022</v>
      </c>
      <c r="J944" s="7" t="s">
        <v>1696</v>
      </c>
      <c r="K944" s="8">
        <v>0</v>
      </c>
      <c r="L944" s="8">
        <v>0</v>
      </c>
      <c r="M944" s="8">
        <v>229749.998334</v>
      </c>
      <c r="N944" s="8">
        <v>0</v>
      </c>
      <c r="O944" s="8">
        <v>0</v>
      </c>
      <c r="P944" s="8">
        <v>0</v>
      </c>
      <c r="Q944" s="8">
        <v>0</v>
      </c>
      <c r="R944" s="8">
        <f t="shared" si="196"/>
        <v>229749.998334</v>
      </c>
      <c r="S944" s="8">
        <v>0</v>
      </c>
      <c r="T944" s="8">
        <v>0</v>
      </c>
      <c r="U944" s="8">
        <v>261500</v>
      </c>
      <c r="V944" s="8">
        <v>0</v>
      </c>
      <c r="W944" s="8">
        <v>0</v>
      </c>
      <c r="X944" s="8">
        <v>0</v>
      </c>
      <c r="Y944" s="8">
        <v>432118.85210900003</v>
      </c>
      <c r="Z944" s="8">
        <v>0</v>
      </c>
      <c r="AA944" s="7">
        <v>3.0027400000000002</v>
      </c>
      <c r="AB944" s="8">
        <v>191086.630443</v>
      </c>
      <c r="AC944" s="7">
        <v>2.4550000000000001</v>
      </c>
      <c r="AD944" s="7" t="s">
        <v>1226</v>
      </c>
      <c r="AE944" s="8">
        <v>198000</v>
      </c>
      <c r="AF944" s="8">
        <v>0</v>
      </c>
      <c r="AG944" s="8">
        <v>198000</v>
      </c>
      <c r="AH944" s="8">
        <v>0</v>
      </c>
      <c r="AI944" s="7" t="s">
        <v>1758</v>
      </c>
      <c r="AJ944" s="7">
        <f t="shared" ca="1" si="197"/>
        <v>1</v>
      </c>
      <c r="AK944" s="96">
        <f t="shared" ref="AK944:AK945" si="208">(+AA944*AB944)/$AB$1102</f>
        <v>5.0287760641147333E-4</v>
      </c>
      <c r="AL944" s="97">
        <f t="shared" ref="AL944:AL945" si="209">AC944/$AE$1102*AE944</f>
        <v>4.1592819613458159E-4</v>
      </c>
    </row>
    <row r="945" spans="1:38" x14ac:dyDescent="0.3">
      <c r="A945" s="7" t="s">
        <v>2457</v>
      </c>
      <c r="B945" s="7" t="s">
        <v>1735</v>
      </c>
      <c r="C945" s="7" t="s">
        <v>1769</v>
      </c>
      <c r="D945" s="7" t="s">
        <v>1780</v>
      </c>
      <c r="E945" s="7" t="s">
        <v>1695</v>
      </c>
      <c r="F945" s="36">
        <v>43627</v>
      </c>
      <c r="G945" s="36">
        <v>44722</v>
      </c>
      <c r="H945" s="36">
        <v>44895</v>
      </c>
      <c r="I945" s="36">
        <v>44895</v>
      </c>
      <c r="J945" s="7" t="s">
        <v>1696</v>
      </c>
      <c r="K945" s="8">
        <v>0</v>
      </c>
      <c r="L945" s="8">
        <v>0</v>
      </c>
      <c r="M945" s="8">
        <v>81853.015299999999</v>
      </c>
      <c r="N945" s="8">
        <v>0</v>
      </c>
      <c r="O945" s="8">
        <v>0</v>
      </c>
      <c r="P945" s="8">
        <v>0</v>
      </c>
      <c r="Q945" s="8">
        <v>0</v>
      </c>
      <c r="R945" s="8">
        <f t="shared" si="196"/>
        <v>81853.015299999999</v>
      </c>
      <c r="S945" s="8">
        <v>0</v>
      </c>
      <c r="T945" s="8">
        <v>0</v>
      </c>
      <c r="U945" s="8">
        <v>75000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7">
        <v>0</v>
      </c>
      <c r="AB945" s="8">
        <v>0</v>
      </c>
      <c r="AC945" s="7">
        <v>2.0299999999999998</v>
      </c>
      <c r="AD945" s="7" t="s">
        <v>1226</v>
      </c>
      <c r="AE945" s="8">
        <v>0</v>
      </c>
      <c r="AF945" s="8">
        <v>0</v>
      </c>
      <c r="AG945" s="8">
        <v>0</v>
      </c>
      <c r="AH945" s="8">
        <v>0</v>
      </c>
      <c r="AI945" s="7" t="s">
        <v>1877</v>
      </c>
      <c r="AJ945" s="7">
        <f t="shared" ca="1" si="197"/>
        <v>1</v>
      </c>
      <c r="AK945" s="96">
        <f t="shared" si="208"/>
        <v>0</v>
      </c>
      <c r="AL945" s="97">
        <f t="shared" si="209"/>
        <v>0</v>
      </c>
    </row>
    <row r="946" spans="1:38" x14ac:dyDescent="0.3">
      <c r="A946" s="7" t="s">
        <v>2457</v>
      </c>
      <c r="B946" s="7" t="s">
        <v>1735</v>
      </c>
      <c r="C946" s="7" t="s">
        <v>1769</v>
      </c>
      <c r="D946" s="7" t="s">
        <v>1780</v>
      </c>
      <c r="E946" s="7" t="s">
        <v>1695</v>
      </c>
      <c r="F946" s="36">
        <v>43627</v>
      </c>
      <c r="G946" s="36">
        <v>44722</v>
      </c>
      <c r="H946" s="36">
        <v>44895</v>
      </c>
      <c r="I946" s="36">
        <v>44895</v>
      </c>
      <c r="J946" s="7" t="s">
        <v>1699</v>
      </c>
      <c r="K946" s="8">
        <v>0</v>
      </c>
      <c r="L946" s="8">
        <v>0</v>
      </c>
      <c r="M946" s="8">
        <v>0</v>
      </c>
      <c r="N946" s="8">
        <v>90000</v>
      </c>
      <c r="O946" s="8">
        <v>0</v>
      </c>
      <c r="P946" s="8">
        <v>0</v>
      </c>
      <c r="Q946" s="8">
        <v>0</v>
      </c>
      <c r="R946" s="8">
        <f t="shared" si="196"/>
        <v>90000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7">
        <v>0</v>
      </c>
      <c r="AB946" s="8">
        <v>0</v>
      </c>
      <c r="AC946" s="7">
        <v>2.0299999999999998</v>
      </c>
      <c r="AD946" s="7" t="s">
        <v>1226</v>
      </c>
      <c r="AE946" s="8">
        <v>0</v>
      </c>
      <c r="AF946" s="8">
        <v>0</v>
      </c>
      <c r="AG946" s="8">
        <v>0</v>
      </c>
      <c r="AH946" s="8">
        <v>0</v>
      </c>
      <c r="AI946" s="7" t="s">
        <v>1877</v>
      </c>
      <c r="AJ946" s="7">
        <f t="shared" ca="1" si="197"/>
        <v>2</v>
      </c>
      <c r="AK946" s="100">
        <f>(+AA946*AB946)/$AB$1103</f>
        <v>0</v>
      </c>
      <c r="AL946" s="97">
        <f>AC946/$AE$1103*AE946</f>
        <v>0</v>
      </c>
    </row>
    <row r="947" spans="1:38" x14ac:dyDescent="0.3">
      <c r="A947" s="7" t="s">
        <v>2458</v>
      </c>
      <c r="B947" s="7" t="s">
        <v>1735</v>
      </c>
      <c r="C947" s="7" t="s">
        <v>1769</v>
      </c>
      <c r="D947" s="7" t="s">
        <v>1780</v>
      </c>
      <c r="E947" s="7" t="s">
        <v>1695</v>
      </c>
      <c r="F947" s="36">
        <v>43627</v>
      </c>
      <c r="G947" s="36">
        <v>44783</v>
      </c>
      <c r="H947" s="36">
        <v>44721</v>
      </c>
      <c r="I947" s="36">
        <v>44721</v>
      </c>
      <c r="J947" s="7" t="s">
        <v>1696</v>
      </c>
      <c r="K947" s="8">
        <v>0</v>
      </c>
      <c r="L947" s="8">
        <v>0</v>
      </c>
      <c r="M947" s="8">
        <v>79999.999949999998</v>
      </c>
      <c r="N947" s="8">
        <v>0</v>
      </c>
      <c r="O947" s="8">
        <v>0</v>
      </c>
      <c r="P947" s="8">
        <v>0</v>
      </c>
      <c r="Q947" s="8">
        <v>0</v>
      </c>
      <c r="R947" s="8">
        <f t="shared" si="196"/>
        <v>79999.999949999998</v>
      </c>
      <c r="S947" s="8">
        <v>0</v>
      </c>
      <c r="T947" s="8">
        <v>0</v>
      </c>
      <c r="U947" s="8">
        <v>75000</v>
      </c>
      <c r="V947" s="8">
        <v>0</v>
      </c>
      <c r="W947" s="8">
        <v>0</v>
      </c>
      <c r="X947" s="8">
        <v>0</v>
      </c>
      <c r="Y947" s="8">
        <v>0</v>
      </c>
      <c r="Z947" s="8">
        <v>-34958.287080000002</v>
      </c>
      <c r="AA947" s="7">
        <v>0</v>
      </c>
      <c r="AB947" s="8">
        <v>0</v>
      </c>
      <c r="AC947" s="7">
        <v>2.0325000000000002</v>
      </c>
      <c r="AD947" s="7" t="s">
        <v>1226</v>
      </c>
      <c r="AE947" s="8">
        <v>0</v>
      </c>
      <c r="AF947" s="8">
        <v>0</v>
      </c>
      <c r="AG947" s="8">
        <v>0</v>
      </c>
      <c r="AH947" s="8">
        <v>0</v>
      </c>
      <c r="AI947" s="7" t="s">
        <v>1877</v>
      </c>
      <c r="AJ947" s="7">
        <f t="shared" ca="1" si="197"/>
        <v>1</v>
      </c>
      <c r="AK947" s="96">
        <f t="shared" ref="AK947:AK949" si="210">(+AA947*AB947)/$AB$1102</f>
        <v>0</v>
      </c>
      <c r="AL947" s="97">
        <f t="shared" ref="AL947:AL949" si="211">AC947/$AE$1102*AE947</f>
        <v>0</v>
      </c>
    </row>
    <row r="948" spans="1:38" x14ac:dyDescent="0.3">
      <c r="A948" s="7" t="s">
        <v>2459</v>
      </c>
      <c r="B948" s="7" t="s">
        <v>1735</v>
      </c>
      <c r="C948" s="7" t="s">
        <v>1769</v>
      </c>
      <c r="D948" s="7" t="s">
        <v>1780</v>
      </c>
      <c r="E948" s="7" t="s">
        <v>1695</v>
      </c>
      <c r="F948" s="36">
        <v>43662</v>
      </c>
      <c r="G948" s="36">
        <v>44819</v>
      </c>
      <c r="H948" s="36">
        <v>44895</v>
      </c>
      <c r="I948" s="36">
        <v>44895</v>
      </c>
      <c r="J948" s="7" t="s">
        <v>1696</v>
      </c>
      <c r="K948" s="8">
        <v>0</v>
      </c>
      <c r="L948" s="8">
        <v>0</v>
      </c>
      <c r="M948" s="8">
        <v>145887.09682999999</v>
      </c>
      <c r="N948" s="8">
        <v>0</v>
      </c>
      <c r="O948" s="8">
        <v>0</v>
      </c>
      <c r="P948" s="8">
        <v>0</v>
      </c>
      <c r="Q948" s="8">
        <v>0</v>
      </c>
      <c r="R948" s="8">
        <f t="shared" si="196"/>
        <v>145887.09682999999</v>
      </c>
      <c r="S948" s="8">
        <v>0</v>
      </c>
      <c r="T948" s="8">
        <v>0</v>
      </c>
      <c r="U948" s="8">
        <v>135000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7">
        <v>0</v>
      </c>
      <c r="AB948" s="8">
        <v>0</v>
      </c>
      <c r="AC948" s="7">
        <v>2.0325000000000002</v>
      </c>
      <c r="AD948" s="7" t="s">
        <v>1226</v>
      </c>
      <c r="AE948" s="8">
        <v>0</v>
      </c>
      <c r="AF948" s="8">
        <v>0</v>
      </c>
      <c r="AG948" s="8">
        <v>0</v>
      </c>
      <c r="AH948" s="8">
        <v>0</v>
      </c>
      <c r="AI948" s="7" t="s">
        <v>1877</v>
      </c>
      <c r="AJ948" s="7">
        <f t="shared" ca="1" si="197"/>
        <v>1</v>
      </c>
      <c r="AK948" s="96">
        <f t="shared" si="210"/>
        <v>0</v>
      </c>
      <c r="AL948" s="97">
        <f t="shared" si="211"/>
        <v>0</v>
      </c>
    </row>
    <row r="949" spans="1:38" x14ac:dyDescent="0.3">
      <c r="A949" s="7" t="s">
        <v>2460</v>
      </c>
      <c r="B949" s="7" t="s">
        <v>1735</v>
      </c>
      <c r="C949" s="7" t="s">
        <v>1769</v>
      </c>
      <c r="D949" s="7" t="s">
        <v>1780</v>
      </c>
      <c r="E949" s="7" t="s">
        <v>1695</v>
      </c>
      <c r="F949" s="36">
        <v>43731</v>
      </c>
      <c r="G949" s="36">
        <v>44795</v>
      </c>
      <c r="H949" s="36">
        <v>44895</v>
      </c>
      <c r="I949" s="36">
        <v>44895</v>
      </c>
      <c r="J949" s="7" t="s">
        <v>1696</v>
      </c>
      <c r="K949" s="8">
        <v>0</v>
      </c>
      <c r="L949" s="8">
        <v>0</v>
      </c>
      <c r="M949" s="8">
        <v>5016.8999999999996</v>
      </c>
      <c r="N949" s="8">
        <v>0</v>
      </c>
      <c r="O949" s="8">
        <v>0</v>
      </c>
      <c r="P949" s="8">
        <v>0</v>
      </c>
      <c r="Q949" s="8">
        <v>0</v>
      </c>
      <c r="R949" s="8">
        <f t="shared" si="196"/>
        <v>5016.8999999999996</v>
      </c>
      <c r="S949" s="8">
        <v>0</v>
      </c>
      <c r="T949" s="8">
        <v>0</v>
      </c>
      <c r="U949" s="8">
        <v>4410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7">
        <v>0</v>
      </c>
      <c r="AB949" s="8">
        <v>0</v>
      </c>
      <c r="AC949" s="7">
        <v>2.0110830000000002</v>
      </c>
      <c r="AD949" s="7" t="s">
        <v>1226</v>
      </c>
      <c r="AE949" s="8">
        <v>0</v>
      </c>
      <c r="AF949" s="8">
        <v>0</v>
      </c>
      <c r="AG949" s="8">
        <v>0</v>
      </c>
      <c r="AH949" s="8">
        <v>0</v>
      </c>
      <c r="AI949" s="7" t="s">
        <v>1760</v>
      </c>
      <c r="AJ949" s="7">
        <f t="shared" ca="1" si="197"/>
        <v>1</v>
      </c>
      <c r="AK949" s="96">
        <f t="shared" si="210"/>
        <v>0</v>
      </c>
      <c r="AL949" s="97">
        <f t="shared" si="211"/>
        <v>0</v>
      </c>
    </row>
    <row r="950" spans="1:38" x14ac:dyDescent="0.3">
      <c r="A950" s="7" t="s">
        <v>2460</v>
      </c>
      <c r="B950" s="7" t="s">
        <v>1735</v>
      </c>
      <c r="C950" s="7" t="s">
        <v>1769</v>
      </c>
      <c r="D950" s="7" t="s">
        <v>1780</v>
      </c>
      <c r="E950" s="7" t="s">
        <v>1695</v>
      </c>
      <c r="F950" s="36">
        <v>43731</v>
      </c>
      <c r="G950" s="36">
        <v>44795</v>
      </c>
      <c r="H950" s="36">
        <v>44895</v>
      </c>
      <c r="I950" s="36">
        <v>44895</v>
      </c>
      <c r="J950" s="7" t="s">
        <v>1699</v>
      </c>
      <c r="K950" s="8">
        <v>0</v>
      </c>
      <c r="L950" s="8">
        <v>0</v>
      </c>
      <c r="M950" s="8">
        <v>0</v>
      </c>
      <c r="N950" s="8">
        <v>2520</v>
      </c>
      <c r="O950" s="8">
        <v>0</v>
      </c>
      <c r="P950" s="8">
        <v>0</v>
      </c>
      <c r="Q950" s="8">
        <v>0</v>
      </c>
      <c r="R950" s="8">
        <f t="shared" si="196"/>
        <v>2520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7">
        <v>0</v>
      </c>
      <c r="AB950" s="8">
        <v>0</v>
      </c>
      <c r="AC950" s="7">
        <v>2.0110830000000002</v>
      </c>
      <c r="AD950" s="7" t="s">
        <v>1226</v>
      </c>
      <c r="AE950" s="8">
        <v>0</v>
      </c>
      <c r="AF950" s="8">
        <v>0</v>
      </c>
      <c r="AG950" s="8">
        <v>0</v>
      </c>
      <c r="AH950" s="8">
        <v>0</v>
      </c>
      <c r="AI950" s="7" t="s">
        <v>1760</v>
      </c>
      <c r="AJ950" s="7">
        <f t="shared" ca="1" si="197"/>
        <v>2</v>
      </c>
      <c r="AK950" s="100">
        <f>(+AA950*AB950)/$AB$1103</f>
        <v>0</v>
      </c>
      <c r="AL950" s="97">
        <f>AC950/$AE$1103*AE950</f>
        <v>0</v>
      </c>
    </row>
    <row r="951" spans="1:38" x14ac:dyDescent="0.3">
      <c r="A951" s="7" t="s">
        <v>2461</v>
      </c>
      <c r="B951" s="7" t="s">
        <v>1735</v>
      </c>
      <c r="C951" s="7" t="s">
        <v>1769</v>
      </c>
      <c r="D951" s="7" t="s">
        <v>1780</v>
      </c>
      <c r="E951" s="7" t="s">
        <v>1695</v>
      </c>
      <c r="F951" s="36">
        <v>43731</v>
      </c>
      <c r="G951" s="36">
        <v>44795</v>
      </c>
      <c r="H951" s="36">
        <v>44895</v>
      </c>
      <c r="I951" s="36">
        <v>44895</v>
      </c>
      <c r="J951" s="7" t="s">
        <v>1696</v>
      </c>
      <c r="K951" s="8">
        <v>0</v>
      </c>
      <c r="L951" s="8">
        <v>0</v>
      </c>
      <c r="M951" s="8">
        <v>9236.8496439999999</v>
      </c>
      <c r="N951" s="8">
        <v>0</v>
      </c>
      <c r="O951" s="8">
        <v>0</v>
      </c>
      <c r="P951" s="8">
        <v>0</v>
      </c>
      <c r="Q951" s="8">
        <v>0</v>
      </c>
      <c r="R951" s="8">
        <f t="shared" si="196"/>
        <v>9236.8496439999999</v>
      </c>
      <c r="S951" s="8">
        <v>0</v>
      </c>
      <c r="T951" s="8">
        <v>0</v>
      </c>
      <c r="U951" s="8">
        <v>9236.85</v>
      </c>
      <c r="V951" s="8">
        <v>0</v>
      </c>
      <c r="W951" s="8">
        <v>0</v>
      </c>
      <c r="X951" s="8">
        <v>0</v>
      </c>
      <c r="Y951" s="8">
        <v>8978.9003570000004</v>
      </c>
      <c r="Z951" s="8">
        <v>0</v>
      </c>
      <c r="AA951" s="7">
        <v>0</v>
      </c>
      <c r="AB951" s="8">
        <v>0</v>
      </c>
      <c r="AC951" s="7">
        <v>2.0110830000000002</v>
      </c>
      <c r="AD951" s="7" t="s">
        <v>1226</v>
      </c>
      <c r="AE951" s="8">
        <v>0</v>
      </c>
      <c r="AF951" s="8">
        <v>0</v>
      </c>
      <c r="AG951" s="8">
        <v>0</v>
      </c>
      <c r="AH951" s="8">
        <v>0</v>
      </c>
      <c r="AI951" s="7" t="s">
        <v>1781</v>
      </c>
      <c r="AJ951" s="7">
        <f t="shared" ca="1" si="197"/>
        <v>1</v>
      </c>
      <c r="AK951" s="96">
        <f>(+AA951*AB951)/$AB$1102</f>
        <v>0</v>
      </c>
      <c r="AL951" s="97">
        <f>AC951/$AE$1102*AE951</f>
        <v>0</v>
      </c>
    </row>
    <row r="952" spans="1:38" x14ac:dyDescent="0.3">
      <c r="A952" s="7" t="s">
        <v>2461</v>
      </c>
      <c r="B952" s="7" t="s">
        <v>1735</v>
      </c>
      <c r="C952" s="7" t="s">
        <v>1769</v>
      </c>
      <c r="D952" s="7" t="s">
        <v>1780</v>
      </c>
      <c r="E952" s="7" t="s">
        <v>1695</v>
      </c>
      <c r="F952" s="36">
        <v>43731</v>
      </c>
      <c r="G952" s="36">
        <v>44795</v>
      </c>
      <c r="H952" s="36">
        <v>44895</v>
      </c>
      <c r="I952" s="36">
        <v>44895</v>
      </c>
      <c r="J952" s="7" t="s">
        <v>1699</v>
      </c>
      <c r="K952" s="8">
        <v>0</v>
      </c>
      <c r="L952" s="8">
        <v>0</v>
      </c>
      <c r="M952" s="8">
        <v>0</v>
      </c>
      <c r="N952" s="8">
        <v>1055.6400000000001</v>
      </c>
      <c r="O952" s="8">
        <v>0</v>
      </c>
      <c r="P952" s="8">
        <v>0</v>
      </c>
      <c r="Q952" s="8">
        <v>0</v>
      </c>
      <c r="R952" s="8">
        <f t="shared" si="196"/>
        <v>1055.6400000000001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7">
        <v>0</v>
      </c>
      <c r="AB952" s="8">
        <v>0</v>
      </c>
      <c r="AC952" s="7">
        <v>2.0110830000000002</v>
      </c>
      <c r="AD952" s="7" t="s">
        <v>1226</v>
      </c>
      <c r="AE952" s="8">
        <v>0</v>
      </c>
      <c r="AF952" s="8">
        <v>0</v>
      </c>
      <c r="AG952" s="8">
        <v>0</v>
      </c>
      <c r="AH952" s="8">
        <v>0</v>
      </c>
      <c r="AI952" s="7" t="s">
        <v>1781</v>
      </c>
      <c r="AJ952" s="7">
        <f t="shared" ca="1" si="197"/>
        <v>2</v>
      </c>
      <c r="AK952" s="100">
        <f>(+AA952*AB952)/$AB$1103</f>
        <v>0</v>
      </c>
      <c r="AL952" s="97">
        <f>AC952/$AE$1103*AE952</f>
        <v>0</v>
      </c>
    </row>
    <row r="953" spans="1:38" x14ac:dyDescent="0.3">
      <c r="A953" s="7" t="s">
        <v>2462</v>
      </c>
      <c r="B953" s="7" t="s">
        <v>1735</v>
      </c>
      <c r="C953" s="7" t="s">
        <v>1769</v>
      </c>
      <c r="D953" s="7" t="s">
        <v>1780</v>
      </c>
      <c r="E953" s="7" t="s">
        <v>1695</v>
      </c>
      <c r="F953" s="36">
        <v>43697</v>
      </c>
      <c r="G953" s="36">
        <v>44792</v>
      </c>
      <c r="H953" s="36">
        <v>44809</v>
      </c>
      <c r="I953" s="36">
        <v>44809</v>
      </c>
      <c r="J953" s="7" t="s">
        <v>1696</v>
      </c>
      <c r="K953" s="8">
        <v>0</v>
      </c>
      <c r="L953" s="8">
        <v>0</v>
      </c>
      <c r="M953" s="8">
        <v>171290.32268000001</v>
      </c>
      <c r="N953" s="8">
        <v>0</v>
      </c>
      <c r="O953" s="8">
        <v>0</v>
      </c>
      <c r="P953" s="8">
        <v>0</v>
      </c>
      <c r="Q953" s="8">
        <v>0</v>
      </c>
      <c r="R953" s="8">
        <f t="shared" si="196"/>
        <v>171290.32268000001</v>
      </c>
      <c r="S953" s="8">
        <v>0</v>
      </c>
      <c r="T953" s="8">
        <v>0</v>
      </c>
      <c r="U953" s="8">
        <v>157500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7">
        <v>0</v>
      </c>
      <c r="AB953" s="8">
        <v>0</v>
      </c>
      <c r="AC953" s="7">
        <v>2.0299999999999998</v>
      </c>
      <c r="AD953" s="7" t="s">
        <v>1226</v>
      </c>
      <c r="AE953" s="8">
        <v>0</v>
      </c>
      <c r="AF953" s="8">
        <v>0</v>
      </c>
      <c r="AG953" s="8">
        <v>0</v>
      </c>
      <c r="AH953" s="8">
        <v>0</v>
      </c>
      <c r="AI953" s="7" t="s">
        <v>1877</v>
      </c>
      <c r="AJ953" s="7">
        <f t="shared" ca="1" si="197"/>
        <v>1</v>
      </c>
      <c r="AK953" s="96">
        <f>(+AA953*AB953)/$AB$1102</f>
        <v>0</v>
      </c>
      <c r="AL953" s="97">
        <f>AC953/$AE$1102*AE953</f>
        <v>0</v>
      </c>
    </row>
    <row r="954" spans="1:38" x14ac:dyDescent="0.3">
      <c r="A954" s="7" t="s">
        <v>2462</v>
      </c>
      <c r="B954" s="7" t="s">
        <v>1735</v>
      </c>
      <c r="C954" s="7" t="s">
        <v>1769</v>
      </c>
      <c r="D954" s="7" t="s">
        <v>1780</v>
      </c>
      <c r="E954" s="7" t="s">
        <v>1695</v>
      </c>
      <c r="F954" s="36">
        <v>43697</v>
      </c>
      <c r="G954" s="36">
        <v>44792</v>
      </c>
      <c r="H954" s="36">
        <v>44809</v>
      </c>
      <c r="I954" s="36">
        <v>44809</v>
      </c>
      <c r="J954" s="7" t="s">
        <v>1699</v>
      </c>
      <c r="K954" s="8">
        <v>0</v>
      </c>
      <c r="L954" s="8">
        <v>0</v>
      </c>
      <c r="M954" s="8">
        <v>0</v>
      </c>
      <c r="N954" s="8">
        <v>22499.99999</v>
      </c>
      <c r="O954" s="8">
        <v>0</v>
      </c>
      <c r="P954" s="8">
        <v>0</v>
      </c>
      <c r="Q954" s="8">
        <v>0</v>
      </c>
      <c r="R954" s="8">
        <f t="shared" si="196"/>
        <v>22499.99999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7">
        <v>0</v>
      </c>
      <c r="AB954" s="8">
        <v>0</v>
      </c>
      <c r="AC954" s="7">
        <v>2.0299999999999998</v>
      </c>
      <c r="AD954" s="7" t="s">
        <v>1226</v>
      </c>
      <c r="AE954" s="8">
        <v>0</v>
      </c>
      <c r="AF954" s="8">
        <v>0</v>
      </c>
      <c r="AG954" s="8">
        <v>0</v>
      </c>
      <c r="AH954" s="8">
        <v>0</v>
      </c>
      <c r="AI954" s="7" t="s">
        <v>1877</v>
      </c>
      <c r="AJ954" s="7">
        <f t="shared" ca="1" si="197"/>
        <v>2</v>
      </c>
      <c r="AK954" s="100">
        <f>(+AA954*AB954)/$AB$1103</f>
        <v>0</v>
      </c>
      <c r="AL954" s="97">
        <f>AC954/$AE$1103*AE954</f>
        <v>0</v>
      </c>
    </row>
    <row r="955" spans="1:38" x14ac:dyDescent="0.3">
      <c r="A955" s="7" t="s">
        <v>2463</v>
      </c>
      <c r="B955" s="7" t="s">
        <v>2293</v>
      </c>
      <c r="C955" s="7" t="s">
        <v>1432</v>
      </c>
      <c r="D955" s="7" t="s">
        <v>1780</v>
      </c>
      <c r="E955" s="7" t="s">
        <v>1322</v>
      </c>
      <c r="F955" s="36">
        <v>43800</v>
      </c>
      <c r="G955" s="36">
        <v>44957</v>
      </c>
      <c r="H955" s="36">
        <v>44957</v>
      </c>
      <c r="I955" s="36">
        <v>44895</v>
      </c>
      <c r="J955" s="7" t="s">
        <v>1696</v>
      </c>
      <c r="K955" s="8">
        <v>0</v>
      </c>
      <c r="L955" s="8">
        <v>0</v>
      </c>
      <c r="M955" s="8">
        <v>222750</v>
      </c>
      <c r="N955" s="8">
        <v>0</v>
      </c>
      <c r="O955" s="8">
        <v>0</v>
      </c>
      <c r="P955" s="8">
        <v>0</v>
      </c>
      <c r="Q955" s="8">
        <v>0</v>
      </c>
      <c r="R955" s="8">
        <f t="shared" si="196"/>
        <v>222750</v>
      </c>
      <c r="S955" s="8">
        <v>0</v>
      </c>
      <c r="T955" s="8">
        <v>0</v>
      </c>
      <c r="U955" s="8">
        <v>222750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7">
        <v>0</v>
      </c>
      <c r="AB955" s="8">
        <v>0</v>
      </c>
      <c r="AC955" s="7">
        <v>2.0325000000000002</v>
      </c>
      <c r="AD955" s="7" t="s">
        <v>1226</v>
      </c>
      <c r="AE955" s="8">
        <v>0</v>
      </c>
      <c r="AF955" s="8">
        <v>0</v>
      </c>
      <c r="AG955" s="8">
        <v>0</v>
      </c>
      <c r="AH955" s="8">
        <v>0</v>
      </c>
      <c r="AI955" s="7" t="s">
        <v>1877</v>
      </c>
      <c r="AJ955" s="7">
        <f t="shared" ca="1" si="197"/>
        <v>1</v>
      </c>
      <c r="AK955" s="96">
        <f t="shared" ref="AK955:AK958" si="212">(+AA955*AB955)/$AB$1102</f>
        <v>0</v>
      </c>
      <c r="AL955" s="97">
        <f t="shared" ref="AL955:AL958" si="213">AC955/$AE$1102*AE955</f>
        <v>0</v>
      </c>
    </row>
    <row r="956" spans="1:38" x14ac:dyDescent="0.3">
      <c r="A956" s="7" t="s">
        <v>2464</v>
      </c>
      <c r="B956" s="7" t="s">
        <v>1735</v>
      </c>
      <c r="C956" s="7" t="s">
        <v>1323</v>
      </c>
      <c r="D956" s="7" t="s">
        <v>1780</v>
      </c>
      <c r="E956" s="7" t="s">
        <v>1322</v>
      </c>
      <c r="F956" s="36">
        <v>43891</v>
      </c>
      <c r="G956" s="36">
        <v>44985</v>
      </c>
      <c r="H956" s="36">
        <v>44985</v>
      </c>
      <c r="I956" s="36">
        <v>44985</v>
      </c>
      <c r="J956" s="7" t="s">
        <v>1696</v>
      </c>
      <c r="K956" s="8">
        <v>0</v>
      </c>
      <c r="L956" s="8">
        <v>0</v>
      </c>
      <c r="M956" s="8">
        <v>269999.98934999999</v>
      </c>
      <c r="N956" s="8">
        <v>0</v>
      </c>
      <c r="O956" s="8">
        <v>0</v>
      </c>
      <c r="P956" s="8">
        <v>0</v>
      </c>
      <c r="Q956" s="8">
        <v>0</v>
      </c>
      <c r="R956" s="8">
        <f t="shared" si="196"/>
        <v>269999.98934999999</v>
      </c>
      <c r="S956" s="8">
        <v>0</v>
      </c>
      <c r="T956" s="8">
        <v>0</v>
      </c>
      <c r="U956" s="8">
        <v>270000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7">
        <v>0.16164400000000001</v>
      </c>
      <c r="AB956" s="8">
        <v>44962.001759999999</v>
      </c>
      <c r="AC956" s="7">
        <v>2.0299999999999998</v>
      </c>
      <c r="AD956" s="7" t="s">
        <v>1226</v>
      </c>
      <c r="AE956" s="8">
        <v>45000</v>
      </c>
      <c r="AF956" s="8">
        <v>0</v>
      </c>
      <c r="AG956" s="8">
        <v>45000</v>
      </c>
      <c r="AH956" s="8">
        <v>0</v>
      </c>
      <c r="AI956" s="7" t="s">
        <v>1877</v>
      </c>
      <c r="AJ956" s="7">
        <f t="shared" ca="1" si="197"/>
        <v>1</v>
      </c>
      <c r="AK956" s="96">
        <f t="shared" si="212"/>
        <v>6.3697075331169129E-6</v>
      </c>
      <c r="AL956" s="97">
        <f t="shared" si="213"/>
        <v>7.8164621195445335E-5</v>
      </c>
    </row>
    <row r="957" spans="1:38" x14ac:dyDescent="0.3">
      <c r="A957" s="7" t="s">
        <v>2465</v>
      </c>
      <c r="B957" s="7" t="s">
        <v>1768</v>
      </c>
      <c r="C957" s="7" t="s">
        <v>1756</v>
      </c>
      <c r="D957" s="7" t="s">
        <v>1780</v>
      </c>
      <c r="E957" s="7" t="s">
        <v>1695</v>
      </c>
      <c r="F957" s="36">
        <v>43746</v>
      </c>
      <c r="G957" s="36">
        <v>44902</v>
      </c>
      <c r="H957" s="36">
        <v>43739</v>
      </c>
      <c r="I957" s="36">
        <v>43739</v>
      </c>
      <c r="J957" s="7" t="s">
        <v>1696</v>
      </c>
      <c r="K957" s="8">
        <v>0</v>
      </c>
      <c r="L957" s="8">
        <v>0</v>
      </c>
      <c r="M957" s="8">
        <v>0.80069000000000001</v>
      </c>
      <c r="N957" s="8">
        <v>0</v>
      </c>
      <c r="O957" s="8">
        <v>0</v>
      </c>
      <c r="P957" s="8">
        <v>0</v>
      </c>
      <c r="Q957" s="8">
        <v>0</v>
      </c>
      <c r="R957" s="8">
        <f t="shared" si="196"/>
        <v>0.80069000000000001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7">
        <v>0</v>
      </c>
      <c r="AB957" s="8">
        <v>0</v>
      </c>
      <c r="AC957" s="7">
        <v>2.5</v>
      </c>
      <c r="AD957" s="7" t="s">
        <v>1226</v>
      </c>
      <c r="AE957" s="8">
        <v>0</v>
      </c>
      <c r="AF957" s="8">
        <v>0</v>
      </c>
      <c r="AG957" s="8">
        <v>0</v>
      </c>
      <c r="AH957" s="8">
        <v>0</v>
      </c>
      <c r="AI957" s="7" t="s">
        <v>1781</v>
      </c>
      <c r="AJ957" s="7">
        <f t="shared" ca="1" si="197"/>
        <v>1</v>
      </c>
      <c r="AK957" s="96">
        <f t="shared" si="212"/>
        <v>0</v>
      </c>
      <c r="AL957" s="97">
        <f t="shared" si="213"/>
        <v>0</v>
      </c>
    </row>
    <row r="958" spans="1:38" x14ac:dyDescent="0.3">
      <c r="A958" s="7" t="s">
        <v>2466</v>
      </c>
      <c r="B958" s="7" t="s">
        <v>194</v>
      </c>
      <c r="C958" s="7" t="s">
        <v>1323</v>
      </c>
      <c r="D958" s="7" t="s">
        <v>1780</v>
      </c>
      <c r="E958" s="7" t="s">
        <v>1695</v>
      </c>
      <c r="F958" s="36">
        <v>43762</v>
      </c>
      <c r="G958" s="36">
        <v>44857</v>
      </c>
      <c r="H958" s="36">
        <v>44895</v>
      </c>
      <c r="I958" s="36">
        <v>44895</v>
      </c>
      <c r="J958" s="7" t="s">
        <v>1696</v>
      </c>
      <c r="K958" s="8">
        <v>0</v>
      </c>
      <c r="L958" s="8">
        <v>0</v>
      </c>
      <c r="M958" s="8">
        <v>219193.54829999999</v>
      </c>
      <c r="N958" s="8">
        <v>0</v>
      </c>
      <c r="O958" s="8">
        <v>0</v>
      </c>
      <c r="P958" s="8">
        <v>0</v>
      </c>
      <c r="Q958" s="8">
        <v>0</v>
      </c>
      <c r="R958" s="8">
        <f t="shared" si="196"/>
        <v>219193.54829999999</v>
      </c>
      <c r="S958" s="8">
        <v>0</v>
      </c>
      <c r="T958" s="8">
        <v>0</v>
      </c>
      <c r="U958" s="8">
        <v>202500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7">
        <v>0</v>
      </c>
      <c r="AB958" s="8">
        <v>0</v>
      </c>
      <c r="AC958" s="7">
        <v>2.0299999999999998</v>
      </c>
      <c r="AD958" s="7" t="s">
        <v>1226</v>
      </c>
      <c r="AE958" s="8">
        <v>0</v>
      </c>
      <c r="AF958" s="8">
        <v>0</v>
      </c>
      <c r="AG958" s="8">
        <v>0</v>
      </c>
      <c r="AH958" s="8">
        <v>0</v>
      </c>
      <c r="AI958" s="7" t="s">
        <v>1877</v>
      </c>
      <c r="AJ958" s="7">
        <f t="shared" ca="1" si="197"/>
        <v>1</v>
      </c>
      <c r="AK958" s="96">
        <f t="shared" si="212"/>
        <v>0</v>
      </c>
      <c r="AL958" s="97">
        <f t="shared" si="213"/>
        <v>0</v>
      </c>
    </row>
    <row r="959" spans="1:38" x14ac:dyDescent="0.3">
      <c r="A959" s="7" t="s">
        <v>2466</v>
      </c>
      <c r="B959" s="7" t="s">
        <v>194</v>
      </c>
      <c r="C959" s="7" t="s">
        <v>1323</v>
      </c>
      <c r="D959" s="7" t="s">
        <v>1780</v>
      </c>
      <c r="E959" s="7" t="s">
        <v>1695</v>
      </c>
      <c r="F959" s="36">
        <v>43762</v>
      </c>
      <c r="G959" s="36">
        <v>44857</v>
      </c>
      <c r="H959" s="36">
        <v>44895</v>
      </c>
      <c r="I959" s="36">
        <v>44895</v>
      </c>
      <c r="J959" s="7" t="s">
        <v>1699</v>
      </c>
      <c r="K959" s="8">
        <v>0</v>
      </c>
      <c r="L959" s="8">
        <v>0</v>
      </c>
      <c r="M959" s="8">
        <v>0</v>
      </c>
      <c r="N959" s="8">
        <v>45000</v>
      </c>
      <c r="O959" s="8">
        <v>0</v>
      </c>
      <c r="P959" s="8">
        <v>0</v>
      </c>
      <c r="Q959" s="8">
        <v>0</v>
      </c>
      <c r="R959" s="8">
        <f t="shared" si="196"/>
        <v>45000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7">
        <v>0</v>
      </c>
      <c r="AB959" s="8">
        <v>0</v>
      </c>
      <c r="AC959" s="7">
        <v>2.0299999999999998</v>
      </c>
      <c r="AD959" s="7" t="s">
        <v>1226</v>
      </c>
      <c r="AE959" s="8">
        <v>0</v>
      </c>
      <c r="AF959" s="8">
        <v>0</v>
      </c>
      <c r="AG959" s="8">
        <v>0</v>
      </c>
      <c r="AH959" s="8">
        <v>0</v>
      </c>
      <c r="AI959" s="7" t="s">
        <v>1877</v>
      </c>
      <c r="AJ959" s="7">
        <f t="shared" ca="1" si="197"/>
        <v>2</v>
      </c>
      <c r="AK959" s="100">
        <f>(+AA959*AB959)/$AB$1103</f>
        <v>0</v>
      </c>
      <c r="AL959" s="97">
        <f>AC959/$AE$1103*AE959</f>
        <v>0</v>
      </c>
    </row>
    <row r="960" spans="1:38" x14ac:dyDescent="0.3">
      <c r="A960" s="7" t="s">
        <v>2467</v>
      </c>
      <c r="B960" s="7" t="s">
        <v>1735</v>
      </c>
      <c r="C960" s="7" t="s">
        <v>1323</v>
      </c>
      <c r="D960" s="7" t="s">
        <v>1780</v>
      </c>
      <c r="E960" s="7" t="s">
        <v>1739</v>
      </c>
      <c r="F960" s="36">
        <v>43800</v>
      </c>
      <c r="G960" s="36">
        <v>44895</v>
      </c>
      <c r="J960" s="7" t="s">
        <v>1696</v>
      </c>
      <c r="K960" s="8">
        <v>0</v>
      </c>
      <c r="L960" s="8">
        <v>0</v>
      </c>
      <c r="M960" s="8">
        <v>284624.99794999999</v>
      </c>
      <c r="N960" s="8">
        <v>0</v>
      </c>
      <c r="O960" s="8">
        <v>0</v>
      </c>
      <c r="P960" s="8">
        <v>100</v>
      </c>
      <c r="Q960" s="8">
        <v>0</v>
      </c>
      <c r="R960" s="8">
        <f t="shared" si="196"/>
        <v>284724.99794999999</v>
      </c>
      <c r="S960" s="8">
        <v>0</v>
      </c>
      <c r="T960" s="8">
        <v>0</v>
      </c>
      <c r="U960" s="8">
        <v>284625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7">
        <v>0</v>
      </c>
      <c r="AB960" s="8">
        <v>0</v>
      </c>
      <c r="AC960" s="7">
        <v>2.0299999999999998</v>
      </c>
      <c r="AD960" s="7" t="s">
        <v>1226</v>
      </c>
      <c r="AE960" s="8">
        <v>0</v>
      </c>
      <c r="AF960" s="8">
        <v>0</v>
      </c>
      <c r="AG960" s="8">
        <v>0</v>
      </c>
      <c r="AH960" s="8">
        <v>0</v>
      </c>
      <c r="AI960" s="7" t="s">
        <v>1877</v>
      </c>
      <c r="AJ960" s="7">
        <f t="shared" ca="1" si="197"/>
        <v>1</v>
      </c>
      <c r="AK960" s="96">
        <f>(+AA960*AB960)/$AB$1102</f>
        <v>0</v>
      </c>
      <c r="AL960" s="97">
        <f>AC960/$AE$1102*AE960</f>
        <v>0</v>
      </c>
    </row>
    <row r="961" spans="1:38" x14ac:dyDescent="0.3">
      <c r="A961" s="7" t="s">
        <v>2467</v>
      </c>
      <c r="B961" s="7" t="s">
        <v>1735</v>
      </c>
      <c r="C961" s="7" t="s">
        <v>1323</v>
      </c>
      <c r="D961" s="7" t="s">
        <v>1780</v>
      </c>
      <c r="E961" s="7" t="s">
        <v>1739</v>
      </c>
      <c r="F961" s="36">
        <v>43800</v>
      </c>
      <c r="G961" s="36">
        <v>44895</v>
      </c>
      <c r="J961" s="7" t="s">
        <v>1699</v>
      </c>
      <c r="K961" s="8">
        <v>0</v>
      </c>
      <c r="L961" s="8">
        <v>0</v>
      </c>
      <c r="M961" s="8">
        <v>0</v>
      </c>
      <c r="N961" s="8">
        <v>25875</v>
      </c>
      <c r="O961" s="8">
        <v>0</v>
      </c>
      <c r="P961" s="8">
        <v>0</v>
      </c>
      <c r="Q961" s="8">
        <v>0</v>
      </c>
      <c r="R961" s="8">
        <f t="shared" si="196"/>
        <v>25875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7">
        <v>0</v>
      </c>
      <c r="AB961" s="8">
        <v>0</v>
      </c>
      <c r="AC961" s="7">
        <v>2.0299999999999998</v>
      </c>
      <c r="AD961" s="7" t="s">
        <v>1226</v>
      </c>
      <c r="AE961" s="8">
        <v>0</v>
      </c>
      <c r="AF961" s="8">
        <v>0</v>
      </c>
      <c r="AG961" s="8">
        <v>0</v>
      </c>
      <c r="AH961" s="8">
        <v>0</v>
      </c>
      <c r="AI961" s="7" t="s">
        <v>1877</v>
      </c>
      <c r="AJ961" s="7">
        <f t="shared" ca="1" si="197"/>
        <v>2</v>
      </c>
      <c r="AK961" s="100">
        <f>(+AA961*AB961)/$AB$1103</f>
        <v>0</v>
      </c>
      <c r="AL961" s="97">
        <f>AC961/$AE$1103*AE961</f>
        <v>0</v>
      </c>
    </row>
    <row r="962" spans="1:38" x14ac:dyDescent="0.3">
      <c r="A962" s="7" t="s">
        <v>2468</v>
      </c>
      <c r="B962" s="7" t="s">
        <v>1735</v>
      </c>
      <c r="D962" s="7" t="s">
        <v>1780</v>
      </c>
      <c r="E962" s="7" t="s">
        <v>1739</v>
      </c>
      <c r="F962" s="36">
        <v>43809</v>
      </c>
      <c r="G962" s="36">
        <v>44966</v>
      </c>
      <c r="I962" s="36">
        <v>44966</v>
      </c>
      <c r="J962" s="7" t="s">
        <v>1696</v>
      </c>
      <c r="K962" s="8">
        <v>0</v>
      </c>
      <c r="L962" s="8">
        <v>0</v>
      </c>
      <c r="M962" s="8">
        <v>481838.12678200001</v>
      </c>
      <c r="N962" s="8">
        <v>0</v>
      </c>
      <c r="O962" s="8">
        <v>0</v>
      </c>
      <c r="P962" s="8">
        <v>0</v>
      </c>
      <c r="Q962" s="8">
        <v>0</v>
      </c>
      <c r="R962" s="8">
        <f t="shared" si="196"/>
        <v>481838.12678200001</v>
      </c>
      <c r="S962" s="8">
        <v>0</v>
      </c>
      <c r="T962" s="8">
        <v>0</v>
      </c>
      <c r="U962" s="8">
        <v>768150</v>
      </c>
      <c r="V962" s="8">
        <v>0</v>
      </c>
      <c r="W962" s="8">
        <v>0</v>
      </c>
      <c r="X962" s="8">
        <v>0</v>
      </c>
      <c r="Y962" s="8">
        <v>0</v>
      </c>
      <c r="Z962" s="8">
        <v>1009155.184905</v>
      </c>
      <c r="AA962" s="7">
        <v>0.10958900000000001</v>
      </c>
      <c r="AB962" s="8">
        <v>15742.268241</v>
      </c>
      <c r="AC962" s="7">
        <v>2.4066670000000001</v>
      </c>
      <c r="AD962" s="7" t="s">
        <v>1697</v>
      </c>
      <c r="AE962" s="8">
        <v>15750</v>
      </c>
      <c r="AF962" s="8">
        <v>0</v>
      </c>
      <c r="AG962" s="8">
        <v>15750</v>
      </c>
      <c r="AH962" s="8">
        <v>0</v>
      </c>
      <c r="AI962" s="7" t="s">
        <v>1877</v>
      </c>
      <c r="AJ962" s="7">
        <f t="shared" ca="1" si="197"/>
        <v>1</v>
      </c>
      <c r="AK962" s="96">
        <f t="shared" ref="AK962:AK965" si="214">(+AA962*AB962)/$AB$1102</f>
        <v>1.511988671446842E-6</v>
      </c>
      <c r="AL962" s="97">
        <f t="shared" ref="AL962:AL965" si="215">AC962/$AE$1102*AE962</f>
        <v>3.2433830068720498E-5</v>
      </c>
    </row>
    <row r="963" spans="1:38" x14ac:dyDescent="0.3">
      <c r="A963" s="7" t="s">
        <v>2469</v>
      </c>
      <c r="B963" s="7" t="s">
        <v>194</v>
      </c>
      <c r="C963" s="7" t="s">
        <v>1323</v>
      </c>
      <c r="D963" s="7" t="s">
        <v>1324</v>
      </c>
      <c r="E963" s="7" t="s">
        <v>1322</v>
      </c>
      <c r="F963" s="36">
        <v>43466</v>
      </c>
      <c r="G963" s="36">
        <v>44957</v>
      </c>
      <c r="H963" s="36">
        <v>44957</v>
      </c>
      <c r="I963" s="36">
        <v>44957</v>
      </c>
      <c r="J963" s="7" t="s">
        <v>1696</v>
      </c>
      <c r="K963" s="8">
        <v>0</v>
      </c>
      <c r="L963" s="8">
        <v>0</v>
      </c>
      <c r="M963" s="8">
        <v>215999.99522300001</v>
      </c>
      <c r="N963" s="8">
        <v>0</v>
      </c>
      <c r="O963" s="8">
        <v>0</v>
      </c>
      <c r="P963" s="8">
        <v>0</v>
      </c>
      <c r="Q963" s="8">
        <v>0</v>
      </c>
      <c r="R963" s="8">
        <f t="shared" ref="R963:R1026" si="216">K963+L963+M963+N963+O963+P963+Q963</f>
        <v>215999.99522300001</v>
      </c>
      <c r="S963" s="8">
        <v>0</v>
      </c>
      <c r="T963" s="8">
        <v>0</v>
      </c>
      <c r="U963" s="8">
        <v>216000</v>
      </c>
      <c r="V963" s="8">
        <v>0</v>
      </c>
      <c r="W963" s="8">
        <v>0</v>
      </c>
      <c r="X963" s="8">
        <v>0</v>
      </c>
      <c r="Y963" s="8">
        <v>211684.77477799999</v>
      </c>
      <c r="Z963" s="8">
        <v>0</v>
      </c>
      <c r="AA963" s="7">
        <v>8.4931999999999994E-2</v>
      </c>
      <c r="AB963" s="8">
        <v>4500.0000010000003</v>
      </c>
      <c r="AC963" s="7">
        <v>2.0563889999999998</v>
      </c>
      <c r="AD963" s="7" t="s">
        <v>1226</v>
      </c>
      <c r="AE963" s="8">
        <v>4500</v>
      </c>
      <c r="AF963" s="8">
        <v>0</v>
      </c>
      <c r="AG963" s="8">
        <v>4500</v>
      </c>
      <c r="AH963" s="8">
        <v>0</v>
      </c>
      <c r="AI963" s="7" t="s">
        <v>1758</v>
      </c>
      <c r="AJ963" s="7">
        <f t="shared" ref="AJ963:AJ1026" ca="1" si="217">IF(A963=OFFSET(A963,-1,0),OFFSET(AJ963,-1,0)+1,1)</f>
        <v>1</v>
      </c>
      <c r="AK963" s="96">
        <f t="shared" si="214"/>
        <v>3.3496399675681046E-7</v>
      </c>
      <c r="AL963" s="97">
        <f t="shared" si="215"/>
        <v>7.9180722766246617E-6</v>
      </c>
    </row>
    <row r="964" spans="1:38" x14ac:dyDescent="0.3">
      <c r="A964" s="7" t="s">
        <v>2470</v>
      </c>
      <c r="B964" s="7" t="s">
        <v>194</v>
      </c>
      <c r="C964" s="7" t="s">
        <v>1323</v>
      </c>
      <c r="D964" s="7" t="s">
        <v>1324</v>
      </c>
      <c r="E964" s="7" t="s">
        <v>1322</v>
      </c>
      <c r="F964" s="36">
        <v>43101</v>
      </c>
      <c r="G964" s="36">
        <v>44957</v>
      </c>
      <c r="H964" s="36">
        <v>44957</v>
      </c>
      <c r="I964" s="36">
        <v>46812</v>
      </c>
      <c r="J964" s="7" t="s">
        <v>1696</v>
      </c>
      <c r="K964" s="8">
        <v>0</v>
      </c>
      <c r="L964" s="8">
        <v>0</v>
      </c>
      <c r="M964" s="8">
        <v>239999.99642000001</v>
      </c>
      <c r="N964" s="8">
        <v>0</v>
      </c>
      <c r="O964" s="8">
        <v>0</v>
      </c>
      <c r="P964" s="8">
        <v>0</v>
      </c>
      <c r="Q964" s="8">
        <v>0</v>
      </c>
      <c r="R964" s="8">
        <f t="shared" si="216"/>
        <v>239999.99642000001</v>
      </c>
      <c r="S964" s="8">
        <v>0</v>
      </c>
      <c r="T964" s="8">
        <v>0</v>
      </c>
      <c r="U964" s="8">
        <v>240000</v>
      </c>
      <c r="V964" s="8">
        <v>0</v>
      </c>
      <c r="W964" s="8">
        <v>0</v>
      </c>
      <c r="X964" s="8">
        <v>0</v>
      </c>
      <c r="Y964" s="8">
        <v>440790.98112000001</v>
      </c>
      <c r="Z964" s="8">
        <v>0</v>
      </c>
      <c r="AA964" s="7">
        <v>5.1671230000000001</v>
      </c>
      <c r="AB964" s="8">
        <v>235494.94753999999</v>
      </c>
      <c r="AC964" s="7">
        <v>2.0558610000000002</v>
      </c>
      <c r="AD964" s="7" t="s">
        <v>1226</v>
      </c>
      <c r="AE964" s="8">
        <v>248000</v>
      </c>
      <c r="AF964" s="8">
        <v>0</v>
      </c>
      <c r="AG964" s="8">
        <v>248000</v>
      </c>
      <c r="AH964" s="8">
        <v>0</v>
      </c>
      <c r="AI964" s="7" t="s">
        <v>1758</v>
      </c>
      <c r="AJ964" s="7">
        <f t="shared" ca="1" si="217"/>
        <v>1</v>
      </c>
      <c r="AK964" s="96">
        <f t="shared" si="214"/>
        <v>1.0664602154219949E-3</v>
      </c>
      <c r="AL964" s="97">
        <f t="shared" si="215"/>
        <v>4.3626171736487563E-4</v>
      </c>
    </row>
    <row r="965" spans="1:38" x14ac:dyDescent="0.3">
      <c r="A965" s="7" t="s">
        <v>2471</v>
      </c>
      <c r="B965" s="7" t="s">
        <v>194</v>
      </c>
      <c r="C965" s="7" t="s">
        <v>1323</v>
      </c>
      <c r="D965" s="7" t="s">
        <v>1324</v>
      </c>
      <c r="E965" s="7" t="s">
        <v>1739</v>
      </c>
      <c r="F965" s="36">
        <v>43831</v>
      </c>
      <c r="G965" s="36">
        <v>44227</v>
      </c>
      <c r="J965" s="7" t="s">
        <v>1696</v>
      </c>
      <c r="K965" s="8">
        <v>0</v>
      </c>
      <c r="L965" s="8">
        <v>0</v>
      </c>
      <c r="M965" s="8">
        <v>45825.004873999998</v>
      </c>
      <c r="N965" s="8">
        <v>0</v>
      </c>
      <c r="O965" s="8">
        <v>0</v>
      </c>
      <c r="P965" s="8">
        <v>0</v>
      </c>
      <c r="Q965" s="8">
        <v>0</v>
      </c>
      <c r="R965" s="8">
        <f t="shared" si="216"/>
        <v>45825.004873999998</v>
      </c>
      <c r="S965" s="8">
        <v>0</v>
      </c>
      <c r="T965" s="8">
        <v>0</v>
      </c>
      <c r="U965" s="8">
        <v>45825</v>
      </c>
      <c r="V965" s="8">
        <v>0</v>
      </c>
      <c r="W965" s="8">
        <v>0</v>
      </c>
      <c r="X965" s="8">
        <v>0</v>
      </c>
      <c r="Y965" s="8">
        <v>45452.675127000002</v>
      </c>
      <c r="Z965" s="8">
        <v>0</v>
      </c>
      <c r="AA965" s="7">
        <v>0</v>
      </c>
      <c r="AB965" s="8">
        <v>0</v>
      </c>
      <c r="AC965" s="7">
        <v>1.6353329999999999</v>
      </c>
      <c r="AD965" s="7" t="s">
        <v>1226</v>
      </c>
      <c r="AE965" s="8">
        <v>0</v>
      </c>
      <c r="AF965" s="8">
        <v>0</v>
      </c>
      <c r="AG965" s="8">
        <v>0</v>
      </c>
      <c r="AH965" s="8">
        <v>0</v>
      </c>
      <c r="AI965" s="7" t="s">
        <v>1758</v>
      </c>
      <c r="AJ965" s="7">
        <f t="shared" ca="1" si="217"/>
        <v>1</v>
      </c>
      <c r="AK965" s="96">
        <f t="shared" si="214"/>
        <v>0</v>
      </c>
      <c r="AL965" s="97">
        <f t="shared" si="215"/>
        <v>0</v>
      </c>
    </row>
    <row r="966" spans="1:38" x14ac:dyDescent="0.3">
      <c r="A966" s="7" t="s">
        <v>2471</v>
      </c>
      <c r="B966" s="7" t="s">
        <v>194</v>
      </c>
      <c r="C966" s="7" t="s">
        <v>1323</v>
      </c>
      <c r="D966" s="7" t="s">
        <v>1324</v>
      </c>
      <c r="E966" s="7" t="s">
        <v>1739</v>
      </c>
      <c r="F966" s="36">
        <v>43831</v>
      </c>
      <c r="G966" s="36">
        <v>44227</v>
      </c>
      <c r="J966" s="7" t="s">
        <v>1699</v>
      </c>
      <c r="K966" s="8">
        <v>0</v>
      </c>
      <c r="L966" s="8">
        <v>0</v>
      </c>
      <c r="M966" s="8">
        <v>0</v>
      </c>
      <c r="N966" s="8">
        <v>81075</v>
      </c>
      <c r="O966" s="8">
        <v>0</v>
      </c>
      <c r="P966" s="8">
        <v>0</v>
      </c>
      <c r="Q966" s="8">
        <v>0</v>
      </c>
      <c r="R966" s="8">
        <f t="shared" si="216"/>
        <v>81075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7">
        <v>0</v>
      </c>
      <c r="AB966" s="8">
        <v>0</v>
      </c>
      <c r="AC966" s="7">
        <v>1.6353329999999999</v>
      </c>
      <c r="AD966" s="7" t="s">
        <v>1226</v>
      </c>
      <c r="AE966" s="8">
        <v>3525</v>
      </c>
      <c r="AF966" s="8">
        <v>0</v>
      </c>
      <c r="AG966" s="8">
        <v>3525</v>
      </c>
      <c r="AH966" s="8">
        <v>0</v>
      </c>
      <c r="AI966" s="7" t="s">
        <v>1758</v>
      </c>
      <c r="AJ966" s="7">
        <f t="shared" ca="1" si="217"/>
        <v>2</v>
      </c>
      <c r="AK966" s="100">
        <f>(+AA966*AB966)/$AB$1103</f>
        <v>0</v>
      </c>
      <c r="AL966" s="97">
        <f>AC966/$AE$1103*AE966</f>
        <v>6.9202693296073416E-4</v>
      </c>
    </row>
    <row r="967" spans="1:38" x14ac:dyDescent="0.3">
      <c r="A967" s="7" t="s">
        <v>2472</v>
      </c>
      <c r="B967" s="7" t="s">
        <v>194</v>
      </c>
      <c r="C967" s="7" t="s">
        <v>1323</v>
      </c>
      <c r="D967" s="7" t="s">
        <v>1324</v>
      </c>
      <c r="E967" s="7" t="s">
        <v>1695</v>
      </c>
      <c r="F967" s="36">
        <v>43831</v>
      </c>
      <c r="G967" s="36">
        <v>46022</v>
      </c>
      <c r="H967" s="36">
        <v>44896</v>
      </c>
      <c r="I967" s="36">
        <v>44896</v>
      </c>
      <c r="J967" s="7" t="s">
        <v>1696</v>
      </c>
      <c r="K967" s="8">
        <v>0</v>
      </c>
      <c r="L967" s="8">
        <v>0</v>
      </c>
      <c r="M967" s="8">
        <v>173298.61209899999</v>
      </c>
      <c r="N967" s="8">
        <v>0</v>
      </c>
      <c r="O967" s="8">
        <v>0</v>
      </c>
      <c r="P967" s="8">
        <v>11000</v>
      </c>
      <c r="Q967" s="8">
        <v>0</v>
      </c>
      <c r="R967" s="8">
        <f t="shared" si="216"/>
        <v>184298.61209899999</v>
      </c>
      <c r="S967" s="8">
        <v>0</v>
      </c>
      <c r="T967" s="8">
        <v>0</v>
      </c>
      <c r="U967" s="8">
        <v>175000</v>
      </c>
      <c r="V967" s="8">
        <v>0</v>
      </c>
      <c r="W967" s="8">
        <v>11000</v>
      </c>
      <c r="X967" s="8">
        <v>0</v>
      </c>
      <c r="Y967" s="8">
        <v>332930.14656299999</v>
      </c>
      <c r="Z967" s="8">
        <v>-176922.52754700001</v>
      </c>
      <c r="AA967" s="7">
        <v>0</v>
      </c>
      <c r="AB967" s="8">
        <v>0</v>
      </c>
      <c r="AC967" s="7">
        <v>2.318333</v>
      </c>
      <c r="AD967" s="7" t="s">
        <v>1226</v>
      </c>
      <c r="AE967" s="8">
        <v>0</v>
      </c>
      <c r="AF967" s="8">
        <v>0</v>
      </c>
      <c r="AG967" s="8">
        <v>0</v>
      </c>
      <c r="AH967" s="8">
        <v>0</v>
      </c>
      <c r="AI967" s="7" t="s">
        <v>1758</v>
      </c>
      <c r="AJ967" s="7">
        <f t="shared" ca="1" si="217"/>
        <v>1</v>
      </c>
      <c r="AK967" s="96">
        <f t="shared" ref="AK967:AK980" si="218">(+AA967*AB967)/$AB$1102</f>
        <v>0</v>
      </c>
      <c r="AL967" s="97">
        <f t="shared" ref="AL967:AL980" si="219">AC967/$AE$1102*AE967</f>
        <v>0</v>
      </c>
    </row>
    <row r="968" spans="1:38" x14ac:dyDescent="0.3">
      <c r="A968" s="7" t="s">
        <v>2473</v>
      </c>
      <c r="B968" s="7" t="s">
        <v>194</v>
      </c>
      <c r="C968" s="7" t="s">
        <v>1323</v>
      </c>
      <c r="D968" s="7" t="s">
        <v>1324</v>
      </c>
      <c r="E968" s="7" t="s">
        <v>1322</v>
      </c>
      <c r="F968" s="36">
        <v>44896</v>
      </c>
      <c r="G968" s="36">
        <v>46022</v>
      </c>
      <c r="H968" s="36">
        <v>46022</v>
      </c>
      <c r="I968" s="36">
        <v>46387</v>
      </c>
      <c r="J968" s="7" t="s">
        <v>1696</v>
      </c>
      <c r="K968" s="8">
        <v>0</v>
      </c>
      <c r="L968" s="8">
        <v>0</v>
      </c>
      <c r="M968" s="8">
        <v>5963.2955359999996</v>
      </c>
      <c r="N968" s="8">
        <v>0</v>
      </c>
      <c r="O968" s="8">
        <v>0</v>
      </c>
      <c r="P968" s="8">
        <v>0</v>
      </c>
      <c r="Q968" s="8">
        <v>0</v>
      </c>
      <c r="R968" s="8">
        <f t="shared" si="216"/>
        <v>5963.2955359999996</v>
      </c>
      <c r="S968" s="8">
        <v>0</v>
      </c>
      <c r="T968" s="8">
        <v>0</v>
      </c>
      <c r="U968" s="8">
        <v>6000</v>
      </c>
      <c r="V968" s="8">
        <v>0</v>
      </c>
      <c r="W968" s="8">
        <v>0</v>
      </c>
      <c r="X968" s="8">
        <v>0</v>
      </c>
      <c r="Y968" s="8">
        <v>0</v>
      </c>
      <c r="Z968" s="8">
        <v>280447.75525599997</v>
      </c>
      <c r="AA968" s="7">
        <v>4.0027400000000002</v>
      </c>
      <c r="AB968" s="8">
        <v>276719.75802900002</v>
      </c>
      <c r="AC968" s="7">
        <v>2.0563889999999998</v>
      </c>
      <c r="AD968" s="7" t="s">
        <v>1226</v>
      </c>
      <c r="AE968" s="8">
        <v>288000</v>
      </c>
      <c r="AF968" s="8">
        <v>0</v>
      </c>
      <c r="AG968" s="8">
        <v>288000</v>
      </c>
      <c r="AH968" s="8">
        <v>0</v>
      </c>
      <c r="AI968" s="7" t="s">
        <v>1758</v>
      </c>
      <c r="AJ968" s="7">
        <f t="shared" ca="1" si="217"/>
        <v>1</v>
      </c>
      <c r="AK968" s="96">
        <f t="shared" si="218"/>
        <v>9.7075987118907061E-4</v>
      </c>
      <c r="AL968" s="97">
        <f t="shared" si="219"/>
        <v>5.0675662570397835E-4</v>
      </c>
    </row>
    <row r="969" spans="1:38" x14ac:dyDescent="0.3">
      <c r="A969" s="7" t="s">
        <v>2474</v>
      </c>
      <c r="B969" s="7" t="s">
        <v>194</v>
      </c>
      <c r="C969" s="7" t="s">
        <v>1323</v>
      </c>
      <c r="D969" s="7" t="s">
        <v>1324</v>
      </c>
      <c r="E969" s="7" t="s">
        <v>1695</v>
      </c>
      <c r="F969" s="36">
        <v>43466</v>
      </c>
      <c r="G969" s="36">
        <v>45657</v>
      </c>
      <c r="H969" s="36">
        <v>44896</v>
      </c>
      <c r="I969" s="36">
        <v>44896</v>
      </c>
      <c r="J969" s="7" t="s">
        <v>1696</v>
      </c>
      <c r="K969" s="8">
        <v>0</v>
      </c>
      <c r="L969" s="8">
        <v>0</v>
      </c>
      <c r="M969" s="8">
        <v>211500.00290799999</v>
      </c>
      <c r="N969" s="8">
        <v>0</v>
      </c>
      <c r="O969" s="8">
        <v>0</v>
      </c>
      <c r="P969" s="8">
        <v>0</v>
      </c>
      <c r="Q969" s="8">
        <v>0</v>
      </c>
      <c r="R969" s="8">
        <f t="shared" si="216"/>
        <v>211500.00290799999</v>
      </c>
      <c r="S969" s="8">
        <v>0</v>
      </c>
      <c r="T969" s="8">
        <v>0</v>
      </c>
      <c r="U969" s="8">
        <v>211500</v>
      </c>
      <c r="V969" s="8">
        <v>0</v>
      </c>
      <c r="W969" s="8">
        <v>0</v>
      </c>
      <c r="X969" s="8">
        <v>0</v>
      </c>
      <c r="Y969" s="8">
        <v>347688.29388399998</v>
      </c>
      <c r="Z969" s="8">
        <v>-160524.40679199999</v>
      </c>
      <c r="AA969" s="7">
        <v>0</v>
      </c>
      <c r="AB969" s="8">
        <v>0</v>
      </c>
      <c r="AC969" s="7">
        <v>2.4550000000000001</v>
      </c>
      <c r="AD969" s="7" t="s">
        <v>1226</v>
      </c>
      <c r="AE969" s="8">
        <v>0</v>
      </c>
      <c r="AF969" s="8">
        <v>0</v>
      </c>
      <c r="AG969" s="8">
        <v>0</v>
      </c>
      <c r="AH969" s="8">
        <v>0</v>
      </c>
      <c r="AI969" s="7" t="s">
        <v>1758</v>
      </c>
      <c r="AJ969" s="7">
        <f t="shared" ca="1" si="217"/>
        <v>1</v>
      </c>
      <c r="AK969" s="96">
        <f t="shared" si="218"/>
        <v>0</v>
      </c>
      <c r="AL969" s="97">
        <f t="shared" si="219"/>
        <v>0</v>
      </c>
    </row>
    <row r="970" spans="1:38" x14ac:dyDescent="0.3">
      <c r="A970" s="7" t="s">
        <v>2475</v>
      </c>
      <c r="B970" s="7" t="s">
        <v>194</v>
      </c>
      <c r="C970" s="7" t="s">
        <v>1323</v>
      </c>
      <c r="D970" s="7" t="s">
        <v>1324</v>
      </c>
      <c r="E970" s="7" t="s">
        <v>1322</v>
      </c>
      <c r="F970" s="36">
        <v>44896</v>
      </c>
      <c r="G970" s="36">
        <v>45657</v>
      </c>
      <c r="H970" s="36">
        <v>45657</v>
      </c>
      <c r="I970" s="36">
        <v>45657</v>
      </c>
      <c r="J970" s="7" t="s">
        <v>1696</v>
      </c>
      <c r="K970" s="8">
        <v>0</v>
      </c>
      <c r="L970" s="8">
        <v>0</v>
      </c>
      <c r="M970" s="8">
        <v>4500.0007999999998</v>
      </c>
      <c r="N970" s="8">
        <v>0</v>
      </c>
      <c r="O970" s="8">
        <v>0</v>
      </c>
      <c r="P970" s="8">
        <v>0</v>
      </c>
      <c r="Q970" s="8">
        <v>0</v>
      </c>
      <c r="R970" s="8">
        <f t="shared" si="216"/>
        <v>4500.0007999999998</v>
      </c>
      <c r="S970" s="8">
        <v>0</v>
      </c>
      <c r="T970" s="8">
        <v>0</v>
      </c>
      <c r="U970" s="8">
        <v>4500</v>
      </c>
      <c r="V970" s="8">
        <v>0</v>
      </c>
      <c r="W970" s="8">
        <v>0</v>
      </c>
      <c r="X970" s="8">
        <v>0</v>
      </c>
      <c r="Y970" s="8">
        <v>0</v>
      </c>
      <c r="Z970" s="8">
        <v>109903.434201</v>
      </c>
      <c r="AA970" s="7">
        <v>2.0027400000000002</v>
      </c>
      <c r="AB970" s="8">
        <v>105609.615001</v>
      </c>
      <c r="AC970" s="7">
        <v>2.3473329999999999</v>
      </c>
      <c r="AD970" s="7" t="s">
        <v>1226</v>
      </c>
      <c r="AE970" s="8">
        <v>108000</v>
      </c>
      <c r="AF970" s="8">
        <v>0</v>
      </c>
      <c r="AG970" s="8">
        <v>108000</v>
      </c>
      <c r="AH970" s="8">
        <v>0</v>
      </c>
      <c r="AI970" s="7" t="s">
        <v>1758</v>
      </c>
      <c r="AJ970" s="7">
        <f t="shared" ca="1" si="217"/>
        <v>1</v>
      </c>
      <c r="AK970" s="96">
        <f t="shared" si="218"/>
        <v>1.8537121489338007E-4</v>
      </c>
      <c r="AL970" s="97">
        <f t="shared" si="219"/>
        <v>2.1692026967239599E-4</v>
      </c>
    </row>
    <row r="971" spans="1:38" x14ac:dyDescent="0.3">
      <c r="A971" s="7" t="s">
        <v>2476</v>
      </c>
      <c r="B971" s="7" t="s">
        <v>194</v>
      </c>
      <c r="C971" s="7" t="s">
        <v>1323</v>
      </c>
      <c r="D971" s="7" t="s">
        <v>1770</v>
      </c>
      <c r="E971" s="7" t="s">
        <v>1322</v>
      </c>
      <c r="F971" s="36">
        <v>43101</v>
      </c>
      <c r="G971" s="36">
        <v>45291</v>
      </c>
      <c r="H971" s="36">
        <v>45291</v>
      </c>
      <c r="I971" s="36">
        <v>45657</v>
      </c>
      <c r="J971" s="7" t="s">
        <v>1696</v>
      </c>
      <c r="K971" s="8">
        <v>0</v>
      </c>
      <c r="L971" s="8">
        <v>0</v>
      </c>
      <c r="M971" s="8">
        <v>239999.998314</v>
      </c>
      <c r="N971" s="8">
        <v>0</v>
      </c>
      <c r="O971" s="8">
        <v>0</v>
      </c>
      <c r="P971" s="8">
        <v>0</v>
      </c>
      <c r="Q971" s="8">
        <v>0</v>
      </c>
      <c r="R971" s="8">
        <f t="shared" si="216"/>
        <v>239999.998314</v>
      </c>
      <c r="S971" s="8">
        <v>0</v>
      </c>
      <c r="T971" s="8">
        <v>0</v>
      </c>
      <c r="U971" s="8">
        <v>240000</v>
      </c>
      <c r="V971" s="8">
        <v>0</v>
      </c>
      <c r="W971" s="8">
        <v>0</v>
      </c>
      <c r="X971" s="8">
        <v>0</v>
      </c>
      <c r="Y971" s="8">
        <v>309056.26123100001</v>
      </c>
      <c r="Z971" s="8">
        <v>0</v>
      </c>
      <c r="AA971" s="7">
        <v>2.0027400000000002</v>
      </c>
      <c r="AB971" s="8">
        <v>93779.399544999993</v>
      </c>
      <c r="AC971" s="7">
        <v>2.4550000000000001</v>
      </c>
      <c r="AD971" s="7" t="s">
        <v>1226</v>
      </c>
      <c r="AE971" s="8">
        <v>96000</v>
      </c>
      <c r="AF971" s="8">
        <v>0</v>
      </c>
      <c r="AG971" s="8">
        <v>96000</v>
      </c>
      <c r="AH971" s="8">
        <v>0</v>
      </c>
      <c r="AI971" s="7" t="s">
        <v>1758</v>
      </c>
      <c r="AJ971" s="7">
        <f t="shared" ca="1" si="217"/>
        <v>1</v>
      </c>
      <c r="AK971" s="96">
        <f t="shared" si="218"/>
        <v>1.6460623614112914E-4</v>
      </c>
      <c r="AL971" s="97">
        <f t="shared" si="219"/>
        <v>2.0166215570161531E-4</v>
      </c>
    </row>
    <row r="972" spans="1:38" x14ac:dyDescent="0.3">
      <c r="A972" s="7" t="s">
        <v>2477</v>
      </c>
      <c r="B972" s="7" t="s">
        <v>194</v>
      </c>
      <c r="C972" s="7" t="s">
        <v>1323</v>
      </c>
      <c r="D972" s="7" t="s">
        <v>1324</v>
      </c>
      <c r="E972" s="7" t="s">
        <v>1695</v>
      </c>
      <c r="F972" s="36">
        <v>43831</v>
      </c>
      <c r="G972" s="36">
        <v>46022</v>
      </c>
      <c r="H972" s="36">
        <v>44896</v>
      </c>
      <c r="I972" s="36">
        <v>44896</v>
      </c>
      <c r="J972" s="7" t="s">
        <v>1696</v>
      </c>
      <c r="K972" s="8">
        <v>0</v>
      </c>
      <c r="L972" s="8">
        <v>0</v>
      </c>
      <c r="M972" s="8">
        <v>175999.99479699999</v>
      </c>
      <c r="N972" s="8">
        <v>0</v>
      </c>
      <c r="O972" s="8">
        <v>0</v>
      </c>
      <c r="P972" s="8">
        <v>0</v>
      </c>
      <c r="Q972" s="8">
        <v>0</v>
      </c>
      <c r="R972" s="8">
        <f t="shared" si="216"/>
        <v>175999.99479699999</v>
      </c>
      <c r="S972" s="8">
        <v>0</v>
      </c>
      <c r="T972" s="8">
        <v>0</v>
      </c>
      <c r="U972" s="8">
        <v>176000</v>
      </c>
      <c r="V972" s="8">
        <v>0</v>
      </c>
      <c r="W972" s="8">
        <v>0</v>
      </c>
      <c r="X972" s="8">
        <v>0</v>
      </c>
      <c r="Y972" s="8">
        <v>336430.14656299999</v>
      </c>
      <c r="Z972" s="8">
        <v>-177790.06135999999</v>
      </c>
      <c r="AA972" s="7">
        <v>0</v>
      </c>
      <c r="AB972" s="8">
        <v>0</v>
      </c>
      <c r="AC972" s="7">
        <v>2.318333</v>
      </c>
      <c r="AD972" s="7" t="s">
        <v>1726</v>
      </c>
      <c r="AE972" s="8">
        <v>0</v>
      </c>
      <c r="AF972" s="8">
        <v>0</v>
      </c>
      <c r="AG972" s="8">
        <v>0</v>
      </c>
      <c r="AH972" s="8">
        <v>0</v>
      </c>
      <c r="AI972" s="7" t="s">
        <v>1758</v>
      </c>
      <c r="AJ972" s="7">
        <f t="shared" ca="1" si="217"/>
        <v>1</v>
      </c>
      <c r="AK972" s="96">
        <f t="shared" si="218"/>
        <v>0</v>
      </c>
      <c r="AL972" s="97">
        <f t="shared" si="219"/>
        <v>0</v>
      </c>
    </row>
    <row r="973" spans="1:38" x14ac:dyDescent="0.3">
      <c r="A973" s="7" t="s">
        <v>2478</v>
      </c>
      <c r="B973" s="7" t="s">
        <v>194</v>
      </c>
      <c r="C973" s="7" t="s">
        <v>1323</v>
      </c>
      <c r="D973" s="7" t="s">
        <v>1324</v>
      </c>
      <c r="E973" s="7" t="s">
        <v>1322</v>
      </c>
      <c r="F973" s="36">
        <v>44896</v>
      </c>
      <c r="G973" s="36">
        <v>46022</v>
      </c>
      <c r="H973" s="36">
        <v>46022</v>
      </c>
      <c r="I973" s="36">
        <v>46387</v>
      </c>
      <c r="J973" s="7" t="s">
        <v>1696</v>
      </c>
      <c r="K973" s="8">
        <v>0</v>
      </c>
      <c r="L973" s="8">
        <v>0</v>
      </c>
      <c r="M973" s="8">
        <v>6000.0016580000001</v>
      </c>
      <c r="N973" s="8">
        <v>0</v>
      </c>
      <c r="O973" s="8">
        <v>0</v>
      </c>
      <c r="P973" s="8">
        <v>0</v>
      </c>
      <c r="Q973" s="8">
        <v>0</v>
      </c>
      <c r="R973" s="8">
        <f t="shared" si="216"/>
        <v>6000.0016580000001</v>
      </c>
      <c r="S973" s="8">
        <v>0</v>
      </c>
      <c r="T973" s="8">
        <v>0</v>
      </c>
      <c r="U973" s="8">
        <v>6000</v>
      </c>
      <c r="V973" s="8">
        <v>0</v>
      </c>
      <c r="W973" s="8">
        <v>0</v>
      </c>
      <c r="X973" s="8">
        <v>0</v>
      </c>
      <c r="Y973" s="8">
        <v>0</v>
      </c>
      <c r="Z973" s="8">
        <v>282246.36637100001</v>
      </c>
      <c r="AA973" s="7">
        <v>4.0027400000000002</v>
      </c>
      <c r="AB973" s="8">
        <v>276719.75802900002</v>
      </c>
      <c r="AC973" s="7">
        <v>2.0563889999999998</v>
      </c>
      <c r="AD973" s="7" t="s">
        <v>1226</v>
      </c>
      <c r="AE973" s="8">
        <v>288000</v>
      </c>
      <c r="AF973" s="8">
        <v>0</v>
      </c>
      <c r="AG973" s="8">
        <v>288000</v>
      </c>
      <c r="AH973" s="8">
        <v>0</v>
      </c>
      <c r="AI973" s="7" t="s">
        <v>1758</v>
      </c>
      <c r="AJ973" s="7">
        <f t="shared" ca="1" si="217"/>
        <v>1</v>
      </c>
      <c r="AK973" s="96">
        <f t="shared" si="218"/>
        <v>9.7075987118907061E-4</v>
      </c>
      <c r="AL973" s="97">
        <f t="shared" si="219"/>
        <v>5.0675662570397835E-4</v>
      </c>
    </row>
    <row r="974" spans="1:38" x14ac:dyDescent="0.3">
      <c r="A974" s="7" t="s">
        <v>2479</v>
      </c>
      <c r="B974" s="7" t="s">
        <v>194</v>
      </c>
      <c r="C974" s="7" t="s">
        <v>1323</v>
      </c>
      <c r="D974" s="7" t="s">
        <v>1324</v>
      </c>
      <c r="E974" s="7" t="s">
        <v>1322</v>
      </c>
      <c r="F974" s="36">
        <v>43466</v>
      </c>
      <c r="G974" s="36">
        <v>45657</v>
      </c>
      <c r="H974" s="36">
        <v>45657</v>
      </c>
      <c r="I974" s="36">
        <v>46022</v>
      </c>
      <c r="J974" s="7" t="s">
        <v>1696</v>
      </c>
      <c r="K974" s="8">
        <v>0</v>
      </c>
      <c r="L974" s="8">
        <v>0</v>
      </c>
      <c r="M974" s="8">
        <v>219894.739783</v>
      </c>
      <c r="N974" s="8">
        <v>0</v>
      </c>
      <c r="O974" s="8">
        <v>0</v>
      </c>
      <c r="P974" s="8">
        <v>0</v>
      </c>
      <c r="Q974" s="8">
        <v>0</v>
      </c>
      <c r="R974" s="8">
        <f t="shared" si="216"/>
        <v>219894.739783</v>
      </c>
      <c r="S974" s="8">
        <v>0</v>
      </c>
      <c r="T974" s="8">
        <v>0</v>
      </c>
      <c r="U974" s="8">
        <v>218000</v>
      </c>
      <c r="V974" s="8">
        <v>0</v>
      </c>
      <c r="W974" s="8">
        <v>0</v>
      </c>
      <c r="X974" s="8">
        <v>0</v>
      </c>
      <c r="Y974" s="8">
        <v>347688.29388399998</v>
      </c>
      <c r="Z974" s="8">
        <v>71198.520491999996</v>
      </c>
      <c r="AA974" s="7">
        <v>3.0027400000000002</v>
      </c>
      <c r="AB974" s="8">
        <v>225829.654159</v>
      </c>
      <c r="AC974" s="7">
        <v>2.4550000000000001</v>
      </c>
      <c r="AD974" s="7" t="s">
        <v>1726</v>
      </c>
      <c r="AE974" s="8">
        <v>234000</v>
      </c>
      <c r="AF974" s="8">
        <v>0</v>
      </c>
      <c r="AG974" s="8">
        <v>234000</v>
      </c>
      <c r="AH974" s="8">
        <v>0</v>
      </c>
      <c r="AI974" s="7" t="s">
        <v>1758</v>
      </c>
      <c r="AJ974" s="7">
        <f t="shared" ca="1" si="217"/>
        <v>1</v>
      </c>
      <c r="AK974" s="96">
        <f t="shared" si="218"/>
        <v>5.9430989848389417E-4</v>
      </c>
      <c r="AL974" s="97">
        <f t="shared" si="219"/>
        <v>4.9155150452268731E-4</v>
      </c>
    </row>
    <row r="975" spans="1:38" x14ac:dyDescent="0.3">
      <c r="A975" s="7" t="s">
        <v>2480</v>
      </c>
      <c r="B975" s="7" t="s">
        <v>194</v>
      </c>
      <c r="C975" s="7" t="s">
        <v>1323</v>
      </c>
      <c r="D975" s="7" t="s">
        <v>1324</v>
      </c>
      <c r="E975" s="7" t="s">
        <v>1322</v>
      </c>
      <c r="F975" s="36">
        <v>43101</v>
      </c>
      <c r="G975" s="36">
        <v>45291</v>
      </c>
      <c r="H975" s="36">
        <v>45291</v>
      </c>
      <c r="I975" s="36">
        <v>45657</v>
      </c>
      <c r="J975" s="7" t="s">
        <v>1696</v>
      </c>
      <c r="K975" s="8">
        <v>0</v>
      </c>
      <c r="L975" s="8">
        <v>0</v>
      </c>
      <c r="M975" s="8">
        <v>239999.998314</v>
      </c>
      <c r="N975" s="8">
        <v>0</v>
      </c>
      <c r="O975" s="8">
        <v>0</v>
      </c>
      <c r="P975" s="8">
        <v>240</v>
      </c>
      <c r="Q975" s="8">
        <v>0</v>
      </c>
      <c r="R975" s="8">
        <f t="shared" si="216"/>
        <v>240239.998314</v>
      </c>
      <c r="S975" s="8">
        <v>0</v>
      </c>
      <c r="T975" s="8">
        <v>0</v>
      </c>
      <c r="U975" s="8">
        <v>240000</v>
      </c>
      <c r="V975" s="8">
        <v>0</v>
      </c>
      <c r="W975" s="8">
        <v>240</v>
      </c>
      <c r="X975" s="8">
        <v>0</v>
      </c>
      <c r="Y975" s="8">
        <v>309056.26123100001</v>
      </c>
      <c r="Z975" s="8">
        <v>0</v>
      </c>
      <c r="AA975" s="7">
        <v>2.0027400000000002</v>
      </c>
      <c r="AB975" s="8">
        <v>93779.399544999993</v>
      </c>
      <c r="AC975" s="7">
        <v>2.4550000000000001</v>
      </c>
      <c r="AD975" s="7" t="s">
        <v>1226</v>
      </c>
      <c r="AE975" s="8">
        <v>96000</v>
      </c>
      <c r="AF975" s="8">
        <v>0</v>
      </c>
      <c r="AG975" s="8">
        <v>96000</v>
      </c>
      <c r="AH975" s="8">
        <v>2880</v>
      </c>
      <c r="AI975" s="7" t="s">
        <v>1758</v>
      </c>
      <c r="AJ975" s="7">
        <f t="shared" ca="1" si="217"/>
        <v>1</v>
      </c>
      <c r="AK975" s="96">
        <f t="shared" si="218"/>
        <v>1.6460623614112914E-4</v>
      </c>
      <c r="AL975" s="97">
        <f t="shared" si="219"/>
        <v>2.0166215570161531E-4</v>
      </c>
    </row>
    <row r="976" spans="1:38" x14ac:dyDescent="0.3">
      <c r="A976" s="7" t="s">
        <v>2481</v>
      </c>
      <c r="B976" s="7" t="s">
        <v>194</v>
      </c>
      <c r="C976" s="7" t="s">
        <v>1323</v>
      </c>
      <c r="D976" s="7" t="s">
        <v>1324</v>
      </c>
      <c r="E976" s="7" t="s">
        <v>1695</v>
      </c>
      <c r="F976" s="36">
        <v>43831</v>
      </c>
      <c r="G976" s="36">
        <v>46022</v>
      </c>
      <c r="H976" s="36">
        <v>44774</v>
      </c>
      <c r="I976" s="36">
        <v>44774</v>
      </c>
      <c r="J976" s="7" t="s">
        <v>1696</v>
      </c>
      <c r="K976" s="8">
        <v>0</v>
      </c>
      <c r="L976" s="8">
        <v>0</v>
      </c>
      <c r="M976" s="8">
        <v>109275</v>
      </c>
      <c r="N976" s="8">
        <v>0</v>
      </c>
      <c r="O976" s="8">
        <v>0</v>
      </c>
      <c r="P976" s="8">
        <v>0</v>
      </c>
      <c r="Q976" s="8">
        <v>0</v>
      </c>
      <c r="R976" s="8">
        <f t="shared" si="216"/>
        <v>109275</v>
      </c>
      <c r="S976" s="8">
        <v>0</v>
      </c>
      <c r="T976" s="8">
        <v>0</v>
      </c>
      <c r="U976" s="8">
        <v>109275</v>
      </c>
      <c r="V976" s="8">
        <v>0</v>
      </c>
      <c r="W976" s="8">
        <v>0</v>
      </c>
      <c r="X976" s="8">
        <v>0</v>
      </c>
      <c r="Y976" s="8">
        <v>272355.83020899998</v>
      </c>
      <c r="Z976" s="8">
        <v>-177243.35365800001</v>
      </c>
      <c r="AA976" s="7">
        <v>0</v>
      </c>
      <c r="AB976" s="8">
        <v>0</v>
      </c>
      <c r="AC976" s="7">
        <v>2.4550000000000001</v>
      </c>
      <c r="AD976" s="7" t="s">
        <v>1226</v>
      </c>
      <c r="AE976" s="8">
        <v>0</v>
      </c>
      <c r="AF976" s="8">
        <v>0</v>
      </c>
      <c r="AG976" s="8">
        <v>0</v>
      </c>
      <c r="AH976" s="8">
        <v>0</v>
      </c>
      <c r="AI976" s="7" t="s">
        <v>1758</v>
      </c>
      <c r="AJ976" s="7">
        <f t="shared" ca="1" si="217"/>
        <v>1</v>
      </c>
      <c r="AK976" s="96">
        <f t="shared" si="218"/>
        <v>0</v>
      </c>
      <c r="AL976" s="97">
        <f t="shared" si="219"/>
        <v>0</v>
      </c>
    </row>
    <row r="977" spans="1:38" x14ac:dyDescent="0.3">
      <c r="A977" s="7" t="s">
        <v>2482</v>
      </c>
      <c r="B977" s="7" t="s">
        <v>194</v>
      </c>
      <c r="C977" s="7" t="s">
        <v>1323</v>
      </c>
      <c r="D977" s="7" t="s">
        <v>1324</v>
      </c>
      <c r="E977" s="7" t="s">
        <v>1322</v>
      </c>
      <c r="F977" s="36">
        <v>44774</v>
      </c>
      <c r="G977" s="36">
        <v>45657</v>
      </c>
      <c r="H977" s="36">
        <v>45657</v>
      </c>
      <c r="I977" s="36">
        <v>46022</v>
      </c>
      <c r="J977" s="7" t="s">
        <v>1696</v>
      </c>
      <c r="K977" s="8">
        <v>0</v>
      </c>
      <c r="L977" s="8">
        <v>0</v>
      </c>
      <c r="M977" s="8">
        <v>19999.996998999999</v>
      </c>
      <c r="N977" s="8">
        <v>0</v>
      </c>
      <c r="O977" s="8">
        <v>0</v>
      </c>
      <c r="P977" s="8">
        <v>0</v>
      </c>
      <c r="Q977" s="8">
        <v>0</v>
      </c>
      <c r="R977" s="8">
        <f t="shared" si="216"/>
        <v>19999.996998999999</v>
      </c>
      <c r="S977" s="8">
        <v>0</v>
      </c>
      <c r="T977" s="8">
        <v>0</v>
      </c>
      <c r="U977" s="8">
        <v>20000</v>
      </c>
      <c r="V977" s="8">
        <v>0</v>
      </c>
      <c r="W977" s="8">
        <v>0</v>
      </c>
      <c r="X977" s="8">
        <v>0</v>
      </c>
      <c r="Y977" s="8">
        <v>0</v>
      </c>
      <c r="Z977" s="8">
        <v>157098.61569899999</v>
      </c>
      <c r="AA977" s="7">
        <v>3.0027400000000002</v>
      </c>
      <c r="AB977" s="8">
        <v>138678.80269800001</v>
      </c>
      <c r="AC977" s="7">
        <v>2.6020829999999999</v>
      </c>
      <c r="AD977" s="7" t="s">
        <v>1226</v>
      </c>
      <c r="AE977" s="8">
        <v>144000</v>
      </c>
      <c r="AF977" s="8">
        <v>0</v>
      </c>
      <c r="AG977" s="8">
        <v>144000</v>
      </c>
      <c r="AH977" s="8">
        <v>0</v>
      </c>
      <c r="AI977" s="7" t="s">
        <v>1758</v>
      </c>
      <c r="AJ977" s="7">
        <f t="shared" ca="1" si="217"/>
        <v>1</v>
      </c>
      <c r="AK977" s="96">
        <f t="shared" si="218"/>
        <v>3.6495731909188579E-4</v>
      </c>
      <c r="AL977" s="97">
        <f t="shared" si="219"/>
        <v>3.2061608987445599E-4</v>
      </c>
    </row>
    <row r="978" spans="1:38" x14ac:dyDescent="0.3">
      <c r="A978" s="7" t="s">
        <v>2483</v>
      </c>
      <c r="B978" s="7" t="s">
        <v>194</v>
      </c>
      <c r="C978" s="7" t="s">
        <v>1323</v>
      </c>
      <c r="D978" s="7" t="s">
        <v>1324</v>
      </c>
      <c r="E978" s="7" t="s">
        <v>1695</v>
      </c>
      <c r="F978" s="36">
        <v>44197</v>
      </c>
      <c r="G978" s="36">
        <v>46387</v>
      </c>
      <c r="H978" s="36">
        <v>44866</v>
      </c>
      <c r="I978" s="36">
        <v>44866</v>
      </c>
      <c r="J978" s="7" t="s">
        <v>1696</v>
      </c>
      <c r="K978" s="8">
        <v>0</v>
      </c>
      <c r="L978" s="8">
        <v>0</v>
      </c>
      <c r="M978" s="8">
        <v>65977.999618999995</v>
      </c>
      <c r="N978" s="8">
        <v>0</v>
      </c>
      <c r="O978" s="8">
        <v>0</v>
      </c>
      <c r="P978" s="8">
        <v>0</v>
      </c>
      <c r="Q978" s="8">
        <v>0</v>
      </c>
      <c r="R978" s="8">
        <f t="shared" si="216"/>
        <v>65977.999618999995</v>
      </c>
      <c r="S978" s="8">
        <v>0</v>
      </c>
      <c r="T978" s="8">
        <v>0</v>
      </c>
      <c r="U978" s="8">
        <v>65978</v>
      </c>
      <c r="V978" s="8">
        <v>0</v>
      </c>
      <c r="W978" s="8">
        <v>0</v>
      </c>
      <c r="X978" s="8">
        <v>0</v>
      </c>
      <c r="Y978" s="8">
        <v>231714.931858</v>
      </c>
      <c r="Z978" s="8">
        <v>-174818.421477</v>
      </c>
      <c r="AA978" s="7">
        <v>0</v>
      </c>
      <c r="AB978" s="8">
        <v>0</v>
      </c>
      <c r="AC978" s="7">
        <v>2.4550000000000001</v>
      </c>
      <c r="AD978" s="7" t="s">
        <v>1226</v>
      </c>
      <c r="AE978" s="8">
        <v>0</v>
      </c>
      <c r="AF978" s="8">
        <v>0</v>
      </c>
      <c r="AG978" s="8">
        <v>0</v>
      </c>
      <c r="AH978" s="8">
        <v>0</v>
      </c>
      <c r="AI978" s="7" t="s">
        <v>1758</v>
      </c>
      <c r="AJ978" s="7">
        <f t="shared" ca="1" si="217"/>
        <v>1</v>
      </c>
      <c r="AK978" s="96">
        <f t="shared" si="218"/>
        <v>0</v>
      </c>
      <c r="AL978" s="97">
        <f t="shared" si="219"/>
        <v>0</v>
      </c>
    </row>
    <row r="979" spans="1:38" x14ac:dyDescent="0.3">
      <c r="A979" s="7" t="s">
        <v>2484</v>
      </c>
      <c r="B979" s="7" t="s">
        <v>194</v>
      </c>
      <c r="C979" s="7" t="s">
        <v>1323</v>
      </c>
      <c r="D979" s="7" t="s">
        <v>1324</v>
      </c>
      <c r="E979" s="7" t="s">
        <v>1322</v>
      </c>
      <c r="F979" s="36">
        <v>44866</v>
      </c>
      <c r="G979" s="36">
        <v>46022</v>
      </c>
      <c r="H979" s="36">
        <v>46022</v>
      </c>
      <c r="I979" s="36">
        <v>46387</v>
      </c>
      <c r="J979" s="7" t="s">
        <v>1696</v>
      </c>
      <c r="K979" s="8">
        <v>0</v>
      </c>
      <c r="L979" s="8">
        <v>0</v>
      </c>
      <c r="M979" s="8">
        <v>5997.9954809999999</v>
      </c>
      <c r="N979" s="8">
        <v>0</v>
      </c>
      <c r="O979" s="8">
        <v>0</v>
      </c>
      <c r="P979" s="8">
        <v>0</v>
      </c>
      <c r="Q979" s="8">
        <v>0</v>
      </c>
      <c r="R979" s="8">
        <f t="shared" si="216"/>
        <v>5997.9954809999999</v>
      </c>
      <c r="S979" s="8">
        <v>0</v>
      </c>
      <c r="T979" s="8">
        <v>0</v>
      </c>
      <c r="U979" s="8">
        <v>5998</v>
      </c>
      <c r="V979" s="8">
        <v>0</v>
      </c>
      <c r="W979" s="8">
        <v>0</v>
      </c>
      <c r="X979" s="8">
        <v>0</v>
      </c>
      <c r="Y979" s="8">
        <v>0</v>
      </c>
      <c r="Z979" s="8">
        <v>143800.90283100001</v>
      </c>
      <c r="AA979" s="7">
        <v>4.0027400000000002</v>
      </c>
      <c r="AB979" s="8">
        <v>138283.398312</v>
      </c>
      <c r="AC979" s="7">
        <v>2.0677780000000001</v>
      </c>
      <c r="AD979" s="7" t="s">
        <v>1226</v>
      </c>
      <c r="AE979" s="8">
        <v>143952</v>
      </c>
      <c r="AF979" s="8">
        <v>0</v>
      </c>
      <c r="AG979" s="8">
        <v>143952</v>
      </c>
      <c r="AH979" s="8">
        <v>0</v>
      </c>
      <c r="AI979" s="7" t="s">
        <v>1758</v>
      </c>
      <c r="AJ979" s="7">
        <f t="shared" ca="1" si="217"/>
        <v>1</v>
      </c>
      <c r="AK979" s="96">
        <f t="shared" si="218"/>
        <v>4.8511163383886674E-4</v>
      </c>
      <c r="AL979" s="97">
        <f t="shared" si="219"/>
        <v>2.5469668317884558E-4</v>
      </c>
    </row>
    <row r="980" spans="1:38" x14ac:dyDescent="0.3">
      <c r="A980" s="7" t="s">
        <v>2485</v>
      </c>
      <c r="B980" s="7" t="s">
        <v>1768</v>
      </c>
      <c r="C980" s="7" t="s">
        <v>1323</v>
      </c>
      <c r="D980" s="7" t="s">
        <v>1324</v>
      </c>
      <c r="E980" s="7" t="s">
        <v>1739</v>
      </c>
      <c r="F980" s="36">
        <v>43831</v>
      </c>
      <c r="G980" s="36">
        <v>44926</v>
      </c>
      <c r="I980" s="36">
        <v>44926</v>
      </c>
      <c r="J980" s="7" t="s">
        <v>1696</v>
      </c>
      <c r="K980" s="8">
        <v>0</v>
      </c>
      <c r="L980" s="8">
        <v>0</v>
      </c>
      <c r="M980" s="8">
        <v>1980000.006793</v>
      </c>
      <c r="N980" s="8">
        <v>0</v>
      </c>
      <c r="O980" s="8">
        <v>0</v>
      </c>
      <c r="P980" s="8">
        <v>0</v>
      </c>
      <c r="Q980" s="8">
        <v>0</v>
      </c>
      <c r="R980" s="8">
        <f t="shared" si="216"/>
        <v>1980000.006793</v>
      </c>
      <c r="S980" s="8">
        <v>0</v>
      </c>
      <c r="T980" s="8">
        <v>0</v>
      </c>
      <c r="U980" s="8">
        <v>1980000</v>
      </c>
      <c r="V980" s="8">
        <v>0</v>
      </c>
      <c r="W980" s="8">
        <v>0</v>
      </c>
      <c r="X980" s="8">
        <v>0</v>
      </c>
      <c r="Y980" s="8">
        <v>1892541.293206</v>
      </c>
      <c r="Z980" s="8">
        <v>0</v>
      </c>
      <c r="AA980" s="7">
        <v>0</v>
      </c>
      <c r="AB980" s="8">
        <v>0</v>
      </c>
      <c r="AC980" s="7">
        <v>3</v>
      </c>
      <c r="AD980" s="7" t="s">
        <v>1226</v>
      </c>
      <c r="AE980" s="8">
        <v>0</v>
      </c>
      <c r="AF980" s="8">
        <v>0</v>
      </c>
      <c r="AG980" s="8">
        <v>0</v>
      </c>
      <c r="AH980" s="8">
        <v>0</v>
      </c>
      <c r="AI980" s="7" t="s">
        <v>1758</v>
      </c>
      <c r="AJ980" s="7">
        <f t="shared" ca="1" si="217"/>
        <v>1</v>
      </c>
      <c r="AK980" s="96">
        <f t="shared" si="218"/>
        <v>0</v>
      </c>
      <c r="AL980" s="97">
        <f t="shared" si="219"/>
        <v>0</v>
      </c>
    </row>
    <row r="981" spans="1:38" x14ac:dyDescent="0.3">
      <c r="A981" s="7" t="s">
        <v>2485</v>
      </c>
      <c r="B981" s="7" t="s">
        <v>1768</v>
      </c>
      <c r="C981" s="7" t="s">
        <v>1323</v>
      </c>
      <c r="D981" s="7" t="s">
        <v>1324</v>
      </c>
      <c r="E981" s="7" t="s">
        <v>1739</v>
      </c>
      <c r="F981" s="36">
        <v>43831</v>
      </c>
      <c r="G981" s="36">
        <v>44926</v>
      </c>
      <c r="I981" s="36">
        <v>44926</v>
      </c>
      <c r="J981" s="7" t="s">
        <v>1699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f t="shared" si="216"/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7">
        <v>0</v>
      </c>
      <c r="AB981" s="8">
        <v>0</v>
      </c>
      <c r="AC981" s="7">
        <v>3</v>
      </c>
      <c r="AD981" s="7" t="s">
        <v>1226</v>
      </c>
      <c r="AE981" s="8">
        <v>60000</v>
      </c>
      <c r="AF981" s="8">
        <v>0</v>
      </c>
      <c r="AG981" s="8">
        <v>60000</v>
      </c>
      <c r="AH981" s="8">
        <v>0</v>
      </c>
      <c r="AI981" s="7" t="s">
        <v>1758</v>
      </c>
      <c r="AJ981" s="7">
        <f t="shared" ca="1" si="217"/>
        <v>2</v>
      </c>
      <c r="AK981" s="100">
        <f>(+AA981*AB981)/$AB$1103</f>
        <v>0</v>
      </c>
      <c r="AL981" s="97">
        <f>AC981/$AE$1103*AE981</f>
        <v>2.1608776630134996E-2</v>
      </c>
    </row>
    <row r="982" spans="1:38" x14ac:dyDescent="0.3">
      <c r="A982" s="7" t="s">
        <v>2486</v>
      </c>
      <c r="B982" s="7" t="s">
        <v>1768</v>
      </c>
      <c r="C982" s="7" t="s">
        <v>1323</v>
      </c>
      <c r="D982" s="7" t="s">
        <v>1324</v>
      </c>
      <c r="E982" s="7" t="s">
        <v>1739</v>
      </c>
      <c r="F982" s="36">
        <v>43831</v>
      </c>
      <c r="G982" s="36">
        <v>44926</v>
      </c>
      <c r="I982" s="36">
        <v>44926</v>
      </c>
      <c r="J982" s="7" t="s">
        <v>1696</v>
      </c>
      <c r="K982" s="8">
        <v>0</v>
      </c>
      <c r="L982" s="8">
        <v>0</v>
      </c>
      <c r="M982" s="8">
        <v>1800000.006914</v>
      </c>
      <c r="N982" s="8">
        <v>0</v>
      </c>
      <c r="O982" s="8">
        <v>0</v>
      </c>
      <c r="P982" s="8">
        <v>0</v>
      </c>
      <c r="Q982" s="8">
        <v>0</v>
      </c>
      <c r="R982" s="8">
        <f t="shared" si="216"/>
        <v>1800000.006914</v>
      </c>
      <c r="S982" s="8">
        <v>0</v>
      </c>
      <c r="T982" s="8">
        <v>0</v>
      </c>
      <c r="U982" s="8">
        <v>1800000</v>
      </c>
      <c r="V982" s="8">
        <v>0</v>
      </c>
      <c r="W982" s="8">
        <v>0</v>
      </c>
      <c r="X982" s="8">
        <v>0</v>
      </c>
      <c r="Y982" s="8">
        <v>1723621.563085</v>
      </c>
      <c r="Z982" s="8">
        <v>0</v>
      </c>
      <c r="AA982" s="7">
        <v>0</v>
      </c>
      <c r="AB982" s="8">
        <v>0</v>
      </c>
      <c r="AC982" s="7">
        <v>3</v>
      </c>
      <c r="AD982" s="7" t="s">
        <v>1226</v>
      </c>
      <c r="AE982" s="8">
        <v>0</v>
      </c>
      <c r="AF982" s="8">
        <v>0</v>
      </c>
      <c r="AG982" s="8">
        <v>0</v>
      </c>
      <c r="AH982" s="8">
        <v>0</v>
      </c>
      <c r="AI982" s="7" t="s">
        <v>1758</v>
      </c>
      <c r="AJ982" s="7">
        <f t="shared" ca="1" si="217"/>
        <v>1</v>
      </c>
      <c r="AK982" s="96">
        <f>(+AA982*AB982)/$AB$1102</f>
        <v>0</v>
      </c>
      <c r="AL982" s="97">
        <f>AC982/$AE$1102*AE982</f>
        <v>0</v>
      </c>
    </row>
    <row r="983" spans="1:38" x14ac:dyDescent="0.3">
      <c r="A983" s="7" t="s">
        <v>2486</v>
      </c>
      <c r="B983" s="7" t="s">
        <v>1768</v>
      </c>
      <c r="C983" s="7" t="s">
        <v>1323</v>
      </c>
      <c r="D983" s="7" t="s">
        <v>1324</v>
      </c>
      <c r="E983" s="7" t="s">
        <v>1739</v>
      </c>
      <c r="F983" s="36">
        <v>43831</v>
      </c>
      <c r="G983" s="36">
        <v>44926</v>
      </c>
      <c r="I983" s="36">
        <v>44926</v>
      </c>
      <c r="J983" s="7" t="s">
        <v>1699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f t="shared" si="216"/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7">
        <v>0</v>
      </c>
      <c r="AB983" s="8">
        <v>0</v>
      </c>
      <c r="AC983" s="7">
        <v>3</v>
      </c>
      <c r="AD983" s="7" t="s">
        <v>1226</v>
      </c>
      <c r="AE983" s="8">
        <v>50000</v>
      </c>
      <c r="AF983" s="8">
        <v>0</v>
      </c>
      <c r="AG983" s="8">
        <v>50000</v>
      </c>
      <c r="AH983" s="8">
        <v>0</v>
      </c>
      <c r="AI983" s="7" t="s">
        <v>1758</v>
      </c>
      <c r="AJ983" s="7">
        <f t="shared" ca="1" si="217"/>
        <v>2</v>
      </c>
      <c r="AK983" s="100">
        <f>(+AA983*AB983)/$AB$1103</f>
        <v>0</v>
      </c>
      <c r="AL983" s="97">
        <f>AC983/$AE$1103*AE983</f>
        <v>1.8007313858445829E-2</v>
      </c>
    </row>
    <row r="984" spans="1:38" x14ac:dyDescent="0.3">
      <c r="A984" s="7" t="s">
        <v>2487</v>
      </c>
      <c r="B984" s="7" t="s">
        <v>1768</v>
      </c>
      <c r="C984" s="7" t="s">
        <v>1323</v>
      </c>
      <c r="D984" s="7" t="s">
        <v>1324</v>
      </c>
      <c r="E984" s="7" t="s">
        <v>1739</v>
      </c>
      <c r="F984" s="36">
        <v>43831</v>
      </c>
      <c r="G984" s="36">
        <v>44926</v>
      </c>
      <c r="I984" s="36">
        <v>44926</v>
      </c>
      <c r="J984" s="7" t="s">
        <v>1696</v>
      </c>
      <c r="K984" s="8">
        <v>0</v>
      </c>
      <c r="L984" s="8">
        <v>0</v>
      </c>
      <c r="M984" s="8">
        <v>1800000.006914</v>
      </c>
      <c r="N984" s="8">
        <v>0</v>
      </c>
      <c r="O984" s="8">
        <v>0</v>
      </c>
      <c r="P984" s="8">
        <v>0</v>
      </c>
      <c r="Q984" s="8">
        <v>0</v>
      </c>
      <c r="R984" s="8">
        <f t="shared" si="216"/>
        <v>1800000.006914</v>
      </c>
      <c r="S984" s="8">
        <v>0</v>
      </c>
      <c r="T984" s="8">
        <v>0</v>
      </c>
      <c r="U984" s="8">
        <v>1800000</v>
      </c>
      <c r="V984" s="8">
        <v>0</v>
      </c>
      <c r="W984" s="8">
        <v>0</v>
      </c>
      <c r="X984" s="8">
        <v>0</v>
      </c>
      <c r="Y984" s="8">
        <v>1723621.563085</v>
      </c>
      <c r="Z984" s="8">
        <v>0</v>
      </c>
      <c r="AA984" s="7">
        <v>0</v>
      </c>
      <c r="AB984" s="8">
        <v>0</v>
      </c>
      <c r="AC984" s="7">
        <v>3</v>
      </c>
      <c r="AD984" s="7" t="s">
        <v>1226</v>
      </c>
      <c r="AE984" s="8">
        <v>0</v>
      </c>
      <c r="AF984" s="8">
        <v>0</v>
      </c>
      <c r="AG984" s="8">
        <v>0</v>
      </c>
      <c r="AH984" s="8">
        <v>0</v>
      </c>
      <c r="AI984" s="7" t="s">
        <v>1758</v>
      </c>
      <c r="AJ984" s="7">
        <f t="shared" ca="1" si="217"/>
        <v>1</v>
      </c>
      <c r="AK984" s="96">
        <f>(+AA984*AB984)/$AB$1102</f>
        <v>0</v>
      </c>
      <c r="AL984" s="97">
        <f>AC984/$AE$1102*AE984</f>
        <v>0</v>
      </c>
    </row>
    <row r="985" spans="1:38" x14ac:dyDescent="0.3">
      <c r="A985" s="7" t="s">
        <v>2487</v>
      </c>
      <c r="B985" s="7" t="s">
        <v>1768</v>
      </c>
      <c r="C985" s="7" t="s">
        <v>1323</v>
      </c>
      <c r="D985" s="7" t="s">
        <v>1324</v>
      </c>
      <c r="E985" s="7" t="s">
        <v>1739</v>
      </c>
      <c r="F985" s="36">
        <v>43831</v>
      </c>
      <c r="G985" s="36">
        <v>44926</v>
      </c>
      <c r="I985" s="36">
        <v>44926</v>
      </c>
      <c r="J985" s="7" t="s">
        <v>1699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f t="shared" si="216"/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7">
        <v>0</v>
      </c>
      <c r="AB985" s="8">
        <v>0</v>
      </c>
      <c r="AC985" s="7">
        <v>3</v>
      </c>
      <c r="AD985" s="7" t="s">
        <v>1226</v>
      </c>
      <c r="AE985" s="8">
        <v>50000</v>
      </c>
      <c r="AF985" s="8">
        <v>0</v>
      </c>
      <c r="AG985" s="8">
        <v>50000</v>
      </c>
      <c r="AH985" s="8">
        <v>0</v>
      </c>
      <c r="AI985" s="7" t="s">
        <v>1758</v>
      </c>
      <c r="AJ985" s="7">
        <f t="shared" ca="1" si="217"/>
        <v>2</v>
      </c>
      <c r="AK985" s="100">
        <f>(+AA985*AB985)/$AB$1103</f>
        <v>0</v>
      </c>
      <c r="AL985" s="97">
        <f>AC985/$AE$1103*AE985</f>
        <v>1.8007313858445829E-2</v>
      </c>
    </row>
    <row r="986" spans="1:38" x14ac:dyDescent="0.3">
      <c r="A986" s="7" t="s">
        <v>2488</v>
      </c>
      <c r="B986" s="7" t="s">
        <v>1768</v>
      </c>
      <c r="C986" s="7" t="s">
        <v>1323</v>
      </c>
      <c r="D986" s="7" t="s">
        <v>1324</v>
      </c>
      <c r="E986" s="7" t="s">
        <v>1739</v>
      </c>
      <c r="F986" s="36">
        <v>43831</v>
      </c>
      <c r="G986" s="36">
        <v>44926</v>
      </c>
      <c r="I986" s="36">
        <v>44926</v>
      </c>
      <c r="J986" s="7" t="s">
        <v>1239</v>
      </c>
      <c r="K986" s="8">
        <v>39643.300000000003</v>
      </c>
      <c r="L986" s="8">
        <v>1756.7040500000001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f t="shared" si="216"/>
        <v>41400.004050000003</v>
      </c>
      <c r="S986" s="8">
        <v>0</v>
      </c>
      <c r="T986" s="8">
        <v>1756.7040500000001</v>
      </c>
      <c r="U986" s="8">
        <v>0</v>
      </c>
      <c r="V986" s="8">
        <v>39643.29595</v>
      </c>
      <c r="W986" s="8">
        <v>0</v>
      </c>
      <c r="X986" s="8">
        <v>39643.295951</v>
      </c>
      <c r="Y986" s="8">
        <v>0</v>
      </c>
      <c r="Z986" s="8">
        <v>0</v>
      </c>
      <c r="AA986" s="7">
        <v>0</v>
      </c>
      <c r="AB986" s="8">
        <v>0</v>
      </c>
      <c r="AC986" s="7">
        <v>3</v>
      </c>
      <c r="AD986" s="7" t="s">
        <v>1226</v>
      </c>
      <c r="AE986" s="8">
        <v>0</v>
      </c>
      <c r="AF986" s="8">
        <v>0</v>
      </c>
      <c r="AG986" s="8">
        <v>0</v>
      </c>
      <c r="AH986" s="8">
        <v>0</v>
      </c>
      <c r="AI986" s="7" t="s">
        <v>1781</v>
      </c>
      <c r="AJ986" s="7">
        <f t="shared" ca="1" si="217"/>
        <v>1</v>
      </c>
      <c r="AK986" s="96">
        <f t="shared" ref="AK986:AK1004" si="220">(+AA986*AB986)/$AB$1101</f>
        <v>0</v>
      </c>
      <c r="AL986" s="97">
        <f t="shared" ref="AL986:AL1004" si="221">AC986/$AE$1101*AE986</f>
        <v>0</v>
      </c>
    </row>
    <row r="987" spans="1:38" x14ac:dyDescent="0.3">
      <c r="A987" s="7" t="s">
        <v>2488</v>
      </c>
      <c r="B987" s="7" t="s">
        <v>1768</v>
      </c>
      <c r="C987" s="7" t="s">
        <v>1323</v>
      </c>
      <c r="D987" s="7" t="s">
        <v>1324</v>
      </c>
      <c r="E987" s="7" t="s">
        <v>1739</v>
      </c>
      <c r="F987" s="36">
        <v>43831</v>
      </c>
      <c r="G987" s="36">
        <v>44926</v>
      </c>
      <c r="I987" s="36">
        <v>44926</v>
      </c>
      <c r="J987" s="7" t="s">
        <v>1699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f t="shared" si="216"/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7">
        <v>0</v>
      </c>
      <c r="AB987" s="8">
        <v>0</v>
      </c>
      <c r="AC987" s="7">
        <v>3</v>
      </c>
      <c r="AD987" s="7" t="s">
        <v>1226</v>
      </c>
      <c r="AE987" s="8">
        <v>1150</v>
      </c>
      <c r="AF987" s="8">
        <v>0</v>
      </c>
      <c r="AG987" s="8">
        <v>1150</v>
      </c>
      <c r="AH987" s="8">
        <v>0</v>
      </c>
      <c r="AI987" s="7" t="s">
        <v>1781</v>
      </c>
      <c r="AJ987" s="7">
        <f t="shared" ca="1" si="217"/>
        <v>2</v>
      </c>
      <c r="AK987" s="100">
        <f>(+AA987*AB987)/$AB$1103</f>
        <v>0</v>
      </c>
      <c r="AL987" s="97">
        <f>AC987/$AE$1103*AE987</f>
        <v>4.1416821874425407E-4</v>
      </c>
    </row>
    <row r="988" spans="1:38" x14ac:dyDescent="0.3">
      <c r="A988" s="7" t="s">
        <v>2489</v>
      </c>
      <c r="B988" s="7" t="s">
        <v>1768</v>
      </c>
      <c r="C988" s="7" t="s">
        <v>1323</v>
      </c>
      <c r="D988" s="7" t="s">
        <v>1324</v>
      </c>
      <c r="E988" s="7" t="s">
        <v>1739</v>
      </c>
      <c r="F988" s="36">
        <v>43831</v>
      </c>
      <c r="G988" s="36">
        <v>44926</v>
      </c>
      <c r="I988" s="36">
        <v>44926</v>
      </c>
      <c r="J988" s="7" t="s">
        <v>1696</v>
      </c>
      <c r="K988" s="8">
        <v>0</v>
      </c>
      <c r="L988" s="8">
        <v>0</v>
      </c>
      <c r="M988" s="8">
        <v>1800000.006914</v>
      </c>
      <c r="N988" s="8">
        <v>0</v>
      </c>
      <c r="O988" s="8">
        <v>0</v>
      </c>
      <c r="P988" s="8">
        <v>0</v>
      </c>
      <c r="Q988" s="8">
        <v>0</v>
      </c>
      <c r="R988" s="8">
        <f t="shared" si="216"/>
        <v>1800000.006914</v>
      </c>
      <c r="S988" s="8">
        <v>0</v>
      </c>
      <c r="T988" s="8">
        <v>0</v>
      </c>
      <c r="U988" s="8">
        <v>1800000</v>
      </c>
      <c r="V988" s="8">
        <v>0</v>
      </c>
      <c r="W988" s="8">
        <v>0</v>
      </c>
      <c r="X988" s="8">
        <v>0</v>
      </c>
      <c r="Y988" s="8">
        <v>1723621.563085</v>
      </c>
      <c r="Z988" s="8">
        <v>0</v>
      </c>
      <c r="AA988" s="7">
        <v>0</v>
      </c>
      <c r="AB988" s="8">
        <v>0</v>
      </c>
      <c r="AC988" s="7">
        <v>3</v>
      </c>
      <c r="AD988" s="7" t="s">
        <v>1226</v>
      </c>
      <c r="AE988" s="8">
        <v>0</v>
      </c>
      <c r="AF988" s="8">
        <v>0</v>
      </c>
      <c r="AG988" s="8">
        <v>0</v>
      </c>
      <c r="AH988" s="8">
        <v>0</v>
      </c>
      <c r="AI988" s="7" t="s">
        <v>1758</v>
      </c>
      <c r="AJ988" s="7">
        <f t="shared" ca="1" si="217"/>
        <v>1</v>
      </c>
      <c r="AK988" s="96">
        <f>(+AA988*AB988)/$AB$1102</f>
        <v>0</v>
      </c>
      <c r="AL988" s="97">
        <f>AC988/$AE$1102*AE988</f>
        <v>0</v>
      </c>
    </row>
    <row r="989" spans="1:38" x14ac:dyDescent="0.3">
      <c r="A989" s="7" t="s">
        <v>2489</v>
      </c>
      <c r="B989" s="7" t="s">
        <v>1768</v>
      </c>
      <c r="C989" s="7" t="s">
        <v>1323</v>
      </c>
      <c r="D989" s="7" t="s">
        <v>1324</v>
      </c>
      <c r="E989" s="7" t="s">
        <v>1739</v>
      </c>
      <c r="F989" s="36">
        <v>43831</v>
      </c>
      <c r="G989" s="36">
        <v>44926</v>
      </c>
      <c r="I989" s="36">
        <v>44926</v>
      </c>
      <c r="J989" s="7" t="s">
        <v>1699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f t="shared" si="216"/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7">
        <v>0</v>
      </c>
      <c r="AB989" s="8">
        <v>0</v>
      </c>
      <c r="AC989" s="7">
        <v>3</v>
      </c>
      <c r="AD989" s="7" t="s">
        <v>1226</v>
      </c>
      <c r="AE989" s="8">
        <v>50000</v>
      </c>
      <c r="AF989" s="8">
        <v>0</v>
      </c>
      <c r="AG989" s="8">
        <v>50000</v>
      </c>
      <c r="AH989" s="8">
        <v>0</v>
      </c>
      <c r="AI989" s="7" t="s">
        <v>1758</v>
      </c>
      <c r="AJ989" s="7">
        <f t="shared" ca="1" si="217"/>
        <v>2</v>
      </c>
      <c r="AK989" s="100">
        <f>(+AA989*AB989)/$AB$1103</f>
        <v>0</v>
      </c>
      <c r="AL989" s="97">
        <f>AC989/$AE$1103*AE989</f>
        <v>1.8007313858445829E-2</v>
      </c>
    </row>
    <row r="990" spans="1:38" x14ac:dyDescent="0.3">
      <c r="A990" s="7" t="s">
        <v>2490</v>
      </c>
      <c r="B990" s="7" t="s">
        <v>1768</v>
      </c>
      <c r="C990" s="7" t="s">
        <v>1769</v>
      </c>
      <c r="D990" s="7" t="s">
        <v>1324</v>
      </c>
      <c r="E990" s="7" t="s">
        <v>1322</v>
      </c>
      <c r="F990" s="36">
        <v>43831</v>
      </c>
      <c r="G990" s="36">
        <v>46022</v>
      </c>
      <c r="H990" s="36">
        <v>46022</v>
      </c>
      <c r="I990" s="36">
        <v>46022</v>
      </c>
      <c r="J990" s="7" t="s">
        <v>1239</v>
      </c>
      <c r="K990" s="8">
        <v>1441843.48</v>
      </c>
      <c r="L990" s="8">
        <v>151085.24260999999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f t="shared" si="216"/>
        <v>1592928.7226100001</v>
      </c>
      <c r="S990" s="8">
        <v>0</v>
      </c>
      <c r="T990" s="8">
        <v>148208.503692</v>
      </c>
      <c r="U990" s="8">
        <v>0</v>
      </c>
      <c r="V990" s="8">
        <v>1394648.6390519999</v>
      </c>
      <c r="W990" s="8">
        <v>0</v>
      </c>
      <c r="X990" s="8">
        <v>2883686.9703270001</v>
      </c>
      <c r="Y990" s="8">
        <v>0</v>
      </c>
      <c r="Z990" s="8">
        <v>0</v>
      </c>
      <c r="AA990" s="7">
        <v>3.0027400000000002</v>
      </c>
      <c r="AB990" s="8">
        <v>1489038.331275</v>
      </c>
      <c r="AC990" s="7">
        <v>2.318333</v>
      </c>
      <c r="AD990" s="7" t="s">
        <v>1226</v>
      </c>
      <c r="AE990" s="8">
        <v>1542857.1427440001</v>
      </c>
      <c r="AF990" s="8">
        <v>0</v>
      </c>
      <c r="AG990" s="8">
        <v>1542857.1427440001</v>
      </c>
      <c r="AH990" s="8">
        <v>0</v>
      </c>
      <c r="AI990" s="7" t="s">
        <v>1758</v>
      </c>
      <c r="AJ990" s="7">
        <f t="shared" ca="1" si="217"/>
        <v>1</v>
      </c>
      <c r="AK990" s="96">
        <f t="shared" si="220"/>
        <v>2.9952715985233191E-2</v>
      </c>
      <c r="AL990" s="97">
        <f t="shared" si="221"/>
        <v>2.2738202296801738E-2</v>
      </c>
    </row>
    <row r="991" spans="1:38" x14ac:dyDescent="0.3">
      <c r="A991" s="7" t="s">
        <v>2491</v>
      </c>
      <c r="B991" s="7" t="s">
        <v>1768</v>
      </c>
      <c r="C991" s="7" t="s">
        <v>1323</v>
      </c>
      <c r="D991" s="7" t="s">
        <v>1324</v>
      </c>
      <c r="E991" s="7" t="s">
        <v>1739</v>
      </c>
      <c r="F991" s="36">
        <v>43831</v>
      </c>
      <c r="G991" s="36">
        <v>44926</v>
      </c>
      <c r="I991" s="36">
        <v>44926</v>
      </c>
      <c r="J991" s="7" t="s">
        <v>1696</v>
      </c>
      <c r="K991" s="8">
        <v>0</v>
      </c>
      <c r="L991" s="8">
        <v>0</v>
      </c>
      <c r="M991" s="8">
        <v>1800000.006914</v>
      </c>
      <c r="N991" s="8">
        <v>0</v>
      </c>
      <c r="O991" s="8">
        <v>0</v>
      </c>
      <c r="P991" s="8">
        <v>0</v>
      </c>
      <c r="Q991" s="8">
        <v>0</v>
      </c>
      <c r="R991" s="8">
        <f t="shared" si="216"/>
        <v>1800000.006914</v>
      </c>
      <c r="S991" s="8">
        <v>0</v>
      </c>
      <c r="T991" s="8">
        <v>0</v>
      </c>
      <c r="U991" s="8">
        <v>1800000</v>
      </c>
      <c r="V991" s="8">
        <v>0</v>
      </c>
      <c r="W991" s="8">
        <v>0</v>
      </c>
      <c r="X991" s="8">
        <v>0</v>
      </c>
      <c r="Y991" s="8">
        <v>1723621.563085</v>
      </c>
      <c r="Z991" s="8">
        <v>0</v>
      </c>
      <c r="AA991" s="7">
        <v>0</v>
      </c>
      <c r="AB991" s="8">
        <v>0</v>
      </c>
      <c r="AC991" s="7">
        <v>3</v>
      </c>
      <c r="AD991" s="7" t="s">
        <v>1226</v>
      </c>
      <c r="AE991" s="8">
        <v>0</v>
      </c>
      <c r="AF991" s="8">
        <v>0</v>
      </c>
      <c r="AG991" s="8">
        <v>0</v>
      </c>
      <c r="AH991" s="8">
        <v>0</v>
      </c>
      <c r="AI991" s="7" t="s">
        <v>1758</v>
      </c>
      <c r="AJ991" s="7">
        <f t="shared" ca="1" si="217"/>
        <v>1</v>
      </c>
      <c r="AK991" s="96">
        <f>(+AA991*AB991)/$AB$1102</f>
        <v>0</v>
      </c>
      <c r="AL991" s="97">
        <f>AC991/$AE$1102*AE991</f>
        <v>0</v>
      </c>
    </row>
    <row r="992" spans="1:38" x14ac:dyDescent="0.3">
      <c r="A992" s="7" t="s">
        <v>2491</v>
      </c>
      <c r="B992" s="7" t="s">
        <v>1768</v>
      </c>
      <c r="C992" s="7" t="s">
        <v>1323</v>
      </c>
      <c r="D992" s="7" t="s">
        <v>1324</v>
      </c>
      <c r="E992" s="7" t="s">
        <v>1739</v>
      </c>
      <c r="F992" s="36">
        <v>43831</v>
      </c>
      <c r="G992" s="36">
        <v>44926</v>
      </c>
      <c r="I992" s="36">
        <v>44926</v>
      </c>
      <c r="J992" s="7" t="s">
        <v>1699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f t="shared" si="216"/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7">
        <v>0</v>
      </c>
      <c r="AB992" s="8">
        <v>0</v>
      </c>
      <c r="AC992" s="7">
        <v>3</v>
      </c>
      <c r="AD992" s="7" t="s">
        <v>1226</v>
      </c>
      <c r="AE992" s="8">
        <v>50000</v>
      </c>
      <c r="AF992" s="8">
        <v>0</v>
      </c>
      <c r="AG992" s="8">
        <v>50000</v>
      </c>
      <c r="AH992" s="8">
        <v>0</v>
      </c>
      <c r="AI992" s="7" t="s">
        <v>1758</v>
      </c>
      <c r="AJ992" s="7">
        <f t="shared" ca="1" si="217"/>
        <v>2</v>
      </c>
      <c r="AK992" s="100">
        <f>(+AA992*AB992)/$AB$1103</f>
        <v>0</v>
      </c>
      <c r="AL992" s="97">
        <f>AC992/$AE$1103*AE992</f>
        <v>1.8007313858445829E-2</v>
      </c>
    </row>
    <row r="993" spans="1:38" x14ac:dyDescent="0.3">
      <c r="A993" s="7" t="s">
        <v>2492</v>
      </c>
      <c r="B993" s="7" t="s">
        <v>1768</v>
      </c>
      <c r="C993" s="7" t="s">
        <v>1769</v>
      </c>
      <c r="D993" s="7" t="s">
        <v>1324</v>
      </c>
      <c r="E993" s="7" t="s">
        <v>1322</v>
      </c>
      <c r="F993" s="36">
        <v>43831</v>
      </c>
      <c r="G993" s="36">
        <v>46022</v>
      </c>
      <c r="H993" s="36">
        <v>46022</v>
      </c>
      <c r="I993" s="36">
        <v>46022</v>
      </c>
      <c r="J993" s="7" t="s">
        <v>1239</v>
      </c>
      <c r="K993" s="8">
        <v>1441843.48</v>
      </c>
      <c r="L993" s="8">
        <v>151085.24260999999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f t="shared" si="216"/>
        <v>1592928.7226100001</v>
      </c>
      <c r="S993" s="8">
        <v>0</v>
      </c>
      <c r="T993" s="8">
        <v>148208.503692</v>
      </c>
      <c r="U993" s="8">
        <v>0</v>
      </c>
      <c r="V993" s="8">
        <v>1394648.6390519999</v>
      </c>
      <c r="W993" s="8">
        <v>0</v>
      </c>
      <c r="X993" s="8">
        <v>2883686.9703270001</v>
      </c>
      <c r="Y993" s="8">
        <v>0</v>
      </c>
      <c r="Z993" s="8">
        <v>0</v>
      </c>
      <c r="AA993" s="7">
        <v>3.0027400000000002</v>
      </c>
      <c r="AB993" s="8">
        <v>1489038.331275</v>
      </c>
      <c r="AC993" s="7">
        <v>2.318333</v>
      </c>
      <c r="AD993" s="7" t="s">
        <v>1226</v>
      </c>
      <c r="AE993" s="8">
        <v>1542857.1427440001</v>
      </c>
      <c r="AF993" s="8">
        <v>0</v>
      </c>
      <c r="AG993" s="8">
        <v>1542857.1427440001</v>
      </c>
      <c r="AH993" s="8">
        <v>0</v>
      </c>
      <c r="AI993" s="7" t="s">
        <v>1758</v>
      </c>
      <c r="AJ993" s="7">
        <f t="shared" ca="1" si="217"/>
        <v>1</v>
      </c>
      <c r="AK993" s="96">
        <f t="shared" si="220"/>
        <v>2.9952715985233191E-2</v>
      </c>
      <c r="AL993" s="97">
        <f t="shared" si="221"/>
        <v>2.2738202296801738E-2</v>
      </c>
    </row>
    <row r="994" spans="1:38" x14ac:dyDescent="0.3">
      <c r="A994" s="7" t="s">
        <v>2493</v>
      </c>
      <c r="B994" s="7" t="s">
        <v>1320</v>
      </c>
      <c r="C994" s="7" t="s">
        <v>1769</v>
      </c>
      <c r="D994" s="7" t="s">
        <v>1324</v>
      </c>
      <c r="E994" s="7" t="s">
        <v>1322</v>
      </c>
      <c r="F994" s="36">
        <v>44682</v>
      </c>
      <c r="G994" s="36">
        <v>46022</v>
      </c>
      <c r="H994" s="36">
        <v>46022</v>
      </c>
      <c r="I994" s="36">
        <v>46022</v>
      </c>
      <c r="J994" s="7" t="s">
        <v>1239</v>
      </c>
      <c r="K994" s="8">
        <v>219.17</v>
      </c>
      <c r="L994" s="8">
        <v>17.088901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f t="shared" si="216"/>
        <v>236.25890099999998</v>
      </c>
      <c r="S994" s="8">
        <v>0</v>
      </c>
      <c r="T994" s="8">
        <v>15.135187</v>
      </c>
      <c r="U994" s="8">
        <v>0</v>
      </c>
      <c r="V994" s="8">
        <v>213.43624500000001</v>
      </c>
      <c r="W994" s="8">
        <v>0</v>
      </c>
      <c r="X994" s="8">
        <v>1205.4491860000001</v>
      </c>
      <c r="Y994" s="8">
        <v>0</v>
      </c>
      <c r="Z994" s="8">
        <v>0</v>
      </c>
      <c r="AA994" s="7">
        <v>3.0027400000000002</v>
      </c>
      <c r="AB994" s="8">
        <v>992.01294099999996</v>
      </c>
      <c r="AC994" s="7">
        <v>2.3633329999999999</v>
      </c>
      <c r="AD994" s="7" t="s">
        <v>1226</v>
      </c>
      <c r="AE994" s="8">
        <v>1028.5714439999999</v>
      </c>
      <c r="AF994" s="8">
        <v>0</v>
      </c>
      <c r="AG994" s="8">
        <v>1028.5714439999999</v>
      </c>
      <c r="AH994" s="8">
        <v>0</v>
      </c>
      <c r="AI994" s="7" t="s">
        <v>1781</v>
      </c>
      <c r="AJ994" s="7">
        <f t="shared" ca="1" si="217"/>
        <v>1</v>
      </c>
      <c r="AK994" s="96">
        <f t="shared" si="220"/>
        <v>1.9954813285435375E-5</v>
      </c>
      <c r="AL994" s="97">
        <f t="shared" si="221"/>
        <v>1.545304166361987E-5</v>
      </c>
    </row>
    <row r="995" spans="1:38" x14ac:dyDescent="0.3">
      <c r="A995" s="7" t="s">
        <v>2494</v>
      </c>
      <c r="B995" s="7" t="s">
        <v>1768</v>
      </c>
      <c r="C995" s="7" t="s">
        <v>1323</v>
      </c>
      <c r="D995" s="7" t="s">
        <v>1324</v>
      </c>
      <c r="E995" s="7" t="s">
        <v>1739</v>
      </c>
      <c r="F995" s="36">
        <v>43831</v>
      </c>
      <c r="G995" s="36">
        <v>44926</v>
      </c>
      <c r="I995" s="36">
        <v>44926</v>
      </c>
      <c r="J995" s="7" t="s">
        <v>1239</v>
      </c>
      <c r="K995" s="8">
        <v>39643.300000000003</v>
      </c>
      <c r="L995" s="8">
        <v>1756.7040500000001</v>
      </c>
      <c r="M995" s="8">
        <v>0</v>
      </c>
      <c r="N995" s="8">
        <v>0</v>
      </c>
      <c r="O995" s="8">
        <v>0</v>
      </c>
      <c r="P995" s="8">
        <v>-50</v>
      </c>
      <c r="Q995" s="8">
        <v>0</v>
      </c>
      <c r="R995" s="8">
        <f t="shared" si="216"/>
        <v>41350.004050000003</v>
      </c>
      <c r="S995" s="8">
        <v>0</v>
      </c>
      <c r="T995" s="8">
        <v>1756.7040500000001</v>
      </c>
      <c r="U995" s="8">
        <v>0</v>
      </c>
      <c r="V995" s="8">
        <v>39643.29595</v>
      </c>
      <c r="W995" s="8">
        <v>-50</v>
      </c>
      <c r="X995" s="8">
        <v>39643.295951</v>
      </c>
      <c r="Y995" s="8">
        <v>0</v>
      </c>
      <c r="Z995" s="8">
        <v>0</v>
      </c>
      <c r="AA995" s="7">
        <v>0</v>
      </c>
      <c r="AB995" s="8">
        <v>0</v>
      </c>
      <c r="AC995" s="7">
        <v>3</v>
      </c>
      <c r="AD995" s="7" t="s">
        <v>1226</v>
      </c>
      <c r="AE995" s="8">
        <v>0</v>
      </c>
      <c r="AF995" s="8">
        <v>0</v>
      </c>
      <c r="AG995" s="8">
        <v>0</v>
      </c>
      <c r="AH995" s="8">
        <v>0</v>
      </c>
      <c r="AI995" s="7" t="s">
        <v>1781</v>
      </c>
      <c r="AJ995" s="7">
        <f t="shared" ca="1" si="217"/>
        <v>1</v>
      </c>
      <c r="AK995" s="96">
        <f t="shared" si="220"/>
        <v>0</v>
      </c>
      <c r="AL995" s="97">
        <f t="shared" si="221"/>
        <v>0</v>
      </c>
    </row>
    <row r="996" spans="1:38" x14ac:dyDescent="0.3">
      <c r="A996" s="7" t="s">
        <v>2494</v>
      </c>
      <c r="B996" s="7" t="s">
        <v>1768</v>
      </c>
      <c r="C996" s="7" t="s">
        <v>1323</v>
      </c>
      <c r="D996" s="7" t="s">
        <v>1324</v>
      </c>
      <c r="E996" s="7" t="s">
        <v>1739</v>
      </c>
      <c r="F996" s="36">
        <v>43831</v>
      </c>
      <c r="G996" s="36">
        <v>44926</v>
      </c>
      <c r="I996" s="36">
        <v>44926</v>
      </c>
      <c r="J996" s="7" t="s">
        <v>1699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f t="shared" si="216"/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7">
        <v>0</v>
      </c>
      <c r="AB996" s="8">
        <v>0</v>
      </c>
      <c r="AC996" s="7">
        <v>3</v>
      </c>
      <c r="AD996" s="7" t="s">
        <v>1226</v>
      </c>
      <c r="AE996" s="8">
        <v>1150</v>
      </c>
      <c r="AF996" s="8">
        <v>0</v>
      </c>
      <c r="AG996" s="8">
        <v>1150</v>
      </c>
      <c r="AH996" s="8">
        <v>0</v>
      </c>
      <c r="AI996" s="7" t="s">
        <v>1781</v>
      </c>
      <c r="AJ996" s="7">
        <f t="shared" ca="1" si="217"/>
        <v>2</v>
      </c>
      <c r="AK996" s="100">
        <f>(+AA996*AB996)/$AB$1103</f>
        <v>0</v>
      </c>
      <c r="AL996" s="97">
        <f>AC996/$AE$1103*AE996</f>
        <v>4.1416821874425407E-4</v>
      </c>
    </row>
    <row r="997" spans="1:38" x14ac:dyDescent="0.3">
      <c r="A997" s="7" t="s">
        <v>2495</v>
      </c>
      <c r="B997" s="7" t="s">
        <v>1768</v>
      </c>
      <c r="C997" s="7" t="s">
        <v>1769</v>
      </c>
      <c r="D997" s="7" t="s">
        <v>1324</v>
      </c>
      <c r="E997" s="7" t="s">
        <v>1739</v>
      </c>
      <c r="F997" s="36">
        <v>43831</v>
      </c>
      <c r="G997" s="36">
        <v>44926</v>
      </c>
      <c r="I997" s="36">
        <v>46022</v>
      </c>
      <c r="J997" s="7" t="s">
        <v>1696</v>
      </c>
      <c r="K997" s="8">
        <v>0</v>
      </c>
      <c r="L997" s="8">
        <v>0</v>
      </c>
      <c r="M997" s="8">
        <v>306189.18965999997</v>
      </c>
      <c r="N997" s="8">
        <v>0</v>
      </c>
      <c r="O997" s="8">
        <v>0</v>
      </c>
      <c r="P997" s="8">
        <v>0</v>
      </c>
      <c r="Q997" s="8">
        <v>0</v>
      </c>
      <c r="R997" s="8">
        <f t="shared" si="216"/>
        <v>306189.18965999997</v>
      </c>
      <c r="S997" s="8">
        <v>0</v>
      </c>
      <c r="T997" s="8">
        <v>0</v>
      </c>
      <c r="U997" s="8">
        <v>288000.00003599998</v>
      </c>
      <c r="V997" s="8">
        <v>0</v>
      </c>
      <c r="W997" s="8">
        <v>0</v>
      </c>
      <c r="X997" s="8">
        <v>0</v>
      </c>
      <c r="Y997" s="8">
        <v>587000.25107600004</v>
      </c>
      <c r="Z997" s="8">
        <v>-314128.38287700003</v>
      </c>
      <c r="AA997" s="7">
        <v>3.0027400000000002</v>
      </c>
      <c r="AB997" s="8">
        <v>15980.577823</v>
      </c>
      <c r="AC997" s="7">
        <v>2.920417</v>
      </c>
      <c r="AD997" s="7" t="s">
        <v>1697</v>
      </c>
      <c r="AE997" s="8">
        <v>16000.000002000001</v>
      </c>
      <c r="AF997" s="8">
        <v>0</v>
      </c>
      <c r="AG997" s="8">
        <v>16000.000002000001</v>
      </c>
      <c r="AH997" s="8">
        <v>0</v>
      </c>
      <c r="AI997" s="7" t="s">
        <v>1758</v>
      </c>
      <c r="AJ997" s="7">
        <f t="shared" ca="1" si="217"/>
        <v>1</v>
      </c>
      <c r="AK997" s="96">
        <f>(+AA997*AB997)/$AB$1102</f>
        <v>4.2055661906182835E-5</v>
      </c>
      <c r="AL997" s="97">
        <f>AC997/$AE$1102*AE997</f>
        <v>3.9982185189495016E-5</v>
      </c>
    </row>
    <row r="998" spans="1:38" x14ac:dyDescent="0.3">
      <c r="A998" s="7" t="s">
        <v>2496</v>
      </c>
      <c r="B998" s="7" t="s">
        <v>1768</v>
      </c>
      <c r="C998" s="7" t="s">
        <v>1323</v>
      </c>
      <c r="D998" s="7" t="s">
        <v>1324</v>
      </c>
      <c r="E998" s="7" t="s">
        <v>1739</v>
      </c>
      <c r="F998" s="36">
        <v>43831</v>
      </c>
      <c r="G998" s="36">
        <v>44926</v>
      </c>
      <c r="I998" s="36">
        <v>46022</v>
      </c>
      <c r="J998" s="7" t="s">
        <v>1239</v>
      </c>
      <c r="K998" s="8">
        <v>11132.02749</v>
      </c>
      <c r="L998" s="8">
        <v>1038.783545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f t="shared" si="216"/>
        <v>12170.811035000001</v>
      </c>
      <c r="S998" s="8">
        <v>0</v>
      </c>
      <c r="T998" s="8">
        <v>1002.219275</v>
      </c>
      <c r="U998" s="8">
        <v>0</v>
      </c>
      <c r="V998" s="8">
        <v>13997.780725000001</v>
      </c>
      <c r="W998" s="8">
        <v>0</v>
      </c>
      <c r="X998" s="8">
        <v>22667.078265</v>
      </c>
      <c r="Y998" s="8">
        <v>0</v>
      </c>
      <c r="Z998" s="8">
        <v>-7455.8618100000003</v>
      </c>
      <c r="AA998" s="7">
        <v>3.0027400000000002</v>
      </c>
      <c r="AB998" s="8">
        <v>1213.4357299999999</v>
      </c>
      <c r="AC998" s="7">
        <v>2.920417</v>
      </c>
      <c r="AD998" s="7" t="s">
        <v>1697</v>
      </c>
      <c r="AE998" s="8">
        <v>1250</v>
      </c>
      <c r="AF998" s="8">
        <v>0</v>
      </c>
      <c r="AG998" s="8">
        <v>1250</v>
      </c>
      <c r="AH998" s="8">
        <v>0</v>
      </c>
      <c r="AI998" s="7" t="s">
        <v>1781</v>
      </c>
      <c r="AJ998" s="7">
        <f t="shared" ca="1" si="217"/>
        <v>1</v>
      </c>
      <c r="AK998" s="96">
        <f t="shared" si="220"/>
        <v>2.4408838257308551E-5</v>
      </c>
      <c r="AL998" s="97">
        <f t="shared" si="221"/>
        <v>2.3206490865280447E-5</v>
      </c>
    </row>
    <row r="999" spans="1:38" x14ac:dyDescent="0.3">
      <c r="A999" s="7" t="s">
        <v>2497</v>
      </c>
      <c r="B999" s="7" t="s">
        <v>1768</v>
      </c>
      <c r="C999" s="7" t="s">
        <v>1323</v>
      </c>
      <c r="D999" s="7" t="s">
        <v>1324</v>
      </c>
      <c r="E999" s="7" t="s">
        <v>1695</v>
      </c>
      <c r="F999" s="36">
        <v>43840</v>
      </c>
      <c r="G999" s="36">
        <v>44935</v>
      </c>
      <c r="H999" s="36">
        <v>44895</v>
      </c>
      <c r="I999" s="36">
        <v>44895</v>
      </c>
      <c r="J999" s="7" t="s">
        <v>1239</v>
      </c>
      <c r="K999" s="8">
        <v>7478293.5499999998</v>
      </c>
      <c r="L999" s="8">
        <v>343534.63693899999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f t="shared" si="216"/>
        <v>7821828.1869390002</v>
      </c>
      <c r="S999" s="8">
        <v>0</v>
      </c>
      <c r="T999" s="8">
        <v>343141.86885899998</v>
      </c>
      <c r="U999" s="8">
        <v>0</v>
      </c>
      <c r="V999" s="8">
        <v>7531858.1311410004</v>
      </c>
      <c r="W999" s="8">
        <v>0</v>
      </c>
      <c r="X999" s="8">
        <v>7756297.033884</v>
      </c>
      <c r="Y999" s="8">
        <v>0</v>
      </c>
      <c r="Z999" s="8">
        <v>-278003.47790499998</v>
      </c>
      <c r="AA999" s="7">
        <v>0</v>
      </c>
      <c r="AB999" s="8">
        <v>0</v>
      </c>
      <c r="AC999" s="7">
        <v>3</v>
      </c>
      <c r="AD999" s="7" t="s">
        <v>1226</v>
      </c>
      <c r="AE999" s="8">
        <v>0</v>
      </c>
      <c r="AF999" s="8">
        <v>0</v>
      </c>
      <c r="AG999" s="8">
        <v>0</v>
      </c>
      <c r="AH999" s="8">
        <v>0</v>
      </c>
      <c r="AI999" s="7" t="s">
        <v>1758</v>
      </c>
      <c r="AJ999" s="7">
        <f t="shared" ca="1" si="217"/>
        <v>1</v>
      </c>
      <c r="AK999" s="96">
        <f t="shared" si="220"/>
        <v>0</v>
      </c>
      <c r="AL999" s="97">
        <f t="shared" si="221"/>
        <v>0</v>
      </c>
    </row>
    <row r="1000" spans="1:38" x14ac:dyDescent="0.3">
      <c r="A1000" s="7" t="s">
        <v>2498</v>
      </c>
      <c r="B1000" s="7" t="s">
        <v>1768</v>
      </c>
      <c r="C1000" s="7" t="s">
        <v>1323</v>
      </c>
      <c r="D1000" s="7" t="s">
        <v>1324</v>
      </c>
      <c r="E1000" s="7" t="s">
        <v>1739</v>
      </c>
      <c r="F1000" s="36">
        <v>43831</v>
      </c>
      <c r="G1000" s="36">
        <v>44926</v>
      </c>
      <c r="I1000" s="36">
        <v>44926</v>
      </c>
      <c r="J1000" s="7" t="s">
        <v>1239</v>
      </c>
      <c r="K1000" s="8">
        <v>73869.594544000007</v>
      </c>
      <c r="L1000" s="8">
        <v>3273.3659419999999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f t="shared" si="216"/>
        <v>77142.960486000011</v>
      </c>
      <c r="S1000" s="8">
        <v>0</v>
      </c>
      <c r="T1000" s="8">
        <v>3273.3659419999999</v>
      </c>
      <c r="U1000" s="8">
        <v>0</v>
      </c>
      <c r="V1000" s="8">
        <v>73869.594058000002</v>
      </c>
      <c r="W1000" s="8">
        <v>0</v>
      </c>
      <c r="X1000" s="8">
        <v>73869.594054000001</v>
      </c>
      <c r="Y1000" s="8">
        <v>0</v>
      </c>
      <c r="Z1000" s="8">
        <v>0</v>
      </c>
      <c r="AA1000" s="7">
        <v>0</v>
      </c>
      <c r="AB1000" s="8">
        <v>0</v>
      </c>
      <c r="AC1000" s="7">
        <v>3</v>
      </c>
      <c r="AD1000" s="7" t="s">
        <v>1226</v>
      </c>
      <c r="AE1000" s="8">
        <v>0</v>
      </c>
      <c r="AF1000" s="8">
        <v>0</v>
      </c>
      <c r="AG1000" s="8">
        <v>0</v>
      </c>
      <c r="AH1000" s="8">
        <v>0</v>
      </c>
      <c r="AI1000" s="7" t="s">
        <v>1781</v>
      </c>
      <c r="AJ1000" s="7">
        <f t="shared" ca="1" si="217"/>
        <v>1</v>
      </c>
      <c r="AK1000" s="96">
        <f t="shared" si="220"/>
        <v>0</v>
      </c>
      <c r="AL1000" s="97">
        <f t="shared" si="221"/>
        <v>0</v>
      </c>
    </row>
    <row r="1001" spans="1:38" x14ac:dyDescent="0.3">
      <c r="A1001" s="7" t="s">
        <v>2498</v>
      </c>
      <c r="B1001" s="7" t="s">
        <v>1768</v>
      </c>
      <c r="C1001" s="7" t="s">
        <v>1323</v>
      </c>
      <c r="D1001" s="7" t="s">
        <v>1324</v>
      </c>
      <c r="E1001" s="7" t="s">
        <v>1739</v>
      </c>
      <c r="F1001" s="36">
        <v>43831</v>
      </c>
      <c r="G1001" s="36">
        <v>44926</v>
      </c>
      <c r="I1001" s="36">
        <v>44926</v>
      </c>
      <c r="J1001" s="7" t="s">
        <v>1699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f t="shared" si="216"/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7">
        <v>0</v>
      </c>
      <c r="AB1001" s="8">
        <v>0</v>
      </c>
      <c r="AC1001" s="7">
        <v>3</v>
      </c>
      <c r="AD1001" s="7" t="s">
        <v>1226</v>
      </c>
      <c r="AE1001" s="8">
        <v>2142.86</v>
      </c>
      <c r="AF1001" s="8">
        <v>0</v>
      </c>
      <c r="AG1001" s="8">
        <v>2142.86</v>
      </c>
      <c r="AH1001" s="8">
        <v>0</v>
      </c>
      <c r="AI1001" s="7" t="s">
        <v>1781</v>
      </c>
      <c r="AJ1001" s="7">
        <f t="shared" ca="1" si="217"/>
        <v>2</v>
      </c>
      <c r="AK1001" s="100">
        <f>(+AA1001*AB1001)/$AB$1103</f>
        <v>0</v>
      </c>
      <c r="AL1001" s="97">
        <f>AC1001/$AE$1103*AE1001</f>
        <v>7.7174305149418465E-4</v>
      </c>
    </row>
    <row r="1002" spans="1:38" x14ac:dyDescent="0.3">
      <c r="A1002" s="7" t="s">
        <v>2499</v>
      </c>
      <c r="B1002" s="7" t="s">
        <v>1768</v>
      </c>
      <c r="C1002" s="7" t="s">
        <v>1323</v>
      </c>
      <c r="D1002" s="7" t="s">
        <v>1324</v>
      </c>
      <c r="E1002" s="7" t="s">
        <v>1739</v>
      </c>
      <c r="F1002" s="36">
        <v>43831</v>
      </c>
      <c r="G1002" s="36">
        <v>44926</v>
      </c>
      <c r="I1002" s="36">
        <v>44926</v>
      </c>
      <c r="J1002" s="7" t="s">
        <v>1239</v>
      </c>
      <c r="K1002" s="8">
        <v>1670722.43</v>
      </c>
      <c r="L1002" s="8">
        <v>129277.56541900001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f t="shared" si="216"/>
        <v>1799999.995419</v>
      </c>
      <c r="S1002" s="8">
        <v>0</v>
      </c>
      <c r="T1002" s="8">
        <v>129277.56541900001</v>
      </c>
      <c r="U1002" s="8">
        <v>0</v>
      </c>
      <c r="V1002" s="8">
        <v>1670722.4345809999</v>
      </c>
      <c r="W1002" s="8">
        <v>0</v>
      </c>
      <c r="X1002" s="8">
        <v>1670722.4345780001</v>
      </c>
      <c r="Y1002" s="8">
        <v>0</v>
      </c>
      <c r="Z1002" s="8">
        <v>0</v>
      </c>
      <c r="AA1002" s="7">
        <v>0</v>
      </c>
      <c r="AB1002" s="8">
        <v>0</v>
      </c>
      <c r="AC1002" s="7">
        <v>3</v>
      </c>
      <c r="AD1002" s="7" t="s">
        <v>1226</v>
      </c>
      <c r="AE1002" s="8">
        <v>0</v>
      </c>
      <c r="AF1002" s="8">
        <v>0</v>
      </c>
      <c r="AG1002" s="8">
        <v>0</v>
      </c>
      <c r="AH1002" s="8">
        <v>0</v>
      </c>
      <c r="AI1002" s="7" t="s">
        <v>1758</v>
      </c>
      <c r="AJ1002" s="7">
        <f t="shared" ca="1" si="217"/>
        <v>1</v>
      </c>
      <c r="AK1002" s="96">
        <f t="shared" si="220"/>
        <v>0</v>
      </c>
      <c r="AL1002" s="97">
        <f t="shared" si="221"/>
        <v>0</v>
      </c>
    </row>
    <row r="1003" spans="1:38" x14ac:dyDescent="0.3">
      <c r="A1003" s="7" t="s">
        <v>2499</v>
      </c>
      <c r="B1003" s="7" t="s">
        <v>1768</v>
      </c>
      <c r="C1003" s="7" t="s">
        <v>1323</v>
      </c>
      <c r="D1003" s="7" t="s">
        <v>1324</v>
      </c>
      <c r="E1003" s="7" t="s">
        <v>1739</v>
      </c>
      <c r="F1003" s="36">
        <v>43831</v>
      </c>
      <c r="G1003" s="36">
        <v>44926</v>
      </c>
      <c r="I1003" s="36">
        <v>44926</v>
      </c>
      <c r="J1003" s="7" t="s">
        <v>1699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f t="shared" si="216"/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7">
        <v>0</v>
      </c>
      <c r="AB1003" s="8">
        <v>0</v>
      </c>
      <c r="AC1003" s="7">
        <v>3</v>
      </c>
      <c r="AD1003" s="7" t="s">
        <v>1226</v>
      </c>
      <c r="AE1003" s="8">
        <v>50000</v>
      </c>
      <c r="AF1003" s="8">
        <v>0</v>
      </c>
      <c r="AG1003" s="8">
        <v>50000</v>
      </c>
      <c r="AH1003" s="8">
        <v>0</v>
      </c>
      <c r="AI1003" s="7" t="s">
        <v>1758</v>
      </c>
      <c r="AJ1003" s="7">
        <f t="shared" ca="1" si="217"/>
        <v>2</v>
      </c>
      <c r="AK1003" s="100">
        <f>(+AA1003*AB1003)/$AB$1103</f>
        <v>0</v>
      </c>
      <c r="AL1003" s="97">
        <f>AC1003/$AE$1103*AE1003</f>
        <v>1.8007313858445829E-2</v>
      </c>
    </row>
    <row r="1004" spans="1:38" x14ac:dyDescent="0.3">
      <c r="A1004" s="7" t="s">
        <v>2500</v>
      </c>
      <c r="B1004" s="7" t="s">
        <v>1768</v>
      </c>
      <c r="C1004" s="7" t="s">
        <v>1323</v>
      </c>
      <c r="D1004" s="7" t="s">
        <v>1324</v>
      </c>
      <c r="E1004" s="7" t="s">
        <v>1322</v>
      </c>
      <c r="F1004" s="36">
        <v>43831</v>
      </c>
      <c r="G1004" s="36">
        <v>46022</v>
      </c>
      <c r="H1004" s="36">
        <v>46022</v>
      </c>
      <c r="I1004" s="36">
        <v>46022</v>
      </c>
      <c r="J1004" s="7" t="s">
        <v>1239</v>
      </c>
      <c r="K1004" s="8">
        <v>16821507.329999998</v>
      </c>
      <c r="L1004" s="8">
        <v>1762661.1638790001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f t="shared" si="216"/>
        <v>18584168.493878998</v>
      </c>
      <c r="S1004" s="8">
        <v>0</v>
      </c>
      <c r="T1004" s="8">
        <v>1729099.2098330001</v>
      </c>
      <c r="U1004" s="8">
        <v>0</v>
      </c>
      <c r="V1004" s="8">
        <v>16270900.790167</v>
      </c>
      <c r="W1004" s="8">
        <v>0</v>
      </c>
      <c r="X1004" s="8">
        <v>33643014.656286001</v>
      </c>
      <c r="Y1004" s="8">
        <v>0</v>
      </c>
      <c r="Z1004" s="8">
        <v>0</v>
      </c>
      <c r="AA1004" s="7">
        <v>3.0027400000000002</v>
      </c>
      <c r="AB1004" s="8">
        <v>17372113.866119001</v>
      </c>
      <c r="AC1004" s="7">
        <v>2.318333</v>
      </c>
      <c r="AD1004" s="7" t="s">
        <v>1226</v>
      </c>
      <c r="AE1004" s="8">
        <v>18000000</v>
      </c>
      <c r="AF1004" s="8">
        <v>0</v>
      </c>
      <c r="AG1004" s="8">
        <v>18000000</v>
      </c>
      <c r="AH1004" s="8">
        <v>0</v>
      </c>
      <c r="AI1004" s="7" t="s">
        <v>1758</v>
      </c>
      <c r="AJ1004" s="7">
        <f t="shared" ca="1" si="217"/>
        <v>1</v>
      </c>
      <c r="AK1004" s="96">
        <f t="shared" si="220"/>
        <v>0.34944835318607764</v>
      </c>
      <c r="AL1004" s="97">
        <f t="shared" si="221"/>
        <v>0.26527902681547405</v>
      </c>
    </row>
    <row r="1005" spans="1:38" x14ac:dyDescent="0.3">
      <c r="A1005" s="7" t="s">
        <v>2501</v>
      </c>
      <c r="B1005" s="7" t="s">
        <v>194</v>
      </c>
      <c r="D1005" s="7" t="s">
        <v>2335</v>
      </c>
      <c r="E1005" s="7" t="s">
        <v>1322</v>
      </c>
      <c r="F1005" s="36">
        <v>43800</v>
      </c>
      <c r="G1005" s="36">
        <v>45077</v>
      </c>
      <c r="H1005" s="36">
        <v>45077</v>
      </c>
      <c r="I1005" s="36">
        <v>45077</v>
      </c>
      <c r="J1005" s="7" t="s">
        <v>1696</v>
      </c>
      <c r="K1005" s="8">
        <v>0</v>
      </c>
      <c r="L1005" s="8">
        <v>0</v>
      </c>
      <c r="M1005" s="8">
        <v>193206.84254400001</v>
      </c>
      <c r="N1005" s="8">
        <v>0</v>
      </c>
      <c r="O1005" s="8">
        <v>0</v>
      </c>
      <c r="P1005" s="8">
        <v>0</v>
      </c>
      <c r="Q1005" s="8">
        <v>0</v>
      </c>
      <c r="R1005" s="8">
        <f t="shared" si="216"/>
        <v>193206.84254400001</v>
      </c>
      <c r="S1005" s="8">
        <v>0</v>
      </c>
      <c r="T1005" s="8">
        <v>0</v>
      </c>
      <c r="U1005" s="8">
        <v>193206.84254400001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7">
        <v>0.41369899999999998</v>
      </c>
      <c r="AB1005" s="8">
        <v>80035.976504000006</v>
      </c>
      <c r="AC1005" s="7">
        <v>3.5</v>
      </c>
      <c r="AD1005" s="7" t="s">
        <v>1226</v>
      </c>
      <c r="AE1005" s="8">
        <v>80502.851060000001</v>
      </c>
      <c r="AF1005" s="8">
        <v>0</v>
      </c>
      <c r="AG1005" s="8">
        <v>80502.851060000001</v>
      </c>
      <c r="AH1005" s="8">
        <v>0</v>
      </c>
      <c r="AI1005" s="7" t="s">
        <v>1781</v>
      </c>
      <c r="AJ1005" s="7">
        <f t="shared" ca="1" si="217"/>
        <v>1</v>
      </c>
      <c r="AK1005" s="96">
        <f t="shared" ref="AK1005:AK1011" si="222">(+AA1005*AB1005)/$AB$1102</f>
        <v>2.90191030075714E-5</v>
      </c>
      <c r="AL1005" s="97">
        <f t="shared" ref="AL1005:AL1011" si="223">AC1005/$AE$1102*AE1005</f>
        <v>2.4109099073786421E-4</v>
      </c>
    </row>
    <row r="1006" spans="1:38" x14ac:dyDescent="0.3">
      <c r="A1006" s="7" t="s">
        <v>2502</v>
      </c>
      <c r="B1006" s="7" t="s">
        <v>194</v>
      </c>
      <c r="C1006" s="7" t="s">
        <v>1323</v>
      </c>
      <c r="D1006" s="7" t="s">
        <v>1324</v>
      </c>
      <c r="E1006" s="7" t="s">
        <v>1322</v>
      </c>
      <c r="F1006" s="36">
        <v>43831</v>
      </c>
      <c r="G1006" s="36">
        <v>46022</v>
      </c>
      <c r="H1006" s="36">
        <v>46022</v>
      </c>
      <c r="I1006" s="36">
        <v>46387</v>
      </c>
      <c r="J1006" s="7" t="s">
        <v>1696</v>
      </c>
      <c r="K1006" s="8">
        <v>0</v>
      </c>
      <c r="L1006" s="8">
        <v>0</v>
      </c>
      <c r="M1006" s="8">
        <v>222037.81274299999</v>
      </c>
      <c r="N1006" s="8">
        <v>0</v>
      </c>
      <c r="O1006" s="8">
        <v>0</v>
      </c>
      <c r="P1006" s="8">
        <v>0</v>
      </c>
      <c r="Q1006" s="8">
        <v>0</v>
      </c>
      <c r="R1006" s="8">
        <f t="shared" si="216"/>
        <v>222037.81274299999</v>
      </c>
      <c r="S1006" s="8">
        <v>0</v>
      </c>
      <c r="T1006" s="8">
        <v>0</v>
      </c>
      <c r="U1006" s="8">
        <v>198000</v>
      </c>
      <c r="V1006" s="8">
        <v>0</v>
      </c>
      <c r="W1006" s="8">
        <v>0</v>
      </c>
      <c r="X1006" s="8">
        <v>0</v>
      </c>
      <c r="Y1006" s="8">
        <v>474033.98152099998</v>
      </c>
      <c r="Z1006" s="8">
        <v>4456.0936709999996</v>
      </c>
      <c r="AA1006" s="7">
        <v>4.0027400000000002</v>
      </c>
      <c r="AB1006" s="8">
        <v>309320.98793499998</v>
      </c>
      <c r="AC1006" s="7">
        <v>2.4550000000000001</v>
      </c>
      <c r="AD1006" s="7" t="s">
        <v>1726</v>
      </c>
      <c r="AE1006" s="8">
        <v>324604.79999999999</v>
      </c>
      <c r="AF1006" s="8">
        <v>0</v>
      </c>
      <c r="AG1006" s="8">
        <v>324604.79999999999</v>
      </c>
      <c r="AH1006" s="8">
        <v>0</v>
      </c>
      <c r="AI1006" s="7" t="s">
        <v>1758</v>
      </c>
      <c r="AJ1006" s="7">
        <f t="shared" ca="1" si="217"/>
        <v>1</v>
      </c>
      <c r="AK1006" s="96">
        <f t="shared" si="222"/>
        <v>1.0851281619449376E-3</v>
      </c>
      <c r="AL1006" s="97">
        <f t="shared" si="223"/>
        <v>6.8188024707387183E-4</v>
      </c>
    </row>
    <row r="1007" spans="1:38" x14ac:dyDescent="0.3">
      <c r="A1007" s="7" t="s">
        <v>2503</v>
      </c>
      <c r="B1007" s="7" t="s">
        <v>194</v>
      </c>
      <c r="C1007" s="7" t="s">
        <v>1323</v>
      </c>
      <c r="D1007" s="7" t="s">
        <v>1324</v>
      </c>
      <c r="E1007" s="7" t="s">
        <v>1322</v>
      </c>
      <c r="F1007" s="36">
        <v>43466</v>
      </c>
      <c r="G1007" s="36">
        <v>45657</v>
      </c>
      <c r="H1007" s="36">
        <v>45657</v>
      </c>
      <c r="I1007" s="36">
        <v>45657</v>
      </c>
      <c r="J1007" s="7" t="s">
        <v>1696</v>
      </c>
      <c r="K1007" s="8">
        <v>0</v>
      </c>
      <c r="L1007" s="8">
        <v>0</v>
      </c>
      <c r="M1007" s="8">
        <v>262800.00149</v>
      </c>
      <c r="N1007" s="8">
        <v>0</v>
      </c>
      <c r="O1007" s="8">
        <v>0</v>
      </c>
      <c r="P1007" s="8">
        <v>0</v>
      </c>
      <c r="Q1007" s="8">
        <v>0</v>
      </c>
      <c r="R1007" s="8">
        <f t="shared" si="216"/>
        <v>262800.00149</v>
      </c>
      <c r="S1007" s="8">
        <v>0</v>
      </c>
      <c r="T1007" s="8">
        <v>0</v>
      </c>
      <c r="U1007" s="8">
        <v>243000</v>
      </c>
      <c r="V1007" s="8">
        <v>0</v>
      </c>
      <c r="W1007" s="8">
        <v>0</v>
      </c>
      <c r="X1007" s="8">
        <v>0</v>
      </c>
      <c r="Y1007" s="8">
        <v>366463.25446299999</v>
      </c>
      <c r="Z1007" s="8">
        <v>0</v>
      </c>
      <c r="AA1007" s="7">
        <v>2.0027400000000002</v>
      </c>
      <c r="AB1007" s="8">
        <v>147894.145953</v>
      </c>
      <c r="AC1007" s="7">
        <v>2.318333</v>
      </c>
      <c r="AD1007" s="7" t="s">
        <v>1226</v>
      </c>
      <c r="AE1007" s="8">
        <v>151200</v>
      </c>
      <c r="AF1007" s="8">
        <v>0</v>
      </c>
      <c r="AG1007" s="8">
        <v>151200</v>
      </c>
      <c r="AH1007" s="8">
        <v>-32400</v>
      </c>
      <c r="AI1007" s="7" t="s">
        <v>1758</v>
      </c>
      <c r="AJ1007" s="7">
        <f t="shared" ca="1" si="217"/>
        <v>1</v>
      </c>
      <c r="AK1007" s="96">
        <f t="shared" si="222"/>
        <v>2.5959111308820594E-4</v>
      </c>
      <c r="AL1007" s="97">
        <f t="shared" si="223"/>
        <v>2.9993647572397307E-4</v>
      </c>
    </row>
    <row r="1008" spans="1:38" x14ac:dyDescent="0.3">
      <c r="A1008" s="7" t="s">
        <v>2504</v>
      </c>
      <c r="B1008" s="7" t="s">
        <v>194</v>
      </c>
      <c r="C1008" s="7" t="s">
        <v>1323</v>
      </c>
      <c r="D1008" s="7" t="s">
        <v>1324</v>
      </c>
      <c r="E1008" s="7" t="s">
        <v>1322</v>
      </c>
      <c r="F1008" s="36">
        <v>43101</v>
      </c>
      <c r="G1008" s="36">
        <v>45291</v>
      </c>
      <c r="H1008" s="36">
        <v>45291</v>
      </c>
      <c r="I1008" s="36">
        <v>45291</v>
      </c>
      <c r="J1008" s="7" t="s">
        <v>1696</v>
      </c>
      <c r="K1008" s="8">
        <v>0</v>
      </c>
      <c r="L1008" s="8">
        <v>0</v>
      </c>
      <c r="M1008" s="8">
        <v>240000.000661</v>
      </c>
      <c r="N1008" s="8">
        <v>0</v>
      </c>
      <c r="O1008" s="8">
        <v>0</v>
      </c>
      <c r="P1008" s="8">
        <v>0</v>
      </c>
      <c r="Q1008" s="8">
        <v>0</v>
      </c>
      <c r="R1008" s="8">
        <f t="shared" si="216"/>
        <v>240000.000661</v>
      </c>
      <c r="S1008" s="8">
        <v>0</v>
      </c>
      <c r="T1008" s="8">
        <v>0</v>
      </c>
      <c r="U1008" s="8">
        <v>240000</v>
      </c>
      <c r="V1008" s="8">
        <v>0</v>
      </c>
      <c r="W1008" s="8">
        <v>0</v>
      </c>
      <c r="X1008" s="8">
        <v>0</v>
      </c>
      <c r="Y1008" s="8">
        <v>269144.11725000001</v>
      </c>
      <c r="Z1008" s="8">
        <v>0</v>
      </c>
      <c r="AA1008" s="7">
        <v>1</v>
      </c>
      <c r="AB1008" s="8">
        <v>47494.207910999998</v>
      </c>
      <c r="AC1008" s="7">
        <v>2.318333</v>
      </c>
      <c r="AD1008" s="7" t="s">
        <v>1226</v>
      </c>
      <c r="AE1008" s="8">
        <v>48000</v>
      </c>
      <c r="AF1008" s="8">
        <v>0</v>
      </c>
      <c r="AG1008" s="8">
        <v>48000</v>
      </c>
      <c r="AH1008" s="8">
        <v>0</v>
      </c>
      <c r="AI1008" s="7" t="s">
        <v>1758</v>
      </c>
      <c r="AJ1008" s="7">
        <f t="shared" ca="1" si="217"/>
        <v>1</v>
      </c>
      <c r="AK1008" s="96">
        <f t="shared" si="222"/>
        <v>4.1625063975709159E-5</v>
      </c>
      <c r="AL1008" s="97">
        <f t="shared" si="223"/>
        <v>9.5217928801261291E-5</v>
      </c>
    </row>
    <row r="1009" spans="1:38" x14ac:dyDescent="0.3">
      <c r="A1009" s="7" t="s">
        <v>2505</v>
      </c>
      <c r="B1009" s="7" t="s">
        <v>194</v>
      </c>
      <c r="C1009" s="7" t="s">
        <v>1323</v>
      </c>
      <c r="D1009" s="7" t="s">
        <v>1324</v>
      </c>
      <c r="E1009" s="7" t="s">
        <v>1322</v>
      </c>
      <c r="F1009" s="36">
        <v>43831</v>
      </c>
      <c r="G1009" s="36">
        <v>46022</v>
      </c>
      <c r="H1009" s="36">
        <v>46022</v>
      </c>
      <c r="I1009" s="36">
        <v>46022</v>
      </c>
      <c r="J1009" s="7" t="s">
        <v>1696</v>
      </c>
      <c r="K1009" s="8">
        <v>0</v>
      </c>
      <c r="L1009" s="8">
        <v>0</v>
      </c>
      <c r="M1009" s="8">
        <v>126900.00120499999</v>
      </c>
      <c r="N1009" s="8">
        <v>0</v>
      </c>
      <c r="O1009" s="8">
        <v>0</v>
      </c>
      <c r="P1009" s="8">
        <v>0</v>
      </c>
      <c r="Q1009" s="8">
        <v>0</v>
      </c>
      <c r="R1009" s="8">
        <f t="shared" si="216"/>
        <v>126900.00120499999</v>
      </c>
      <c r="S1009" s="8">
        <v>0</v>
      </c>
      <c r="T1009" s="8">
        <v>0</v>
      </c>
      <c r="U1009" s="8">
        <v>126900</v>
      </c>
      <c r="V1009" s="8">
        <v>0</v>
      </c>
      <c r="W1009" s="8">
        <v>0</v>
      </c>
      <c r="X1009" s="8">
        <v>0</v>
      </c>
      <c r="Y1009" s="8">
        <v>237183.25332700001</v>
      </c>
      <c r="Z1009" s="8">
        <v>0</v>
      </c>
      <c r="AA1009" s="7">
        <v>3.0027400000000002</v>
      </c>
      <c r="AB1009" s="8">
        <v>122710.014532</v>
      </c>
      <c r="AC1009" s="7">
        <v>2.318333</v>
      </c>
      <c r="AD1009" s="7" t="s">
        <v>1226</v>
      </c>
      <c r="AE1009" s="8">
        <v>126900</v>
      </c>
      <c r="AF1009" s="8">
        <v>0</v>
      </c>
      <c r="AG1009" s="8">
        <v>126900</v>
      </c>
      <c r="AH1009" s="8">
        <v>0</v>
      </c>
      <c r="AI1009" s="7" t="s">
        <v>1758</v>
      </c>
      <c r="AJ1009" s="7">
        <f t="shared" ca="1" si="217"/>
        <v>1</v>
      </c>
      <c r="AK1009" s="96">
        <f t="shared" si="222"/>
        <v>3.2293268371267047E-4</v>
      </c>
      <c r="AL1009" s="97">
        <f t="shared" si="223"/>
        <v>2.5173239926833455E-4</v>
      </c>
    </row>
    <row r="1010" spans="1:38" x14ac:dyDescent="0.3">
      <c r="A1010" s="7" t="s">
        <v>2506</v>
      </c>
      <c r="B1010" s="7" t="s">
        <v>194</v>
      </c>
      <c r="C1010" s="7" t="s">
        <v>1323</v>
      </c>
      <c r="D1010" s="7" t="s">
        <v>1324</v>
      </c>
      <c r="E1010" s="7" t="s">
        <v>1322</v>
      </c>
      <c r="F1010" s="36">
        <v>44197</v>
      </c>
      <c r="G1010" s="36">
        <v>46387</v>
      </c>
      <c r="H1010" s="36">
        <v>46387</v>
      </c>
      <c r="I1010" s="36">
        <v>46387</v>
      </c>
      <c r="J1010" s="7" t="s">
        <v>1696</v>
      </c>
      <c r="K1010" s="8">
        <v>0</v>
      </c>
      <c r="L1010" s="8">
        <v>0</v>
      </c>
      <c r="M1010" s="8">
        <v>71976.003404000003</v>
      </c>
      <c r="N1010" s="8">
        <v>0</v>
      </c>
      <c r="O1010" s="8">
        <v>0</v>
      </c>
      <c r="P1010" s="8">
        <v>0</v>
      </c>
      <c r="Q1010" s="8">
        <v>0</v>
      </c>
      <c r="R1010" s="8">
        <f t="shared" si="216"/>
        <v>71976.003404000003</v>
      </c>
      <c r="S1010" s="8">
        <v>0</v>
      </c>
      <c r="T1010" s="8">
        <v>0</v>
      </c>
      <c r="U1010" s="8">
        <v>71976</v>
      </c>
      <c r="V1010" s="8">
        <v>0</v>
      </c>
      <c r="W1010" s="8">
        <v>0</v>
      </c>
      <c r="X1010" s="8">
        <v>0</v>
      </c>
      <c r="Y1010" s="8">
        <v>201790.80190799999</v>
      </c>
      <c r="Z1010" s="8">
        <v>0</v>
      </c>
      <c r="AA1010" s="7">
        <v>4.0027400000000002</v>
      </c>
      <c r="AB1010" s="8">
        <v>137617.825312</v>
      </c>
      <c r="AC1010" s="7">
        <v>2.318333</v>
      </c>
      <c r="AD1010" s="7" t="s">
        <v>1226</v>
      </c>
      <c r="AE1010" s="8">
        <v>143952</v>
      </c>
      <c r="AF1010" s="8">
        <v>0</v>
      </c>
      <c r="AG1010" s="8">
        <v>143952</v>
      </c>
      <c r="AH1010" s="8">
        <v>0</v>
      </c>
      <c r="AI1010" s="7" t="s">
        <v>1758</v>
      </c>
      <c r="AJ1010" s="7">
        <f t="shared" ca="1" si="217"/>
        <v>1</v>
      </c>
      <c r="AK1010" s="96">
        <f t="shared" si="222"/>
        <v>4.8277673890997187E-4</v>
      </c>
      <c r="AL1010" s="97">
        <f t="shared" si="223"/>
        <v>2.8555856847498263E-4</v>
      </c>
    </row>
    <row r="1011" spans="1:38" x14ac:dyDescent="0.3">
      <c r="A1011" s="7" t="s">
        <v>2507</v>
      </c>
      <c r="B1011" s="7" t="s">
        <v>194</v>
      </c>
      <c r="C1011" s="7" t="s">
        <v>1323</v>
      </c>
      <c r="D1011" s="7" t="s">
        <v>1324</v>
      </c>
      <c r="E1011" s="7" t="s">
        <v>1750</v>
      </c>
      <c r="F1011" s="36">
        <v>42005</v>
      </c>
      <c r="G1011" s="36">
        <v>44926</v>
      </c>
      <c r="H1011" s="36">
        <v>45291</v>
      </c>
      <c r="I1011" s="36">
        <v>45291</v>
      </c>
      <c r="J1011" s="7" t="s">
        <v>1696</v>
      </c>
      <c r="K1011" s="8">
        <v>0</v>
      </c>
      <c r="L1011" s="8">
        <v>0</v>
      </c>
      <c r="M1011" s="8">
        <v>240046.14743400001</v>
      </c>
      <c r="N1011" s="8">
        <v>0</v>
      </c>
      <c r="O1011" s="8">
        <v>0</v>
      </c>
      <c r="P1011" s="8">
        <v>0</v>
      </c>
      <c r="Q1011" s="8">
        <v>0</v>
      </c>
      <c r="R1011" s="8">
        <f t="shared" si="216"/>
        <v>240046.14743400001</v>
      </c>
      <c r="S1011" s="8">
        <v>0</v>
      </c>
      <c r="T1011" s="8">
        <v>0</v>
      </c>
      <c r="U1011" s="8">
        <v>240000</v>
      </c>
      <c r="V1011" s="8">
        <v>0</v>
      </c>
      <c r="W1011" s="8">
        <v>0</v>
      </c>
      <c r="X1011" s="8">
        <v>0</v>
      </c>
      <c r="Y1011" s="8">
        <v>219288.8965</v>
      </c>
      <c r="Z1011" s="8">
        <v>30330.658607000001</v>
      </c>
      <c r="AA1011" s="7">
        <v>1</v>
      </c>
      <c r="AB1011" s="8">
        <v>30371.992541</v>
      </c>
      <c r="AC1011" s="7">
        <v>1.6353329999999999</v>
      </c>
      <c r="AD1011" s="7" t="s">
        <v>1697</v>
      </c>
      <c r="AE1011" s="8">
        <v>30600</v>
      </c>
      <c r="AF1011" s="8">
        <v>0</v>
      </c>
      <c r="AG1011" s="8">
        <v>30600</v>
      </c>
      <c r="AH1011" s="8">
        <v>0</v>
      </c>
      <c r="AI1011" s="7" t="s">
        <v>1758</v>
      </c>
      <c r="AJ1011" s="7">
        <f t="shared" ca="1" si="217"/>
        <v>1</v>
      </c>
      <c r="AK1011" s="96">
        <f t="shared" si="222"/>
        <v>2.6618743383571204E-5</v>
      </c>
      <c r="AL1011" s="97">
        <f t="shared" si="223"/>
        <v>4.2818288395034303E-5</v>
      </c>
    </row>
    <row r="1012" spans="1:38" x14ac:dyDescent="0.3">
      <c r="A1012" s="7" t="s">
        <v>2508</v>
      </c>
      <c r="B1012" s="7" t="s">
        <v>1320</v>
      </c>
      <c r="C1012" s="7" t="s">
        <v>1323</v>
      </c>
      <c r="D1012" s="7" t="s">
        <v>1324</v>
      </c>
      <c r="E1012" s="7" t="s">
        <v>1695</v>
      </c>
      <c r="F1012" s="36">
        <v>41883</v>
      </c>
      <c r="G1012" s="36">
        <v>43708</v>
      </c>
      <c r="H1012" s="36">
        <v>44895</v>
      </c>
      <c r="I1012" s="36">
        <v>44895</v>
      </c>
      <c r="J1012" s="7" t="s">
        <v>1699</v>
      </c>
      <c r="K1012" s="8">
        <v>0</v>
      </c>
      <c r="L1012" s="8">
        <v>0</v>
      </c>
      <c r="M1012" s="8">
        <v>0</v>
      </c>
      <c r="N1012" s="8">
        <v>130369.58</v>
      </c>
      <c r="O1012" s="8">
        <v>0</v>
      </c>
      <c r="P1012" s="8">
        <v>0</v>
      </c>
      <c r="Q1012" s="8">
        <v>0</v>
      </c>
      <c r="R1012" s="8">
        <f t="shared" si="216"/>
        <v>130369.58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7">
        <v>0</v>
      </c>
      <c r="AB1012" s="8">
        <v>0</v>
      </c>
      <c r="AC1012" s="7">
        <v>2.181667</v>
      </c>
      <c r="AD1012" s="7" t="s">
        <v>1226</v>
      </c>
      <c r="AE1012" s="8">
        <v>0</v>
      </c>
      <c r="AF1012" s="8">
        <v>0</v>
      </c>
      <c r="AG1012" s="8">
        <v>0</v>
      </c>
      <c r="AH1012" s="8">
        <v>0</v>
      </c>
      <c r="AI1012" s="7" t="s">
        <v>1758</v>
      </c>
      <c r="AJ1012" s="7">
        <f t="shared" ca="1" si="217"/>
        <v>1</v>
      </c>
      <c r="AK1012" s="100">
        <f>(+AA1012*AB1012)/$AB$1103</f>
        <v>0</v>
      </c>
      <c r="AL1012" s="97">
        <f>AC1012/$AE$1103*AE1012</f>
        <v>0</v>
      </c>
    </row>
    <row r="1013" spans="1:38" x14ac:dyDescent="0.3">
      <c r="A1013" s="7" t="s">
        <v>2509</v>
      </c>
      <c r="B1013" s="7" t="s">
        <v>194</v>
      </c>
      <c r="C1013" s="7" t="s">
        <v>1323</v>
      </c>
      <c r="D1013" s="7" t="s">
        <v>2510</v>
      </c>
      <c r="E1013" s="7" t="s">
        <v>1322</v>
      </c>
      <c r="F1013" s="36">
        <v>44197</v>
      </c>
      <c r="G1013" s="36">
        <v>45291</v>
      </c>
      <c r="H1013" s="36">
        <v>45291</v>
      </c>
      <c r="I1013" s="36">
        <v>45291</v>
      </c>
      <c r="J1013" s="7" t="s">
        <v>1696</v>
      </c>
      <c r="K1013" s="8">
        <v>0</v>
      </c>
      <c r="L1013" s="8">
        <v>0</v>
      </c>
      <c r="M1013" s="8">
        <v>14814.720235999999</v>
      </c>
      <c r="N1013" s="8">
        <v>0</v>
      </c>
      <c r="O1013" s="8">
        <v>0</v>
      </c>
      <c r="P1013" s="8">
        <v>0</v>
      </c>
      <c r="Q1013" s="8">
        <v>0</v>
      </c>
      <c r="R1013" s="8">
        <f t="shared" si="216"/>
        <v>14814.720235999999</v>
      </c>
      <c r="S1013" s="8">
        <v>0</v>
      </c>
      <c r="T1013" s="8">
        <v>0</v>
      </c>
      <c r="U1013" s="8">
        <v>14814.72</v>
      </c>
      <c r="V1013" s="8">
        <v>0</v>
      </c>
      <c r="W1013" s="8">
        <v>0</v>
      </c>
      <c r="X1013" s="8">
        <v>0</v>
      </c>
      <c r="Y1013" s="8">
        <v>21279.142369000001</v>
      </c>
      <c r="Z1013" s="8">
        <v>0</v>
      </c>
      <c r="AA1013" s="7">
        <v>1</v>
      </c>
      <c r="AB1013" s="8">
        <v>7306.602605</v>
      </c>
      <c r="AC1013" s="7">
        <v>3</v>
      </c>
      <c r="AD1013" s="7" t="s">
        <v>1226</v>
      </c>
      <c r="AE1013" s="8">
        <v>7407.36</v>
      </c>
      <c r="AF1013" s="8">
        <v>0</v>
      </c>
      <c r="AG1013" s="8">
        <v>7407.36</v>
      </c>
      <c r="AH1013" s="8">
        <v>0</v>
      </c>
      <c r="AI1013" s="7" t="s">
        <v>1781</v>
      </c>
      <c r="AJ1013" s="7">
        <f t="shared" ca="1" si="217"/>
        <v>1</v>
      </c>
      <c r="AK1013" s="96">
        <f t="shared" ref="AK1013:AK1014" si="224">(+AA1013*AB1013)/$AB$1102</f>
        <v>6.4036819278707816E-6</v>
      </c>
      <c r="AL1013" s="97">
        <f t="shared" ref="AL1013:AL1014" si="225">AC1013/$AE$1102*AE1013</f>
        <v>1.9014564481388964E-5</v>
      </c>
    </row>
    <row r="1014" spans="1:38" x14ac:dyDescent="0.3">
      <c r="A1014" s="7" t="s">
        <v>2511</v>
      </c>
      <c r="B1014" s="7" t="s">
        <v>1320</v>
      </c>
      <c r="C1014" s="7" t="s">
        <v>1323</v>
      </c>
      <c r="D1014" s="7" t="s">
        <v>1792</v>
      </c>
      <c r="E1014" s="7" t="s">
        <v>1739</v>
      </c>
      <c r="F1014" s="36">
        <v>43831</v>
      </c>
      <c r="G1014" s="36">
        <v>44926</v>
      </c>
      <c r="I1014" s="36">
        <v>44926</v>
      </c>
      <c r="J1014" s="7" t="s">
        <v>1696</v>
      </c>
      <c r="K1014" s="8">
        <v>0</v>
      </c>
      <c r="L1014" s="8">
        <v>0</v>
      </c>
      <c r="M1014" s="8">
        <v>4500</v>
      </c>
      <c r="N1014" s="8">
        <v>0</v>
      </c>
      <c r="O1014" s="8">
        <v>0</v>
      </c>
      <c r="P1014" s="8">
        <v>0</v>
      </c>
      <c r="Q1014" s="8">
        <v>0</v>
      </c>
      <c r="R1014" s="8">
        <f t="shared" si="216"/>
        <v>4500</v>
      </c>
      <c r="S1014" s="8">
        <v>0</v>
      </c>
      <c r="T1014" s="8">
        <v>0</v>
      </c>
      <c r="U1014" s="8">
        <v>4500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7">
        <v>0</v>
      </c>
      <c r="AB1014" s="8">
        <v>0</v>
      </c>
      <c r="AC1014" s="7">
        <v>2.0299999999999998</v>
      </c>
      <c r="AD1014" s="7" t="s">
        <v>1226</v>
      </c>
      <c r="AE1014" s="8">
        <v>0</v>
      </c>
      <c r="AF1014" s="8">
        <v>0</v>
      </c>
      <c r="AG1014" s="8">
        <v>0</v>
      </c>
      <c r="AH1014" s="8">
        <v>0</v>
      </c>
      <c r="AI1014" s="7" t="s">
        <v>1760</v>
      </c>
      <c r="AJ1014" s="7">
        <f t="shared" ca="1" si="217"/>
        <v>1</v>
      </c>
      <c r="AK1014" s="96">
        <f t="shared" si="224"/>
        <v>0</v>
      </c>
      <c r="AL1014" s="97">
        <f t="shared" si="225"/>
        <v>0</v>
      </c>
    </row>
    <row r="1015" spans="1:38" x14ac:dyDescent="0.3">
      <c r="A1015" s="7" t="s">
        <v>2511</v>
      </c>
      <c r="B1015" s="7" t="s">
        <v>1320</v>
      </c>
      <c r="C1015" s="7" t="s">
        <v>1323</v>
      </c>
      <c r="D1015" s="7" t="s">
        <v>1792</v>
      </c>
      <c r="E1015" s="7" t="s">
        <v>1739</v>
      </c>
      <c r="F1015" s="36">
        <v>43831</v>
      </c>
      <c r="G1015" s="36">
        <v>44926</v>
      </c>
      <c r="I1015" s="36">
        <v>44926</v>
      </c>
      <c r="J1015" s="7" t="s">
        <v>1699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f t="shared" si="216"/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7">
        <v>0</v>
      </c>
      <c r="AB1015" s="8">
        <v>0</v>
      </c>
      <c r="AC1015" s="7">
        <v>2.0299999999999998</v>
      </c>
      <c r="AD1015" s="7" t="s">
        <v>1226</v>
      </c>
      <c r="AE1015" s="8">
        <v>375</v>
      </c>
      <c r="AF1015" s="8">
        <v>0</v>
      </c>
      <c r="AG1015" s="8">
        <v>375</v>
      </c>
      <c r="AH1015" s="8">
        <v>0</v>
      </c>
      <c r="AI1015" s="7" t="s">
        <v>1760</v>
      </c>
      <c r="AJ1015" s="7">
        <f t="shared" ca="1" si="217"/>
        <v>2</v>
      </c>
      <c r="AK1015" s="100">
        <f>(+AA1015*AB1015)/$AB$1103</f>
        <v>0</v>
      </c>
      <c r="AL1015" s="97">
        <f>AC1015/$AE$1103*AE1015</f>
        <v>9.1387117831612588E-5</v>
      </c>
    </row>
    <row r="1016" spans="1:38" x14ac:dyDescent="0.3">
      <c r="A1016" s="7" t="s">
        <v>2512</v>
      </c>
      <c r="B1016" s="7" t="s">
        <v>194</v>
      </c>
      <c r="C1016" s="7" t="s">
        <v>1323</v>
      </c>
      <c r="D1016" s="7" t="s">
        <v>1849</v>
      </c>
      <c r="E1016" s="7" t="s">
        <v>1322</v>
      </c>
      <c r="F1016" s="36">
        <v>44197</v>
      </c>
      <c r="G1016" s="36">
        <v>45291</v>
      </c>
      <c r="H1016" s="36">
        <v>45291</v>
      </c>
      <c r="I1016" s="36">
        <v>45291</v>
      </c>
      <c r="J1016" s="7" t="s">
        <v>1696</v>
      </c>
      <c r="K1016" s="8">
        <v>0</v>
      </c>
      <c r="L1016" s="8">
        <v>0</v>
      </c>
      <c r="M1016" s="8">
        <v>151062.57164099999</v>
      </c>
      <c r="N1016" s="8">
        <v>0</v>
      </c>
      <c r="O1016" s="8">
        <v>0</v>
      </c>
      <c r="P1016" s="8">
        <v>0</v>
      </c>
      <c r="Q1016" s="8">
        <v>0</v>
      </c>
      <c r="R1016" s="8">
        <f t="shared" si="216"/>
        <v>151062.57164099999</v>
      </c>
      <c r="S1016" s="8">
        <v>0</v>
      </c>
      <c r="T1016" s="8">
        <v>0</v>
      </c>
      <c r="U1016" s="8">
        <v>151062.576</v>
      </c>
      <c r="V1016" s="8">
        <v>0</v>
      </c>
      <c r="W1016" s="8">
        <v>0</v>
      </c>
      <c r="X1016" s="8">
        <v>0</v>
      </c>
      <c r="Y1016" s="8">
        <v>210887.91969099999</v>
      </c>
      <c r="Z1016" s="8">
        <v>0</v>
      </c>
      <c r="AA1016" s="7">
        <v>1</v>
      </c>
      <c r="AB1016" s="8">
        <v>73831.165332000004</v>
      </c>
      <c r="AC1016" s="7">
        <v>5</v>
      </c>
      <c r="AD1016" s="7" t="s">
        <v>1226</v>
      </c>
      <c r="AE1016" s="8">
        <v>75531.288</v>
      </c>
      <c r="AF1016" s="8">
        <v>0</v>
      </c>
      <c r="AG1016" s="8">
        <v>75531.288</v>
      </c>
      <c r="AH1016" s="8">
        <v>0</v>
      </c>
      <c r="AI1016" s="7" t="s">
        <v>1781</v>
      </c>
      <c r="AJ1016" s="7">
        <f t="shared" ca="1" si="217"/>
        <v>1</v>
      </c>
      <c r="AK1016" s="96">
        <f t="shared" ref="AK1016:AK1018" si="226">(+AA1016*AB1016)/$AB$1102</f>
        <v>6.4707405713652902E-5</v>
      </c>
      <c r="AL1016" s="97">
        <f t="shared" ref="AL1016:AL1018" si="227">AC1016/$AE$1102*AE1016</f>
        <v>3.2314584099201355E-4</v>
      </c>
    </row>
    <row r="1017" spans="1:38" x14ac:dyDescent="0.3">
      <c r="A1017" s="7" t="s">
        <v>2513</v>
      </c>
      <c r="B1017" s="7" t="s">
        <v>194</v>
      </c>
      <c r="C1017" s="7" t="s">
        <v>1323</v>
      </c>
      <c r="D1017" s="7" t="s">
        <v>1849</v>
      </c>
      <c r="E1017" s="7" t="s">
        <v>1322</v>
      </c>
      <c r="F1017" s="36">
        <v>44197</v>
      </c>
      <c r="G1017" s="36">
        <v>45291</v>
      </c>
      <c r="H1017" s="36">
        <v>45291</v>
      </c>
      <c r="I1017" s="36">
        <v>45291</v>
      </c>
      <c r="J1017" s="7" t="s">
        <v>1696</v>
      </c>
      <c r="K1017" s="8">
        <v>0</v>
      </c>
      <c r="L1017" s="8">
        <v>0</v>
      </c>
      <c r="M1017" s="8">
        <v>12381.352292</v>
      </c>
      <c r="N1017" s="8">
        <v>0</v>
      </c>
      <c r="O1017" s="8">
        <v>0</v>
      </c>
      <c r="P1017" s="8">
        <v>0</v>
      </c>
      <c r="Q1017" s="8">
        <v>0</v>
      </c>
      <c r="R1017" s="8">
        <f t="shared" si="216"/>
        <v>12381.352292</v>
      </c>
      <c r="S1017" s="8">
        <v>0</v>
      </c>
      <c r="T1017" s="8">
        <v>0</v>
      </c>
      <c r="U1017" s="8">
        <v>12381.36</v>
      </c>
      <c r="V1017" s="8">
        <v>0</v>
      </c>
      <c r="W1017" s="8">
        <v>0</v>
      </c>
      <c r="X1017" s="8">
        <v>0</v>
      </c>
      <c r="Y1017" s="8">
        <v>17284.752601</v>
      </c>
      <c r="Z1017" s="8">
        <v>0</v>
      </c>
      <c r="AA1017" s="7">
        <v>1</v>
      </c>
      <c r="AB1017" s="8">
        <v>6051.3348930000002</v>
      </c>
      <c r="AC1017" s="7">
        <v>5</v>
      </c>
      <c r="AD1017" s="7" t="s">
        <v>1226</v>
      </c>
      <c r="AE1017" s="8">
        <v>6190.68</v>
      </c>
      <c r="AF1017" s="8">
        <v>0</v>
      </c>
      <c r="AG1017" s="8">
        <v>6190.68</v>
      </c>
      <c r="AH1017" s="8">
        <v>0</v>
      </c>
      <c r="AI1017" s="7" t="s">
        <v>1781</v>
      </c>
      <c r="AJ1017" s="7">
        <f t="shared" ca="1" si="217"/>
        <v>1</v>
      </c>
      <c r="AK1017" s="96">
        <f t="shared" si="226"/>
        <v>5.3035351706797757E-6</v>
      </c>
      <c r="AL1017" s="97">
        <f t="shared" si="227"/>
        <v>2.6485613417746012E-5</v>
      </c>
    </row>
    <row r="1018" spans="1:38" x14ac:dyDescent="0.3">
      <c r="A1018" s="7" t="s">
        <v>2514</v>
      </c>
      <c r="B1018" s="7" t="s">
        <v>194</v>
      </c>
      <c r="C1018" s="7" t="s">
        <v>1323</v>
      </c>
      <c r="D1018" s="7" t="s">
        <v>1849</v>
      </c>
      <c r="E1018" s="7" t="s">
        <v>1322</v>
      </c>
      <c r="F1018" s="36">
        <v>44197</v>
      </c>
      <c r="G1018" s="36">
        <v>45291</v>
      </c>
      <c r="H1018" s="36">
        <v>45291</v>
      </c>
      <c r="I1018" s="36">
        <v>45291</v>
      </c>
      <c r="J1018" s="7" t="s">
        <v>1696</v>
      </c>
      <c r="K1018" s="8">
        <v>0</v>
      </c>
      <c r="L1018" s="8">
        <v>0</v>
      </c>
      <c r="M1018" s="8">
        <v>2553.3656989999999</v>
      </c>
      <c r="N1018" s="8">
        <v>0</v>
      </c>
      <c r="O1018" s="8">
        <v>0</v>
      </c>
      <c r="P1018" s="8">
        <v>0</v>
      </c>
      <c r="Q1018" s="8">
        <v>0</v>
      </c>
      <c r="R1018" s="8">
        <f t="shared" si="216"/>
        <v>2553.3656989999999</v>
      </c>
      <c r="S1018" s="8">
        <v>0</v>
      </c>
      <c r="T1018" s="8">
        <v>0</v>
      </c>
      <c r="U1018" s="8">
        <v>2553.36</v>
      </c>
      <c r="V1018" s="8">
        <v>0</v>
      </c>
      <c r="W1018" s="8">
        <v>0</v>
      </c>
      <c r="X1018" s="8">
        <v>0</v>
      </c>
      <c r="Y1018" s="8">
        <v>3564.567697</v>
      </c>
      <c r="Z1018" s="8">
        <v>0</v>
      </c>
      <c r="AA1018" s="7">
        <v>1</v>
      </c>
      <c r="AB1018" s="8">
        <v>1247.9433959999999</v>
      </c>
      <c r="AC1018" s="7">
        <v>5</v>
      </c>
      <c r="AD1018" s="7" t="s">
        <v>1226</v>
      </c>
      <c r="AE1018" s="8">
        <v>1276.68</v>
      </c>
      <c r="AF1018" s="8">
        <v>0</v>
      </c>
      <c r="AG1018" s="8">
        <v>1276.68</v>
      </c>
      <c r="AH1018" s="8">
        <v>0</v>
      </c>
      <c r="AI1018" s="7" t="s">
        <v>1781</v>
      </c>
      <c r="AJ1018" s="7">
        <f t="shared" ca="1" si="217"/>
        <v>1</v>
      </c>
      <c r="AK1018" s="96">
        <f t="shared" si="226"/>
        <v>1.0937275508185229E-6</v>
      </c>
      <c r="AL1018" s="97">
        <f t="shared" si="227"/>
        <v>5.4620256479365719E-6</v>
      </c>
    </row>
    <row r="1019" spans="1:38" x14ac:dyDescent="0.3">
      <c r="A1019" s="7" t="s">
        <v>2515</v>
      </c>
      <c r="B1019" s="7" t="s">
        <v>1320</v>
      </c>
      <c r="C1019" s="7" t="s">
        <v>1323</v>
      </c>
      <c r="D1019" s="7" t="s">
        <v>2516</v>
      </c>
      <c r="E1019" s="7" t="s">
        <v>1695</v>
      </c>
      <c r="F1019" s="36">
        <v>42522</v>
      </c>
      <c r="G1019" s="36">
        <v>43616</v>
      </c>
      <c r="H1019" s="36">
        <v>44895</v>
      </c>
      <c r="I1019" s="36">
        <v>44895</v>
      </c>
      <c r="J1019" s="7" t="s">
        <v>1699</v>
      </c>
      <c r="K1019" s="8">
        <v>0</v>
      </c>
      <c r="L1019" s="8">
        <v>0</v>
      </c>
      <c r="M1019" s="8">
        <v>0</v>
      </c>
      <c r="N1019" s="8">
        <v>-5700</v>
      </c>
      <c r="O1019" s="8">
        <v>0</v>
      </c>
      <c r="P1019" s="8">
        <v>0</v>
      </c>
      <c r="Q1019" s="8">
        <v>0</v>
      </c>
      <c r="R1019" s="8">
        <f t="shared" si="216"/>
        <v>-5700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7">
        <v>0</v>
      </c>
      <c r="AB1019" s="8">
        <v>0</v>
      </c>
      <c r="AC1019" s="7">
        <v>2.0299999999999998</v>
      </c>
      <c r="AD1019" s="7" t="s">
        <v>1226</v>
      </c>
      <c r="AE1019" s="8">
        <v>0</v>
      </c>
      <c r="AF1019" s="8">
        <v>0</v>
      </c>
      <c r="AG1019" s="8">
        <v>0</v>
      </c>
      <c r="AH1019" s="8">
        <v>0</v>
      </c>
      <c r="AI1019" s="7" t="s">
        <v>1730</v>
      </c>
      <c r="AJ1019" s="7">
        <f t="shared" ca="1" si="217"/>
        <v>1</v>
      </c>
      <c r="AK1019" s="100">
        <f t="shared" ref="AK1019:AK1020" si="228">(+AA1019*AB1019)/$AB$1103</f>
        <v>0</v>
      </c>
      <c r="AL1019" s="97">
        <f t="shared" ref="AL1019:AL1020" si="229">AC1019/$AE$1103*AE1019</f>
        <v>0</v>
      </c>
    </row>
    <row r="1020" spans="1:38" x14ac:dyDescent="0.3">
      <c r="A1020" s="7" t="s">
        <v>2517</v>
      </c>
      <c r="B1020" s="7" t="s">
        <v>1320</v>
      </c>
      <c r="C1020" s="7" t="s">
        <v>1323</v>
      </c>
      <c r="D1020" s="7" t="s">
        <v>2516</v>
      </c>
      <c r="E1020" s="7" t="s">
        <v>1695</v>
      </c>
      <c r="F1020" s="36">
        <v>42522</v>
      </c>
      <c r="G1020" s="36">
        <v>43616</v>
      </c>
      <c r="H1020" s="36">
        <v>44895</v>
      </c>
      <c r="I1020" s="36">
        <v>44895</v>
      </c>
      <c r="J1020" s="7" t="s">
        <v>1699</v>
      </c>
      <c r="K1020" s="8">
        <v>0</v>
      </c>
      <c r="L1020" s="8">
        <v>0</v>
      </c>
      <c r="M1020" s="8">
        <v>0</v>
      </c>
      <c r="N1020" s="8">
        <v>3300</v>
      </c>
      <c r="O1020" s="8">
        <v>0</v>
      </c>
      <c r="P1020" s="8">
        <v>0</v>
      </c>
      <c r="Q1020" s="8">
        <v>0</v>
      </c>
      <c r="R1020" s="8">
        <f t="shared" si="216"/>
        <v>3300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7">
        <v>0</v>
      </c>
      <c r="AB1020" s="8">
        <v>0</v>
      </c>
      <c r="AC1020" s="7">
        <v>1.5760000000000001</v>
      </c>
      <c r="AD1020" s="7" t="s">
        <v>1697</v>
      </c>
      <c r="AE1020" s="8">
        <v>0</v>
      </c>
      <c r="AF1020" s="8">
        <v>0</v>
      </c>
      <c r="AG1020" s="8">
        <v>0</v>
      </c>
      <c r="AH1020" s="8">
        <v>0</v>
      </c>
      <c r="AI1020" s="7" t="s">
        <v>1730</v>
      </c>
      <c r="AJ1020" s="7">
        <f t="shared" ca="1" si="217"/>
        <v>1</v>
      </c>
      <c r="AK1020" s="100">
        <f t="shared" si="228"/>
        <v>0</v>
      </c>
      <c r="AL1020" s="97">
        <f t="shared" si="229"/>
        <v>0</v>
      </c>
    </row>
    <row r="1021" spans="1:38" x14ac:dyDescent="0.3">
      <c r="A1021" s="7" t="s">
        <v>2518</v>
      </c>
      <c r="B1021" s="7" t="s">
        <v>194</v>
      </c>
      <c r="C1021" s="7" t="s">
        <v>1323</v>
      </c>
      <c r="D1021" s="7" t="s">
        <v>1324</v>
      </c>
      <c r="E1021" s="7" t="s">
        <v>1322</v>
      </c>
      <c r="F1021" s="36">
        <v>43831</v>
      </c>
      <c r="G1021" s="36">
        <v>46022</v>
      </c>
      <c r="H1021" s="36">
        <v>46022</v>
      </c>
      <c r="I1021" s="36">
        <v>46022</v>
      </c>
      <c r="J1021" s="7" t="s">
        <v>1696</v>
      </c>
      <c r="K1021" s="8">
        <v>0</v>
      </c>
      <c r="L1021" s="8">
        <v>0</v>
      </c>
      <c r="M1021" s="8">
        <v>251999.99523999999</v>
      </c>
      <c r="N1021" s="8">
        <v>0</v>
      </c>
      <c r="O1021" s="8">
        <v>0</v>
      </c>
      <c r="P1021" s="8">
        <v>150</v>
      </c>
      <c r="Q1021" s="8">
        <v>0</v>
      </c>
      <c r="R1021" s="8">
        <f t="shared" si="216"/>
        <v>252149.99523999999</v>
      </c>
      <c r="S1021" s="8">
        <v>0</v>
      </c>
      <c r="T1021" s="8">
        <v>0</v>
      </c>
      <c r="U1021" s="8">
        <v>216000</v>
      </c>
      <c r="V1021" s="8">
        <v>0</v>
      </c>
      <c r="W1021" s="8">
        <v>150</v>
      </c>
      <c r="X1021" s="8">
        <v>0</v>
      </c>
      <c r="Y1021" s="8">
        <v>467877.37708300003</v>
      </c>
      <c r="Z1021" s="8">
        <v>0</v>
      </c>
      <c r="AA1021" s="7">
        <v>3.0027400000000002</v>
      </c>
      <c r="AB1021" s="8">
        <v>278222.08232300001</v>
      </c>
      <c r="AC1021" s="7">
        <v>2.318333</v>
      </c>
      <c r="AD1021" s="7" t="s">
        <v>1226</v>
      </c>
      <c r="AE1021" s="8">
        <v>288000</v>
      </c>
      <c r="AF1021" s="8">
        <v>0</v>
      </c>
      <c r="AG1021" s="8">
        <v>288000</v>
      </c>
      <c r="AH1021" s="8">
        <v>0</v>
      </c>
      <c r="AI1021" s="7" t="s">
        <v>1758</v>
      </c>
      <c r="AJ1021" s="7">
        <f t="shared" ca="1" si="217"/>
        <v>1</v>
      </c>
      <c r="AK1021" s="96">
        <f t="shared" ref="AK1021:AK1038" si="230">(+AA1021*AB1021)/$AB$1102</f>
        <v>7.3218965913547228E-4</v>
      </c>
      <c r="AL1021" s="97">
        <f t="shared" ref="AL1021:AL1038" si="231">AC1021/$AE$1102*AE1021</f>
        <v>5.7130757280756772E-4</v>
      </c>
    </row>
    <row r="1022" spans="1:38" x14ac:dyDescent="0.3">
      <c r="A1022" s="7" t="s">
        <v>2519</v>
      </c>
      <c r="B1022" s="7" t="s">
        <v>194</v>
      </c>
      <c r="C1022" s="7" t="s">
        <v>1323</v>
      </c>
      <c r="D1022" s="7" t="s">
        <v>1324</v>
      </c>
      <c r="E1022" s="7" t="s">
        <v>1322</v>
      </c>
      <c r="F1022" s="36">
        <v>44197</v>
      </c>
      <c r="G1022" s="36">
        <v>46387</v>
      </c>
      <c r="H1022" s="36">
        <v>46387</v>
      </c>
      <c r="I1022" s="36">
        <v>46387</v>
      </c>
      <c r="J1022" s="7" t="s">
        <v>1696</v>
      </c>
      <c r="K1022" s="8">
        <v>0</v>
      </c>
      <c r="L1022" s="8">
        <v>0</v>
      </c>
      <c r="M1022" s="8">
        <v>73642.670060000004</v>
      </c>
      <c r="N1022" s="8">
        <v>0</v>
      </c>
      <c r="O1022" s="8">
        <v>0</v>
      </c>
      <c r="P1022" s="8">
        <v>0</v>
      </c>
      <c r="Q1022" s="8">
        <v>0</v>
      </c>
      <c r="R1022" s="8">
        <f t="shared" si="216"/>
        <v>73642.670060000004</v>
      </c>
      <c r="S1022" s="8">
        <v>0</v>
      </c>
      <c r="T1022" s="8">
        <v>0</v>
      </c>
      <c r="U1022" s="8">
        <v>71976</v>
      </c>
      <c r="V1022" s="8">
        <v>0</v>
      </c>
      <c r="W1022" s="8">
        <v>0</v>
      </c>
      <c r="X1022" s="8">
        <v>0</v>
      </c>
      <c r="Y1022" s="8">
        <v>206790.80190799999</v>
      </c>
      <c r="Z1022" s="8">
        <v>0</v>
      </c>
      <c r="AA1022" s="7">
        <v>4.0027400000000002</v>
      </c>
      <c r="AB1022" s="8">
        <v>137617.825312</v>
      </c>
      <c r="AC1022" s="7">
        <v>2.318333</v>
      </c>
      <c r="AD1022" s="7" t="s">
        <v>1226</v>
      </c>
      <c r="AE1022" s="8">
        <v>143952</v>
      </c>
      <c r="AF1022" s="8">
        <v>0</v>
      </c>
      <c r="AG1022" s="8">
        <v>143952</v>
      </c>
      <c r="AH1022" s="8">
        <v>0</v>
      </c>
      <c r="AI1022" s="7" t="s">
        <v>1758</v>
      </c>
      <c r="AJ1022" s="7">
        <f t="shared" ca="1" si="217"/>
        <v>1</v>
      </c>
      <c r="AK1022" s="96">
        <f t="shared" si="230"/>
        <v>4.8277673890997187E-4</v>
      </c>
      <c r="AL1022" s="97">
        <f t="shared" si="231"/>
        <v>2.8555856847498263E-4</v>
      </c>
    </row>
    <row r="1023" spans="1:38" x14ac:dyDescent="0.3">
      <c r="A1023" s="7" t="s">
        <v>2520</v>
      </c>
      <c r="B1023" s="7" t="s">
        <v>194</v>
      </c>
      <c r="C1023" s="7" t="s">
        <v>1323</v>
      </c>
      <c r="D1023" s="7" t="s">
        <v>1324</v>
      </c>
      <c r="E1023" s="7" t="s">
        <v>1322</v>
      </c>
      <c r="F1023" s="36">
        <v>43466</v>
      </c>
      <c r="G1023" s="36">
        <v>45657</v>
      </c>
      <c r="H1023" s="36">
        <v>45657</v>
      </c>
      <c r="I1023" s="36">
        <v>45657</v>
      </c>
      <c r="J1023" s="7" t="s">
        <v>1696</v>
      </c>
      <c r="K1023" s="8">
        <v>0</v>
      </c>
      <c r="L1023" s="8">
        <v>0</v>
      </c>
      <c r="M1023" s="8">
        <v>216000.003772</v>
      </c>
      <c r="N1023" s="8">
        <v>0</v>
      </c>
      <c r="O1023" s="8">
        <v>0</v>
      </c>
      <c r="P1023" s="8">
        <v>270</v>
      </c>
      <c r="Q1023" s="8">
        <v>0</v>
      </c>
      <c r="R1023" s="8">
        <f t="shared" si="216"/>
        <v>216270.003772</v>
      </c>
      <c r="S1023" s="8">
        <v>0</v>
      </c>
      <c r="T1023" s="8">
        <v>0</v>
      </c>
      <c r="U1023" s="8">
        <v>216000</v>
      </c>
      <c r="V1023" s="8">
        <v>0</v>
      </c>
      <c r="W1023" s="8">
        <v>270</v>
      </c>
      <c r="X1023" s="8">
        <v>0</v>
      </c>
      <c r="Y1023" s="8">
        <v>302787.13190699997</v>
      </c>
      <c r="Z1023" s="8">
        <v>0</v>
      </c>
      <c r="AA1023" s="7">
        <v>2.0027400000000002</v>
      </c>
      <c r="AB1023" s="8">
        <v>105638.67567900001</v>
      </c>
      <c r="AC1023" s="7">
        <v>2.318333</v>
      </c>
      <c r="AD1023" s="7" t="s">
        <v>1226</v>
      </c>
      <c r="AE1023" s="8">
        <v>108000</v>
      </c>
      <c r="AF1023" s="8">
        <v>0</v>
      </c>
      <c r="AG1023" s="8">
        <v>108000</v>
      </c>
      <c r="AH1023" s="8">
        <v>3240</v>
      </c>
      <c r="AI1023" s="7" t="s">
        <v>1758</v>
      </c>
      <c r="AJ1023" s="7">
        <f t="shared" ca="1" si="217"/>
        <v>1</v>
      </c>
      <c r="AK1023" s="96">
        <f t="shared" si="230"/>
        <v>1.8542222363142382E-4</v>
      </c>
      <c r="AL1023" s="97">
        <f t="shared" si="231"/>
        <v>2.1424033980283789E-4</v>
      </c>
    </row>
    <row r="1024" spans="1:38" x14ac:dyDescent="0.3">
      <c r="A1024" s="7" t="s">
        <v>2521</v>
      </c>
      <c r="B1024" s="7" t="s">
        <v>194</v>
      </c>
      <c r="C1024" s="7" t="s">
        <v>1323</v>
      </c>
      <c r="D1024" s="7" t="s">
        <v>1324</v>
      </c>
      <c r="E1024" s="7" t="s">
        <v>1322</v>
      </c>
      <c r="F1024" s="36">
        <v>43101</v>
      </c>
      <c r="G1024" s="36">
        <v>45291</v>
      </c>
      <c r="H1024" s="36">
        <v>45291</v>
      </c>
      <c r="I1024" s="36">
        <v>45291</v>
      </c>
      <c r="J1024" s="7" t="s">
        <v>1696</v>
      </c>
      <c r="K1024" s="8">
        <v>0</v>
      </c>
      <c r="L1024" s="8">
        <v>0</v>
      </c>
      <c r="M1024" s="8">
        <v>240000.000661</v>
      </c>
      <c r="N1024" s="8">
        <v>0</v>
      </c>
      <c r="O1024" s="8">
        <v>0</v>
      </c>
      <c r="P1024" s="8">
        <v>240</v>
      </c>
      <c r="Q1024" s="8">
        <v>0</v>
      </c>
      <c r="R1024" s="8">
        <f t="shared" si="216"/>
        <v>240240.000661</v>
      </c>
      <c r="S1024" s="8">
        <v>0</v>
      </c>
      <c r="T1024" s="8">
        <v>0</v>
      </c>
      <c r="U1024" s="8">
        <v>240000</v>
      </c>
      <c r="V1024" s="8">
        <v>0</v>
      </c>
      <c r="W1024" s="8">
        <v>240</v>
      </c>
      <c r="X1024" s="8">
        <v>0</v>
      </c>
      <c r="Y1024" s="8">
        <v>269144.11725000001</v>
      </c>
      <c r="Z1024" s="8">
        <v>0</v>
      </c>
      <c r="AA1024" s="7">
        <v>1</v>
      </c>
      <c r="AB1024" s="8">
        <v>47494.207910999998</v>
      </c>
      <c r="AC1024" s="7">
        <v>2.318333</v>
      </c>
      <c r="AD1024" s="7" t="s">
        <v>1226</v>
      </c>
      <c r="AE1024" s="8">
        <v>48000</v>
      </c>
      <c r="AF1024" s="8">
        <v>0</v>
      </c>
      <c r="AG1024" s="8">
        <v>48000</v>
      </c>
      <c r="AH1024" s="8">
        <v>1440</v>
      </c>
      <c r="AI1024" s="7" t="s">
        <v>1758</v>
      </c>
      <c r="AJ1024" s="7">
        <f t="shared" ca="1" si="217"/>
        <v>1</v>
      </c>
      <c r="AK1024" s="96">
        <f t="shared" si="230"/>
        <v>4.1625063975709159E-5</v>
      </c>
      <c r="AL1024" s="97">
        <f t="shared" si="231"/>
        <v>9.5217928801261291E-5</v>
      </c>
    </row>
    <row r="1025" spans="1:38" x14ac:dyDescent="0.3">
      <c r="A1025" s="7" t="s">
        <v>2522</v>
      </c>
      <c r="B1025" s="7" t="s">
        <v>194</v>
      </c>
      <c r="C1025" s="7" t="s">
        <v>1323</v>
      </c>
      <c r="D1025" s="7" t="s">
        <v>1324</v>
      </c>
      <c r="E1025" s="7" t="s">
        <v>1322</v>
      </c>
      <c r="F1025" s="36">
        <v>43831</v>
      </c>
      <c r="G1025" s="36">
        <v>46022</v>
      </c>
      <c r="H1025" s="36">
        <v>46022</v>
      </c>
      <c r="I1025" s="36">
        <v>46022</v>
      </c>
      <c r="J1025" s="7" t="s">
        <v>1696</v>
      </c>
      <c r="K1025" s="8">
        <v>0</v>
      </c>
      <c r="L1025" s="8">
        <v>0</v>
      </c>
      <c r="M1025" s="8">
        <v>128168.99575</v>
      </c>
      <c r="N1025" s="8">
        <v>0</v>
      </c>
      <c r="O1025" s="8">
        <v>0</v>
      </c>
      <c r="P1025" s="8">
        <v>0</v>
      </c>
      <c r="Q1025" s="8">
        <v>0</v>
      </c>
      <c r="R1025" s="8">
        <f t="shared" si="216"/>
        <v>128168.99575</v>
      </c>
      <c r="S1025" s="8">
        <v>0</v>
      </c>
      <c r="T1025" s="8">
        <v>0</v>
      </c>
      <c r="U1025" s="8">
        <v>128169</v>
      </c>
      <c r="V1025" s="8">
        <v>0</v>
      </c>
      <c r="W1025" s="8">
        <v>0</v>
      </c>
      <c r="X1025" s="8">
        <v>0</v>
      </c>
      <c r="Y1025" s="8">
        <v>237183.25332700001</v>
      </c>
      <c r="Z1025" s="8">
        <v>4852.6458910000001</v>
      </c>
      <c r="AA1025" s="7">
        <v>3.0027400000000002</v>
      </c>
      <c r="AB1025" s="8">
        <v>126391.31496800001</v>
      </c>
      <c r="AC1025" s="7">
        <v>2.318333</v>
      </c>
      <c r="AD1025" s="7" t="s">
        <v>1726</v>
      </c>
      <c r="AE1025" s="8">
        <v>130707</v>
      </c>
      <c r="AF1025" s="8">
        <v>0</v>
      </c>
      <c r="AG1025" s="8">
        <v>130707</v>
      </c>
      <c r="AH1025" s="8">
        <v>0</v>
      </c>
      <c r="AI1025" s="7" t="s">
        <v>1758</v>
      </c>
      <c r="AJ1025" s="7">
        <f t="shared" ca="1" si="217"/>
        <v>1</v>
      </c>
      <c r="AK1025" s="96">
        <f t="shared" si="230"/>
        <v>3.3262066422415587E-4</v>
      </c>
      <c r="AL1025" s="97">
        <f t="shared" si="231"/>
        <v>2.5928437124638458E-4</v>
      </c>
    </row>
    <row r="1026" spans="1:38" x14ac:dyDescent="0.3">
      <c r="A1026" s="7" t="s">
        <v>2523</v>
      </c>
      <c r="B1026" s="7" t="s">
        <v>194</v>
      </c>
      <c r="C1026" s="7" t="s">
        <v>1323</v>
      </c>
      <c r="D1026" s="7" t="s">
        <v>1324</v>
      </c>
      <c r="E1026" s="7" t="s">
        <v>1322</v>
      </c>
      <c r="F1026" s="36">
        <v>44197</v>
      </c>
      <c r="G1026" s="36">
        <v>46387</v>
      </c>
      <c r="H1026" s="36">
        <v>46387</v>
      </c>
      <c r="I1026" s="36">
        <v>46387</v>
      </c>
      <c r="J1026" s="7" t="s">
        <v>1696</v>
      </c>
      <c r="K1026" s="8">
        <v>0</v>
      </c>
      <c r="L1026" s="8">
        <v>0</v>
      </c>
      <c r="M1026" s="8">
        <v>71976.003404000003</v>
      </c>
      <c r="N1026" s="8">
        <v>0</v>
      </c>
      <c r="O1026" s="8">
        <v>0</v>
      </c>
      <c r="P1026" s="8">
        <v>0</v>
      </c>
      <c r="Q1026" s="8">
        <v>0</v>
      </c>
      <c r="R1026" s="8">
        <f t="shared" si="216"/>
        <v>71976.003404000003</v>
      </c>
      <c r="S1026" s="8">
        <v>0</v>
      </c>
      <c r="T1026" s="8">
        <v>0</v>
      </c>
      <c r="U1026" s="8">
        <v>71976</v>
      </c>
      <c r="V1026" s="8">
        <v>0</v>
      </c>
      <c r="W1026" s="8">
        <v>0</v>
      </c>
      <c r="X1026" s="8">
        <v>0</v>
      </c>
      <c r="Y1026" s="8">
        <v>201790.80190799999</v>
      </c>
      <c r="Z1026" s="8">
        <v>0</v>
      </c>
      <c r="AA1026" s="7">
        <v>4.0027400000000002</v>
      </c>
      <c r="AB1026" s="8">
        <v>137617.825312</v>
      </c>
      <c r="AC1026" s="7">
        <v>2.318333</v>
      </c>
      <c r="AD1026" s="7" t="s">
        <v>1226</v>
      </c>
      <c r="AE1026" s="8">
        <v>143952</v>
      </c>
      <c r="AF1026" s="8">
        <v>0</v>
      </c>
      <c r="AG1026" s="8">
        <v>143952</v>
      </c>
      <c r="AH1026" s="8">
        <v>0</v>
      </c>
      <c r="AI1026" s="7" t="s">
        <v>1758</v>
      </c>
      <c r="AJ1026" s="7">
        <f t="shared" ca="1" si="217"/>
        <v>1</v>
      </c>
      <c r="AK1026" s="96">
        <f t="shared" si="230"/>
        <v>4.8277673890997187E-4</v>
      </c>
      <c r="AL1026" s="97">
        <f t="shared" si="231"/>
        <v>2.8555856847498263E-4</v>
      </c>
    </row>
    <row r="1027" spans="1:38" x14ac:dyDescent="0.3">
      <c r="A1027" s="7" t="s">
        <v>2524</v>
      </c>
      <c r="B1027" s="7" t="s">
        <v>194</v>
      </c>
      <c r="C1027" s="7" t="s">
        <v>1323</v>
      </c>
      <c r="D1027" s="7" t="s">
        <v>1324</v>
      </c>
      <c r="E1027" s="7" t="s">
        <v>1322</v>
      </c>
      <c r="F1027" s="36">
        <v>43831</v>
      </c>
      <c r="G1027" s="36">
        <v>46022</v>
      </c>
      <c r="H1027" s="36">
        <v>46022</v>
      </c>
      <c r="I1027" s="36">
        <v>46022</v>
      </c>
      <c r="J1027" s="7" t="s">
        <v>1696</v>
      </c>
      <c r="K1027" s="8">
        <v>0</v>
      </c>
      <c r="L1027" s="8">
        <v>0</v>
      </c>
      <c r="M1027" s="8">
        <v>177500.00163899999</v>
      </c>
      <c r="N1027" s="8">
        <v>0</v>
      </c>
      <c r="O1027" s="8">
        <v>0</v>
      </c>
      <c r="P1027" s="8">
        <v>0</v>
      </c>
      <c r="Q1027" s="8">
        <v>0</v>
      </c>
      <c r="R1027" s="8">
        <f t="shared" ref="R1027:R1090" si="232">K1027+L1027+M1027+N1027+O1027+P1027+Q1027</f>
        <v>177500.00163899999</v>
      </c>
      <c r="S1027" s="8">
        <v>0</v>
      </c>
      <c r="T1027" s="8">
        <v>0</v>
      </c>
      <c r="U1027" s="8">
        <v>180000</v>
      </c>
      <c r="V1027" s="8">
        <v>0</v>
      </c>
      <c r="W1027" s="8">
        <v>0</v>
      </c>
      <c r="X1027" s="8">
        <v>0</v>
      </c>
      <c r="Y1027" s="8">
        <v>331430.14656299999</v>
      </c>
      <c r="Z1027" s="8">
        <v>0</v>
      </c>
      <c r="AA1027" s="7">
        <v>3.0027400000000002</v>
      </c>
      <c r="AB1027" s="8">
        <v>174056.758202</v>
      </c>
      <c r="AC1027" s="7">
        <v>2.318333</v>
      </c>
      <c r="AD1027" s="7" t="s">
        <v>1226</v>
      </c>
      <c r="AE1027" s="8">
        <v>180000</v>
      </c>
      <c r="AF1027" s="8">
        <v>0</v>
      </c>
      <c r="AG1027" s="8">
        <v>180000</v>
      </c>
      <c r="AH1027" s="8">
        <v>0</v>
      </c>
      <c r="AI1027" s="7" t="s">
        <v>1758</v>
      </c>
      <c r="AJ1027" s="7">
        <f t="shared" ref="AJ1027:AJ1094" ca="1" si="233">IF(A1027=OFFSET(A1027,-1,0),OFFSET(AJ1027,-1,0)+1,1)</f>
        <v>1</v>
      </c>
      <c r="AK1027" s="96">
        <f t="shared" si="230"/>
        <v>4.5806054427482192E-4</v>
      </c>
      <c r="AL1027" s="97">
        <f t="shared" si="231"/>
        <v>3.5706723300472985E-4</v>
      </c>
    </row>
    <row r="1028" spans="1:38" x14ac:dyDescent="0.3">
      <c r="A1028" s="7" t="s">
        <v>2525</v>
      </c>
      <c r="B1028" s="7" t="s">
        <v>194</v>
      </c>
      <c r="C1028" s="7" t="s">
        <v>1323</v>
      </c>
      <c r="D1028" s="7" t="s">
        <v>1324</v>
      </c>
      <c r="E1028" s="7" t="s">
        <v>1322</v>
      </c>
      <c r="F1028" s="36">
        <v>43466</v>
      </c>
      <c r="G1028" s="36">
        <v>45657</v>
      </c>
      <c r="H1028" s="36">
        <v>45657</v>
      </c>
      <c r="I1028" s="36">
        <v>45657</v>
      </c>
      <c r="J1028" s="7" t="s">
        <v>1696</v>
      </c>
      <c r="K1028" s="8">
        <v>0</v>
      </c>
      <c r="L1028" s="8">
        <v>0</v>
      </c>
      <c r="M1028" s="8">
        <v>216000.003772</v>
      </c>
      <c r="N1028" s="8">
        <v>0</v>
      </c>
      <c r="O1028" s="8">
        <v>0</v>
      </c>
      <c r="P1028" s="8">
        <v>0</v>
      </c>
      <c r="Q1028" s="8">
        <v>0</v>
      </c>
      <c r="R1028" s="8">
        <f t="shared" si="232"/>
        <v>216000.003772</v>
      </c>
      <c r="S1028" s="8">
        <v>0</v>
      </c>
      <c r="T1028" s="8">
        <v>0</v>
      </c>
      <c r="U1028" s="8">
        <v>216000</v>
      </c>
      <c r="V1028" s="8">
        <v>0</v>
      </c>
      <c r="W1028" s="8">
        <v>0</v>
      </c>
      <c r="X1028" s="8">
        <v>0</v>
      </c>
      <c r="Y1028" s="8">
        <v>302787.13190699997</v>
      </c>
      <c r="Z1028" s="8">
        <v>0</v>
      </c>
      <c r="AA1028" s="7">
        <v>2.0027400000000002</v>
      </c>
      <c r="AB1028" s="8">
        <v>105638.67567900001</v>
      </c>
      <c r="AC1028" s="7">
        <v>2.318333</v>
      </c>
      <c r="AD1028" s="7" t="s">
        <v>1226</v>
      </c>
      <c r="AE1028" s="8">
        <v>108000</v>
      </c>
      <c r="AF1028" s="8">
        <v>0</v>
      </c>
      <c r="AG1028" s="8">
        <v>108000</v>
      </c>
      <c r="AH1028" s="8">
        <v>0</v>
      </c>
      <c r="AI1028" s="7" t="s">
        <v>1758</v>
      </c>
      <c r="AJ1028" s="7">
        <f t="shared" ca="1" si="233"/>
        <v>1</v>
      </c>
      <c r="AK1028" s="96">
        <f t="shared" si="230"/>
        <v>1.8542222363142382E-4</v>
      </c>
      <c r="AL1028" s="97">
        <f t="shared" si="231"/>
        <v>2.1424033980283789E-4</v>
      </c>
    </row>
    <row r="1029" spans="1:38" x14ac:dyDescent="0.3">
      <c r="A1029" s="7" t="s">
        <v>2526</v>
      </c>
      <c r="B1029" s="7" t="s">
        <v>194</v>
      </c>
      <c r="C1029" s="7" t="s">
        <v>1323</v>
      </c>
      <c r="D1029" s="7" t="s">
        <v>1324</v>
      </c>
      <c r="E1029" s="7" t="s">
        <v>1322</v>
      </c>
      <c r="F1029" s="36">
        <v>43101</v>
      </c>
      <c r="G1029" s="36">
        <v>45291</v>
      </c>
      <c r="H1029" s="36">
        <v>45291</v>
      </c>
      <c r="I1029" s="36">
        <v>45291</v>
      </c>
      <c r="J1029" s="7" t="s">
        <v>1696</v>
      </c>
      <c r="K1029" s="8">
        <v>0</v>
      </c>
      <c r="L1029" s="8">
        <v>0</v>
      </c>
      <c r="M1029" s="8">
        <v>244166.66730100001</v>
      </c>
      <c r="N1029" s="8">
        <v>0</v>
      </c>
      <c r="O1029" s="8">
        <v>0</v>
      </c>
      <c r="P1029" s="8">
        <v>0</v>
      </c>
      <c r="Q1029" s="8">
        <v>0</v>
      </c>
      <c r="R1029" s="8">
        <f t="shared" si="232"/>
        <v>244166.66730100001</v>
      </c>
      <c r="S1029" s="8">
        <v>0</v>
      </c>
      <c r="T1029" s="8">
        <v>0</v>
      </c>
      <c r="U1029" s="8">
        <v>240000</v>
      </c>
      <c r="V1029" s="8">
        <v>0</v>
      </c>
      <c r="W1029" s="8">
        <v>0</v>
      </c>
      <c r="X1029" s="8">
        <v>0</v>
      </c>
      <c r="Y1029" s="8">
        <v>274144.11725000001</v>
      </c>
      <c r="Z1029" s="8">
        <v>0</v>
      </c>
      <c r="AA1029" s="7">
        <v>1</v>
      </c>
      <c r="AB1029" s="8">
        <v>47494.207910999998</v>
      </c>
      <c r="AC1029" s="7">
        <v>2.318333</v>
      </c>
      <c r="AD1029" s="7" t="s">
        <v>1226</v>
      </c>
      <c r="AE1029" s="8">
        <v>48000</v>
      </c>
      <c r="AF1029" s="8">
        <v>0</v>
      </c>
      <c r="AG1029" s="8">
        <v>48000</v>
      </c>
      <c r="AH1029" s="8">
        <v>0</v>
      </c>
      <c r="AI1029" s="7" t="s">
        <v>1758</v>
      </c>
      <c r="AJ1029" s="7">
        <f t="shared" ca="1" si="233"/>
        <v>1</v>
      </c>
      <c r="AK1029" s="96">
        <f t="shared" si="230"/>
        <v>4.1625063975709159E-5</v>
      </c>
      <c r="AL1029" s="97">
        <f t="shared" si="231"/>
        <v>9.5217928801261291E-5</v>
      </c>
    </row>
    <row r="1030" spans="1:38" x14ac:dyDescent="0.3">
      <c r="A1030" s="7" t="s">
        <v>2527</v>
      </c>
      <c r="B1030" s="7" t="s">
        <v>194</v>
      </c>
      <c r="C1030" s="7" t="s">
        <v>1323</v>
      </c>
      <c r="D1030" s="7" t="s">
        <v>1324</v>
      </c>
      <c r="E1030" s="7" t="s">
        <v>1322</v>
      </c>
      <c r="F1030" s="36">
        <v>43831</v>
      </c>
      <c r="G1030" s="36">
        <v>46022</v>
      </c>
      <c r="H1030" s="36">
        <v>46022</v>
      </c>
      <c r="I1030" s="36">
        <v>46022</v>
      </c>
      <c r="J1030" s="7" t="s">
        <v>1696</v>
      </c>
      <c r="K1030" s="8">
        <v>0</v>
      </c>
      <c r="L1030" s="8">
        <v>0</v>
      </c>
      <c r="M1030" s="8">
        <v>124400.00120499999</v>
      </c>
      <c r="N1030" s="8">
        <v>0</v>
      </c>
      <c r="O1030" s="8">
        <v>0</v>
      </c>
      <c r="P1030" s="8">
        <v>0</v>
      </c>
      <c r="Q1030" s="8">
        <v>0</v>
      </c>
      <c r="R1030" s="8">
        <f t="shared" si="232"/>
        <v>124400.00120499999</v>
      </c>
      <c r="S1030" s="8">
        <v>0</v>
      </c>
      <c r="T1030" s="8">
        <v>0</v>
      </c>
      <c r="U1030" s="8">
        <v>126900</v>
      </c>
      <c r="V1030" s="8">
        <v>0</v>
      </c>
      <c r="W1030" s="8">
        <v>0</v>
      </c>
      <c r="X1030" s="8">
        <v>0</v>
      </c>
      <c r="Y1030" s="8">
        <v>232297.72736700001</v>
      </c>
      <c r="Z1030" s="8">
        <v>0</v>
      </c>
      <c r="AA1030" s="7">
        <v>3.0027400000000002</v>
      </c>
      <c r="AB1030" s="8">
        <v>122710.014532</v>
      </c>
      <c r="AC1030" s="7">
        <v>2.318333</v>
      </c>
      <c r="AD1030" s="7" t="s">
        <v>1226</v>
      </c>
      <c r="AE1030" s="8">
        <v>126900</v>
      </c>
      <c r="AF1030" s="8">
        <v>0</v>
      </c>
      <c r="AG1030" s="8">
        <v>126900</v>
      </c>
      <c r="AH1030" s="8">
        <v>0</v>
      </c>
      <c r="AI1030" s="7" t="s">
        <v>1758</v>
      </c>
      <c r="AJ1030" s="7">
        <f t="shared" ca="1" si="233"/>
        <v>1</v>
      </c>
      <c r="AK1030" s="96">
        <f t="shared" si="230"/>
        <v>3.2293268371267047E-4</v>
      </c>
      <c r="AL1030" s="97">
        <f t="shared" si="231"/>
        <v>2.5173239926833455E-4</v>
      </c>
    </row>
    <row r="1031" spans="1:38" x14ac:dyDescent="0.3">
      <c r="A1031" s="7" t="s">
        <v>2528</v>
      </c>
      <c r="B1031" s="7" t="s">
        <v>194</v>
      </c>
      <c r="C1031" s="7" t="s">
        <v>1323</v>
      </c>
      <c r="E1031" s="7" t="s">
        <v>1322</v>
      </c>
      <c r="F1031" s="36">
        <v>44805</v>
      </c>
      <c r="G1031" s="36">
        <v>45900</v>
      </c>
      <c r="H1031" s="36">
        <v>45900</v>
      </c>
      <c r="I1031" s="36">
        <v>45900</v>
      </c>
      <c r="J1031" s="7" t="s">
        <v>1696</v>
      </c>
      <c r="K1031" s="8">
        <v>0</v>
      </c>
      <c r="L1031" s="8">
        <v>0</v>
      </c>
      <c r="M1031" s="8">
        <v>400.00084700000002</v>
      </c>
      <c r="N1031" s="8">
        <v>0</v>
      </c>
      <c r="O1031" s="8">
        <v>0</v>
      </c>
      <c r="P1031" s="8">
        <v>0</v>
      </c>
      <c r="Q1031" s="8">
        <v>0</v>
      </c>
      <c r="R1031" s="8">
        <f t="shared" si="232"/>
        <v>400.00084700000002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3378.3946019999998</v>
      </c>
      <c r="Z1031" s="8">
        <v>0</v>
      </c>
      <c r="AA1031" s="7">
        <v>2.6684929999999998</v>
      </c>
      <c r="AB1031" s="8">
        <v>3412.305449</v>
      </c>
      <c r="AC1031" s="7">
        <v>3</v>
      </c>
      <c r="AD1031" s="7" t="s">
        <v>1226</v>
      </c>
      <c r="AE1031" s="8">
        <v>3600</v>
      </c>
      <c r="AF1031" s="8">
        <v>0</v>
      </c>
      <c r="AG1031" s="8">
        <v>3600</v>
      </c>
      <c r="AH1031" s="8">
        <v>0</v>
      </c>
      <c r="AI1031" s="7" t="s">
        <v>1758</v>
      </c>
      <c r="AJ1031" s="7">
        <f t="shared" ca="1" si="233"/>
        <v>1</v>
      </c>
      <c r="AK1031" s="96">
        <f t="shared" si="230"/>
        <v>7.9804656473647829E-6</v>
      </c>
      <c r="AL1031" s="97">
        <f t="shared" si="231"/>
        <v>9.2411374812349164E-6</v>
      </c>
    </row>
    <row r="1032" spans="1:38" x14ac:dyDescent="0.3">
      <c r="A1032" s="7" t="s">
        <v>2529</v>
      </c>
      <c r="B1032" s="7" t="s">
        <v>194</v>
      </c>
      <c r="C1032" s="7" t="s">
        <v>1323</v>
      </c>
      <c r="D1032" s="7" t="s">
        <v>1324</v>
      </c>
      <c r="E1032" s="7" t="s">
        <v>1733</v>
      </c>
      <c r="F1032" s="36">
        <v>44927</v>
      </c>
      <c r="G1032" s="36">
        <v>46022</v>
      </c>
      <c r="H1032" s="36">
        <v>46022</v>
      </c>
      <c r="I1032" s="36">
        <v>46022</v>
      </c>
      <c r="J1032" s="7" t="s">
        <v>1696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f t="shared" si="232"/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7">
        <v>3.0027400000000002</v>
      </c>
      <c r="AB1032" s="8">
        <v>0</v>
      </c>
      <c r="AC1032" s="7">
        <v>3</v>
      </c>
      <c r="AD1032" s="7" t="s">
        <v>1226</v>
      </c>
      <c r="AE1032" s="8">
        <v>22222.080000000002</v>
      </c>
      <c r="AF1032" s="8">
        <v>0</v>
      </c>
      <c r="AG1032" s="8">
        <v>22222.080000000002</v>
      </c>
      <c r="AH1032" s="8">
        <v>0</v>
      </c>
      <c r="AI1032" s="7" t="s">
        <v>1730</v>
      </c>
      <c r="AJ1032" s="7">
        <f t="shared" ca="1" si="233"/>
        <v>1</v>
      </c>
      <c r="AK1032" s="96">
        <f t="shared" si="230"/>
        <v>0</v>
      </c>
      <c r="AL1032" s="97">
        <f t="shared" si="231"/>
        <v>5.7043693444166898E-5</v>
      </c>
    </row>
    <row r="1033" spans="1:38" x14ac:dyDescent="0.3">
      <c r="A1033" s="7" t="s">
        <v>2530</v>
      </c>
      <c r="B1033" s="7" t="s">
        <v>194</v>
      </c>
      <c r="C1033" s="7" t="s">
        <v>1323</v>
      </c>
      <c r="D1033" s="7" t="s">
        <v>1324</v>
      </c>
      <c r="E1033" s="7" t="s">
        <v>1773</v>
      </c>
      <c r="F1033" s="36">
        <v>44887</v>
      </c>
      <c r="G1033" s="36">
        <v>45982</v>
      </c>
      <c r="H1033" s="36">
        <v>45982</v>
      </c>
      <c r="I1033" s="36">
        <v>45982</v>
      </c>
      <c r="J1033" s="7" t="s">
        <v>1696</v>
      </c>
      <c r="K1033" s="8">
        <v>0</v>
      </c>
      <c r="L1033" s="8">
        <v>0</v>
      </c>
      <c r="M1033" s="8">
        <v>802.46129900000005</v>
      </c>
      <c r="N1033" s="8">
        <v>0</v>
      </c>
      <c r="O1033" s="8">
        <v>0</v>
      </c>
      <c r="P1033" s="8">
        <v>0</v>
      </c>
      <c r="Q1033" s="8">
        <v>0</v>
      </c>
      <c r="R1033" s="8">
        <f t="shared" si="232"/>
        <v>802.46129900000005</v>
      </c>
      <c r="S1033" s="8">
        <v>0</v>
      </c>
      <c r="T1033" s="8">
        <v>0</v>
      </c>
      <c r="U1033" s="8">
        <v>1234.56</v>
      </c>
      <c r="V1033" s="8">
        <v>0</v>
      </c>
      <c r="W1033" s="8">
        <v>0</v>
      </c>
      <c r="X1033" s="8">
        <v>0</v>
      </c>
      <c r="Y1033" s="8">
        <v>21279.142369000001</v>
      </c>
      <c r="Z1033" s="8">
        <v>0</v>
      </c>
      <c r="AA1033" s="7">
        <v>2.893151</v>
      </c>
      <c r="AB1033" s="8">
        <v>20112.443668</v>
      </c>
      <c r="AC1033" s="7">
        <v>3</v>
      </c>
      <c r="AD1033" s="7" t="s">
        <v>1226</v>
      </c>
      <c r="AE1033" s="8">
        <v>20987.52</v>
      </c>
      <c r="AF1033" s="8">
        <v>0</v>
      </c>
      <c r="AG1033" s="8">
        <v>20987.52</v>
      </c>
      <c r="AH1033" s="8">
        <v>0</v>
      </c>
      <c r="AI1033" s="7" t="s">
        <v>1730</v>
      </c>
      <c r="AJ1033" s="7">
        <f t="shared" ca="1" si="233"/>
        <v>1</v>
      </c>
      <c r="AK1033" s="96">
        <f t="shared" si="230"/>
        <v>5.0997655007305108E-5</v>
      </c>
      <c r="AL1033" s="97">
        <f t="shared" si="231"/>
        <v>5.3874599363935402E-5</v>
      </c>
    </row>
    <row r="1034" spans="1:38" x14ac:dyDescent="0.3">
      <c r="A1034" s="7" t="s">
        <v>2531</v>
      </c>
      <c r="B1034" s="7" t="s">
        <v>1735</v>
      </c>
      <c r="C1034" s="7" t="s">
        <v>1323</v>
      </c>
      <c r="D1034" s="7" t="s">
        <v>1324</v>
      </c>
      <c r="E1034" s="7" t="s">
        <v>1322</v>
      </c>
      <c r="F1034" s="36">
        <v>44105</v>
      </c>
      <c r="G1034" s="36">
        <v>48852</v>
      </c>
      <c r="H1034" s="36">
        <v>48852</v>
      </c>
      <c r="I1034" s="36">
        <v>52504</v>
      </c>
      <c r="J1034" s="7" t="s">
        <v>1696</v>
      </c>
      <c r="K1034" s="8">
        <v>0</v>
      </c>
      <c r="L1034" s="8">
        <v>0</v>
      </c>
      <c r="M1034" s="8">
        <v>54114.336960000001</v>
      </c>
      <c r="N1034" s="8">
        <v>0</v>
      </c>
      <c r="O1034" s="8">
        <v>0</v>
      </c>
      <c r="P1034" s="8">
        <v>0</v>
      </c>
      <c r="Q1034" s="8">
        <v>0</v>
      </c>
      <c r="R1034" s="8">
        <f t="shared" si="232"/>
        <v>54114.336960000001</v>
      </c>
      <c r="S1034" s="8">
        <v>0</v>
      </c>
      <c r="T1034" s="8">
        <v>0</v>
      </c>
      <c r="U1034" s="8">
        <v>49389.48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7">
        <v>20.761644</v>
      </c>
      <c r="AB1034" s="8">
        <v>821444.54038699996</v>
      </c>
      <c r="AC1034" s="7">
        <v>3.74</v>
      </c>
      <c r="AD1034" s="7" t="s">
        <v>1226</v>
      </c>
      <c r="AE1034" s="8">
        <v>1209646.04</v>
      </c>
      <c r="AF1034" s="8">
        <v>0</v>
      </c>
      <c r="AG1034" s="8">
        <v>1209646.04</v>
      </c>
      <c r="AH1034" s="8">
        <v>0</v>
      </c>
      <c r="AI1034" s="7" t="s">
        <v>2532</v>
      </c>
      <c r="AJ1034" s="7">
        <f t="shared" ca="1" si="233"/>
        <v>1</v>
      </c>
      <c r="AK1034" s="96">
        <f t="shared" si="230"/>
        <v>1.4947007496069909E-2</v>
      </c>
      <c r="AL1034" s="97">
        <f t="shared" si="231"/>
        <v>3.8710750040439825E-3</v>
      </c>
    </row>
    <row r="1035" spans="1:38" x14ac:dyDescent="0.3">
      <c r="A1035" s="7" t="s">
        <v>2533</v>
      </c>
      <c r="B1035" s="7" t="s">
        <v>1735</v>
      </c>
      <c r="C1035" s="7" t="s">
        <v>1323</v>
      </c>
      <c r="D1035" s="7" t="s">
        <v>1324</v>
      </c>
      <c r="E1035" s="7" t="s">
        <v>1322</v>
      </c>
      <c r="F1035" s="36">
        <v>44105</v>
      </c>
      <c r="G1035" s="36">
        <v>48852</v>
      </c>
      <c r="H1035" s="36">
        <v>48852</v>
      </c>
      <c r="I1035" s="36">
        <v>52504</v>
      </c>
      <c r="J1035" s="7" t="s">
        <v>1696</v>
      </c>
      <c r="K1035" s="8">
        <v>0</v>
      </c>
      <c r="L1035" s="8">
        <v>0</v>
      </c>
      <c r="M1035" s="8">
        <v>53215.610004000002</v>
      </c>
      <c r="N1035" s="8">
        <v>0</v>
      </c>
      <c r="O1035" s="8">
        <v>0</v>
      </c>
      <c r="P1035" s="8">
        <v>0</v>
      </c>
      <c r="Q1035" s="8">
        <v>0</v>
      </c>
      <c r="R1035" s="8">
        <f t="shared" si="232"/>
        <v>53215.610004000002</v>
      </c>
      <c r="S1035" s="8">
        <v>0</v>
      </c>
      <c r="T1035" s="8">
        <v>0</v>
      </c>
      <c r="U1035" s="8">
        <v>49389.48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7">
        <v>20.761644</v>
      </c>
      <c r="AB1035" s="8">
        <v>818456.69515000004</v>
      </c>
      <c r="AC1035" s="7">
        <v>3.74</v>
      </c>
      <c r="AD1035" s="7" t="s">
        <v>1226</v>
      </c>
      <c r="AE1035" s="8">
        <v>1188975.32</v>
      </c>
      <c r="AF1035" s="8">
        <v>0</v>
      </c>
      <c r="AG1035" s="8">
        <v>1188975.32</v>
      </c>
      <c r="AH1035" s="8">
        <v>0</v>
      </c>
      <c r="AI1035" s="7" t="s">
        <v>2532</v>
      </c>
      <c r="AJ1035" s="7">
        <f t="shared" ca="1" si="233"/>
        <v>1</v>
      </c>
      <c r="AK1035" s="96">
        <f t="shared" si="230"/>
        <v>1.4892640654537926E-2</v>
      </c>
      <c r="AL1035" s="97">
        <f t="shared" si="231"/>
        <v>3.804925151226218E-3</v>
      </c>
    </row>
    <row r="1036" spans="1:38" x14ac:dyDescent="0.3">
      <c r="A1036" s="7" t="s">
        <v>2534</v>
      </c>
      <c r="B1036" s="7" t="s">
        <v>1735</v>
      </c>
      <c r="C1036" s="7" t="s">
        <v>1323</v>
      </c>
      <c r="D1036" s="7" t="s">
        <v>1324</v>
      </c>
      <c r="E1036" s="7" t="s">
        <v>1322</v>
      </c>
      <c r="F1036" s="36">
        <v>44105</v>
      </c>
      <c r="G1036" s="36">
        <v>48852</v>
      </c>
      <c r="H1036" s="36">
        <v>48852</v>
      </c>
      <c r="I1036" s="36">
        <v>52504</v>
      </c>
      <c r="J1036" s="7" t="s">
        <v>1696</v>
      </c>
      <c r="K1036" s="8">
        <v>0</v>
      </c>
      <c r="L1036" s="8">
        <v>0</v>
      </c>
      <c r="M1036" s="8">
        <v>54114.336960000001</v>
      </c>
      <c r="N1036" s="8">
        <v>0</v>
      </c>
      <c r="O1036" s="8">
        <v>0</v>
      </c>
      <c r="P1036" s="8">
        <v>0</v>
      </c>
      <c r="Q1036" s="8">
        <v>0</v>
      </c>
      <c r="R1036" s="8">
        <f t="shared" si="232"/>
        <v>54114.336960000001</v>
      </c>
      <c r="S1036" s="8">
        <v>0</v>
      </c>
      <c r="T1036" s="8">
        <v>0</v>
      </c>
      <c r="U1036" s="8">
        <v>49389.48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7">
        <v>20.761644</v>
      </c>
      <c r="AB1036" s="8">
        <v>829149.00928600004</v>
      </c>
      <c r="AC1036" s="7">
        <v>3.74</v>
      </c>
      <c r="AD1036" s="7" t="s">
        <v>1226</v>
      </c>
      <c r="AE1036" s="8">
        <v>1209646.04</v>
      </c>
      <c r="AF1036" s="8">
        <v>0</v>
      </c>
      <c r="AG1036" s="8">
        <v>1209646.04</v>
      </c>
      <c r="AH1036" s="8">
        <v>0</v>
      </c>
      <c r="AI1036" s="7" t="s">
        <v>2532</v>
      </c>
      <c r="AJ1036" s="7">
        <f t="shared" ca="1" si="233"/>
        <v>1</v>
      </c>
      <c r="AK1036" s="96">
        <f t="shared" si="230"/>
        <v>1.5087198036909511E-2</v>
      </c>
      <c r="AL1036" s="97">
        <f t="shared" si="231"/>
        <v>3.8710750040439825E-3</v>
      </c>
    </row>
    <row r="1037" spans="1:38" x14ac:dyDescent="0.3">
      <c r="A1037" s="7" t="s">
        <v>2535</v>
      </c>
      <c r="B1037" s="7" t="s">
        <v>1320</v>
      </c>
      <c r="C1037" s="7" t="s">
        <v>1323</v>
      </c>
      <c r="D1037" s="7" t="s">
        <v>1324</v>
      </c>
      <c r="E1037" s="7" t="s">
        <v>1322</v>
      </c>
      <c r="F1037" s="36">
        <v>41548</v>
      </c>
      <c r="G1037" s="36">
        <v>48852</v>
      </c>
      <c r="H1037" s="36">
        <v>48852</v>
      </c>
      <c r="I1037" s="36">
        <v>48852</v>
      </c>
      <c r="J1037" s="7" t="s">
        <v>1696</v>
      </c>
      <c r="K1037" s="8">
        <v>0</v>
      </c>
      <c r="L1037" s="8">
        <v>0</v>
      </c>
      <c r="M1037" s="8">
        <v>141416.559996</v>
      </c>
      <c r="N1037" s="8">
        <v>0</v>
      </c>
      <c r="O1037" s="8">
        <v>0</v>
      </c>
      <c r="P1037" s="8">
        <v>0</v>
      </c>
      <c r="Q1037" s="8">
        <v>0</v>
      </c>
      <c r="R1037" s="8">
        <f t="shared" si="232"/>
        <v>141416.559996</v>
      </c>
      <c r="S1037" s="8">
        <v>0</v>
      </c>
      <c r="T1037" s="8">
        <v>0</v>
      </c>
      <c r="U1037" s="8">
        <v>141166.56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7">
        <v>10.756164</v>
      </c>
      <c r="AB1037" s="8">
        <v>1251328.391792</v>
      </c>
      <c r="AC1037" s="7">
        <v>3.74</v>
      </c>
      <c r="AD1037" s="7" t="s">
        <v>1226</v>
      </c>
      <c r="AE1037" s="8">
        <v>1517540.52</v>
      </c>
      <c r="AF1037" s="8">
        <v>5000</v>
      </c>
      <c r="AG1037" s="8">
        <v>1522540.52</v>
      </c>
      <c r="AH1037" s="8">
        <v>0</v>
      </c>
      <c r="AI1037" s="7" t="s">
        <v>2532</v>
      </c>
      <c r="AJ1037" s="7">
        <f t="shared" ca="1" si="233"/>
        <v>1</v>
      </c>
      <c r="AK1037" s="96">
        <f t="shared" si="230"/>
        <v>1.1796223129024326E-2</v>
      </c>
      <c r="AL1037" s="97">
        <f t="shared" si="231"/>
        <v>4.8563902003894519E-3</v>
      </c>
    </row>
    <row r="1038" spans="1:38" x14ac:dyDescent="0.3">
      <c r="A1038" s="7" t="s">
        <v>2536</v>
      </c>
      <c r="B1038" s="7" t="s">
        <v>1320</v>
      </c>
      <c r="C1038" s="7" t="s">
        <v>1323</v>
      </c>
      <c r="D1038" s="7" t="s">
        <v>1324</v>
      </c>
      <c r="E1038" s="7" t="s">
        <v>1695</v>
      </c>
      <c r="F1038" s="36">
        <v>43770</v>
      </c>
      <c r="G1038" s="36">
        <v>44865</v>
      </c>
      <c r="H1038" s="36">
        <v>44895</v>
      </c>
      <c r="I1038" s="36">
        <v>44895</v>
      </c>
      <c r="J1038" s="7" t="s">
        <v>1696</v>
      </c>
      <c r="K1038" s="8">
        <v>0</v>
      </c>
      <c r="L1038" s="8">
        <v>0</v>
      </c>
      <c r="M1038" s="8">
        <v>2000</v>
      </c>
      <c r="N1038" s="8">
        <v>0</v>
      </c>
      <c r="O1038" s="8">
        <v>0</v>
      </c>
      <c r="P1038" s="8">
        <v>0</v>
      </c>
      <c r="Q1038" s="8">
        <v>0</v>
      </c>
      <c r="R1038" s="8">
        <f t="shared" si="232"/>
        <v>2000</v>
      </c>
      <c r="S1038" s="8">
        <v>0</v>
      </c>
      <c r="T1038" s="8">
        <v>0</v>
      </c>
      <c r="U1038" s="8">
        <v>2100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7">
        <v>0</v>
      </c>
      <c r="AB1038" s="8">
        <v>0</v>
      </c>
      <c r="AC1038" s="7">
        <v>2.0299999999999998</v>
      </c>
      <c r="AD1038" s="7" t="s">
        <v>1226</v>
      </c>
      <c r="AE1038" s="8">
        <v>0</v>
      </c>
      <c r="AF1038" s="8">
        <v>0</v>
      </c>
      <c r="AG1038" s="8">
        <v>0</v>
      </c>
      <c r="AH1038" s="8">
        <v>0</v>
      </c>
      <c r="AI1038" s="7" t="s">
        <v>1730</v>
      </c>
      <c r="AJ1038" s="7">
        <f t="shared" ca="1" si="233"/>
        <v>1</v>
      </c>
      <c r="AK1038" s="96">
        <f t="shared" si="230"/>
        <v>0</v>
      </c>
      <c r="AL1038" s="97">
        <f t="shared" si="231"/>
        <v>0</v>
      </c>
    </row>
    <row r="1039" spans="1:38" x14ac:dyDescent="0.3">
      <c r="A1039" s="7" t="s">
        <v>2536</v>
      </c>
      <c r="B1039" s="7" t="s">
        <v>1320</v>
      </c>
      <c r="C1039" s="7" t="s">
        <v>1323</v>
      </c>
      <c r="D1039" s="7" t="s">
        <v>1324</v>
      </c>
      <c r="E1039" s="7" t="s">
        <v>1695</v>
      </c>
      <c r="F1039" s="36">
        <v>43770</v>
      </c>
      <c r="G1039" s="36">
        <v>44865</v>
      </c>
      <c r="H1039" s="36">
        <v>44895</v>
      </c>
      <c r="I1039" s="36">
        <v>44895</v>
      </c>
      <c r="J1039" s="7" t="s">
        <v>1699</v>
      </c>
      <c r="K1039" s="8">
        <v>0</v>
      </c>
      <c r="L1039" s="8">
        <v>0</v>
      </c>
      <c r="M1039" s="8">
        <v>0</v>
      </c>
      <c r="N1039" s="8">
        <v>700</v>
      </c>
      <c r="O1039" s="8">
        <v>0</v>
      </c>
      <c r="P1039" s="8">
        <v>0</v>
      </c>
      <c r="Q1039" s="8">
        <v>0</v>
      </c>
      <c r="R1039" s="8">
        <f t="shared" si="232"/>
        <v>700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7">
        <v>0</v>
      </c>
      <c r="AB1039" s="8">
        <v>0</v>
      </c>
      <c r="AC1039" s="7">
        <v>2.0299999999999998</v>
      </c>
      <c r="AD1039" s="7" t="s">
        <v>1226</v>
      </c>
      <c r="AE1039" s="8">
        <v>0</v>
      </c>
      <c r="AF1039" s="8">
        <v>0</v>
      </c>
      <c r="AG1039" s="8">
        <v>0</v>
      </c>
      <c r="AH1039" s="8">
        <v>0</v>
      </c>
      <c r="AI1039" s="7" t="s">
        <v>1730</v>
      </c>
      <c r="AJ1039" s="7">
        <f t="shared" ca="1" si="233"/>
        <v>2</v>
      </c>
      <c r="AK1039" s="100">
        <f>(+AA1039*AB1039)/$AB$1103</f>
        <v>0</v>
      </c>
      <c r="AL1039" s="97">
        <f>AC1039/$AE$1103*AE1039</f>
        <v>0</v>
      </c>
    </row>
    <row r="1040" spans="1:38" x14ac:dyDescent="0.3">
      <c r="A1040" s="7" t="s">
        <v>2537</v>
      </c>
      <c r="B1040" s="7" t="s">
        <v>194</v>
      </c>
      <c r="C1040" s="7" t="s">
        <v>1323</v>
      </c>
      <c r="E1040" s="7" t="s">
        <v>1322</v>
      </c>
      <c r="F1040" s="36">
        <v>44562</v>
      </c>
      <c r="G1040" s="36">
        <v>45657</v>
      </c>
      <c r="H1040" s="36">
        <v>45657</v>
      </c>
      <c r="I1040" s="36">
        <v>45657</v>
      </c>
      <c r="J1040" s="7" t="s">
        <v>1696</v>
      </c>
      <c r="K1040" s="8">
        <v>0</v>
      </c>
      <c r="L1040" s="8">
        <v>0</v>
      </c>
      <c r="M1040" s="8">
        <v>17999.999892</v>
      </c>
      <c r="N1040" s="8">
        <v>0</v>
      </c>
      <c r="O1040" s="8">
        <v>0</v>
      </c>
      <c r="P1040" s="8">
        <v>0</v>
      </c>
      <c r="Q1040" s="8">
        <v>0</v>
      </c>
      <c r="R1040" s="8">
        <f t="shared" si="232"/>
        <v>17999.999892</v>
      </c>
      <c r="S1040" s="8">
        <v>0</v>
      </c>
      <c r="T1040" s="8">
        <v>0</v>
      </c>
      <c r="U1040" s="8">
        <v>18000</v>
      </c>
      <c r="V1040" s="8">
        <v>0</v>
      </c>
      <c r="W1040" s="8">
        <v>0</v>
      </c>
      <c r="X1040" s="8">
        <v>0</v>
      </c>
      <c r="Y1040" s="8">
        <v>51708.646892999997</v>
      </c>
      <c r="Z1040" s="8">
        <v>0</v>
      </c>
      <c r="AA1040" s="7">
        <v>2.0027400000000002</v>
      </c>
      <c r="AB1040" s="8">
        <v>34986.216784999997</v>
      </c>
      <c r="AC1040" s="7">
        <v>3</v>
      </c>
      <c r="AD1040" s="7" t="s">
        <v>1226</v>
      </c>
      <c r="AE1040" s="8">
        <v>36000</v>
      </c>
      <c r="AF1040" s="8">
        <v>0</v>
      </c>
      <c r="AG1040" s="8">
        <v>36000</v>
      </c>
      <c r="AH1040" s="8">
        <v>0</v>
      </c>
      <c r="AI1040" s="7" t="s">
        <v>1758</v>
      </c>
      <c r="AJ1040" s="7">
        <f t="shared" ca="1" si="233"/>
        <v>1</v>
      </c>
      <c r="AK1040" s="96">
        <f t="shared" ref="AK1040:AK1046" si="234">(+AA1040*AB1040)/$AB$1102</f>
        <v>6.1409536526548322E-5</v>
      </c>
      <c r="AL1040" s="97">
        <f t="shared" ref="AL1040:AL1046" si="235">AC1040/$AE$1102*AE1040</f>
        <v>9.2411374812349174E-5</v>
      </c>
    </row>
    <row r="1041" spans="1:38" x14ac:dyDescent="0.3">
      <c r="A1041" s="7" t="s">
        <v>2538</v>
      </c>
      <c r="B1041" s="7" t="s">
        <v>194</v>
      </c>
      <c r="C1041" s="7" t="s">
        <v>1323</v>
      </c>
      <c r="D1041" s="7" t="s">
        <v>1324</v>
      </c>
      <c r="E1041" s="7" t="s">
        <v>1695</v>
      </c>
      <c r="F1041" s="36">
        <v>43831</v>
      </c>
      <c r="G1041" s="36">
        <v>46022</v>
      </c>
      <c r="H1041" s="36">
        <v>44896</v>
      </c>
      <c r="I1041" s="36">
        <v>44896</v>
      </c>
      <c r="J1041" s="7" t="s">
        <v>1696</v>
      </c>
      <c r="K1041" s="8">
        <v>0</v>
      </c>
      <c r="L1041" s="8">
        <v>0</v>
      </c>
      <c r="M1041" s="8">
        <v>208000.001146</v>
      </c>
      <c r="N1041" s="8">
        <v>0</v>
      </c>
      <c r="O1041" s="8">
        <v>0</v>
      </c>
      <c r="P1041" s="8">
        <v>-31350</v>
      </c>
      <c r="Q1041" s="8">
        <v>0</v>
      </c>
      <c r="R1041" s="8">
        <f t="shared" si="232"/>
        <v>176650.001146</v>
      </c>
      <c r="S1041" s="8">
        <v>0</v>
      </c>
      <c r="T1041" s="8">
        <v>0</v>
      </c>
      <c r="U1041" s="8">
        <v>208000</v>
      </c>
      <c r="V1041" s="8">
        <v>0</v>
      </c>
      <c r="W1041" s="8">
        <v>-31350</v>
      </c>
      <c r="X1041" s="8">
        <v>0</v>
      </c>
      <c r="Y1041" s="8">
        <v>467862.45071399998</v>
      </c>
      <c r="Z1041" s="8">
        <v>-248953.82186</v>
      </c>
      <c r="AA1041" s="7">
        <v>0</v>
      </c>
      <c r="AB1041" s="8">
        <v>0</v>
      </c>
      <c r="AC1041" s="7">
        <v>2.318333</v>
      </c>
      <c r="AD1041" s="7" t="s">
        <v>1226</v>
      </c>
      <c r="AE1041" s="8">
        <v>0</v>
      </c>
      <c r="AF1041" s="8">
        <v>0</v>
      </c>
      <c r="AG1041" s="8">
        <v>0</v>
      </c>
      <c r="AH1041" s="8">
        <v>0</v>
      </c>
      <c r="AI1041" s="7" t="s">
        <v>1758</v>
      </c>
      <c r="AJ1041" s="7">
        <f t="shared" ca="1" si="233"/>
        <v>1</v>
      </c>
      <c r="AK1041" s="96">
        <f t="shared" si="234"/>
        <v>0</v>
      </c>
      <c r="AL1041" s="97">
        <f t="shared" si="235"/>
        <v>0</v>
      </c>
    </row>
    <row r="1042" spans="1:38" x14ac:dyDescent="0.3">
      <c r="A1042" s="7" t="s">
        <v>2539</v>
      </c>
      <c r="B1042" s="7" t="s">
        <v>194</v>
      </c>
      <c r="C1042" s="7" t="s">
        <v>1323</v>
      </c>
      <c r="D1042" s="7" t="s">
        <v>1324</v>
      </c>
      <c r="E1042" s="7" t="s">
        <v>1322</v>
      </c>
      <c r="F1042" s="36">
        <v>44896</v>
      </c>
      <c r="G1042" s="36">
        <v>46022</v>
      </c>
      <c r="H1042" s="36">
        <v>46022</v>
      </c>
      <c r="I1042" s="36">
        <v>46752</v>
      </c>
      <c r="J1042" s="7" t="s">
        <v>1696</v>
      </c>
      <c r="K1042" s="8">
        <v>0</v>
      </c>
      <c r="L1042" s="8">
        <v>0</v>
      </c>
      <c r="M1042" s="8">
        <v>41543.440214000002</v>
      </c>
      <c r="N1042" s="8">
        <v>0</v>
      </c>
      <c r="O1042" s="8">
        <v>0</v>
      </c>
      <c r="P1042" s="8">
        <v>0</v>
      </c>
      <c r="Q1042" s="8">
        <v>0</v>
      </c>
      <c r="R1042" s="8">
        <f t="shared" si="232"/>
        <v>41543.440214000002</v>
      </c>
      <c r="S1042" s="8">
        <v>0</v>
      </c>
      <c r="T1042" s="8">
        <v>0</v>
      </c>
      <c r="U1042" s="8">
        <v>5150</v>
      </c>
      <c r="V1042" s="8">
        <v>0</v>
      </c>
      <c r="W1042" s="8">
        <v>0</v>
      </c>
      <c r="X1042" s="8">
        <v>0</v>
      </c>
      <c r="Y1042" s="8">
        <v>0</v>
      </c>
      <c r="Z1042" s="8">
        <v>260558.51880600001</v>
      </c>
      <c r="AA1042" s="7">
        <v>5.0027400000000002</v>
      </c>
      <c r="AB1042" s="8">
        <v>292942.90902000002</v>
      </c>
      <c r="AC1042" s="7">
        <v>2.1930559999999999</v>
      </c>
      <c r="AD1042" s="7" t="s">
        <v>1226</v>
      </c>
      <c r="AE1042" s="8">
        <v>309000</v>
      </c>
      <c r="AF1042" s="8">
        <v>0</v>
      </c>
      <c r="AG1042" s="8">
        <v>309000</v>
      </c>
      <c r="AH1042" s="8">
        <v>0</v>
      </c>
      <c r="AI1042" s="7" t="s">
        <v>1758</v>
      </c>
      <c r="AJ1042" s="7">
        <f t="shared" ca="1" si="233"/>
        <v>1</v>
      </c>
      <c r="AK1042" s="96">
        <f t="shared" si="234"/>
        <v>1.2844144633959178E-3</v>
      </c>
      <c r="AL1042" s="97">
        <f t="shared" si="235"/>
        <v>5.798422766680149E-4</v>
      </c>
    </row>
    <row r="1043" spans="1:38" x14ac:dyDescent="0.3">
      <c r="A1043" s="7" t="s">
        <v>2540</v>
      </c>
      <c r="B1043" s="7" t="s">
        <v>194</v>
      </c>
      <c r="C1043" s="7" t="s">
        <v>1323</v>
      </c>
      <c r="D1043" s="7" t="s">
        <v>1324</v>
      </c>
      <c r="E1043" s="7" t="s">
        <v>1322</v>
      </c>
      <c r="F1043" s="36">
        <v>43466</v>
      </c>
      <c r="G1043" s="36">
        <v>45657</v>
      </c>
      <c r="H1043" s="36">
        <v>45657</v>
      </c>
      <c r="I1043" s="36">
        <v>45657</v>
      </c>
      <c r="J1043" s="7" t="s">
        <v>1696</v>
      </c>
      <c r="K1043" s="8">
        <v>0</v>
      </c>
      <c r="L1043" s="8">
        <v>0</v>
      </c>
      <c r="M1043" s="8">
        <v>216000.003772</v>
      </c>
      <c r="N1043" s="8">
        <v>0</v>
      </c>
      <c r="O1043" s="8">
        <v>0</v>
      </c>
      <c r="P1043" s="8">
        <v>30000</v>
      </c>
      <c r="Q1043" s="8">
        <v>0</v>
      </c>
      <c r="R1043" s="8">
        <f t="shared" si="232"/>
        <v>246000.003772</v>
      </c>
      <c r="S1043" s="8">
        <v>0</v>
      </c>
      <c r="T1043" s="8">
        <v>0</v>
      </c>
      <c r="U1043" s="8">
        <v>216000</v>
      </c>
      <c r="V1043" s="8">
        <v>0</v>
      </c>
      <c r="W1043" s="8">
        <v>30000</v>
      </c>
      <c r="X1043" s="8">
        <v>0</v>
      </c>
      <c r="Y1043" s="8">
        <v>302787.13190699997</v>
      </c>
      <c r="Z1043" s="8">
        <v>0</v>
      </c>
      <c r="AA1043" s="7">
        <v>2.0027400000000002</v>
      </c>
      <c r="AB1043" s="8">
        <v>105638.67567900001</v>
      </c>
      <c r="AC1043" s="7">
        <v>2.318333</v>
      </c>
      <c r="AD1043" s="7" t="s">
        <v>1226</v>
      </c>
      <c r="AE1043" s="8">
        <v>108000</v>
      </c>
      <c r="AF1043" s="8">
        <v>0</v>
      </c>
      <c r="AG1043" s="8">
        <v>108000</v>
      </c>
      <c r="AH1043" s="8">
        <v>36000</v>
      </c>
      <c r="AI1043" s="7" t="s">
        <v>1758</v>
      </c>
      <c r="AJ1043" s="7">
        <f t="shared" ca="1" si="233"/>
        <v>1</v>
      </c>
      <c r="AK1043" s="96">
        <f t="shared" si="234"/>
        <v>1.8542222363142382E-4</v>
      </c>
      <c r="AL1043" s="97">
        <f t="shared" si="235"/>
        <v>2.1424033980283789E-4</v>
      </c>
    </row>
    <row r="1044" spans="1:38" x14ac:dyDescent="0.3">
      <c r="A1044" s="7" t="s">
        <v>2541</v>
      </c>
      <c r="B1044" s="7" t="s">
        <v>194</v>
      </c>
      <c r="C1044" s="7" t="s">
        <v>1323</v>
      </c>
      <c r="D1044" s="7" t="s">
        <v>1324</v>
      </c>
      <c r="E1044" s="7" t="s">
        <v>1322</v>
      </c>
      <c r="F1044" s="36">
        <v>43101</v>
      </c>
      <c r="G1044" s="36">
        <v>45291</v>
      </c>
      <c r="H1044" s="36">
        <v>45291</v>
      </c>
      <c r="I1044" s="36">
        <v>45657</v>
      </c>
      <c r="J1044" s="7" t="s">
        <v>1696</v>
      </c>
      <c r="K1044" s="8">
        <v>0</v>
      </c>
      <c r="L1044" s="8">
        <v>0</v>
      </c>
      <c r="M1044" s="8">
        <v>308571.42823600001</v>
      </c>
      <c r="N1044" s="8">
        <v>0</v>
      </c>
      <c r="O1044" s="8">
        <v>0</v>
      </c>
      <c r="P1044" s="8">
        <v>0</v>
      </c>
      <c r="Q1044" s="8">
        <v>0</v>
      </c>
      <c r="R1044" s="8">
        <f t="shared" si="232"/>
        <v>308571.42823600001</v>
      </c>
      <c r="S1044" s="8">
        <v>0</v>
      </c>
      <c r="T1044" s="8">
        <v>0</v>
      </c>
      <c r="U1044" s="8">
        <v>288000</v>
      </c>
      <c r="V1044" s="8">
        <v>0</v>
      </c>
      <c r="W1044" s="8">
        <v>0</v>
      </c>
      <c r="X1044" s="8">
        <v>0</v>
      </c>
      <c r="Y1044" s="8">
        <v>394372.06108100002</v>
      </c>
      <c r="Z1044" s="8">
        <v>0</v>
      </c>
      <c r="AA1044" s="7">
        <v>2.0027400000000002</v>
      </c>
      <c r="AB1044" s="8">
        <v>140669.09931699999</v>
      </c>
      <c r="AC1044" s="7">
        <v>2.4550000000000001</v>
      </c>
      <c r="AD1044" s="7" t="s">
        <v>1226</v>
      </c>
      <c r="AE1044" s="8">
        <v>144000</v>
      </c>
      <c r="AF1044" s="8">
        <v>0</v>
      </c>
      <c r="AG1044" s="8">
        <v>144000</v>
      </c>
      <c r="AH1044" s="8">
        <v>0</v>
      </c>
      <c r="AI1044" s="7" t="s">
        <v>1758</v>
      </c>
      <c r="AJ1044" s="7">
        <f t="shared" ca="1" si="233"/>
        <v>1</v>
      </c>
      <c r="AK1044" s="96">
        <f t="shared" si="234"/>
        <v>2.4690935421081613E-4</v>
      </c>
      <c r="AL1044" s="97">
        <f t="shared" si="235"/>
        <v>3.0249323355242299E-4</v>
      </c>
    </row>
    <row r="1045" spans="1:38" x14ac:dyDescent="0.3">
      <c r="A1045" s="7" t="s">
        <v>2542</v>
      </c>
      <c r="B1045" s="7" t="s">
        <v>194</v>
      </c>
      <c r="C1045" s="7" t="s">
        <v>1323</v>
      </c>
      <c r="D1045" s="7" t="s">
        <v>1324</v>
      </c>
      <c r="E1045" s="7" t="s">
        <v>1322</v>
      </c>
      <c r="F1045" s="36">
        <v>43831</v>
      </c>
      <c r="G1045" s="36">
        <v>46022</v>
      </c>
      <c r="H1045" s="36">
        <v>46022</v>
      </c>
      <c r="I1045" s="36">
        <v>46387</v>
      </c>
      <c r="J1045" s="7" t="s">
        <v>1696</v>
      </c>
      <c r="K1045" s="8">
        <v>0</v>
      </c>
      <c r="L1045" s="8">
        <v>0</v>
      </c>
      <c r="M1045" s="8">
        <v>131299.772471</v>
      </c>
      <c r="N1045" s="8">
        <v>0</v>
      </c>
      <c r="O1045" s="8">
        <v>0</v>
      </c>
      <c r="P1045" s="8">
        <v>0</v>
      </c>
      <c r="Q1045" s="8">
        <v>0</v>
      </c>
      <c r="R1045" s="8">
        <f t="shared" si="232"/>
        <v>131299.772471</v>
      </c>
      <c r="S1045" s="8">
        <v>0</v>
      </c>
      <c r="T1045" s="8">
        <v>0</v>
      </c>
      <c r="U1045" s="8">
        <v>128169</v>
      </c>
      <c r="V1045" s="8">
        <v>0</v>
      </c>
      <c r="W1045" s="8">
        <v>0</v>
      </c>
      <c r="X1045" s="8">
        <v>0</v>
      </c>
      <c r="Y1045" s="8">
        <v>281477.82021600002</v>
      </c>
      <c r="Z1045" s="8">
        <v>0</v>
      </c>
      <c r="AA1045" s="7">
        <v>4.0027400000000002</v>
      </c>
      <c r="AB1045" s="8">
        <v>169862.812687</v>
      </c>
      <c r="AC1045" s="7">
        <v>2.4550000000000001</v>
      </c>
      <c r="AD1045" s="7" t="s">
        <v>1226</v>
      </c>
      <c r="AE1045" s="8">
        <v>178197.12</v>
      </c>
      <c r="AF1045" s="8">
        <v>0</v>
      </c>
      <c r="AG1045" s="8">
        <v>178197.12</v>
      </c>
      <c r="AH1045" s="8">
        <v>0</v>
      </c>
      <c r="AI1045" s="7" t="s">
        <v>1758</v>
      </c>
      <c r="AJ1045" s="7">
        <f t="shared" ca="1" si="233"/>
        <v>1</v>
      </c>
      <c r="AK1045" s="96">
        <f t="shared" si="234"/>
        <v>5.9589529615938872E-4</v>
      </c>
      <c r="AL1045" s="97">
        <f t="shared" si="235"/>
        <v>3.7432932665645239E-4</v>
      </c>
    </row>
    <row r="1046" spans="1:38" x14ac:dyDescent="0.3">
      <c r="A1046" s="7" t="s">
        <v>2543</v>
      </c>
      <c r="B1046" s="7" t="s">
        <v>194</v>
      </c>
      <c r="C1046" s="7" t="s">
        <v>1323</v>
      </c>
      <c r="D1046" s="7" t="s">
        <v>1324</v>
      </c>
      <c r="E1046" s="7" t="s">
        <v>1322</v>
      </c>
      <c r="F1046" s="36">
        <v>44197</v>
      </c>
      <c r="G1046" s="36">
        <v>46387</v>
      </c>
      <c r="H1046" s="36">
        <v>46387</v>
      </c>
      <c r="I1046" s="36">
        <v>46752</v>
      </c>
      <c r="J1046" s="7" t="s">
        <v>1696</v>
      </c>
      <c r="K1046" s="8">
        <v>0</v>
      </c>
      <c r="L1046" s="8">
        <v>0</v>
      </c>
      <c r="M1046" s="8">
        <v>74546.567393000005</v>
      </c>
      <c r="N1046" s="8">
        <v>0</v>
      </c>
      <c r="O1046" s="8">
        <v>0</v>
      </c>
      <c r="P1046" s="8">
        <v>0</v>
      </c>
      <c r="Q1046" s="8">
        <v>0</v>
      </c>
      <c r="R1046" s="8">
        <f t="shared" si="232"/>
        <v>74546.567393000005</v>
      </c>
      <c r="S1046" s="8">
        <v>0</v>
      </c>
      <c r="T1046" s="8">
        <v>0</v>
      </c>
      <c r="U1046" s="8">
        <v>73775.399999999994</v>
      </c>
      <c r="V1046" s="8">
        <v>0</v>
      </c>
      <c r="W1046" s="8">
        <v>0</v>
      </c>
      <c r="X1046" s="8">
        <v>0</v>
      </c>
      <c r="Y1046" s="8">
        <v>237598.781082</v>
      </c>
      <c r="Z1046" s="8">
        <v>4019.9561370000001</v>
      </c>
      <c r="AA1046" s="7">
        <v>5.0027400000000002</v>
      </c>
      <c r="AB1046" s="8">
        <v>177993.93461200001</v>
      </c>
      <c r="AC1046" s="7">
        <v>2.4550000000000001</v>
      </c>
      <c r="AD1046" s="7" t="s">
        <v>1726</v>
      </c>
      <c r="AE1046" s="8">
        <v>188937</v>
      </c>
      <c r="AF1046" s="8">
        <v>0</v>
      </c>
      <c r="AG1046" s="8">
        <v>188937</v>
      </c>
      <c r="AH1046" s="8">
        <v>0</v>
      </c>
      <c r="AI1046" s="7" t="s">
        <v>1758</v>
      </c>
      <c r="AJ1046" s="7">
        <f t="shared" ca="1" si="233"/>
        <v>1</v>
      </c>
      <c r="AK1046" s="96">
        <f t="shared" si="234"/>
        <v>7.8041822134288863E-4</v>
      </c>
      <c r="AL1046" s="97">
        <f t="shared" si="235"/>
        <v>3.9689002824787594E-4</v>
      </c>
    </row>
    <row r="1047" spans="1:38" x14ac:dyDescent="0.3">
      <c r="A1047" s="7" t="s">
        <v>2544</v>
      </c>
      <c r="B1047" s="7" t="s">
        <v>194</v>
      </c>
      <c r="D1047" s="7" t="s">
        <v>2202</v>
      </c>
      <c r="E1047" s="7" t="s">
        <v>1739</v>
      </c>
      <c r="F1047" s="36">
        <v>43101</v>
      </c>
      <c r="G1047" s="36">
        <v>44926</v>
      </c>
      <c r="I1047" s="36">
        <v>44926</v>
      </c>
      <c r="J1047" s="7" t="s">
        <v>1239</v>
      </c>
      <c r="K1047" s="8">
        <v>0</v>
      </c>
      <c r="L1047" s="8">
        <v>-2576.9675300040349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f t="shared" si="232"/>
        <v>-2576.9675300040349</v>
      </c>
      <c r="S1047" s="8">
        <v>0</v>
      </c>
      <c r="T1047" s="8">
        <v>-3024.8796989943689</v>
      </c>
      <c r="U1047" s="8">
        <v>0</v>
      </c>
      <c r="V1047" s="8">
        <v>3024.8796989943689</v>
      </c>
      <c r="W1047" s="8">
        <v>0</v>
      </c>
      <c r="X1047" s="8">
        <v>0</v>
      </c>
      <c r="Y1047" s="8">
        <v>0</v>
      </c>
      <c r="Z1047" s="8">
        <v>0</v>
      </c>
      <c r="AA1047" s="7">
        <v>0</v>
      </c>
      <c r="AB1047" s="8">
        <v>49999.996714008237</v>
      </c>
      <c r="AC1047" s="7">
        <v>7</v>
      </c>
      <c r="AD1047" s="7" t="s">
        <v>1226</v>
      </c>
      <c r="AE1047" s="8">
        <v>0</v>
      </c>
      <c r="AF1047" s="8">
        <v>0</v>
      </c>
      <c r="AG1047" s="8">
        <v>0</v>
      </c>
      <c r="AH1047" s="8">
        <v>0</v>
      </c>
      <c r="AI1047" s="7" t="s">
        <v>1758</v>
      </c>
      <c r="AJ1047" s="7">
        <f t="shared" ca="1" si="233"/>
        <v>1</v>
      </c>
      <c r="AK1047" s="96">
        <f t="shared" ref="AK1047:AK1069" si="236">(+AA1047*AB1047)/$AB$1101</f>
        <v>0</v>
      </c>
      <c r="AL1047" s="97">
        <f t="shared" ref="AL1047:AL1069" si="237">AC1047/$AE$1101*AE1047</f>
        <v>0</v>
      </c>
    </row>
    <row r="1048" spans="1:38" x14ac:dyDescent="0.3">
      <c r="A1048" s="7" t="s">
        <v>2544</v>
      </c>
      <c r="B1048" s="7" t="s">
        <v>194</v>
      </c>
      <c r="D1048" s="7" t="s">
        <v>2202</v>
      </c>
      <c r="E1048" s="7" t="s">
        <v>1739</v>
      </c>
      <c r="F1048" s="36">
        <v>43101</v>
      </c>
      <c r="G1048" s="36">
        <v>44926</v>
      </c>
      <c r="I1048" s="36">
        <v>44926</v>
      </c>
      <c r="J1048" s="7" t="s">
        <v>1699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f t="shared" si="232"/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7">
        <v>0</v>
      </c>
      <c r="AB1048" s="8">
        <v>0</v>
      </c>
      <c r="AC1048" s="7">
        <v>7</v>
      </c>
      <c r="AD1048" s="7" t="s">
        <v>1226</v>
      </c>
      <c r="AE1048" s="8">
        <v>1200.000000000467</v>
      </c>
      <c r="AF1048" s="8">
        <v>0</v>
      </c>
      <c r="AG1048" s="8">
        <v>1200.000000000467</v>
      </c>
      <c r="AH1048" s="8">
        <v>0</v>
      </c>
      <c r="AI1048" s="7" t="s">
        <v>1758</v>
      </c>
      <c r="AJ1048" s="7">
        <f t="shared" ca="1" si="233"/>
        <v>2</v>
      </c>
      <c r="AK1048" s="100">
        <f>(+AA1048*AB1048)/$AB$1103</f>
        <v>0</v>
      </c>
      <c r="AL1048" s="97">
        <f>AC1048/$AE$1103*AE1048</f>
        <v>1.008409576073359E-3</v>
      </c>
    </row>
    <row r="1049" spans="1:38" x14ac:dyDescent="0.3">
      <c r="A1049" s="7" t="s">
        <v>2545</v>
      </c>
      <c r="B1049" s="7" t="s">
        <v>1735</v>
      </c>
      <c r="C1049" s="7" t="s">
        <v>1323</v>
      </c>
      <c r="D1049" s="7" t="s">
        <v>1324</v>
      </c>
      <c r="E1049" s="7" t="s">
        <v>1322</v>
      </c>
      <c r="F1049" s="36">
        <v>41548</v>
      </c>
      <c r="G1049" s="36">
        <v>48852</v>
      </c>
      <c r="H1049" s="36">
        <v>48852</v>
      </c>
      <c r="I1049" s="36">
        <v>48852</v>
      </c>
      <c r="J1049" s="7" t="s">
        <v>1696</v>
      </c>
      <c r="K1049" s="8">
        <v>0</v>
      </c>
      <c r="L1049" s="8">
        <v>0</v>
      </c>
      <c r="M1049" s="8">
        <v>282583.120008</v>
      </c>
      <c r="N1049" s="8">
        <v>0</v>
      </c>
      <c r="O1049" s="8">
        <v>0</v>
      </c>
      <c r="P1049" s="8">
        <v>0</v>
      </c>
      <c r="Q1049" s="8">
        <v>0</v>
      </c>
      <c r="R1049" s="8">
        <f t="shared" si="232"/>
        <v>282583.120008</v>
      </c>
      <c r="S1049" s="8">
        <v>0</v>
      </c>
      <c r="T1049" s="8">
        <v>0</v>
      </c>
      <c r="U1049" s="8">
        <v>282333.12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7">
        <v>10.756164</v>
      </c>
      <c r="AB1049" s="8">
        <v>2495963.1268540001</v>
      </c>
      <c r="AC1049" s="7">
        <v>3.74</v>
      </c>
      <c r="AD1049" s="7" t="s">
        <v>1226</v>
      </c>
      <c r="AE1049" s="8">
        <v>3035081.04</v>
      </c>
      <c r="AF1049" s="8">
        <v>0</v>
      </c>
      <c r="AG1049" s="8">
        <v>3035081.04</v>
      </c>
      <c r="AH1049" s="8">
        <v>0</v>
      </c>
      <c r="AI1049" s="7" t="s">
        <v>2532</v>
      </c>
      <c r="AJ1049" s="7">
        <f t="shared" ca="1" si="233"/>
        <v>1</v>
      </c>
      <c r="AK1049" s="96">
        <f t="shared" ref="AK1049:AK1050" si="238">(+AA1049*AB1049)/$AB$1102</f>
        <v>2.3529345421486398E-2</v>
      </c>
      <c r="AL1049" s="97">
        <f t="shared" ref="AL1049:AL1050" si="239">AC1049/$AE$1102*AE1049</f>
        <v>9.7127804007789038E-3</v>
      </c>
    </row>
    <row r="1050" spans="1:38" x14ac:dyDescent="0.3">
      <c r="A1050" s="7" t="s">
        <v>2546</v>
      </c>
      <c r="B1050" s="7" t="s">
        <v>194</v>
      </c>
      <c r="D1050" s="7" t="s">
        <v>2202</v>
      </c>
      <c r="E1050" s="7" t="s">
        <v>1739</v>
      </c>
      <c r="F1050" s="36">
        <v>43101</v>
      </c>
      <c r="G1050" s="36">
        <v>44926</v>
      </c>
      <c r="I1050" s="36">
        <v>44926</v>
      </c>
      <c r="J1050" s="7" t="s">
        <v>1696</v>
      </c>
      <c r="K1050" s="8">
        <v>0</v>
      </c>
      <c r="L1050" s="8">
        <v>0</v>
      </c>
      <c r="M1050" s="8">
        <v>-11327.003160009115</v>
      </c>
      <c r="N1050" s="8">
        <v>0</v>
      </c>
      <c r="O1050" s="8">
        <v>0</v>
      </c>
      <c r="P1050" s="8">
        <v>0</v>
      </c>
      <c r="Q1050" s="8">
        <v>0</v>
      </c>
      <c r="R1050" s="8">
        <f t="shared" si="232"/>
        <v>-11327.003160009115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7">
        <v>0</v>
      </c>
      <c r="AB1050" s="8">
        <v>0</v>
      </c>
      <c r="AC1050" s="7">
        <v>7</v>
      </c>
      <c r="AD1050" s="7" t="s">
        <v>1226</v>
      </c>
      <c r="AE1050" s="8">
        <v>0</v>
      </c>
      <c r="AF1050" s="8">
        <v>0</v>
      </c>
      <c r="AG1050" s="8">
        <v>0</v>
      </c>
      <c r="AH1050" s="8">
        <v>0</v>
      </c>
      <c r="AI1050" s="7" t="s">
        <v>1758</v>
      </c>
      <c r="AJ1050" s="7">
        <f t="shared" ca="1" si="233"/>
        <v>1</v>
      </c>
      <c r="AK1050" s="96">
        <f t="shared" si="238"/>
        <v>0</v>
      </c>
      <c r="AL1050" s="97">
        <f t="shared" si="239"/>
        <v>0</v>
      </c>
    </row>
    <row r="1051" spans="1:38" x14ac:dyDescent="0.3">
      <c r="A1051" s="7" t="s">
        <v>2546</v>
      </c>
      <c r="B1051" s="7" t="s">
        <v>194</v>
      </c>
      <c r="D1051" s="7" t="s">
        <v>2202</v>
      </c>
      <c r="E1051" s="7" t="s">
        <v>1739</v>
      </c>
      <c r="F1051" s="36">
        <v>43101</v>
      </c>
      <c r="G1051" s="36">
        <v>44926</v>
      </c>
      <c r="I1051" s="36">
        <v>44926</v>
      </c>
      <c r="J1051" s="7" t="s">
        <v>1699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f t="shared" si="232"/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7">
        <v>0</v>
      </c>
      <c r="AB1051" s="8">
        <v>0</v>
      </c>
      <c r="AC1051" s="7">
        <v>7</v>
      </c>
      <c r="AD1051" s="7" t="s">
        <v>1226</v>
      </c>
      <c r="AE1051" s="8">
        <v>3900.0000000015161</v>
      </c>
      <c r="AF1051" s="8">
        <v>0</v>
      </c>
      <c r="AG1051" s="8">
        <v>3900.0000000015161</v>
      </c>
      <c r="AH1051" s="8">
        <v>0</v>
      </c>
      <c r="AI1051" s="7" t="s">
        <v>1758</v>
      </c>
      <c r="AJ1051" s="7">
        <f t="shared" ca="1" si="233"/>
        <v>2</v>
      </c>
      <c r="AK1051" s="100">
        <f>(+AA1051*AB1051)/$AB$1103</f>
        <v>0</v>
      </c>
      <c r="AL1051" s="97">
        <f>AC1051/$AE$1103*AE1051</f>
        <v>3.2773311222384148E-3</v>
      </c>
    </row>
    <row r="1052" spans="1:38" x14ac:dyDescent="0.3">
      <c r="A1052" s="7" t="s">
        <v>2547</v>
      </c>
      <c r="B1052" s="7" t="s">
        <v>194</v>
      </c>
      <c r="D1052" s="7" t="s">
        <v>2202</v>
      </c>
      <c r="E1052" s="7" t="s">
        <v>1322</v>
      </c>
      <c r="F1052" s="36">
        <v>43770</v>
      </c>
      <c r="G1052" s="36">
        <v>45596</v>
      </c>
      <c r="H1052" s="36">
        <v>45596</v>
      </c>
      <c r="I1052" s="36">
        <v>45596</v>
      </c>
      <c r="J1052" s="7" t="s">
        <v>1696</v>
      </c>
      <c r="K1052" s="8">
        <v>0</v>
      </c>
      <c r="L1052" s="8">
        <v>0</v>
      </c>
      <c r="M1052" s="8">
        <v>9222.9881042156267</v>
      </c>
      <c r="N1052" s="8">
        <v>0</v>
      </c>
      <c r="O1052" s="8">
        <v>0</v>
      </c>
      <c r="P1052" s="8">
        <v>0</v>
      </c>
      <c r="Q1052" s="8">
        <v>0</v>
      </c>
      <c r="R1052" s="8">
        <f t="shared" si="232"/>
        <v>9222.9881042156267</v>
      </c>
      <c r="S1052" s="8">
        <v>0</v>
      </c>
      <c r="T1052" s="8">
        <v>0</v>
      </c>
      <c r="U1052" s="8">
        <v>60000.000000009873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7">
        <v>1.8356159999999999</v>
      </c>
      <c r="AB1052" s="8">
        <v>107167.02386001765</v>
      </c>
      <c r="AC1052" s="7">
        <v>3</v>
      </c>
      <c r="AD1052" s="7" t="s">
        <v>1226</v>
      </c>
      <c r="AE1052" s="8">
        <v>110000.00000004277</v>
      </c>
      <c r="AF1052" s="8">
        <v>0</v>
      </c>
      <c r="AG1052" s="8">
        <v>110000.00000004277</v>
      </c>
      <c r="AH1052" s="8">
        <v>0</v>
      </c>
      <c r="AI1052" s="7" t="s">
        <v>1758</v>
      </c>
      <c r="AJ1052" s="7">
        <f t="shared" ca="1" si="233"/>
        <v>1</v>
      </c>
      <c r="AK1052" s="96">
        <f t="shared" ref="AK1052:AK1055" si="240">(+AA1052*AB1052)/$AB$1102</f>
        <v>1.7240794268519622E-4</v>
      </c>
      <c r="AL1052" s="97">
        <f t="shared" ref="AL1052:AL1055" si="241">AC1052/$AE$1102*AE1052</f>
        <v>2.8236808970451001E-4</v>
      </c>
    </row>
    <row r="1053" spans="1:38" x14ac:dyDescent="0.3">
      <c r="A1053" s="7" t="s">
        <v>2548</v>
      </c>
      <c r="B1053" s="7" t="s">
        <v>1320</v>
      </c>
      <c r="C1053" s="7" t="s">
        <v>1323</v>
      </c>
      <c r="D1053" s="7" t="s">
        <v>1324</v>
      </c>
      <c r="E1053" s="7" t="s">
        <v>1322</v>
      </c>
      <c r="F1053" s="36">
        <v>43644</v>
      </c>
      <c r="G1053" s="36">
        <v>45165</v>
      </c>
      <c r="H1053" s="36">
        <v>45165</v>
      </c>
      <c r="I1053" s="36">
        <v>45165</v>
      </c>
      <c r="J1053" s="7" t="s">
        <v>1696</v>
      </c>
      <c r="K1053" s="8">
        <v>0</v>
      </c>
      <c r="L1053" s="8">
        <v>0</v>
      </c>
      <c r="M1053" s="8">
        <v>11271.920291834635</v>
      </c>
      <c r="N1053" s="8">
        <v>0</v>
      </c>
      <c r="O1053" s="8">
        <v>0</v>
      </c>
      <c r="P1053" s="8">
        <v>0</v>
      </c>
      <c r="Q1053" s="8">
        <v>0</v>
      </c>
      <c r="R1053" s="8">
        <f t="shared" si="232"/>
        <v>11271.920291834635</v>
      </c>
      <c r="S1053" s="8">
        <v>0</v>
      </c>
      <c r="T1053" s="8">
        <v>0</v>
      </c>
      <c r="U1053" s="8">
        <v>12984.727570589999</v>
      </c>
      <c r="V1053" s="8">
        <v>0</v>
      </c>
      <c r="W1053" s="8">
        <v>0</v>
      </c>
      <c r="X1053" s="8">
        <v>0</v>
      </c>
      <c r="Y1053" s="8">
        <v>0</v>
      </c>
      <c r="Z1053" s="8">
        <v>4.4974190592000002E-2</v>
      </c>
      <c r="AA1053" s="7">
        <v>0.65479500000000002</v>
      </c>
      <c r="AB1053" s="8">
        <v>7260.1804483842989</v>
      </c>
      <c r="AC1053" s="7">
        <v>2.0449999999999999</v>
      </c>
      <c r="AD1053" s="7" t="s">
        <v>1226</v>
      </c>
      <c r="AE1053" s="8">
        <v>7355.838513527</v>
      </c>
      <c r="AF1053" s="8">
        <v>0</v>
      </c>
      <c r="AG1053" s="8">
        <v>7355.838513527</v>
      </c>
      <c r="AH1053" s="8">
        <v>0</v>
      </c>
      <c r="AI1053" s="7" t="s">
        <v>1976</v>
      </c>
      <c r="AJ1053" s="7">
        <f t="shared" ca="1" si="233"/>
        <v>1</v>
      </c>
      <c r="AK1053" s="96">
        <f t="shared" si="240"/>
        <v>4.1664582509087781E-6</v>
      </c>
      <c r="AL1053" s="97">
        <f t="shared" si="241"/>
        <v>1.2871441126039664E-5</v>
      </c>
    </row>
    <row r="1054" spans="1:38" x14ac:dyDescent="0.3">
      <c r="A1054" s="7" t="s">
        <v>2549</v>
      </c>
      <c r="B1054" s="7" t="s">
        <v>1320</v>
      </c>
      <c r="C1054" s="7" t="s">
        <v>1323</v>
      </c>
      <c r="D1054" s="7" t="s">
        <v>1324</v>
      </c>
      <c r="E1054" s="7" t="s">
        <v>1322</v>
      </c>
      <c r="F1054" s="36">
        <v>43644</v>
      </c>
      <c r="G1054" s="36">
        <v>45165</v>
      </c>
      <c r="H1054" s="36">
        <v>45165</v>
      </c>
      <c r="I1054" s="36">
        <v>45165</v>
      </c>
      <c r="J1054" s="7" t="s">
        <v>1696</v>
      </c>
      <c r="K1054" s="8">
        <v>0</v>
      </c>
      <c r="L1054" s="8">
        <v>0</v>
      </c>
      <c r="M1054" s="8">
        <v>11207.558225408993</v>
      </c>
      <c r="N1054" s="8">
        <v>0</v>
      </c>
      <c r="O1054" s="8">
        <v>0</v>
      </c>
      <c r="P1054" s="8">
        <v>0</v>
      </c>
      <c r="Q1054" s="8">
        <v>0</v>
      </c>
      <c r="R1054" s="8">
        <f t="shared" si="232"/>
        <v>11207.558225408993</v>
      </c>
      <c r="S1054" s="8">
        <v>0</v>
      </c>
      <c r="T1054" s="8">
        <v>0</v>
      </c>
      <c r="U1054" s="8">
        <v>12910.652227840857</v>
      </c>
      <c r="V1054" s="8">
        <v>0</v>
      </c>
      <c r="W1054" s="8">
        <v>0</v>
      </c>
      <c r="X1054" s="8">
        <v>0</v>
      </c>
      <c r="Y1054" s="8">
        <v>0</v>
      </c>
      <c r="Z1054" s="8">
        <v>-7.6683736192000002E-2</v>
      </c>
      <c r="AA1054" s="7">
        <v>0.65479500000000002</v>
      </c>
      <c r="AB1054" s="8">
        <v>7218.6778160508838</v>
      </c>
      <c r="AC1054" s="7">
        <v>2.0449999999999999</v>
      </c>
      <c r="AD1054" s="7" t="s">
        <v>1226</v>
      </c>
      <c r="AE1054" s="8">
        <v>7313.8706038999999</v>
      </c>
      <c r="AF1054" s="8">
        <v>0</v>
      </c>
      <c r="AG1054" s="8">
        <v>7313.8706038999999</v>
      </c>
      <c r="AH1054" s="8">
        <v>0</v>
      </c>
      <c r="AI1054" s="7" t="s">
        <v>1976</v>
      </c>
      <c r="AJ1054" s="7">
        <f t="shared" ca="1" si="233"/>
        <v>1</v>
      </c>
      <c r="AK1054" s="96">
        <f t="shared" si="240"/>
        <v>4.1426408008950569E-6</v>
      </c>
      <c r="AL1054" s="97">
        <f t="shared" si="241"/>
        <v>1.2798004565822428E-5</v>
      </c>
    </row>
    <row r="1055" spans="1:38" x14ac:dyDescent="0.3">
      <c r="A1055" s="7" t="s">
        <v>2550</v>
      </c>
      <c r="B1055" s="7" t="s">
        <v>1320</v>
      </c>
      <c r="C1055" s="7" t="s">
        <v>1323</v>
      </c>
      <c r="D1055" s="7" t="s">
        <v>1324</v>
      </c>
      <c r="E1055" s="7" t="s">
        <v>1322</v>
      </c>
      <c r="F1055" s="36">
        <v>43644</v>
      </c>
      <c r="G1055" s="36">
        <v>45165</v>
      </c>
      <c r="H1055" s="36">
        <v>45165</v>
      </c>
      <c r="I1055" s="36">
        <v>45165</v>
      </c>
      <c r="J1055" s="7" t="s">
        <v>1696</v>
      </c>
      <c r="K1055" s="8">
        <v>0</v>
      </c>
      <c r="L1055" s="8">
        <v>0</v>
      </c>
      <c r="M1055" s="8">
        <v>11271.920291834635</v>
      </c>
      <c r="N1055" s="8">
        <v>0</v>
      </c>
      <c r="O1055" s="8">
        <v>0</v>
      </c>
      <c r="P1055" s="8">
        <v>0</v>
      </c>
      <c r="Q1055" s="8">
        <v>0</v>
      </c>
      <c r="R1055" s="8">
        <f t="shared" si="232"/>
        <v>11271.920291834635</v>
      </c>
      <c r="S1055" s="8">
        <v>0</v>
      </c>
      <c r="T1055" s="8">
        <v>0</v>
      </c>
      <c r="U1055" s="8">
        <v>12984.727570589999</v>
      </c>
      <c r="V1055" s="8">
        <v>0</v>
      </c>
      <c r="W1055" s="8">
        <v>0</v>
      </c>
      <c r="X1055" s="8">
        <v>0</v>
      </c>
      <c r="Y1055" s="8">
        <v>0</v>
      </c>
      <c r="Z1055" s="8">
        <v>4.4974190592000002E-2</v>
      </c>
      <c r="AA1055" s="7">
        <v>0.65479500000000002</v>
      </c>
      <c r="AB1055" s="8">
        <v>7260.1804483842989</v>
      </c>
      <c r="AC1055" s="7">
        <v>2.0449999999999999</v>
      </c>
      <c r="AD1055" s="7" t="s">
        <v>1226</v>
      </c>
      <c r="AE1055" s="8">
        <v>7355.838513527</v>
      </c>
      <c r="AF1055" s="8">
        <v>0</v>
      </c>
      <c r="AG1055" s="8">
        <v>7355.838513527</v>
      </c>
      <c r="AH1055" s="8">
        <v>0</v>
      </c>
      <c r="AI1055" s="7" t="s">
        <v>1976</v>
      </c>
      <c r="AJ1055" s="7">
        <f t="shared" ca="1" si="233"/>
        <v>1</v>
      </c>
      <c r="AK1055" s="96">
        <f t="shared" si="240"/>
        <v>4.1664582509087781E-6</v>
      </c>
      <c r="AL1055" s="97">
        <f t="shared" si="241"/>
        <v>1.2871441126039664E-5</v>
      </c>
    </row>
    <row r="1056" spans="1:38" x14ac:dyDescent="0.3">
      <c r="A1056" s="7" t="s">
        <v>2551</v>
      </c>
      <c r="B1056" s="7" t="s">
        <v>1735</v>
      </c>
      <c r="D1056" s="7" t="s">
        <v>2356</v>
      </c>
      <c r="E1056" s="7" t="s">
        <v>1322</v>
      </c>
      <c r="F1056" s="36">
        <v>43868</v>
      </c>
      <c r="G1056" s="36">
        <v>44963</v>
      </c>
      <c r="H1056" s="36">
        <v>44963</v>
      </c>
      <c r="I1056" s="36">
        <v>44963</v>
      </c>
      <c r="J1056" s="7" t="s">
        <v>1239</v>
      </c>
      <c r="K1056" s="8">
        <v>1627.6782154106941</v>
      </c>
      <c r="L1056" s="8">
        <v>34.878070000004001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f t="shared" si="232"/>
        <v>1662.5562854106981</v>
      </c>
      <c r="S1056" s="8">
        <v>0</v>
      </c>
      <c r="T1056" s="8">
        <v>39.060765000011997</v>
      </c>
      <c r="U1056" s="8">
        <v>0</v>
      </c>
      <c r="V1056" s="8">
        <v>3065.9392350005041</v>
      </c>
      <c r="W1056" s="8">
        <v>0</v>
      </c>
      <c r="X1056" s="8">
        <v>0</v>
      </c>
      <c r="Y1056" s="8">
        <v>0</v>
      </c>
      <c r="Z1056" s="8">
        <v>0</v>
      </c>
      <c r="AA1056" s="7">
        <v>0.10137</v>
      </c>
      <c r="AB1056" s="8">
        <v>258.31300500004255</v>
      </c>
      <c r="AC1056" s="7">
        <v>2.0299999999999998</v>
      </c>
      <c r="AD1056" s="7" t="s">
        <v>1226</v>
      </c>
      <c r="AE1056" s="8">
        <v>258.75000000010101</v>
      </c>
      <c r="AF1056" s="8">
        <v>0</v>
      </c>
      <c r="AG1056" s="8">
        <v>258.75000000010101</v>
      </c>
      <c r="AH1056" s="8">
        <v>0</v>
      </c>
      <c r="AI1056" s="7" t="s">
        <v>1781</v>
      </c>
      <c r="AJ1056" s="7">
        <f t="shared" ca="1" si="233"/>
        <v>1</v>
      </c>
      <c r="AK1056" s="96">
        <f t="shared" si="236"/>
        <v>1.7541564298698242E-7</v>
      </c>
      <c r="AL1056" s="97">
        <f t="shared" si="237"/>
        <v>3.339112026297376E-6</v>
      </c>
    </row>
    <row r="1057" spans="1:38" x14ac:dyDescent="0.3">
      <c r="A1057" s="7" t="s">
        <v>2552</v>
      </c>
      <c r="B1057" s="7" t="s">
        <v>1735</v>
      </c>
      <c r="C1057" s="7" t="s">
        <v>1323</v>
      </c>
      <c r="D1057" s="7" t="s">
        <v>2440</v>
      </c>
      <c r="E1057" s="7" t="s">
        <v>1322</v>
      </c>
      <c r="F1057" s="36">
        <v>43896</v>
      </c>
      <c r="G1057" s="36">
        <v>44990</v>
      </c>
      <c r="H1057" s="36">
        <v>44990</v>
      </c>
      <c r="I1057" s="36">
        <v>44990</v>
      </c>
      <c r="J1057" s="7" t="s">
        <v>1239</v>
      </c>
      <c r="K1057" s="8">
        <v>1627.6782154106941</v>
      </c>
      <c r="L1057" s="8">
        <v>39.895895000004998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f t="shared" si="232"/>
        <v>1667.5741104106992</v>
      </c>
      <c r="S1057" s="8">
        <v>0</v>
      </c>
      <c r="T1057" s="8">
        <v>44.238555000011999</v>
      </c>
      <c r="U1057" s="8">
        <v>0</v>
      </c>
      <c r="V1057" s="8">
        <v>3060.761445000504</v>
      </c>
      <c r="W1057" s="8">
        <v>0</v>
      </c>
      <c r="X1057" s="8">
        <v>0</v>
      </c>
      <c r="Y1057" s="8">
        <v>0</v>
      </c>
      <c r="Z1057" s="8">
        <v>0</v>
      </c>
      <c r="AA1057" s="7">
        <v>0.175342</v>
      </c>
      <c r="AB1057" s="8">
        <v>516.18978500008495</v>
      </c>
      <c r="AC1057" s="7">
        <v>2.0299999999999998</v>
      </c>
      <c r="AD1057" s="7" t="s">
        <v>1226</v>
      </c>
      <c r="AE1057" s="8">
        <v>517.50000000020202</v>
      </c>
      <c r="AF1057" s="8">
        <v>0</v>
      </c>
      <c r="AG1057" s="8">
        <v>517.50000000020202</v>
      </c>
      <c r="AH1057" s="8">
        <v>0</v>
      </c>
      <c r="AI1057" s="7" t="s">
        <v>1781</v>
      </c>
      <c r="AJ1057" s="7">
        <f t="shared" ca="1" si="233"/>
        <v>1</v>
      </c>
      <c r="AK1057" s="96">
        <f t="shared" si="236"/>
        <v>6.063284735002085E-7</v>
      </c>
      <c r="AL1057" s="97">
        <f t="shared" si="237"/>
        <v>6.6782240525947521E-6</v>
      </c>
    </row>
    <row r="1058" spans="1:38" x14ac:dyDescent="0.3">
      <c r="A1058" s="7" t="s">
        <v>2553</v>
      </c>
      <c r="B1058" s="7" t="s">
        <v>1735</v>
      </c>
      <c r="C1058" s="7" t="s">
        <v>1769</v>
      </c>
      <c r="D1058" s="7" t="s">
        <v>1780</v>
      </c>
      <c r="E1058" s="7" t="s">
        <v>1695</v>
      </c>
      <c r="F1058" s="36">
        <v>43689</v>
      </c>
      <c r="G1058" s="36">
        <v>44723</v>
      </c>
      <c r="H1058" s="36">
        <v>44895</v>
      </c>
      <c r="I1058" s="36">
        <v>44895</v>
      </c>
      <c r="J1058" s="7" t="s">
        <v>1696</v>
      </c>
      <c r="K1058" s="8">
        <v>0</v>
      </c>
      <c r="L1058" s="8">
        <v>0</v>
      </c>
      <c r="M1058" s="8">
        <v>3318.7605400000002</v>
      </c>
      <c r="N1058" s="8">
        <v>0</v>
      </c>
      <c r="O1058" s="8">
        <v>0</v>
      </c>
      <c r="P1058" s="8">
        <v>0</v>
      </c>
      <c r="Q1058" s="8">
        <v>0</v>
      </c>
      <c r="R1058" s="8">
        <f t="shared" si="232"/>
        <v>3318.7605400000002</v>
      </c>
      <c r="S1058" s="8">
        <v>0</v>
      </c>
      <c r="T1058" s="8">
        <v>0</v>
      </c>
      <c r="U1058" s="8">
        <v>3000</v>
      </c>
      <c r="V1058" s="8">
        <v>0</v>
      </c>
      <c r="W1058" s="8">
        <v>0</v>
      </c>
      <c r="X1058" s="8">
        <v>0</v>
      </c>
      <c r="Y1058" s="8">
        <v>0</v>
      </c>
      <c r="Z1058" s="8">
        <v>-672.14211599999999</v>
      </c>
      <c r="AA1058" s="7">
        <v>0</v>
      </c>
      <c r="AB1058" s="8">
        <v>0</v>
      </c>
      <c r="AC1058" s="7">
        <v>1.992167</v>
      </c>
      <c r="AD1058" s="7" t="s">
        <v>1226</v>
      </c>
      <c r="AE1058" s="8">
        <v>0</v>
      </c>
      <c r="AF1058" s="8">
        <v>0</v>
      </c>
      <c r="AG1058" s="8">
        <v>0</v>
      </c>
      <c r="AH1058" s="8">
        <v>0</v>
      </c>
      <c r="AI1058" s="7" t="s">
        <v>1760</v>
      </c>
      <c r="AJ1058" s="7">
        <f t="shared" ca="1" si="233"/>
        <v>1</v>
      </c>
      <c r="AK1058" s="96">
        <f>(+AA1058*AB1058)/$AB$1102</f>
        <v>0</v>
      </c>
      <c r="AL1058" s="97">
        <f>AC1058/$AE$1102*AE1058</f>
        <v>0</v>
      </c>
    </row>
    <row r="1059" spans="1:38" x14ac:dyDescent="0.3">
      <c r="A1059" s="7" t="s">
        <v>2553</v>
      </c>
      <c r="B1059" s="7" t="s">
        <v>1735</v>
      </c>
      <c r="C1059" s="7" t="s">
        <v>1769</v>
      </c>
      <c r="D1059" s="7" t="s">
        <v>1780</v>
      </c>
      <c r="E1059" s="7" t="s">
        <v>1695</v>
      </c>
      <c r="F1059" s="36">
        <v>43689</v>
      </c>
      <c r="G1059" s="36">
        <v>44723</v>
      </c>
      <c r="H1059" s="36">
        <v>44895</v>
      </c>
      <c r="I1059" s="36">
        <v>44895</v>
      </c>
      <c r="J1059" s="7" t="s">
        <v>1699</v>
      </c>
      <c r="K1059" s="8">
        <v>0</v>
      </c>
      <c r="L1059" s="8">
        <v>0</v>
      </c>
      <c r="M1059" s="8">
        <v>0</v>
      </c>
      <c r="N1059" s="8">
        <v>3600</v>
      </c>
      <c r="O1059" s="8">
        <v>0</v>
      </c>
      <c r="P1059" s="8">
        <v>0</v>
      </c>
      <c r="Q1059" s="8">
        <v>0</v>
      </c>
      <c r="R1059" s="8">
        <f t="shared" si="232"/>
        <v>3600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7">
        <v>0</v>
      </c>
      <c r="AB1059" s="8">
        <v>0</v>
      </c>
      <c r="AC1059" s="7">
        <v>1.992167</v>
      </c>
      <c r="AD1059" s="7" t="s">
        <v>1226</v>
      </c>
      <c r="AE1059" s="8">
        <v>0</v>
      </c>
      <c r="AF1059" s="8">
        <v>0</v>
      </c>
      <c r="AG1059" s="8">
        <v>0</v>
      </c>
      <c r="AH1059" s="8">
        <v>0</v>
      </c>
      <c r="AI1059" s="7" t="s">
        <v>1760</v>
      </c>
      <c r="AJ1059" s="7">
        <f t="shared" ca="1" si="233"/>
        <v>2</v>
      </c>
      <c r="AK1059" s="100">
        <f>(+AA1059*AB1059)/$AB$1103</f>
        <v>0</v>
      </c>
      <c r="AL1059" s="97">
        <f>AC1059/$AE$1103*AE1059</f>
        <v>0</v>
      </c>
    </row>
    <row r="1060" spans="1:38" x14ac:dyDescent="0.3">
      <c r="A1060" s="7" t="s">
        <v>2554</v>
      </c>
      <c r="B1060" s="7" t="s">
        <v>1320</v>
      </c>
      <c r="D1060" s="7" t="s">
        <v>2555</v>
      </c>
      <c r="E1060" s="7" t="s">
        <v>1695</v>
      </c>
      <c r="F1060" s="36">
        <v>43787</v>
      </c>
      <c r="G1060" s="36">
        <v>44882</v>
      </c>
      <c r="H1060" s="36">
        <v>44895</v>
      </c>
      <c r="I1060" s="36">
        <v>44895</v>
      </c>
      <c r="J1060" s="7" t="s">
        <v>1696</v>
      </c>
      <c r="K1060" s="8">
        <v>0</v>
      </c>
      <c r="L1060" s="8">
        <v>0</v>
      </c>
      <c r="M1060" s="8">
        <v>5953.9169583843959</v>
      </c>
      <c r="N1060" s="8">
        <v>0</v>
      </c>
      <c r="O1060" s="8">
        <v>0</v>
      </c>
      <c r="P1060" s="8">
        <v>0</v>
      </c>
      <c r="Q1060" s="8">
        <v>0</v>
      </c>
      <c r="R1060" s="8">
        <f t="shared" si="232"/>
        <v>5953.9169583843959</v>
      </c>
      <c r="S1060" s="8">
        <v>0</v>
      </c>
      <c r="T1060" s="8">
        <v>0</v>
      </c>
      <c r="U1060" s="8">
        <v>10350.000000001701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7">
        <v>0</v>
      </c>
      <c r="AB1060" s="8">
        <v>0</v>
      </c>
      <c r="AC1060" s="7">
        <v>2.5</v>
      </c>
      <c r="AD1060" s="7" t="s">
        <v>1226</v>
      </c>
      <c r="AE1060" s="8">
        <v>0</v>
      </c>
      <c r="AF1060" s="8">
        <v>0</v>
      </c>
      <c r="AG1060" s="8">
        <v>0</v>
      </c>
      <c r="AH1060" s="8">
        <v>0</v>
      </c>
      <c r="AI1060" s="7" t="s">
        <v>1760</v>
      </c>
      <c r="AJ1060" s="7">
        <f t="shared" ca="1" si="233"/>
        <v>1</v>
      </c>
      <c r="AK1060" s="96">
        <f>(+AA1060*AB1060)/$AB$1102</f>
        <v>0</v>
      </c>
      <c r="AL1060" s="97">
        <f>AC1060/$AE$1102*AE1060</f>
        <v>0</v>
      </c>
    </row>
    <row r="1061" spans="1:38" x14ac:dyDescent="0.3">
      <c r="A1061" s="7" t="s">
        <v>2554</v>
      </c>
      <c r="B1061" s="7" t="s">
        <v>1320</v>
      </c>
      <c r="D1061" s="7" t="s">
        <v>2555</v>
      </c>
      <c r="E1061" s="7" t="s">
        <v>1695</v>
      </c>
      <c r="F1061" s="36">
        <v>43787</v>
      </c>
      <c r="G1061" s="36">
        <v>44882</v>
      </c>
      <c r="H1061" s="36">
        <v>44895</v>
      </c>
      <c r="I1061" s="36">
        <v>44895</v>
      </c>
      <c r="J1061" s="7" t="s">
        <v>1699</v>
      </c>
      <c r="K1061" s="8">
        <v>0</v>
      </c>
      <c r="L1061" s="8">
        <v>0</v>
      </c>
      <c r="M1061" s="8">
        <v>0</v>
      </c>
      <c r="N1061" s="8">
        <v>1035.000000000171</v>
      </c>
      <c r="O1061" s="8">
        <v>0</v>
      </c>
      <c r="P1061" s="8">
        <v>0</v>
      </c>
      <c r="Q1061" s="8">
        <v>0</v>
      </c>
      <c r="R1061" s="8">
        <f t="shared" si="232"/>
        <v>1035.000000000171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7">
        <v>0</v>
      </c>
      <c r="AB1061" s="8">
        <v>0</v>
      </c>
      <c r="AC1061" s="7">
        <v>2.5</v>
      </c>
      <c r="AD1061" s="7" t="s">
        <v>1226</v>
      </c>
      <c r="AE1061" s="8">
        <v>0</v>
      </c>
      <c r="AF1061" s="8">
        <v>0</v>
      </c>
      <c r="AG1061" s="8">
        <v>0</v>
      </c>
      <c r="AH1061" s="8">
        <v>0</v>
      </c>
      <c r="AI1061" s="7" t="s">
        <v>1760</v>
      </c>
      <c r="AJ1061" s="7">
        <f t="shared" ca="1" si="233"/>
        <v>2</v>
      </c>
      <c r="AK1061" s="100">
        <f>(+AA1061*AB1061)/$AB$1103</f>
        <v>0</v>
      </c>
      <c r="AL1061" s="97">
        <f>AC1061/$AE$1103*AE1061</f>
        <v>0</v>
      </c>
    </row>
    <row r="1062" spans="1:38" x14ac:dyDescent="0.3">
      <c r="A1062" s="7" t="s">
        <v>2556</v>
      </c>
      <c r="B1062" s="7" t="s">
        <v>1735</v>
      </c>
      <c r="C1062" s="7" t="s">
        <v>1769</v>
      </c>
      <c r="D1062" s="7" t="s">
        <v>1780</v>
      </c>
      <c r="E1062" s="7" t="s">
        <v>1695</v>
      </c>
      <c r="F1062" s="36">
        <v>43739</v>
      </c>
      <c r="G1062" s="36">
        <v>44834</v>
      </c>
      <c r="H1062" s="36">
        <v>44895</v>
      </c>
      <c r="I1062" s="36">
        <v>44895</v>
      </c>
      <c r="J1062" s="7" t="s">
        <v>1696</v>
      </c>
      <c r="K1062" s="8">
        <v>0</v>
      </c>
      <c r="L1062" s="8">
        <v>0</v>
      </c>
      <c r="M1062" s="8">
        <v>9315</v>
      </c>
      <c r="N1062" s="8">
        <v>0</v>
      </c>
      <c r="O1062" s="8">
        <v>0</v>
      </c>
      <c r="P1062" s="8">
        <v>0</v>
      </c>
      <c r="Q1062" s="8">
        <v>0</v>
      </c>
      <c r="R1062" s="8">
        <f t="shared" si="232"/>
        <v>9315</v>
      </c>
      <c r="S1062" s="8">
        <v>0</v>
      </c>
      <c r="T1062" s="8">
        <v>0</v>
      </c>
      <c r="U1062" s="8">
        <v>9315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7">
        <v>0</v>
      </c>
      <c r="AB1062" s="8">
        <v>0</v>
      </c>
      <c r="AC1062" s="7">
        <v>2.0299999999999998</v>
      </c>
      <c r="AD1062" s="7" t="s">
        <v>1226</v>
      </c>
      <c r="AE1062" s="8">
        <v>0</v>
      </c>
      <c r="AF1062" s="8">
        <v>0</v>
      </c>
      <c r="AG1062" s="8">
        <v>0</v>
      </c>
      <c r="AH1062" s="8">
        <v>0</v>
      </c>
      <c r="AI1062" s="7" t="s">
        <v>1760</v>
      </c>
      <c r="AJ1062" s="7">
        <f t="shared" ca="1" si="233"/>
        <v>1</v>
      </c>
      <c r="AK1062" s="96">
        <f>(+AA1062*AB1062)/$AB$1102</f>
        <v>0</v>
      </c>
      <c r="AL1062" s="97">
        <f>AC1062/$AE$1102*AE1062</f>
        <v>0</v>
      </c>
    </row>
    <row r="1063" spans="1:38" x14ac:dyDescent="0.3">
      <c r="A1063" s="7" t="s">
        <v>2556</v>
      </c>
      <c r="B1063" s="7" t="s">
        <v>1735</v>
      </c>
      <c r="C1063" s="7" t="s">
        <v>1769</v>
      </c>
      <c r="D1063" s="7" t="s">
        <v>1780</v>
      </c>
      <c r="E1063" s="7" t="s">
        <v>1695</v>
      </c>
      <c r="F1063" s="36">
        <v>43739</v>
      </c>
      <c r="G1063" s="36">
        <v>44834</v>
      </c>
      <c r="H1063" s="36">
        <v>44895</v>
      </c>
      <c r="I1063" s="36">
        <v>44895</v>
      </c>
      <c r="J1063" s="7" t="s">
        <v>1699</v>
      </c>
      <c r="K1063" s="8">
        <v>0</v>
      </c>
      <c r="L1063" s="8">
        <v>0</v>
      </c>
      <c r="M1063" s="8">
        <v>0</v>
      </c>
      <c r="N1063" s="8">
        <v>2070</v>
      </c>
      <c r="O1063" s="8">
        <v>0</v>
      </c>
      <c r="P1063" s="8">
        <v>0</v>
      </c>
      <c r="Q1063" s="8">
        <v>0</v>
      </c>
      <c r="R1063" s="8">
        <f t="shared" si="232"/>
        <v>2070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7">
        <v>0</v>
      </c>
      <c r="AB1063" s="8">
        <v>0</v>
      </c>
      <c r="AC1063" s="7">
        <v>2.0299999999999998</v>
      </c>
      <c r="AD1063" s="7" t="s">
        <v>1226</v>
      </c>
      <c r="AE1063" s="8">
        <v>0</v>
      </c>
      <c r="AF1063" s="8">
        <v>0</v>
      </c>
      <c r="AG1063" s="8">
        <v>0</v>
      </c>
      <c r="AH1063" s="8">
        <v>0</v>
      </c>
      <c r="AI1063" s="7" t="s">
        <v>1760</v>
      </c>
      <c r="AJ1063" s="7">
        <f t="shared" ca="1" si="233"/>
        <v>2</v>
      </c>
      <c r="AK1063" s="100">
        <f>(+AA1063*AB1063)/$AB$1103</f>
        <v>0</v>
      </c>
      <c r="AL1063" s="97">
        <f>AC1063/$AE$1103*AE1063</f>
        <v>0</v>
      </c>
    </row>
    <row r="1064" spans="1:38" x14ac:dyDescent="0.3">
      <c r="A1064" s="7" t="s">
        <v>2557</v>
      </c>
      <c r="B1064" s="7" t="s">
        <v>1735</v>
      </c>
      <c r="D1064" s="7" t="s">
        <v>2558</v>
      </c>
      <c r="E1064" s="7" t="s">
        <v>1322</v>
      </c>
      <c r="F1064" s="36">
        <v>43819</v>
      </c>
      <c r="G1064" s="36">
        <v>45279</v>
      </c>
      <c r="H1064" s="36">
        <v>45279</v>
      </c>
      <c r="I1064" s="36">
        <v>45279</v>
      </c>
      <c r="J1064" s="7" t="s">
        <v>1696</v>
      </c>
      <c r="K1064" s="8">
        <v>0</v>
      </c>
      <c r="L1064" s="8">
        <v>0</v>
      </c>
      <c r="M1064" s="8">
        <v>7264.2252120000003</v>
      </c>
      <c r="N1064" s="8">
        <v>0</v>
      </c>
      <c r="O1064" s="8">
        <v>0</v>
      </c>
      <c r="P1064" s="8">
        <v>0</v>
      </c>
      <c r="Q1064" s="8">
        <v>0</v>
      </c>
      <c r="R1064" s="8">
        <f t="shared" si="232"/>
        <v>7264.2252120000003</v>
      </c>
      <c r="S1064" s="8">
        <v>0</v>
      </c>
      <c r="T1064" s="8">
        <v>0</v>
      </c>
      <c r="U1064" s="8">
        <v>7095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7">
        <v>0.96712299999999995</v>
      </c>
      <c r="AB1064" s="8">
        <v>6441.9841669999996</v>
      </c>
      <c r="AC1064" s="7">
        <v>2.0449999999999999</v>
      </c>
      <c r="AD1064" s="7" t="s">
        <v>1226</v>
      </c>
      <c r="AE1064" s="8">
        <v>6503.75</v>
      </c>
      <c r="AF1064" s="8">
        <v>0</v>
      </c>
      <c r="AG1064" s="8">
        <v>6503.75</v>
      </c>
      <c r="AH1064" s="8">
        <v>0</v>
      </c>
      <c r="AI1064" s="7" t="s">
        <v>1976</v>
      </c>
      <c r="AJ1064" s="7">
        <f t="shared" ca="1" si="233"/>
        <v>1</v>
      </c>
      <c r="AK1064" s="96">
        <f>(+AA1064*AB1064)/$AB$1102</f>
        <v>5.4602890034617101E-6</v>
      </c>
      <c r="AL1064" s="97">
        <f>AC1064/$AE$1102*AE1064</f>
        <v>1.1380434068738367E-5</v>
      </c>
    </row>
    <row r="1065" spans="1:38" x14ac:dyDescent="0.3">
      <c r="A1065" s="7" t="s">
        <v>2559</v>
      </c>
      <c r="B1065" s="7" t="s">
        <v>1735</v>
      </c>
      <c r="C1065" s="7" t="s">
        <v>1756</v>
      </c>
      <c r="D1065" s="7" t="s">
        <v>2327</v>
      </c>
      <c r="E1065" s="7" t="s">
        <v>1322</v>
      </c>
      <c r="F1065" s="36">
        <v>43892</v>
      </c>
      <c r="G1065" s="36">
        <v>45352</v>
      </c>
      <c r="H1065" s="36">
        <v>45352</v>
      </c>
      <c r="I1065" s="36">
        <v>45352</v>
      </c>
      <c r="J1065" s="7" t="s">
        <v>1239</v>
      </c>
      <c r="K1065" s="8">
        <v>5767.0080785343198</v>
      </c>
      <c r="L1065" s="8">
        <v>341.20692800005401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f t="shared" si="232"/>
        <v>6108.215006534374</v>
      </c>
      <c r="S1065" s="8">
        <v>0</v>
      </c>
      <c r="T1065" s="8">
        <v>358.593127000057</v>
      </c>
      <c r="U1065" s="8">
        <v>0</v>
      </c>
      <c r="V1065" s="8">
        <v>10541.406875001736</v>
      </c>
      <c r="W1065" s="8">
        <v>0</v>
      </c>
      <c r="X1065" s="8">
        <v>0</v>
      </c>
      <c r="Y1065" s="8">
        <v>0</v>
      </c>
      <c r="Z1065" s="8">
        <v>0</v>
      </c>
      <c r="AA1065" s="7">
        <v>1.1671229999999999</v>
      </c>
      <c r="AB1065" s="8">
        <v>11849.021899001951</v>
      </c>
      <c r="AC1065" s="7">
        <v>2.0449999999999999</v>
      </c>
      <c r="AD1065" s="7" t="s">
        <v>1226</v>
      </c>
      <c r="AE1065" s="8">
        <v>12000.00000000466</v>
      </c>
      <c r="AF1065" s="8">
        <v>0</v>
      </c>
      <c r="AG1065" s="8">
        <v>12000.00000000466</v>
      </c>
      <c r="AH1065" s="8">
        <v>0</v>
      </c>
      <c r="AI1065" s="7" t="s">
        <v>1760</v>
      </c>
      <c r="AJ1065" s="7">
        <f t="shared" ca="1" si="233"/>
        <v>1</v>
      </c>
      <c r="AK1065" s="96">
        <f t="shared" si="236"/>
        <v>9.2642812529934338E-5</v>
      </c>
      <c r="AL1065" s="97">
        <f t="shared" si="237"/>
        <v>1.5600163561140846E-4</v>
      </c>
    </row>
    <row r="1066" spans="1:38" x14ac:dyDescent="0.3">
      <c r="A1066" s="7" t="s">
        <v>2560</v>
      </c>
      <c r="B1066" s="7" t="s">
        <v>1735</v>
      </c>
      <c r="C1066" s="7" t="s">
        <v>1769</v>
      </c>
      <c r="D1066" s="7" t="s">
        <v>2561</v>
      </c>
      <c r="E1066" s="7" t="s">
        <v>1695</v>
      </c>
      <c r="F1066" s="36">
        <v>42736</v>
      </c>
      <c r="G1066" s="36">
        <v>43830</v>
      </c>
      <c r="H1066" s="36">
        <v>44895</v>
      </c>
      <c r="I1066" s="36">
        <v>44895</v>
      </c>
      <c r="J1066" s="7" t="s">
        <v>1699</v>
      </c>
      <c r="K1066" s="8">
        <v>0</v>
      </c>
      <c r="L1066" s="8">
        <v>0</v>
      </c>
      <c r="M1066" s="8">
        <v>0</v>
      </c>
      <c r="N1066" s="8">
        <v>6187.5</v>
      </c>
      <c r="O1066" s="8">
        <v>0</v>
      </c>
      <c r="P1066" s="8">
        <v>0</v>
      </c>
      <c r="Q1066" s="8">
        <v>0</v>
      </c>
      <c r="R1066" s="8">
        <f t="shared" si="232"/>
        <v>6187.5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7">
        <v>0</v>
      </c>
      <c r="AB1066" s="8">
        <v>0</v>
      </c>
      <c r="AC1066" s="7">
        <v>2.0299999999999998</v>
      </c>
      <c r="AD1066" s="7" t="s">
        <v>1226</v>
      </c>
      <c r="AE1066" s="8">
        <v>0</v>
      </c>
      <c r="AF1066" s="8">
        <v>0</v>
      </c>
      <c r="AG1066" s="8">
        <v>0</v>
      </c>
      <c r="AH1066" s="8">
        <v>0</v>
      </c>
      <c r="AI1066" s="7" t="s">
        <v>1781</v>
      </c>
      <c r="AJ1066" s="7">
        <f t="shared" ca="1" si="233"/>
        <v>1</v>
      </c>
      <c r="AK1066" s="100">
        <f>(+AA1066*AB1066)/$AB$1103</f>
        <v>0</v>
      </c>
      <c r="AL1066" s="97">
        <f>AC1066/$AE$1103*AE1066</f>
        <v>0</v>
      </c>
    </row>
    <row r="1067" spans="1:38" x14ac:dyDescent="0.3">
      <c r="A1067" s="7" t="s">
        <v>2562</v>
      </c>
      <c r="B1067" s="7" t="s">
        <v>1735</v>
      </c>
      <c r="C1067" s="7" t="s">
        <v>1323</v>
      </c>
      <c r="D1067" s="7" t="s">
        <v>2327</v>
      </c>
      <c r="E1067" s="7" t="s">
        <v>1739</v>
      </c>
      <c r="F1067" s="36">
        <v>43832</v>
      </c>
      <c r="G1067" s="36">
        <v>44927</v>
      </c>
      <c r="I1067" s="36">
        <v>44927</v>
      </c>
      <c r="J1067" s="7" t="s">
        <v>1239</v>
      </c>
      <c r="K1067" s="8">
        <v>3145.2655840184502</v>
      </c>
      <c r="L1067" s="8">
        <v>55.742030000008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f t="shared" si="232"/>
        <v>3201.0076140184583</v>
      </c>
      <c r="S1067" s="8">
        <v>0</v>
      </c>
      <c r="T1067" s="8">
        <v>65.457450000006006</v>
      </c>
      <c r="U1067" s="8">
        <v>0</v>
      </c>
      <c r="V1067" s="8">
        <v>5934.5425500009778</v>
      </c>
      <c r="W1067" s="8">
        <v>0</v>
      </c>
      <c r="X1067" s="8">
        <v>0</v>
      </c>
      <c r="Y1067" s="8">
        <v>0</v>
      </c>
      <c r="Z1067" s="8">
        <v>0</v>
      </c>
      <c r="AA1067" s="7">
        <v>2.7399999999999998E-3</v>
      </c>
      <c r="AB1067" s="8">
        <v>0</v>
      </c>
      <c r="AC1067" s="7">
        <v>2.0299999999999998</v>
      </c>
      <c r="AD1067" s="7" t="s">
        <v>1226</v>
      </c>
      <c r="AE1067" s="8">
        <v>0</v>
      </c>
      <c r="AF1067" s="8">
        <v>0</v>
      </c>
      <c r="AG1067" s="8">
        <v>0</v>
      </c>
      <c r="AH1067" s="8">
        <v>0</v>
      </c>
      <c r="AI1067" s="7" t="s">
        <v>1760</v>
      </c>
      <c r="AJ1067" s="7">
        <f t="shared" ca="1" si="233"/>
        <v>1</v>
      </c>
      <c r="AK1067" s="96">
        <f t="shared" si="236"/>
        <v>0</v>
      </c>
      <c r="AL1067" s="97">
        <f t="shared" si="237"/>
        <v>0</v>
      </c>
    </row>
    <row r="1068" spans="1:38" x14ac:dyDescent="0.3">
      <c r="A1068" s="7" t="s">
        <v>2562</v>
      </c>
      <c r="B1068" s="7" t="s">
        <v>1735</v>
      </c>
      <c r="C1068" s="7" t="s">
        <v>1323</v>
      </c>
      <c r="D1068" s="7" t="s">
        <v>2327</v>
      </c>
      <c r="E1068" s="7" t="s">
        <v>1739</v>
      </c>
      <c r="F1068" s="36">
        <v>43832</v>
      </c>
      <c r="G1068" s="36">
        <v>44927</v>
      </c>
      <c r="I1068" s="36">
        <v>44927</v>
      </c>
      <c r="J1068" s="7" t="s">
        <v>1699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f t="shared" si="232"/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7">
        <v>0</v>
      </c>
      <c r="AB1068" s="8">
        <v>0</v>
      </c>
      <c r="AC1068" s="7">
        <v>2.0299999999999998</v>
      </c>
      <c r="AD1068" s="7" t="s">
        <v>1226</v>
      </c>
      <c r="AE1068" s="8">
        <v>500.00000000019401</v>
      </c>
      <c r="AF1068" s="8">
        <v>0</v>
      </c>
      <c r="AG1068" s="8">
        <v>500.00000000019401</v>
      </c>
      <c r="AH1068" s="8">
        <v>0</v>
      </c>
      <c r="AI1068" s="7" t="s">
        <v>1760</v>
      </c>
      <c r="AJ1068" s="7">
        <f t="shared" ca="1" si="233"/>
        <v>2</v>
      </c>
      <c r="AK1068" s="100">
        <f>(+AA1068*AB1068)/$AB$1103</f>
        <v>0</v>
      </c>
      <c r="AL1068" s="97">
        <f>AC1068/$AE$1103*AE1068</f>
        <v>1.218494904421974E-4</v>
      </c>
    </row>
    <row r="1069" spans="1:38" x14ac:dyDescent="0.3">
      <c r="A1069" s="7" t="s">
        <v>2563</v>
      </c>
      <c r="B1069" s="7" t="s">
        <v>1735</v>
      </c>
      <c r="C1069" s="7" t="s">
        <v>1323</v>
      </c>
      <c r="D1069" s="7" t="s">
        <v>2327</v>
      </c>
      <c r="E1069" s="7" t="s">
        <v>1739</v>
      </c>
      <c r="F1069" s="36">
        <v>43832</v>
      </c>
      <c r="G1069" s="36">
        <v>44927</v>
      </c>
      <c r="I1069" s="36">
        <v>44927</v>
      </c>
      <c r="J1069" s="7" t="s">
        <v>1239</v>
      </c>
      <c r="K1069" s="8">
        <v>3320.1698128233411</v>
      </c>
      <c r="L1069" s="8">
        <v>62.347185000010001</v>
      </c>
      <c r="M1069" s="8">
        <v>0</v>
      </c>
      <c r="N1069" s="8">
        <v>0</v>
      </c>
      <c r="O1069" s="8">
        <v>0</v>
      </c>
      <c r="P1069" s="8">
        <v>-225.00000000006099</v>
      </c>
      <c r="Q1069" s="8">
        <v>0</v>
      </c>
      <c r="R1069" s="8">
        <f t="shared" si="232"/>
        <v>3157.5169978232902</v>
      </c>
      <c r="S1069" s="8">
        <v>0</v>
      </c>
      <c r="T1069" s="8">
        <v>73.034148000019002</v>
      </c>
      <c r="U1069" s="8">
        <v>0</v>
      </c>
      <c r="V1069" s="8">
        <v>6526.9658520010726</v>
      </c>
      <c r="W1069" s="8">
        <v>0</v>
      </c>
      <c r="X1069" s="8">
        <v>0</v>
      </c>
      <c r="Y1069" s="8">
        <v>0</v>
      </c>
      <c r="Z1069" s="8">
        <v>-1.030951000001</v>
      </c>
      <c r="AA1069" s="7">
        <v>2.7399999999999998E-3</v>
      </c>
      <c r="AB1069" s="8">
        <v>0</v>
      </c>
      <c r="AC1069" s="7">
        <v>2.0299999999999998</v>
      </c>
      <c r="AD1069" s="7" t="s">
        <v>1726</v>
      </c>
      <c r="AE1069" s="8">
        <v>0</v>
      </c>
      <c r="AF1069" s="8">
        <v>0</v>
      </c>
      <c r="AG1069" s="8">
        <v>0</v>
      </c>
      <c r="AH1069" s="8">
        <v>0</v>
      </c>
      <c r="AI1069" s="7" t="s">
        <v>1760</v>
      </c>
      <c r="AJ1069" s="7">
        <f t="shared" ca="1" si="233"/>
        <v>1</v>
      </c>
      <c r="AK1069" s="96">
        <f t="shared" si="236"/>
        <v>0</v>
      </c>
      <c r="AL1069" s="97">
        <f t="shared" si="237"/>
        <v>0</v>
      </c>
    </row>
    <row r="1070" spans="1:38" x14ac:dyDescent="0.3">
      <c r="A1070" s="7" t="s">
        <v>2563</v>
      </c>
      <c r="B1070" s="7" t="s">
        <v>1735</v>
      </c>
      <c r="C1070" s="7" t="s">
        <v>1323</v>
      </c>
      <c r="D1070" s="7" t="s">
        <v>2327</v>
      </c>
      <c r="E1070" s="7" t="s">
        <v>1739</v>
      </c>
      <c r="F1070" s="36">
        <v>43832</v>
      </c>
      <c r="G1070" s="36">
        <v>44927</v>
      </c>
      <c r="I1070" s="36">
        <v>44927</v>
      </c>
      <c r="J1070" s="7" t="s">
        <v>1699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f t="shared" si="232"/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7">
        <v>0</v>
      </c>
      <c r="AB1070" s="8">
        <v>0</v>
      </c>
      <c r="AC1070" s="7">
        <v>2.0299999999999998</v>
      </c>
      <c r="AD1070" s="7" t="s">
        <v>1726</v>
      </c>
      <c r="AE1070" s="8">
        <v>550.00000000021396</v>
      </c>
      <c r="AF1070" s="8">
        <v>0</v>
      </c>
      <c r="AG1070" s="8">
        <v>550.00000000021396</v>
      </c>
      <c r="AH1070" s="8">
        <v>0</v>
      </c>
      <c r="AI1070" s="7" t="s">
        <v>1760</v>
      </c>
      <c r="AJ1070" s="7">
        <f t="shared" ca="1" si="233"/>
        <v>2</v>
      </c>
      <c r="AK1070" s="100">
        <f>(+AA1070*AB1070)/$AB$1103</f>
        <v>0</v>
      </c>
      <c r="AL1070" s="97">
        <f>AC1070/$AE$1103*AE1070</f>
        <v>1.3403443948641725E-4</v>
      </c>
    </row>
    <row r="1071" spans="1:38" x14ac:dyDescent="0.3">
      <c r="A1071" s="7" t="s">
        <v>2564</v>
      </c>
      <c r="B1071" s="7" t="s">
        <v>1735</v>
      </c>
      <c r="C1071" s="7" t="s">
        <v>1769</v>
      </c>
      <c r="D1071" s="7" t="s">
        <v>1780</v>
      </c>
      <c r="E1071" s="7" t="s">
        <v>1695</v>
      </c>
      <c r="F1071" s="36">
        <v>43739</v>
      </c>
      <c r="G1071" s="36">
        <v>44834</v>
      </c>
      <c r="H1071" s="36">
        <v>44895</v>
      </c>
      <c r="I1071" s="36">
        <v>44895</v>
      </c>
      <c r="J1071" s="7" t="s">
        <v>1696</v>
      </c>
      <c r="K1071" s="8">
        <v>0</v>
      </c>
      <c r="L1071" s="8">
        <v>0</v>
      </c>
      <c r="M1071" s="8">
        <v>5925.3399090000003</v>
      </c>
      <c r="N1071" s="8">
        <v>0</v>
      </c>
      <c r="O1071" s="8">
        <v>0</v>
      </c>
      <c r="P1071" s="8">
        <v>0</v>
      </c>
      <c r="Q1071" s="8">
        <v>0</v>
      </c>
      <c r="R1071" s="8">
        <f t="shared" si="232"/>
        <v>5925.3399090000003</v>
      </c>
      <c r="S1071" s="8">
        <v>0</v>
      </c>
      <c r="T1071" s="8">
        <v>0</v>
      </c>
      <c r="U1071" s="8">
        <v>5893.91</v>
      </c>
      <c r="V1071" s="8">
        <v>0</v>
      </c>
      <c r="W1071" s="8">
        <v>0</v>
      </c>
      <c r="X1071" s="8">
        <v>0</v>
      </c>
      <c r="Y1071" s="8">
        <v>0</v>
      </c>
      <c r="Z1071" s="8">
        <v>-18302.047720999999</v>
      </c>
      <c r="AA1071" s="7">
        <v>0</v>
      </c>
      <c r="AB1071" s="8">
        <v>0</v>
      </c>
      <c r="AC1071" s="7">
        <v>2.0299999999999998</v>
      </c>
      <c r="AD1071" s="7" t="s">
        <v>1226</v>
      </c>
      <c r="AE1071" s="8">
        <v>0</v>
      </c>
      <c r="AF1071" s="8">
        <v>0</v>
      </c>
      <c r="AG1071" s="8">
        <v>0</v>
      </c>
      <c r="AH1071" s="8">
        <v>0</v>
      </c>
      <c r="AI1071" s="7" t="s">
        <v>1760</v>
      </c>
      <c r="AJ1071" s="7">
        <f t="shared" ca="1" si="233"/>
        <v>1</v>
      </c>
      <c r="AK1071" s="96">
        <f t="shared" ref="AK1071:AK1073" si="242">(+AA1071*AB1071)/$AB$1102</f>
        <v>0</v>
      </c>
      <c r="AL1071" s="97">
        <f t="shared" ref="AL1071:AL1073" si="243">AC1071/$AE$1102*AE1071</f>
        <v>0</v>
      </c>
    </row>
    <row r="1072" spans="1:38" x14ac:dyDescent="0.3">
      <c r="A1072" s="7" t="s">
        <v>2565</v>
      </c>
      <c r="B1072" s="7" t="s">
        <v>1735</v>
      </c>
      <c r="C1072" s="7" t="s">
        <v>1769</v>
      </c>
      <c r="D1072" s="7" t="s">
        <v>1780</v>
      </c>
      <c r="E1072" s="7" t="s">
        <v>1695</v>
      </c>
      <c r="F1072" s="36">
        <v>43678</v>
      </c>
      <c r="G1072" s="36">
        <v>44773</v>
      </c>
      <c r="H1072" s="36">
        <v>44895</v>
      </c>
      <c r="I1072" s="36">
        <v>44895</v>
      </c>
      <c r="J1072" s="7" t="s">
        <v>1696</v>
      </c>
      <c r="K1072" s="8">
        <v>0</v>
      </c>
      <c r="L1072" s="8">
        <v>0</v>
      </c>
      <c r="M1072" s="8">
        <v>2471.8060650000002</v>
      </c>
      <c r="N1072" s="8">
        <v>0</v>
      </c>
      <c r="O1072" s="8">
        <v>0</v>
      </c>
      <c r="P1072" s="8">
        <v>0</v>
      </c>
      <c r="Q1072" s="8">
        <v>0</v>
      </c>
      <c r="R1072" s="8">
        <f t="shared" si="232"/>
        <v>2471.8060650000002</v>
      </c>
      <c r="S1072" s="8">
        <v>0</v>
      </c>
      <c r="T1072" s="8">
        <v>0</v>
      </c>
      <c r="U1072" s="8">
        <v>4070</v>
      </c>
      <c r="V1072" s="8">
        <v>0</v>
      </c>
      <c r="W1072" s="8">
        <v>0</v>
      </c>
      <c r="X1072" s="8">
        <v>0</v>
      </c>
      <c r="Y1072" s="8">
        <v>0</v>
      </c>
      <c r="Z1072" s="8">
        <v>-13586.387554999999</v>
      </c>
      <c r="AA1072" s="7">
        <v>0</v>
      </c>
      <c r="AB1072" s="8">
        <v>0</v>
      </c>
      <c r="AC1072" s="7">
        <v>2.8408329999999999</v>
      </c>
      <c r="AD1072" s="7" t="s">
        <v>1697</v>
      </c>
      <c r="AE1072" s="8">
        <v>0</v>
      </c>
      <c r="AF1072" s="8">
        <v>0</v>
      </c>
      <c r="AG1072" s="8">
        <v>0</v>
      </c>
      <c r="AH1072" s="8">
        <v>0</v>
      </c>
      <c r="AI1072" s="7" t="s">
        <v>1760</v>
      </c>
      <c r="AJ1072" s="7">
        <f t="shared" ca="1" si="233"/>
        <v>1</v>
      </c>
      <c r="AK1072" s="96">
        <f t="shared" si="242"/>
        <v>0</v>
      </c>
      <c r="AL1072" s="97">
        <f t="shared" si="243"/>
        <v>0</v>
      </c>
    </row>
    <row r="1073" spans="1:38" x14ac:dyDescent="0.3">
      <c r="A1073" s="7" t="s">
        <v>2566</v>
      </c>
      <c r="B1073" s="7" t="s">
        <v>1735</v>
      </c>
      <c r="C1073" s="7" t="s">
        <v>1432</v>
      </c>
      <c r="D1073" s="7" t="s">
        <v>1780</v>
      </c>
      <c r="E1073" s="7" t="s">
        <v>1695</v>
      </c>
      <c r="F1073" s="36">
        <v>43647</v>
      </c>
      <c r="G1073" s="36">
        <v>44742</v>
      </c>
      <c r="H1073" s="36">
        <v>44895</v>
      </c>
      <c r="I1073" s="36">
        <v>44895</v>
      </c>
      <c r="J1073" s="7" t="s">
        <v>1696</v>
      </c>
      <c r="K1073" s="8">
        <v>0</v>
      </c>
      <c r="L1073" s="8">
        <v>0</v>
      </c>
      <c r="M1073" s="8">
        <v>3000.0044050000001</v>
      </c>
      <c r="N1073" s="8">
        <v>0</v>
      </c>
      <c r="O1073" s="8">
        <v>0</v>
      </c>
      <c r="P1073" s="8">
        <v>0</v>
      </c>
      <c r="Q1073" s="8">
        <v>0</v>
      </c>
      <c r="R1073" s="8">
        <f t="shared" si="232"/>
        <v>3000.0044050000001</v>
      </c>
      <c r="S1073" s="8">
        <v>0</v>
      </c>
      <c r="T1073" s="8">
        <v>0</v>
      </c>
      <c r="U1073" s="8">
        <v>3000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7">
        <v>0</v>
      </c>
      <c r="AB1073" s="8">
        <v>0</v>
      </c>
      <c r="AC1073" s="7">
        <v>2.0299999999999998</v>
      </c>
      <c r="AD1073" s="7" t="s">
        <v>1226</v>
      </c>
      <c r="AE1073" s="8">
        <v>0</v>
      </c>
      <c r="AF1073" s="8">
        <v>0</v>
      </c>
      <c r="AG1073" s="8">
        <v>0</v>
      </c>
      <c r="AH1073" s="8">
        <v>0</v>
      </c>
      <c r="AI1073" s="7" t="s">
        <v>1760</v>
      </c>
      <c r="AJ1073" s="7">
        <f t="shared" ca="1" si="233"/>
        <v>1</v>
      </c>
      <c r="AK1073" s="96">
        <f t="shared" si="242"/>
        <v>0</v>
      </c>
      <c r="AL1073" s="97">
        <f t="shared" si="243"/>
        <v>0</v>
      </c>
    </row>
    <row r="1074" spans="1:38" x14ac:dyDescent="0.3">
      <c r="A1074" s="7" t="s">
        <v>2566</v>
      </c>
      <c r="B1074" s="7" t="s">
        <v>1735</v>
      </c>
      <c r="C1074" s="7" t="s">
        <v>1432</v>
      </c>
      <c r="D1074" s="7" t="s">
        <v>1780</v>
      </c>
      <c r="E1074" s="7" t="s">
        <v>1695</v>
      </c>
      <c r="F1074" s="36">
        <v>43647</v>
      </c>
      <c r="G1074" s="36">
        <v>44742</v>
      </c>
      <c r="H1074" s="36">
        <v>44895</v>
      </c>
      <c r="I1074" s="36">
        <v>44895</v>
      </c>
      <c r="J1074" s="7" t="s">
        <v>1699</v>
      </c>
      <c r="K1074" s="8">
        <v>0</v>
      </c>
      <c r="L1074" s="8">
        <v>0</v>
      </c>
      <c r="M1074" s="8">
        <v>0</v>
      </c>
      <c r="N1074" s="8">
        <v>2500</v>
      </c>
      <c r="O1074" s="8">
        <v>0</v>
      </c>
      <c r="P1074" s="8">
        <v>0</v>
      </c>
      <c r="Q1074" s="8">
        <v>0</v>
      </c>
      <c r="R1074" s="8">
        <f t="shared" si="232"/>
        <v>2500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7">
        <v>0</v>
      </c>
      <c r="AB1074" s="8">
        <v>0</v>
      </c>
      <c r="AC1074" s="7">
        <v>2.0299999999999998</v>
      </c>
      <c r="AD1074" s="7" t="s">
        <v>1226</v>
      </c>
      <c r="AE1074" s="8">
        <v>0</v>
      </c>
      <c r="AF1074" s="8">
        <v>0</v>
      </c>
      <c r="AG1074" s="8">
        <v>0</v>
      </c>
      <c r="AH1074" s="8">
        <v>0</v>
      </c>
      <c r="AI1074" s="7" t="s">
        <v>1760</v>
      </c>
      <c r="AJ1074" s="7">
        <f t="shared" ca="1" si="233"/>
        <v>2</v>
      </c>
      <c r="AK1074" s="100">
        <f>(+AA1074*AB1074)/$AB$1103</f>
        <v>0</v>
      </c>
      <c r="AL1074" s="97">
        <f>AC1074/$AE$1103*AE1074</f>
        <v>0</v>
      </c>
    </row>
    <row r="1075" spans="1:38" x14ac:dyDescent="0.3">
      <c r="A1075" s="7" t="s">
        <v>2567</v>
      </c>
      <c r="B1075" s="7" t="s">
        <v>1735</v>
      </c>
      <c r="C1075" s="7" t="s">
        <v>1432</v>
      </c>
      <c r="D1075" s="7" t="s">
        <v>1780</v>
      </c>
      <c r="E1075" s="7" t="s">
        <v>1695</v>
      </c>
      <c r="F1075" s="36">
        <v>43647</v>
      </c>
      <c r="G1075" s="36">
        <v>44742</v>
      </c>
      <c r="H1075" s="36">
        <v>44895</v>
      </c>
      <c r="I1075" s="36">
        <v>44895</v>
      </c>
      <c r="J1075" s="7" t="s">
        <v>1696</v>
      </c>
      <c r="K1075" s="8">
        <v>0</v>
      </c>
      <c r="L1075" s="8">
        <v>0</v>
      </c>
      <c r="M1075" s="8">
        <v>6210</v>
      </c>
      <c r="N1075" s="8">
        <v>0</v>
      </c>
      <c r="O1075" s="8">
        <v>0</v>
      </c>
      <c r="P1075" s="8">
        <v>0</v>
      </c>
      <c r="Q1075" s="8">
        <v>0</v>
      </c>
      <c r="R1075" s="8">
        <f t="shared" si="232"/>
        <v>6210</v>
      </c>
      <c r="S1075" s="8">
        <v>0</v>
      </c>
      <c r="T1075" s="8">
        <v>0</v>
      </c>
      <c r="U1075" s="8">
        <v>6210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7">
        <v>0</v>
      </c>
      <c r="AB1075" s="8">
        <v>0</v>
      </c>
      <c r="AC1075" s="7">
        <v>2.0299999999999998</v>
      </c>
      <c r="AD1075" s="7" t="s">
        <v>1226</v>
      </c>
      <c r="AE1075" s="8">
        <v>0</v>
      </c>
      <c r="AF1075" s="8">
        <v>0</v>
      </c>
      <c r="AG1075" s="8">
        <v>0</v>
      </c>
      <c r="AH1075" s="8">
        <v>0</v>
      </c>
      <c r="AI1075" s="7" t="s">
        <v>1760</v>
      </c>
      <c r="AJ1075" s="7">
        <f t="shared" ca="1" si="233"/>
        <v>1</v>
      </c>
      <c r="AK1075" s="96">
        <f>(+AA1075*AB1075)/$AB$1102</f>
        <v>0</v>
      </c>
      <c r="AL1075" s="97">
        <f>AC1075/$AE$1102*AE1075</f>
        <v>0</v>
      </c>
    </row>
    <row r="1076" spans="1:38" x14ac:dyDescent="0.3">
      <c r="A1076" s="7" t="s">
        <v>2567</v>
      </c>
      <c r="B1076" s="7" t="s">
        <v>1735</v>
      </c>
      <c r="C1076" s="7" t="s">
        <v>1432</v>
      </c>
      <c r="D1076" s="7" t="s">
        <v>1780</v>
      </c>
      <c r="E1076" s="7" t="s">
        <v>1695</v>
      </c>
      <c r="F1076" s="36">
        <v>43647</v>
      </c>
      <c r="G1076" s="36">
        <v>44742</v>
      </c>
      <c r="H1076" s="36">
        <v>44895</v>
      </c>
      <c r="I1076" s="36">
        <v>44895</v>
      </c>
      <c r="J1076" s="7" t="s">
        <v>1699</v>
      </c>
      <c r="K1076" s="8">
        <v>0</v>
      </c>
      <c r="L1076" s="8">
        <v>0</v>
      </c>
      <c r="M1076" s="8">
        <v>0</v>
      </c>
      <c r="N1076" s="8">
        <v>5175</v>
      </c>
      <c r="O1076" s="8">
        <v>0</v>
      </c>
      <c r="P1076" s="8">
        <v>0</v>
      </c>
      <c r="Q1076" s="8">
        <v>0</v>
      </c>
      <c r="R1076" s="8">
        <f t="shared" si="232"/>
        <v>5175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7">
        <v>0</v>
      </c>
      <c r="AB1076" s="8">
        <v>0</v>
      </c>
      <c r="AC1076" s="7">
        <v>2.0299999999999998</v>
      </c>
      <c r="AD1076" s="7" t="s">
        <v>1226</v>
      </c>
      <c r="AE1076" s="8">
        <v>0</v>
      </c>
      <c r="AF1076" s="8">
        <v>0</v>
      </c>
      <c r="AG1076" s="8">
        <v>0</v>
      </c>
      <c r="AH1076" s="8">
        <v>0</v>
      </c>
      <c r="AI1076" s="7" t="s">
        <v>1760</v>
      </c>
      <c r="AJ1076" s="7">
        <f t="shared" ca="1" si="233"/>
        <v>2</v>
      </c>
      <c r="AK1076" s="100">
        <f>(+AA1076*AB1076)/$AB$1103</f>
        <v>0</v>
      </c>
      <c r="AL1076" s="97">
        <f>AC1076/$AE$1103*AE1076</f>
        <v>0</v>
      </c>
    </row>
    <row r="1077" spans="1:38" x14ac:dyDescent="0.3">
      <c r="A1077" s="7" t="s">
        <v>2568</v>
      </c>
      <c r="B1077" s="7" t="s">
        <v>1735</v>
      </c>
      <c r="C1077" s="7" t="s">
        <v>1323</v>
      </c>
      <c r="D1077" s="7" t="s">
        <v>1780</v>
      </c>
      <c r="E1077" s="7" t="s">
        <v>1695</v>
      </c>
      <c r="F1077" s="36">
        <v>43640</v>
      </c>
      <c r="G1077" s="36">
        <v>44735</v>
      </c>
      <c r="H1077" s="36">
        <v>44895</v>
      </c>
      <c r="I1077" s="36">
        <v>44895</v>
      </c>
      <c r="J1077" s="7" t="s">
        <v>1696</v>
      </c>
      <c r="K1077" s="8">
        <v>0</v>
      </c>
      <c r="L1077" s="8">
        <v>0</v>
      </c>
      <c r="M1077" s="8">
        <v>46548.274946999998</v>
      </c>
      <c r="N1077" s="8">
        <v>0</v>
      </c>
      <c r="O1077" s="8">
        <v>0</v>
      </c>
      <c r="P1077" s="8">
        <v>0</v>
      </c>
      <c r="Q1077" s="8">
        <v>0</v>
      </c>
      <c r="R1077" s="8">
        <f t="shared" si="232"/>
        <v>46548.274946999998</v>
      </c>
      <c r="S1077" s="8">
        <v>0</v>
      </c>
      <c r="T1077" s="8">
        <v>0</v>
      </c>
      <c r="U1077" s="8">
        <v>98175</v>
      </c>
      <c r="V1077" s="8">
        <v>0</v>
      </c>
      <c r="W1077" s="8">
        <v>0</v>
      </c>
      <c r="X1077" s="8">
        <v>0</v>
      </c>
      <c r="Y1077" s="8">
        <v>0</v>
      </c>
      <c r="Z1077" s="8">
        <v>-355615.13792399998</v>
      </c>
      <c r="AA1077" s="7">
        <v>0</v>
      </c>
      <c r="AB1077" s="8">
        <v>0</v>
      </c>
      <c r="AC1077" s="7">
        <v>2.76125</v>
      </c>
      <c r="AD1077" s="7" t="s">
        <v>1697</v>
      </c>
      <c r="AE1077" s="8">
        <v>0</v>
      </c>
      <c r="AF1077" s="8">
        <v>0</v>
      </c>
      <c r="AG1077" s="8">
        <v>0</v>
      </c>
      <c r="AH1077" s="8">
        <v>0</v>
      </c>
      <c r="AI1077" s="7" t="s">
        <v>1877</v>
      </c>
      <c r="AJ1077" s="7">
        <f t="shared" ca="1" si="233"/>
        <v>1</v>
      </c>
      <c r="AK1077" s="96">
        <f t="shared" ref="AK1077:AK1094" si="244">(+AA1077*AB1077)/$AB$1102</f>
        <v>0</v>
      </c>
      <c r="AL1077" s="97">
        <f t="shared" ref="AL1077:AL1094" si="245">AC1077/$AE$1102*AE1077</f>
        <v>0</v>
      </c>
    </row>
    <row r="1078" spans="1:38" x14ac:dyDescent="0.3">
      <c r="A1078" s="7" t="s">
        <v>2569</v>
      </c>
      <c r="B1078" s="7" t="s">
        <v>1735</v>
      </c>
      <c r="C1078" s="7" t="s">
        <v>1323</v>
      </c>
      <c r="D1078" s="7" t="s">
        <v>1780</v>
      </c>
      <c r="E1078" s="7" t="s">
        <v>1695</v>
      </c>
      <c r="F1078" s="36">
        <v>43678</v>
      </c>
      <c r="G1078" s="36">
        <v>44773</v>
      </c>
      <c r="H1078" s="36">
        <v>44895</v>
      </c>
      <c r="I1078" s="36">
        <v>44895</v>
      </c>
      <c r="J1078" s="7" t="s">
        <v>1696</v>
      </c>
      <c r="K1078" s="8">
        <v>0</v>
      </c>
      <c r="L1078" s="8">
        <v>0</v>
      </c>
      <c r="M1078" s="8">
        <v>64723.601687000002</v>
      </c>
      <c r="N1078" s="8">
        <v>0</v>
      </c>
      <c r="O1078" s="8">
        <v>0</v>
      </c>
      <c r="P1078" s="8">
        <v>0</v>
      </c>
      <c r="Q1078" s="8">
        <v>0</v>
      </c>
      <c r="R1078" s="8">
        <f t="shared" si="232"/>
        <v>64723.601687000002</v>
      </c>
      <c r="S1078" s="8">
        <v>0</v>
      </c>
      <c r="T1078" s="8">
        <v>0</v>
      </c>
      <c r="U1078" s="8">
        <v>108229</v>
      </c>
      <c r="V1078" s="8">
        <v>0</v>
      </c>
      <c r="W1078" s="8">
        <v>0</v>
      </c>
      <c r="X1078" s="8">
        <v>0</v>
      </c>
      <c r="Y1078" s="8">
        <v>0</v>
      </c>
      <c r="Z1078" s="8">
        <v>-359534.06602099998</v>
      </c>
      <c r="AA1078" s="7">
        <v>0</v>
      </c>
      <c r="AB1078" s="8">
        <v>0</v>
      </c>
      <c r="AC1078" s="7">
        <v>2.8408329999999999</v>
      </c>
      <c r="AD1078" s="7" t="s">
        <v>1697</v>
      </c>
      <c r="AE1078" s="8">
        <v>0</v>
      </c>
      <c r="AF1078" s="8">
        <v>0</v>
      </c>
      <c r="AG1078" s="8">
        <v>0</v>
      </c>
      <c r="AH1078" s="8">
        <v>0</v>
      </c>
      <c r="AI1078" s="7" t="s">
        <v>1877</v>
      </c>
      <c r="AJ1078" s="7">
        <f t="shared" ca="1" si="233"/>
        <v>1</v>
      </c>
      <c r="AK1078" s="96">
        <f t="shared" si="244"/>
        <v>0</v>
      </c>
      <c r="AL1078" s="97">
        <f t="shared" si="245"/>
        <v>0</v>
      </c>
    </row>
    <row r="1079" spans="1:38" x14ac:dyDescent="0.3">
      <c r="A1079" s="7" t="s">
        <v>2570</v>
      </c>
      <c r="B1079" s="7" t="s">
        <v>1320</v>
      </c>
      <c r="C1079" s="7" t="s">
        <v>1323</v>
      </c>
      <c r="D1079" s="7" t="s">
        <v>1324</v>
      </c>
      <c r="E1079" s="7" t="s">
        <v>1322</v>
      </c>
      <c r="F1079" s="36">
        <v>44470</v>
      </c>
      <c r="G1079" s="36">
        <v>45565</v>
      </c>
      <c r="H1079" s="36">
        <v>45565</v>
      </c>
      <c r="I1079" s="36">
        <v>45565</v>
      </c>
      <c r="J1079" s="7" t="s">
        <v>1696</v>
      </c>
      <c r="K1079" s="8">
        <v>0</v>
      </c>
      <c r="L1079" s="8">
        <v>0</v>
      </c>
      <c r="M1079" s="8">
        <v>-1296.3</v>
      </c>
      <c r="N1079" s="8">
        <v>0</v>
      </c>
      <c r="O1079" s="8">
        <v>0</v>
      </c>
      <c r="P1079" s="8">
        <v>0</v>
      </c>
      <c r="Q1079" s="8">
        <v>0</v>
      </c>
      <c r="R1079" s="8">
        <f t="shared" si="232"/>
        <v>-1296.3</v>
      </c>
      <c r="S1079" s="8">
        <v>0</v>
      </c>
      <c r="T1079" s="8">
        <v>0</v>
      </c>
      <c r="U1079" s="8">
        <v>-1296.3</v>
      </c>
      <c r="V1079" s="8">
        <v>0</v>
      </c>
      <c r="W1079" s="8">
        <v>0</v>
      </c>
      <c r="X1079" s="8">
        <v>0</v>
      </c>
      <c r="Y1079" s="8">
        <v>0</v>
      </c>
      <c r="Z1079" s="8">
        <v>-15992.368</v>
      </c>
      <c r="AA1079" s="7">
        <v>1.750685</v>
      </c>
      <c r="AB1079" s="8">
        <v>0</v>
      </c>
      <c r="AC1079" s="7">
        <v>3</v>
      </c>
      <c r="AD1079" s="7" t="s">
        <v>1226</v>
      </c>
      <c r="AE1079" s="8">
        <v>0</v>
      </c>
      <c r="AF1079" s="8">
        <v>0</v>
      </c>
      <c r="AG1079" s="8">
        <v>0</v>
      </c>
      <c r="AH1079" s="8">
        <v>0</v>
      </c>
      <c r="AI1079" s="7" t="s">
        <v>1781</v>
      </c>
      <c r="AJ1079" s="7">
        <f t="shared" ca="1" si="233"/>
        <v>1</v>
      </c>
      <c r="AK1079" s="96">
        <f t="shared" si="244"/>
        <v>0</v>
      </c>
      <c r="AL1079" s="97">
        <f t="shared" si="245"/>
        <v>0</v>
      </c>
    </row>
    <row r="1080" spans="1:38" x14ac:dyDescent="0.3">
      <c r="A1080" s="7" t="s">
        <v>2571</v>
      </c>
      <c r="B1080" s="7" t="s">
        <v>194</v>
      </c>
      <c r="C1080" s="7" t="s">
        <v>1323</v>
      </c>
      <c r="D1080" s="7" t="s">
        <v>1324</v>
      </c>
      <c r="E1080" s="7" t="s">
        <v>1695</v>
      </c>
      <c r="F1080" s="36">
        <v>43831</v>
      </c>
      <c r="G1080" s="36">
        <v>46022</v>
      </c>
      <c r="H1080" s="36">
        <v>44866</v>
      </c>
      <c r="I1080" s="36">
        <v>44866</v>
      </c>
      <c r="J1080" s="7" t="s">
        <v>1696</v>
      </c>
      <c r="K1080" s="8">
        <v>0</v>
      </c>
      <c r="L1080" s="8">
        <v>0</v>
      </c>
      <c r="M1080" s="8">
        <v>169999.998612</v>
      </c>
      <c r="N1080" s="8">
        <v>0</v>
      </c>
      <c r="O1080" s="8">
        <v>0</v>
      </c>
      <c r="P1080" s="8">
        <v>0</v>
      </c>
      <c r="Q1080" s="8">
        <v>0</v>
      </c>
      <c r="R1080" s="8">
        <f t="shared" si="232"/>
        <v>169999.998612</v>
      </c>
      <c r="S1080" s="8">
        <v>0</v>
      </c>
      <c r="T1080" s="8">
        <v>0</v>
      </c>
      <c r="U1080" s="8">
        <v>170000</v>
      </c>
      <c r="V1080" s="8">
        <v>0</v>
      </c>
      <c r="W1080" s="8">
        <v>0</v>
      </c>
      <c r="X1080" s="8">
        <v>0</v>
      </c>
      <c r="Y1080" s="8">
        <v>336430.14656299999</v>
      </c>
      <c r="Z1080" s="8">
        <v>-183376.52517499999</v>
      </c>
      <c r="AA1080" s="7">
        <v>0</v>
      </c>
      <c r="AB1080" s="8">
        <v>0</v>
      </c>
      <c r="AC1080" s="7">
        <v>2.318333</v>
      </c>
      <c r="AD1080" s="7" t="s">
        <v>1226</v>
      </c>
      <c r="AE1080" s="8">
        <v>0</v>
      </c>
      <c r="AF1080" s="8">
        <v>0</v>
      </c>
      <c r="AG1080" s="8">
        <v>0</v>
      </c>
      <c r="AH1080" s="8">
        <v>0</v>
      </c>
      <c r="AI1080" s="7" t="s">
        <v>1758</v>
      </c>
      <c r="AJ1080" s="7">
        <f t="shared" ca="1" si="233"/>
        <v>1</v>
      </c>
      <c r="AK1080" s="96">
        <f t="shared" si="244"/>
        <v>0</v>
      </c>
      <c r="AL1080" s="97">
        <f t="shared" si="245"/>
        <v>0</v>
      </c>
    </row>
    <row r="1081" spans="1:38" x14ac:dyDescent="0.3">
      <c r="A1081" s="7" t="s">
        <v>2572</v>
      </c>
      <c r="B1081" s="7" t="s">
        <v>194</v>
      </c>
      <c r="C1081" s="7" t="s">
        <v>1323</v>
      </c>
      <c r="D1081" s="7" t="s">
        <v>1324</v>
      </c>
      <c r="E1081" s="7" t="s">
        <v>1322</v>
      </c>
      <c r="F1081" s="36">
        <v>44866</v>
      </c>
      <c r="G1081" s="36">
        <v>46387</v>
      </c>
      <c r="H1081" s="36">
        <v>46387</v>
      </c>
      <c r="I1081" s="36">
        <v>46387</v>
      </c>
      <c r="J1081" s="7" t="s">
        <v>1696</v>
      </c>
      <c r="K1081" s="8">
        <v>0</v>
      </c>
      <c r="L1081" s="8">
        <v>0</v>
      </c>
      <c r="M1081" s="8">
        <v>12000.001399999999</v>
      </c>
      <c r="N1081" s="8">
        <v>0</v>
      </c>
      <c r="O1081" s="8">
        <v>0</v>
      </c>
      <c r="P1081" s="8">
        <v>0</v>
      </c>
      <c r="Q1081" s="8">
        <v>0</v>
      </c>
      <c r="R1081" s="8">
        <f t="shared" si="232"/>
        <v>12000.001399999999</v>
      </c>
      <c r="S1081" s="8">
        <v>0</v>
      </c>
      <c r="T1081" s="8">
        <v>0</v>
      </c>
      <c r="U1081" s="8">
        <v>12000</v>
      </c>
      <c r="V1081" s="8">
        <v>0</v>
      </c>
      <c r="W1081" s="8">
        <v>0</v>
      </c>
      <c r="X1081" s="8">
        <v>0</v>
      </c>
      <c r="Y1081" s="8">
        <v>0</v>
      </c>
      <c r="Z1081" s="8">
        <v>287697.704898</v>
      </c>
      <c r="AA1081" s="7">
        <v>4.0027400000000002</v>
      </c>
      <c r="AB1081" s="8">
        <v>276659.016298</v>
      </c>
      <c r="AC1081" s="7">
        <v>2.0677780000000001</v>
      </c>
      <c r="AD1081" s="7" t="s">
        <v>1226</v>
      </c>
      <c r="AE1081" s="8">
        <v>288000</v>
      </c>
      <c r="AF1081" s="8">
        <v>0</v>
      </c>
      <c r="AG1081" s="8">
        <v>288000</v>
      </c>
      <c r="AH1081" s="8">
        <v>0</v>
      </c>
      <c r="AI1081" s="7" t="s">
        <v>1758</v>
      </c>
      <c r="AJ1081" s="7">
        <f t="shared" ca="1" si="233"/>
        <v>1</v>
      </c>
      <c r="AK1081" s="96">
        <f t="shared" si="244"/>
        <v>9.7054678327882741E-4</v>
      </c>
      <c r="AL1081" s="97">
        <f t="shared" si="245"/>
        <v>5.0956322076461274E-4</v>
      </c>
    </row>
    <row r="1082" spans="1:38" x14ac:dyDescent="0.3">
      <c r="A1082" s="7" t="s">
        <v>2573</v>
      </c>
      <c r="B1082" s="7" t="s">
        <v>194</v>
      </c>
      <c r="C1082" s="7" t="s">
        <v>1323</v>
      </c>
      <c r="D1082" s="7" t="s">
        <v>1324</v>
      </c>
      <c r="E1082" s="7" t="s">
        <v>1695</v>
      </c>
      <c r="F1082" s="36">
        <v>43466</v>
      </c>
      <c r="G1082" s="36">
        <v>45657</v>
      </c>
      <c r="H1082" s="36">
        <v>44866</v>
      </c>
      <c r="I1082" s="36">
        <v>44866</v>
      </c>
      <c r="J1082" s="7" t="s">
        <v>1696</v>
      </c>
      <c r="K1082" s="8">
        <v>0</v>
      </c>
      <c r="L1082" s="8">
        <v>0</v>
      </c>
      <c r="M1082" s="8">
        <v>207000.00055999999</v>
      </c>
      <c r="N1082" s="8">
        <v>0</v>
      </c>
      <c r="O1082" s="8">
        <v>0</v>
      </c>
      <c r="P1082" s="8">
        <v>0</v>
      </c>
      <c r="Q1082" s="8">
        <v>0</v>
      </c>
      <c r="R1082" s="8">
        <f t="shared" si="232"/>
        <v>207000.00055999999</v>
      </c>
      <c r="S1082" s="8">
        <v>0</v>
      </c>
      <c r="T1082" s="8">
        <v>0</v>
      </c>
      <c r="U1082" s="8">
        <v>207000</v>
      </c>
      <c r="V1082" s="8">
        <v>0</v>
      </c>
      <c r="W1082" s="8">
        <v>0</v>
      </c>
      <c r="X1082" s="8">
        <v>0</v>
      </c>
      <c r="Y1082" s="8">
        <v>302787.13190699997</v>
      </c>
      <c r="Z1082" s="8">
        <v>-114223.002467</v>
      </c>
      <c r="AA1082" s="7">
        <v>0</v>
      </c>
      <c r="AB1082" s="8">
        <v>0</v>
      </c>
      <c r="AC1082" s="7">
        <v>2.318333</v>
      </c>
      <c r="AD1082" s="7" t="s">
        <v>1226</v>
      </c>
      <c r="AE1082" s="8">
        <v>0</v>
      </c>
      <c r="AF1082" s="8">
        <v>0</v>
      </c>
      <c r="AG1082" s="8">
        <v>0</v>
      </c>
      <c r="AH1082" s="8">
        <v>0</v>
      </c>
      <c r="AI1082" s="7" t="s">
        <v>1758</v>
      </c>
      <c r="AJ1082" s="7">
        <f t="shared" ca="1" si="233"/>
        <v>1</v>
      </c>
      <c r="AK1082" s="96">
        <f t="shared" si="244"/>
        <v>0</v>
      </c>
      <c r="AL1082" s="97">
        <f t="shared" si="245"/>
        <v>0</v>
      </c>
    </row>
    <row r="1083" spans="1:38" x14ac:dyDescent="0.3">
      <c r="A1083" s="7" t="s">
        <v>2574</v>
      </c>
      <c r="B1083" s="7" t="s">
        <v>194</v>
      </c>
      <c r="C1083" s="7" t="s">
        <v>1323</v>
      </c>
      <c r="D1083" s="7" t="s">
        <v>1324</v>
      </c>
      <c r="E1083" s="7" t="s">
        <v>1322</v>
      </c>
      <c r="F1083" s="36">
        <v>44866</v>
      </c>
      <c r="G1083" s="36">
        <v>46022</v>
      </c>
      <c r="H1083" s="36">
        <v>46022</v>
      </c>
      <c r="I1083" s="36">
        <v>46022</v>
      </c>
      <c r="J1083" s="7" t="s">
        <v>1696</v>
      </c>
      <c r="K1083" s="8">
        <v>0</v>
      </c>
      <c r="L1083" s="8">
        <v>0</v>
      </c>
      <c r="M1083" s="8">
        <v>8999.9973680000003</v>
      </c>
      <c r="N1083" s="8">
        <v>0</v>
      </c>
      <c r="O1083" s="8">
        <v>0</v>
      </c>
      <c r="P1083" s="8">
        <v>0</v>
      </c>
      <c r="Q1083" s="8">
        <v>0</v>
      </c>
      <c r="R1083" s="8">
        <f t="shared" si="232"/>
        <v>8999.9973680000003</v>
      </c>
      <c r="S1083" s="8">
        <v>0</v>
      </c>
      <c r="T1083" s="8">
        <v>0</v>
      </c>
      <c r="U1083" s="8">
        <v>9000</v>
      </c>
      <c r="V1083" s="8">
        <v>0</v>
      </c>
      <c r="W1083" s="8">
        <v>0</v>
      </c>
      <c r="X1083" s="8">
        <v>0</v>
      </c>
      <c r="Y1083" s="8">
        <v>0</v>
      </c>
      <c r="Z1083" s="8">
        <v>163735.985457</v>
      </c>
      <c r="AA1083" s="7">
        <v>3.0027400000000002</v>
      </c>
      <c r="AB1083" s="8">
        <v>155480.16282500001</v>
      </c>
      <c r="AC1083" s="7">
        <v>2.8408329999999999</v>
      </c>
      <c r="AD1083" s="7" t="s">
        <v>1226</v>
      </c>
      <c r="AE1083" s="8">
        <v>162000</v>
      </c>
      <c r="AF1083" s="8">
        <v>0</v>
      </c>
      <c r="AG1083" s="8">
        <v>162000</v>
      </c>
      <c r="AH1083" s="8">
        <v>0</v>
      </c>
      <c r="AI1083" s="7" t="s">
        <v>1758</v>
      </c>
      <c r="AJ1083" s="7">
        <f t="shared" ca="1" si="233"/>
        <v>1</v>
      </c>
      <c r="AK1083" s="96">
        <f t="shared" si="244"/>
        <v>4.0917301197178731E-4</v>
      </c>
      <c r="AL1083" s="97">
        <f t="shared" si="245"/>
        <v>3.9378792471343548E-4</v>
      </c>
    </row>
    <row r="1084" spans="1:38" x14ac:dyDescent="0.3">
      <c r="A1084" s="7" t="s">
        <v>2575</v>
      </c>
      <c r="B1084" s="7" t="s">
        <v>194</v>
      </c>
      <c r="C1084" s="7" t="s">
        <v>1323</v>
      </c>
      <c r="D1084" s="7" t="s">
        <v>1324</v>
      </c>
      <c r="E1084" s="7" t="s">
        <v>1322</v>
      </c>
      <c r="F1084" s="36">
        <v>43101</v>
      </c>
      <c r="G1084" s="36">
        <v>45291</v>
      </c>
      <c r="H1084" s="36">
        <v>45291</v>
      </c>
      <c r="I1084" s="36">
        <v>45291</v>
      </c>
      <c r="J1084" s="7" t="s">
        <v>1696</v>
      </c>
      <c r="K1084" s="8">
        <v>0</v>
      </c>
      <c r="L1084" s="8">
        <v>0</v>
      </c>
      <c r="M1084" s="8">
        <v>240000.000661</v>
      </c>
      <c r="N1084" s="8">
        <v>0</v>
      </c>
      <c r="O1084" s="8">
        <v>0</v>
      </c>
      <c r="P1084" s="8">
        <v>10783.08</v>
      </c>
      <c r="Q1084" s="8">
        <v>0</v>
      </c>
      <c r="R1084" s="8">
        <f t="shared" si="232"/>
        <v>250783.08066099999</v>
      </c>
      <c r="S1084" s="8">
        <v>0</v>
      </c>
      <c r="T1084" s="8">
        <v>0</v>
      </c>
      <c r="U1084" s="8">
        <v>240000</v>
      </c>
      <c r="V1084" s="8">
        <v>0</v>
      </c>
      <c r="W1084" s="8">
        <v>10783.08</v>
      </c>
      <c r="X1084" s="8">
        <v>0</v>
      </c>
      <c r="Y1084" s="8">
        <v>269144.11725000001</v>
      </c>
      <c r="Z1084" s="8">
        <v>0</v>
      </c>
      <c r="AA1084" s="7">
        <v>1</v>
      </c>
      <c r="AB1084" s="8">
        <v>47494.207910999998</v>
      </c>
      <c r="AC1084" s="7">
        <v>2.318333</v>
      </c>
      <c r="AD1084" s="7" t="s">
        <v>1226</v>
      </c>
      <c r="AE1084" s="8">
        <v>48000</v>
      </c>
      <c r="AF1084" s="8">
        <v>0</v>
      </c>
      <c r="AG1084" s="8">
        <v>48000</v>
      </c>
      <c r="AH1084" s="8">
        <v>5255.64</v>
      </c>
      <c r="AI1084" s="7" t="s">
        <v>1758</v>
      </c>
      <c r="AJ1084" s="7">
        <f t="shared" ca="1" si="233"/>
        <v>1</v>
      </c>
      <c r="AK1084" s="96">
        <f t="shared" si="244"/>
        <v>4.1625063975709159E-5</v>
      </c>
      <c r="AL1084" s="97">
        <f t="shared" si="245"/>
        <v>9.5217928801261291E-5</v>
      </c>
    </row>
    <row r="1085" spans="1:38" x14ac:dyDescent="0.3">
      <c r="A1085" s="7" t="s">
        <v>2576</v>
      </c>
      <c r="B1085" s="7" t="s">
        <v>194</v>
      </c>
      <c r="C1085" s="7" t="s">
        <v>1323</v>
      </c>
      <c r="D1085" s="7" t="s">
        <v>1324</v>
      </c>
      <c r="E1085" s="7" t="s">
        <v>1322</v>
      </c>
      <c r="F1085" s="36">
        <v>43831</v>
      </c>
      <c r="G1085" s="36">
        <v>46022</v>
      </c>
      <c r="H1085" s="36">
        <v>46022</v>
      </c>
      <c r="I1085" s="36">
        <v>46022</v>
      </c>
      <c r="J1085" s="7" t="s">
        <v>1696</v>
      </c>
      <c r="K1085" s="8">
        <v>0</v>
      </c>
      <c r="L1085" s="8">
        <v>0</v>
      </c>
      <c r="M1085" s="8">
        <v>127825.003342</v>
      </c>
      <c r="N1085" s="8">
        <v>0</v>
      </c>
      <c r="O1085" s="8">
        <v>0</v>
      </c>
      <c r="P1085" s="8">
        <v>0</v>
      </c>
      <c r="Q1085" s="8">
        <v>0</v>
      </c>
      <c r="R1085" s="8">
        <f t="shared" si="232"/>
        <v>127825.003342</v>
      </c>
      <c r="S1085" s="8">
        <v>0</v>
      </c>
      <c r="T1085" s="8">
        <v>0</v>
      </c>
      <c r="U1085" s="8">
        <v>127375</v>
      </c>
      <c r="V1085" s="8">
        <v>0</v>
      </c>
      <c r="W1085" s="8">
        <v>0</v>
      </c>
      <c r="X1085" s="8">
        <v>0</v>
      </c>
      <c r="Y1085" s="8">
        <v>237183.25332700001</v>
      </c>
      <c r="Z1085" s="8">
        <v>16945.769892</v>
      </c>
      <c r="AA1085" s="7">
        <v>3.0027400000000002</v>
      </c>
      <c r="AB1085" s="8">
        <v>139245.40656100001</v>
      </c>
      <c r="AC1085" s="7">
        <v>2.318333</v>
      </c>
      <c r="AD1085" s="7" t="s">
        <v>1726</v>
      </c>
      <c r="AE1085" s="8">
        <v>144000</v>
      </c>
      <c r="AF1085" s="8">
        <v>0</v>
      </c>
      <c r="AG1085" s="8">
        <v>144000</v>
      </c>
      <c r="AH1085" s="8">
        <v>0</v>
      </c>
      <c r="AI1085" s="7" t="s">
        <v>1758</v>
      </c>
      <c r="AJ1085" s="7">
        <f t="shared" ca="1" si="233"/>
        <v>1</v>
      </c>
      <c r="AK1085" s="96">
        <f t="shared" si="244"/>
        <v>3.6644843541827854E-4</v>
      </c>
      <c r="AL1085" s="97">
        <f t="shared" si="245"/>
        <v>2.8565378640378386E-4</v>
      </c>
    </row>
    <row r="1086" spans="1:38" x14ac:dyDescent="0.3">
      <c r="A1086" s="7" t="s">
        <v>2577</v>
      </c>
      <c r="B1086" s="7" t="s">
        <v>194</v>
      </c>
      <c r="C1086" s="7" t="s">
        <v>1323</v>
      </c>
      <c r="D1086" s="7" t="s">
        <v>1324</v>
      </c>
      <c r="E1086" s="7" t="s">
        <v>1322</v>
      </c>
      <c r="F1086" s="36">
        <v>44197</v>
      </c>
      <c r="G1086" s="36">
        <v>46387</v>
      </c>
      <c r="H1086" s="36">
        <v>46387</v>
      </c>
      <c r="I1086" s="36">
        <v>46752</v>
      </c>
      <c r="J1086" s="7" t="s">
        <v>1696</v>
      </c>
      <c r="K1086" s="8">
        <v>0</v>
      </c>
      <c r="L1086" s="8">
        <v>0</v>
      </c>
      <c r="M1086" s="8">
        <v>125139.433472</v>
      </c>
      <c r="N1086" s="8">
        <v>0</v>
      </c>
      <c r="O1086" s="8">
        <v>0</v>
      </c>
      <c r="P1086" s="8">
        <v>0</v>
      </c>
      <c r="Q1086" s="8">
        <v>0</v>
      </c>
      <c r="R1086" s="8">
        <f t="shared" si="232"/>
        <v>125139.433472</v>
      </c>
      <c r="S1086" s="8">
        <v>0</v>
      </c>
      <c r="T1086" s="8">
        <v>0</v>
      </c>
      <c r="U1086" s="8">
        <v>77988</v>
      </c>
      <c r="V1086" s="8">
        <v>0</v>
      </c>
      <c r="W1086" s="8">
        <v>0</v>
      </c>
      <c r="X1086" s="8">
        <v>0</v>
      </c>
      <c r="Y1086" s="8">
        <v>397307.04258499999</v>
      </c>
      <c r="Z1086" s="8">
        <v>0</v>
      </c>
      <c r="AA1086" s="7">
        <v>5.0027400000000002</v>
      </c>
      <c r="AB1086" s="8">
        <v>337342.356057</v>
      </c>
      <c r="AC1086" s="7">
        <v>2.4550000000000001</v>
      </c>
      <c r="AD1086" s="7" t="s">
        <v>1226</v>
      </c>
      <c r="AE1086" s="8">
        <v>360000</v>
      </c>
      <c r="AF1086" s="8">
        <v>0</v>
      </c>
      <c r="AG1086" s="8">
        <v>360000</v>
      </c>
      <c r="AH1086" s="8">
        <v>0</v>
      </c>
      <c r="AI1086" s="7" t="s">
        <v>1758</v>
      </c>
      <c r="AJ1086" s="7">
        <f t="shared" ca="1" si="233"/>
        <v>1</v>
      </c>
      <c r="AK1086" s="96">
        <f t="shared" si="244"/>
        <v>1.4790847905660847E-3</v>
      </c>
      <c r="AL1086" s="97">
        <f t="shared" si="245"/>
        <v>7.5623308388105741E-4</v>
      </c>
    </row>
    <row r="1087" spans="1:38" x14ac:dyDescent="0.3">
      <c r="A1087" s="7" t="s">
        <v>2578</v>
      </c>
      <c r="B1087" s="7" t="s">
        <v>194</v>
      </c>
      <c r="C1087" s="7" t="s">
        <v>1323</v>
      </c>
      <c r="D1087" s="7" t="s">
        <v>1324</v>
      </c>
      <c r="E1087" s="7" t="s">
        <v>1322</v>
      </c>
      <c r="F1087" s="36">
        <v>43466</v>
      </c>
      <c r="G1087" s="36">
        <v>45657</v>
      </c>
      <c r="H1087" s="36">
        <v>45657</v>
      </c>
      <c r="I1087" s="36">
        <v>45657</v>
      </c>
      <c r="J1087" s="7" t="s">
        <v>1696</v>
      </c>
      <c r="K1087" s="8">
        <v>0</v>
      </c>
      <c r="L1087" s="8">
        <v>0</v>
      </c>
      <c r="M1087" s="8">
        <v>216000.003772</v>
      </c>
      <c r="N1087" s="8">
        <v>0</v>
      </c>
      <c r="O1087" s="8">
        <v>0</v>
      </c>
      <c r="P1087" s="8">
        <v>50</v>
      </c>
      <c r="Q1087" s="8">
        <v>0</v>
      </c>
      <c r="R1087" s="8">
        <f t="shared" si="232"/>
        <v>216050.003772</v>
      </c>
      <c r="S1087" s="8">
        <v>0</v>
      </c>
      <c r="T1087" s="8">
        <v>0</v>
      </c>
      <c r="U1087" s="8">
        <v>216000</v>
      </c>
      <c r="V1087" s="8">
        <v>0</v>
      </c>
      <c r="W1087" s="8">
        <v>50</v>
      </c>
      <c r="X1087" s="8">
        <v>0</v>
      </c>
      <c r="Y1087" s="8">
        <v>302787.13190699997</v>
      </c>
      <c r="Z1087" s="8">
        <v>0</v>
      </c>
      <c r="AA1087" s="7">
        <v>2.0027400000000002</v>
      </c>
      <c r="AB1087" s="8">
        <v>105638.67567900001</v>
      </c>
      <c r="AC1087" s="7">
        <v>2.318333</v>
      </c>
      <c r="AD1087" s="7" t="s">
        <v>1226</v>
      </c>
      <c r="AE1087" s="8">
        <v>108000</v>
      </c>
      <c r="AF1087" s="8">
        <v>0</v>
      </c>
      <c r="AG1087" s="8">
        <v>108000</v>
      </c>
      <c r="AH1087" s="8">
        <v>0</v>
      </c>
      <c r="AI1087" s="7" t="s">
        <v>1758</v>
      </c>
      <c r="AJ1087" s="7">
        <f t="shared" ca="1" si="233"/>
        <v>1</v>
      </c>
      <c r="AK1087" s="96">
        <f t="shared" si="244"/>
        <v>1.8542222363142382E-4</v>
      </c>
      <c r="AL1087" s="97">
        <f t="shared" si="245"/>
        <v>2.1424033980283789E-4</v>
      </c>
    </row>
    <row r="1088" spans="1:38" x14ac:dyDescent="0.3">
      <c r="A1088" s="7" t="s">
        <v>2579</v>
      </c>
      <c r="B1088" s="7" t="s">
        <v>194</v>
      </c>
      <c r="C1088" s="7" t="s">
        <v>1323</v>
      </c>
      <c r="D1088" s="7" t="s">
        <v>1324</v>
      </c>
      <c r="E1088" s="7" t="s">
        <v>1739</v>
      </c>
      <c r="F1088" s="36">
        <v>43101</v>
      </c>
      <c r="G1088" s="36">
        <v>44926</v>
      </c>
      <c r="I1088" s="36">
        <v>45657</v>
      </c>
      <c r="J1088" s="7" t="s">
        <v>1696</v>
      </c>
      <c r="K1088" s="8">
        <v>0</v>
      </c>
      <c r="L1088" s="8">
        <v>0</v>
      </c>
      <c r="M1088" s="8">
        <v>252648.172238</v>
      </c>
      <c r="N1088" s="8">
        <v>0</v>
      </c>
      <c r="O1088" s="8">
        <v>0</v>
      </c>
      <c r="P1088" s="8">
        <v>0</v>
      </c>
      <c r="Q1088" s="8">
        <v>0</v>
      </c>
      <c r="R1088" s="8">
        <f t="shared" si="232"/>
        <v>252648.172238</v>
      </c>
      <c r="S1088" s="8">
        <v>0</v>
      </c>
      <c r="T1088" s="8">
        <v>0</v>
      </c>
      <c r="U1088" s="8">
        <v>249793.92000000001</v>
      </c>
      <c r="V1088" s="8">
        <v>0</v>
      </c>
      <c r="W1088" s="8">
        <v>0</v>
      </c>
      <c r="X1088" s="8">
        <v>0</v>
      </c>
      <c r="Y1088" s="8">
        <v>324892.82766200003</v>
      </c>
      <c r="Z1088" s="8">
        <v>0</v>
      </c>
      <c r="AA1088" s="7">
        <v>2.0027400000000002</v>
      </c>
      <c r="AB1088" s="8">
        <v>101509.86990000001</v>
      </c>
      <c r="AC1088" s="7">
        <v>2.4550000000000001</v>
      </c>
      <c r="AD1088" s="7" t="s">
        <v>1226</v>
      </c>
      <c r="AE1088" s="8">
        <v>103913.52</v>
      </c>
      <c r="AF1088" s="8">
        <v>0</v>
      </c>
      <c r="AG1088" s="8">
        <v>103913.52</v>
      </c>
      <c r="AH1088" s="8">
        <v>0</v>
      </c>
      <c r="AI1088" s="7" t="s">
        <v>1758</v>
      </c>
      <c r="AJ1088" s="7">
        <f t="shared" ca="1" si="233"/>
        <v>1</v>
      </c>
      <c r="AK1088" s="96">
        <f t="shared" si="244"/>
        <v>1.7817513970535523E-4</v>
      </c>
      <c r="AL1088" s="97">
        <f t="shared" si="245"/>
        <v>2.1828567135148873E-4</v>
      </c>
    </row>
    <row r="1089" spans="1:38" x14ac:dyDescent="0.3">
      <c r="A1089" s="7" t="s">
        <v>2580</v>
      </c>
      <c r="B1089" s="7" t="s">
        <v>194</v>
      </c>
      <c r="C1089" s="7" t="s">
        <v>1323</v>
      </c>
      <c r="D1089" s="7" t="s">
        <v>1324</v>
      </c>
      <c r="E1089" s="7" t="s">
        <v>1322</v>
      </c>
      <c r="F1089" s="36">
        <v>43831</v>
      </c>
      <c r="G1089" s="36">
        <v>46022</v>
      </c>
      <c r="H1089" s="36">
        <v>46022</v>
      </c>
      <c r="I1089" s="36">
        <v>46022</v>
      </c>
      <c r="J1089" s="7" t="s">
        <v>1696</v>
      </c>
      <c r="K1089" s="8">
        <v>0</v>
      </c>
      <c r="L1089" s="8">
        <v>0</v>
      </c>
      <c r="M1089" s="8">
        <v>126900.00120499999</v>
      </c>
      <c r="N1089" s="8">
        <v>0</v>
      </c>
      <c r="O1089" s="8">
        <v>0</v>
      </c>
      <c r="P1089" s="8">
        <v>1410</v>
      </c>
      <c r="Q1089" s="8">
        <v>0</v>
      </c>
      <c r="R1089" s="8">
        <f t="shared" si="232"/>
        <v>128310.00120499999</v>
      </c>
      <c r="S1089" s="8">
        <v>0</v>
      </c>
      <c r="T1089" s="8">
        <v>0</v>
      </c>
      <c r="U1089" s="8">
        <v>126900</v>
      </c>
      <c r="V1089" s="8">
        <v>0</v>
      </c>
      <c r="W1089" s="8">
        <v>1410</v>
      </c>
      <c r="X1089" s="8">
        <v>0</v>
      </c>
      <c r="Y1089" s="8">
        <v>237183.25332700001</v>
      </c>
      <c r="Z1089" s="8">
        <v>0</v>
      </c>
      <c r="AA1089" s="7">
        <v>3.0027400000000002</v>
      </c>
      <c r="AB1089" s="8">
        <v>122710.014532</v>
      </c>
      <c r="AC1089" s="7">
        <v>2.318333</v>
      </c>
      <c r="AD1089" s="7" t="s">
        <v>1226</v>
      </c>
      <c r="AE1089" s="8">
        <v>126900</v>
      </c>
      <c r="AF1089" s="8">
        <v>0</v>
      </c>
      <c r="AG1089" s="8">
        <v>126900</v>
      </c>
      <c r="AH1089" s="8">
        <v>6345</v>
      </c>
      <c r="AI1089" s="7" t="s">
        <v>1758</v>
      </c>
      <c r="AJ1089" s="7">
        <f t="shared" ca="1" si="233"/>
        <v>1</v>
      </c>
      <c r="AK1089" s="96">
        <f t="shared" si="244"/>
        <v>3.2293268371267047E-4</v>
      </c>
      <c r="AL1089" s="97">
        <f t="shared" si="245"/>
        <v>2.5173239926833455E-4</v>
      </c>
    </row>
    <row r="1090" spans="1:38" x14ac:dyDescent="0.3">
      <c r="A1090" s="7" t="s">
        <v>2581</v>
      </c>
      <c r="B1090" s="7" t="s">
        <v>194</v>
      </c>
      <c r="C1090" s="7" t="s">
        <v>1323</v>
      </c>
      <c r="D1090" s="7" t="s">
        <v>1324</v>
      </c>
      <c r="E1090" s="7" t="s">
        <v>1695</v>
      </c>
      <c r="F1090" s="36">
        <v>44197</v>
      </c>
      <c r="G1090" s="36">
        <v>46387</v>
      </c>
      <c r="H1090" s="36">
        <v>44835</v>
      </c>
      <c r="I1090" s="36">
        <v>44835</v>
      </c>
      <c r="J1090" s="7" t="s">
        <v>1696</v>
      </c>
      <c r="K1090" s="8">
        <v>0</v>
      </c>
      <c r="L1090" s="8">
        <v>0</v>
      </c>
      <c r="M1090" s="8">
        <v>62979.000462000004</v>
      </c>
      <c r="N1090" s="8">
        <v>0</v>
      </c>
      <c r="O1090" s="8">
        <v>0</v>
      </c>
      <c r="P1090" s="8">
        <v>0</v>
      </c>
      <c r="Q1090" s="8">
        <v>0</v>
      </c>
      <c r="R1090" s="8">
        <f t="shared" si="232"/>
        <v>62979.000462000004</v>
      </c>
      <c r="S1090" s="8">
        <v>0</v>
      </c>
      <c r="T1090" s="8">
        <v>0</v>
      </c>
      <c r="U1090" s="8">
        <v>62979</v>
      </c>
      <c r="V1090" s="8">
        <v>0</v>
      </c>
      <c r="W1090" s="8">
        <v>0</v>
      </c>
      <c r="X1090" s="8">
        <v>0</v>
      </c>
      <c r="Y1090" s="8">
        <v>231714.931858</v>
      </c>
      <c r="Z1090" s="8">
        <v>-177460.50232</v>
      </c>
      <c r="AA1090" s="7">
        <v>0</v>
      </c>
      <c r="AB1090" s="8">
        <v>0</v>
      </c>
      <c r="AC1090" s="7">
        <v>2.4550000000000001</v>
      </c>
      <c r="AD1090" s="7" t="s">
        <v>1226</v>
      </c>
      <c r="AE1090" s="8">
        <v>0</v>
      </c>
      <c r="AF1090" s="8">
        <v>0</v>
      </c>
      <c r="AG1090" s="8">
        <v>0</v>
      </c>
      <c r="AH1090" s="8">
        <v>0</v>
      </c>
      <c r="AI1090" s="7" t="s">
        <v>1758</v>
      </c>
      <c r="AJ1090" s="7">
        <f t="shared" ca="1" si="233"/>
        <v>1</v>
      </c>
      <c r="AK1090" s="96">
        <f t="shared" si="244"/>
        <v>0</v>
      </c>
      <c r="AL1090" s="97">
        <f t="shared" si="245"/>
        <v>0</v>
      </c>
    </row>
    <row r="1091" spans="1:38" x14ac:dyDescent="0.3">
      <c r="A1091" s="7" t="s">
        <v>2582</v>
      </c>
      <c r="B1091" s="7" t="s">
        <v>194</v>
      </c>
      <c r="C1091" s="7" t="s">
        <v>1323</v>
      </c>
      <c r="D1091" s="7" t="s">
        <v>1324</v>
      </c>
      <c r="E1091" s="7" t="s">
        <v>1322</v>
      </c>
      <c r="F1091" s="36">
        <v>44835</v>
      </c>
      <c r="G1091" s="36">
        <v>45657</v>
      </c>
      <c r="H1091" s="36">
        <v>45657</v>
      </c>
      <c r="I1091" s="36">
        <v>46022</v>
      </c>
      <c r="J1091" s="7" t="s">
        <v>1696</v>
      </c>
      <c r="K1091" s="8">
        <v>0</v>
      </c>
      <c r="L1091" s="8">
        <v>0</v>
      </c>
      <c r="M1091" s="8">
        <v>8996.9970720000001</v>
      </c>
      <c r="N1091" s="8">
        <v>0</v>
      </c>
      <c r="O1091" s="8">
        <v>0</v>
      </c>
      <c r="P1091" s="8">
        <v>0</v>
      </c>
      <c r="Q1091" s="8">
        <v>0</v>
      </c>
      <c r="R1091" s="8">
        <f t="shared" ref="R1091:R1094" si="246">K1091+L1091+M1091+N1091+O1091+P1091+Q1091</f>
        <v>8996.9970720000001</v>
      </c>
      <c r="S1091" s="8">
        <v>0</v>
      </c>
      <c r="T1091" s="8">
        <v>0</v>
      </c>
      <c r="U1091" s="8">
        <v>8997</v>
      </c>
      <c r="V1091" s="8">
        <v>0</v>
      </c>
      <c r="W1091" s="8">
        <v>0</v>
      </c>
      <c r="X1091" s="8">
        <v>0</v>
      </c>
      <c r="Y1091" s="8">
        <v>0</v>
      </c>
      <c r="Z1091" s="8">
        <v>112000.744903</v>
      </c>
      <c r="AA1091" s="7">
        <v>3.0027400000000002</v>
      </c>
      <c r="AB1091" s="8">
        <v>103737.211975</v>
      </c>
      <c r="AC1091" s="7">
        <v>2.76125</v>
      </c>
      <c r="AD1091" s="7" t="s">
        <v>1226</v>
      </c>
      <c r="AE1091" s="8">
        <v>107964</v>
      </c>
      <c r="AF1091" s="8">
        <v>0</v>
      </c>
      <c r="AG1091" s="8">
        <v>107964</v>
      </c>
      <c r="AH1091" s="8">
        <v>0</v>
      </c>
      <c r="AI1091" s="7" t="s">
        <v>1758</v>
      </c>
      <c r="AJ1091" s="7">
        <f t="shared" ca="1" si="233"/>
        <v>1</v>
      </c>
      <c r="AK1091" s="96">
        <f t="shared" si="244"/>
        <v>2.7300246350489061E-4</v>
      </c>
      <c r="AL1091" s="97">
        <f t="shared" si="245"/>
        <v>2.5508585173103228E-4</v>
      </c>
    </row>
    <row r="1092" spans="1:38" x14ac:dyDescent="0.3">
      <c r="A1092" s="7" t="s">
        <v>2583</v>
      </c>
      <c r="B1092" s="7" t="s">
        <v>194</v>
      </c>
      <c r="C1092" s="7" t="s">
        <v>1323</v>
      </c>
      <c r="D1092" s="7" t="s">
        <v>1852</v>
      </c>
      <c r="E1092" s="7" t="s">
        <v>1733</v>
      </c>
      <c r="F1092" s="36">
        <v>44197</v>
      </c>
      <c r="G1092" s="36">
        <v>46387</v>
      </c>
      <c r="H1092" s="36">
        <v>46387</v>
      </c>
      <c r="I1092" s="36">
        <v>46387</v>
      </c>
      <c r="J1092" s="7" t="s">
        <v>1696</v>
      </c>
      <c r="K1092" s="8">
        <v>0</v>
      </c>
      <c r="L1092" s="8">
        <v>0</v>
      </c>
      <c r="M1092" s="8">
        <v>314073.59999999998</v>
      </c>
      <c r="N1092" s="8">
        <v>0</v>
      </c>
      <c r="O1092" s="8">
        <v>0</v>
      </c>
      <c r="P1092" s="8">
        <v>0</v>
      </c>
      <c r="Q1092" s="8">
        <v>0</v>
      </c>
      <c r="R1092" s="8">
        <f t="shared" si="246"/>
        <v>314073.59999999998</v>
      </c>
      <c r="S1092" s="8">
        <v>0</v>
      </c>
      <c r="T1092" s="8">
        <v>0</v>
      </c>
      <c r="U1092" s="8">
        <v>314073.59999999998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7">
        <v>4.0027400000000002</v>
      </c>
      <c r="AB1092" s="8">
        <v>1201014.944439</v>
      </c>
      <c r="AC1092" s="7">
        <v>2.318333</v>
      </c>
      <c r="AD1092" s="7" t="s">
        <v>1226</v>
      </c>
      <c r="AE1092" s="8">
        <v>1256294.3999999999</v>
      </c>
      <c r="AF1092" s="8">
        <v>0</v>
      </c>
      <c r="AG1092" s="8">
        <v>1256294.3999999999</v>
      </c>
      <c r="AH1092" s="8">
        <v>0</v>
      </c>
      <c r="AI1092" s="7" t="s">
        <v>1758</v>
      </c>
      <c r="AJ1092" s="7">
        <f t="shared" ca="1" si="233"/>
        <v>1</v>
      </c>
      <c r="AK1092" s="96">
        <f t="shared" si="244"/>
        <v>4.2132774365810461E-3</v>
      </c>
      <c r="AL1092" s="97">
        <f t="shared" si="245"/>
        <v>2.4921198069296512E-3</v>
      </c>
    </row>
    <row r="1093" spans="1:38" x14ac:dyDescent="0.3">
      <c r="A1093" s="7" t="s">
        <v>2584</v>
      </c>
      <c r="B1093" s="7" t="s">
        <v>194</v>
      </c>
      <c r="C1093" s="7" t="s">
        <v>1323</v>
      </c>
      <c r="D1093" s="7" t="s">
        <v>1324</v>
      </c>
      <c r="E1093" s="7" t="s">
        <v>1322</v>
      </c>
      <c r="F1093" s="36">
        <v>44287</v>
      </c>
      <c r="G1093" s="36">
        <v>45382</v>
      </c>
      <c r="H1093" s="36">
        <v>45382</v>
      </c>
      <c r="I1093" s="36">
        <v>45382</v>
      </c>
      <c r="J1093" s="7" t="s">
        <v>1696</v>
      </c>
      <c r="K1093" s="8">
        <v>0</v>
      </c>
      <c r="L1093" s="8">
        <v>0</v>
      </c>
      <c r="M1093" s="8">
        <v>11111.04</v>
      </c>
      <c r="N1093" s="8">
        <v>0</v>
      </c>
      <c r="O1093" s="8">
        <v>0</v>
      </c>
      <c r="P1093" s="8">
        <v>0</v>
      </c>
      <c r="Q1093" s="8">
        <v>0</v>
      </c>
      <c r="R1093" s="8">
        <f t="shared" si="246"/>
        <v>11111.04</v>
      </c>
      <c r="S1093" s="8">
        <v>0</v>
      </c>
      <c r="T1093" s="8">
        <v>0</v>
      </c>
      <c r="U1093" s="8">
        <v>11111.04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7">
        <v>1.249315</v>
      </c>
      <c r="AB1093" s="8">
        <v>13648.952595000001</v>
      </c>
      <c r="AC1093" s="7">
        <v>3</v>
      </c>
      <c r="AD1093" s="7" t="s">
        <v>1226</v>
      </c>
      <c r="AE1093" s="8">
        <v>13888.8</v>
      </c>
      <c r="AF1093" s="8">
        <v>0</v>
      </c>
      <c r="AG1093" s="8">
        <v>13888.8</v>
      </c>
      <c r="AH1093" s="8">
        <v>0</v>
      </c>
      <c r="AI1093" s="7" t="s">
        <v>1730</v>
      </c>
      <c r="AJ1093" s="7">
        <f t="shared" ca="1" si="233"/>
        <v>1</v>
      </c>
      <c r="AK1093" s="96">
        <f t="shared" si="244"/>
        <v>1.4944642989958704E-5</v>
      </c>
      <c r="AL1093" s="97">
        <f t="shared" si="245"/>
        <v>3.5652308402604307E-5</v>
      </c>
    </row>
    <row r="1094" spans="1:38" x14ac:dyDescent="0.3">
      <c r="A1094" s="7" t="s">
        <v>2585</v>
      </c>
      <c r="B1094" s="7" t="s">
        <v>194</v>
      </c>
      <c r="D1094" s="7" t="s">
        <v>1324</v>
      </c>
      <c r="E1094" s="7" t="s">
        <v>1695</v>
      </c>
      <c r="F1094" s="36">
        <v>43800</v>
      </c>
      <c r="G1094" s="36">
        <v>44895</v>
      </c>
      <c r="H1094" s="36">
        <v>44895</v>
      </c>
      <c r="I1094" s="36">
        <v>44895</v>
      </c>
      <c r="J1094" s="7" t="s">
        <v>1696</v>
      </c>
      <c r="K1094" s="8">
        <v>0</v>
      </c>
      <c r="L1094" s="8">
        <v>0</v>
      </c>
      <c r="M1094" s="8">
        <v>659999.99730499997</v>
      </c>
      <c r="N1094" s="8">
        <v>0</v>
      </c>
      <c r="O1094" s="8">
        <v>0</v>
      </c>
      <c r="P1094" s="8">
        <v>0</v>
      </c>
      <c r="Q1094" s="8">
        <v>0</v>
      </c>
      <c r="R1094" s="8">
        <f t="shared" si="246"/>
        <v>659999.99730499997</v>
      </c>
      <c r="S1094" s="8">
        <v>0</v>
      </c>
      <c r="T1094" s="8">
        <v>0</v>
      </c>
      <c r="U1094" s="8">
        <v>660000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7">
        <v>0</v>
      </c>
      <c r="AB1094" s="8">
        <v>0</v>
      </c>
      <c r="AC1094" s="7">
        <v>2.0299999999999998</v>
      </c>
      <c r="AD1094" s="7" t="s">
        <v>1226</v>
      </c>
      <c r="AE1094" s="8">
        <v>0</v>
      </c>
      <c r="AF1094" s="8">
        <v>0</v>
      </c>
      <c r="AG1094" s="8">
        <v>0</v>
      </c>
      <c r="AH1094" s="8">
        <v>0</v>
      </c>
      <c r="AI1094" s="7" t="s">
        <v>1758</v>
      </c>
      <c r="AJ1094" s="7">
        <f t="shared" ca="1" si="233"/>
        <v>1</v>
      </c>
      <c r="AK1094" s="96">
        <f t="shared" si="244"/>
        <v>0</v>
      </c>
      <c r="AL1094" s="97">
        <f t="shared" si="245"/>
        <v>0</v>
      </c>
    </row>
    <row r="1095" spans="1:38" x14ac:dyDescent="0.3">
      <c r="K1095" s="8">
        <f t="shared" ref="K1095:AB1095" si="247">SUBTOTAL(9, K3:K1094)</f>
        <v>86607855.941455588</v>
      </c>
      <c r="L1095" s="8">
        <f t="shared" si="247"/>
        <v>4996153.0964406617</v>
      </c>
      <c r="M1095" s="8">
        <f t="shared" si="247"/>
        <v>462139780.99029565</v>
      </c>
      <c r="N1095" s="8">
        <f t="shared" si="247"/>
        <v>20191657.432887383</v>
      </c>
      <c r="O1095" s="8">
        <f t="shared" si="247"/>
        <v>0</v>
      </c>
      <c r="P1095" s="8">
        <f t="shared" si="247"/>
        <v>150249.96225071212</v>
      </c>
      <c r="Q1095" s="8">
        <f t="shared" si="247"/>
        <v>0</v>
      </c>
      <c r="R1095" s="8">
        <f t="shared" si="247"/>
        <v>574085697.42332935</v>
      </c>
      <c r="S1095" s="8">
        <f t="shared" si="247"/>
        <v>0</v>
      </c>
      <c r="T1095" s="8">
        <f t="shared" si="247"/>
        <v>4972903.519623016</v>
      </c>
      <c r="U1095" s="8">
        <f t="shared" si="247"/>
        <v>498946420.98755157</v>
      </c>
      <c r="V1095" s="8">
        <f t="shared" si="247"/>
        <v>72984453.123741657</v>
      </c>
      <c r="W1095" s="8">
        <f t="shared" si="247"/>
        <v>-53798.392021932057</v>
      </c>
      <c r="X1095" s="8">
        <f t="shared" si="247"/>
        <v>91620219.089272991</v>
      </c>
      <c r="Y1095" s="8">
        <f t="shared" si="247"/>
        <v>1552651638.1126857</v>
      </c>
      <c r="Z1095" s="8">
        <f t="shared" si="247"/>
        <v>-12201695.183779273</v>
      </c>
      <c r="AA1095" s="7">
        <f t="shared" si="247"/>
        <v>910.03015300000243</v>
      </c>
      <c r="AB1095" s="8">
        <f t="shared" si="247"/>
        <v>1290275347.7021768</v>
      </c>
      <c r="AE1095" s="8">
        <f>SUBTOTAL(9, AE3:AE1094)</f>
        <v>1334323290.3811009</v>
      </c>
      <c r="AF1095" s="8">
        <f>SUBTOTAL(9, AF3:AF1094)</f>
        <v>715292.96770000411</v>
      </c>
      <c r="AG1095" s="8">
        <f>SUBTOTAL(9, AG3:AG1094)</f>
        <v>1335038583.3488009</v>
      </c>
      <c r="AH1095" s="8">
        <f>SUBTOTAL(9, AH3:AH1094)</f>
        <v>20105.639949</v>
      </c>
    </row>
    <row r="1097" spans="1:38" x14ac:dyDescent="0.3">
      <c r="A1097" s="123" t="s">
        <v>1593</v>
      </c>
      <c r="B1097" s="123"/>
      <c r="C1097" s="123"/>
      <c r="D1097" s="123"/>
      <c r="E1097" s="123"/>
      <c r="F1097" s="123"/>
      <c r="G1097" s="123"/>
      <c r="H1097" s="123"/>
      <c r="I1097" s="123"/>
      <c r="J1097" s="123"/>
      <c r="K1097" s="196">
        <f>SUM('Schedule acct Activity trend'!E14,'Schedule acct Activity trend'!H14:R14)</f>
        <v>507965.87999999995</v>
      </c>
      <c r="L1097" s="196">
        <f>SUM('Schedule acct Activity trend'!E15,'Schedule acct Activity trend'!H15:R15)</f>
        <v>160360.705835</v>
      </c>
      <c r="M1097" s="196"/>
      <c r="N1097" s="196"/>
      <c r="O1097" s="196"/>
      <c r="P1097" s="196"/>
      <c r="Q1097" s="196"/>
      <c r="R1097" s="196">
        <f>SUM(K1097:L1097)</f>
        <v>668326.58583499992</v>
      </c>
      <c r="S1097" s="196"/>
      <c r="T1097" s="196">
        <f>SUM('Accounting (Accounting Wb)'!AA4:AA14)</f>
        <v>148180.647092</v>
      </c>
      <c r="U1097" s="196"/>
      <c r="V1097" s="196">
        <f>SUM('Accounting (Accounting Wb)'!P3:P14)</f>
        <v>451819.35290800006</v>
      </c>
      <c r="W1097" s="196"/>
      <c r="X1097" s="196">
        <f>'Schedule acct Activity trend'!E11</f>
        <v>2539829.423163</v>
      </c>
      <c r="Y1097" s="196"/>
      <c r="Z1097" s="196"/>
      <c r="AA1097" s="123"/>
      <c r="AB1097" s="196">
        <f>SUM('Schedule Acct Balance Trend'!Q14:Q15)</f>
        <v>-2088010.0702550001</v>
      </c>
      <c r="AC1097" s="123"/>
      <c r="AD1097" s="123"/>
      <c r="AE1097" s="196">
        <f>SUM('Schedule acct Activity trend'!S16:BN16)</f>
        <v>-2400000</v>
      </c>
      <c r="AF1097" s="196"/>
      <c r="AG1097" s="196">
        <f>SUM(AE1097:AF1097)</f>
        <v>-2400000</v>
      </c>
      <c r="AH1097" s="196"/>
      <c r="AJ1097" s="98" t="s">
        <v>1239</v>
      </c>
      <c r="AK1097" s="123">
        <f>SUMIFS(AK3:AK1094,$J$3:$J$1094,"capital")</f>
        <v>3.6879272253852138</v>
      </c>
      <c r="AL1097" s="123">
        <f>SUMIFS(AL3:AL1094,$J$3:$J$1094,"capital")</f>
        <v>3.4392592396864377</v>
      </c>
    </row>
    <row r="1098" spans="1:38" x14ac:dyDescent="0.3">
      <c r="A1098" s="123" t="s">
        <v>1594</v>
      </c>
      <c r="B1098" s="123"/>
      <c r="C1098" s="123"/>
      <c r="D1098" s="123"/>
      <c r="E1098" s="123"/>
      <c r="F1098" s="123"/>
      <c r="G1098" s="123"/>
      <c r="H1098" s="123"/>
      <c r="I1098" s="123"/>
      <c r="J1098" s="123"/>
      <c r="K1098" s="196">
        <f>K41-K1097</f>
        <v>0</v>
      </c>
      <c r="L1098" s="196">
        <f>L41-L1097</f>
        <v>0</v>
      </c>
      <c r="M1098" s="196"/>
      <c r="N1098" s="196"/>
      <c r="O1098" s="196"/>
      <c r="P1098" s="196"/>
      <c r="Q1098" s="196"/>
      <c r="R1098" s="196">
        <f>R41-R1097</f>
        <v>0</v>
      </c>
      <c r="S1098" s="196"/>
      <c r="T1098" s="196">
        <f>T41-T1097</f>
        <v>0</v>
      </c>
      <c r="U1098" s="196"/>
      <c r="V1098" s="196">
        <f>V41-V1097</f>
        <v>0</v>
      </c>
      <c r="W1098" s="196"/>
      <c r="X1098" s="196">
        <f>X41-X1097</f>
        <v>0</v>
      </c>
      <c r="Y1098" s="196"/>
      <c r="Z1098" s="196"/>
      <c r="AA1098" s="123"/>
      <c r="AB1098" s="196">
        <f>AB41+AB1097</f>
        <v>0</v>
      </c>
      <c r="AC1098" s="123"/>
      <c r="AD1098" s="123"/>
      <c r="AE1098" s="196">
        <f>AE41+AE1097</f>
        <v>0</v>
      </c>
      <c r="AF1098" s="196"/>
      <c r="AG1098" s="196">
        <f>AG41+AG1097</f>
        <v>0</v>
      </c>
      <c r="AH1098" s="196"/>
      <c r="AJ1098" s="98" t="s">
        <v>1696</v>
      </c>
      <c r="AK1098" s="123">
        <f>SUMIFS(AK3:AK1094,$J$3:$J$1094,"Capitalized-Operating")</f>
        <v>3.124648548378989</v>
      </c>
      <c r="AL1098" s="123">
        <f>SUMIFS(AL3:AL1094,$J$3:$J$1094,"Capitalized-Operating")</f>
        <v>0.96125245070792842</v>
      </c>
    </row>
    <row r="1099" spans="1:38" x14ac:dyDescent="0.3">
      <c r="AJ1099" s="98" t="s">
        <v>1699</v>
      </c>
      <c r="AK1099" s="123">
        <f>SUMIFS(AK3:AK1094,$J$3:$J$1094,"short term")</f>
        <v>0</v>
      </c>
      <c r="AL1099" s="123">
        <f>SUMIFS(AL3:AL1094,$J$3:$J$1094,"short term")</f>
        <v>1.3541152941534373</v>
      </c>
    </row>
    <row r="1101" spans="1:38" x14ac:dyDescent="0.3">
      <c r="AA1101" s="98" t="s">
        <v>1239</v>
      </c>
      <c r="AB1101" s="122">
        <f>SUMIFS(AB3:AB1094,$J$3:$J$1094,"capital")</f>
        <v>149275109.51117122</v>
      </c>
      <c r="AD1101" s="98" t="s">
        <v>1239</v>
      </c>
      <c r="AE1101" s="122">
        <f>SUMIFS(AE3:AE1094,$J$3:$J$1094,"capital")</f>
        <v>157306043.00289086</v>
      </c>
      <c r="AK1101" s="209">
        <f>'Quantitative Analysis Summary'!E26</f>
        <v>3.6879272253852138</v>
      </c>
      <c r="AL1101" s="209">
        <f>'Quantitative Analysis Summary'!E28</f>
        <v>3.4392592396864377</v>
      </c>
    </row>
    <row r="1102" spans="1:38" x14ac:dyDescent="0.3">
      <c r="AA1102" s="98" t="s">
        <v>1696</v>
      </c>
      <c r="AB1102" s="122">
        <f>SUMIFS(AB3:AB1094,$J$3:$J$1094,"Capitalized-Operating")</f>
        <v>1141000238.1910057</v>
      </c>
      <c r="AD1102" s="98" t="s">
        <v>1696</v>
      </c>
      <c r="AE1102" s="122">
        <f>SUMIFS(AE3:AE1094,$J$3:$J$1094,"Capitalized-Operating")</f>
        <v>1168687298.7151759</v>
      </c>
      <c r="AK1102" s="209">
        <f>'Quantitative Analysis Summary'!E27</f>
        <v>3.124648548378989</v>
      </c>
      <c r="AL1102" s="209">
        <f>'Quantitative Analysis Summary'!E29</f>
        <v>0.96125245070792842</v>
      </c>
    </row>
    <row r="1103" spans="1:38" x14ac:dyDescent="0.3">
      <c r="AA1103" s="98" t="s">
        <v>2616</v>
      </c>
      <c r="AB1103" s="122">
        <f>SUMIFS(AB3:AB1094,$J$3:$J$1094,"short Term")+0.00001</f>
        <v>1.0000000000000001E-5</v>
      </c>
      <c r="AD1103" s="98" t="s">
        <v>2616</v>
      </c>
      <c r="AE1103" s="122">
        <f>SUMIFS(AE3:AE1094,$J$3:$J$1094,"short Term")</f>
        <v>8329948.6630343078</v>
      </c>
    </row>
    <row r="1104" spans="1:38" x14ac:dyDescent="0.3">
      <c r="AA1104" s="99" t="s">
        <v>2615</v>
      </c>
      <c r="AB1104" s="197">
        <f>SUM(AB1101:AB1103)</f>
        <v>1290275347.7021871</v>
      </c>
      <c r="AD1104" s="99" t="s">
        <v>2615</v>
      </c>
      <c r="AE1104" s="197">
        <f>SUM(AE1101:AE1103)</f>
        <v>1334323290.3811009</v>
      </c>
      <c r="AJ1104" s="123" t="s">
        <v>1594</v>
      </c>
      <c r="AK1104" s="208">
        <f>AK1097-AK1101</f>
        <v>0</v>
      </c>
      <c r="AL1104" s="208">
        <f>AL1097-AL1101</f>
        <v>0</v>
      </c>
    </row>
    <row r="1105" spans="37:38" x14ac:dyDescent="0.3">
      <c r="AK1105" s="208">
        <f>AK1098-AK1102</f>
        <v>0</v>
      </c>
      <c r="AL1105" s="208">
        <f>AL1098-AL1102</f>
        <v>0</v>
      </c>
    </row>
  </sheetData>
  <autoFilter ref="A2:AL1104" xr:uid="{63DFEFCF-60C1-4F52-912F-5C999BEE32F2}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7AB1-05BE-4836-B7DD-672C39247BAE}">
  <sheetPr>
    <tabColor rgb="FFFF8A1F"/>
  </sheetPr>
  <dimension ref="A1:AM614"/>
  <sheetViews>
    <sheetView workbookViewId="0">
      <pane xSplit="1" ySplit="2" topLeftCell="B3" activePane="bottomRight" state="frozen"/>
      <selection activeCell="E4" sqref="E4"/>
      <selection pane="topRight" activeCell="E4" sqref="E4"/>
      <selection pane="bottomLeft" activeCell="E4" sqref="E4"/>
      <selection pane="bottomRight"/>
    </sheetView>
  </sheetViews>
  <sheetFormatPr defaultRowHeight="14.4" x14ac:dyDescent="0.3"/>
  <cols>
    <col min="1" max="1" width="56" style="7" customWidth="1"/>
    <col min="2" max="2" width="62" style="7" customWidth="1"/>
    <col min="3" max="3" width="37" style="7" customWidth="1"/>
    <col min="4" max="4" width="44" style="7" customWidth="1"/>
    <col min="5" max="5" width="25" style="7" customWidth="1"/>
    <col min="6" max="6" width="17" style="7" customWidth="1"/>
    <col min="7" max="7" width="12" style="7" customWidth="1"/>
    <col min="8" max="8" width="13" style="7" customWidth="1"/>
    <col min="9" max="9" width="14" style="7" customWidth="1"/>
    <col min="10" max="10" width="25" style="7" customWidth="1"/>
    <col min="11" max="11" width="23" style="7" customWidth="1"/>
    <col min="12" max="13" width="18" style="7" customWidth="1"/>
    <col min="14" max="14" width="14" style="7" customWidth="1"/>
    <col min="15" max="15" width="8.88671875" style="7"/>
    <col min="16" max="16" width="13" style="7" customWidth="1"/>
    <col min="17" max="17" width="12" style="7" customWidth="1"/>
    <col min="18" max="18" width="8.88671875" style="7"/>
    <col min="19" max="19" width="18" style="7" customWidth="1"/>
    <col min="20" max="20" width="16" style="7" customWidth="1"/>
    <col min="21" max="22" width="18" style="7" customWidth="1"/>
    <col min="23" max="23" width="13" style="7" customWidth="1"/>
    <col min="24" max="24" width="17" style="7" customWidth="1"/>
    <col min="25" max="25" width="16" style="7" customWidth="1"/>
    <col min="26" max="26" width="18" style="7" customWidth="1"/>
    <col min="27" max="27" width="13" style="7" customWidth="1"/>
    <col min="28" max="28" width="17" style="7" customWidth="1"/>
    <col min="29" max="29" width="10" style="7" customWidth="1"/>
    <col min="30" max="30" width="98" style="7" customWidth="1"/>
    <col min="31" max="31" width="17" style="7" customWidth="1"/>
    <col min="32" max="32" width="14" style="7" customWidth="1"/>
    <col min="33" max="33" width="17" style="7" customWidth="1"/>
    <col min="34" max="34" width="13" style="7" customWidth="1"/>
    <col min="35" max="35" width="29" style="7" customWidth="1"/>
    <col min="36" max="36" width="22" style="7" customWidth="1"/>
    <col min="37" max="37" width="8.88671875" style="7"/>
    <col min="38" max="39" width="15.77734375" style="7" customWidth="1"/>
    <col min="40" max="16384" width="8.88671875" style="7"/>
  </cols>
  <sheetData>
    <row r="1" spans="1:39" ht="43.2" x14ac:dyDescent="0.3">
      <c r="A1" s="7" t="s">
        <v>1590</v>
      </c>
      <c r="AL1" s="94" t="s">
        <v>2611</v>
      </c>
      <c r="AM1" s="94" t="s">
        <v>2612</v>
      </c>
    </row>
    <row r="2" spans="1:39" ht="86.4" x14ac:dyDescent="0.3">
      <c r="A2" s="6" t="s">
        <v>1479</v>
      </c>
      <c r="B2" s="6" t="s">
        <v>1480</v>
      </c>
      <c r="C2" s="6" t="s">
        <v>191</v>
      </c>
      <c r="D2" s="6" t="s">
        <v>1481</v>
      </c>
      <c r="E2" s="6" t="s">
        <v>1421</v>
      </c>
      <c r="F2" s="6" t="s">
        <v>1482</v>
      </c>
      <c r="G2" s="6" t="s">
        <v>1483</v>
      </c>
      <c r="H2" s="6" t="s">
        <v>1305</v>
      </c>
      <c r="I2" s="6" t="s">
        <v>1484</v>
      </c>
      <c r="J2" s="6" t="s">
        <v>1312</v>
      </c>
      <c r="K2" s="6" t="s">
        <v>1573</v>
      </c>
      <c r="L2" s="6" t="s">
        <v>1574</v>
      </c>
      <c r="M2" s="6" t="s">
        <v>1549</v>
      </c>
      <c r="N2" s="6" t="s">
        <v>1575</v>
      </c>
      <c r="O2" s="6" t="s">
        <v>1551</v>
      </c>
      <c r="P2" s="6" t="s">
        <v>1552</v>
      </c>
      <c r="Q2" s="6" t="s">
        <v>1553</v>
      </c>
      <c r="R2" s="6" t="s">
        <v>1554</v>
      </c>
      <c r="S2" s="6" t="s">
        <v>1556</v>
      </c>
      <c r="T2" s="6" t="s">
        <v>1576</v>
      </c>
      <c r="U2" s="6" t="s">
        <v>1577</v>
      </c>
      <c r="V2" s="6" t="s">
        <v>1578</v>
      </c>
      <c r="W2" s="6" t="s">
        <v>1579</v>
      </c>
      <c r="X2" s="6" t="s">
        <v>1580</v>
      </c>
      <c r="Y2" s="6" t="s">
        <v>1563</v>
      </c>
      <c r="Z2" s="6" t="s">
        <v>1581</v>
      </c>
      <c r="AA2" s="6" t="s">
        <v>1582</v>
      </c>
      <c r="AB2" s="6" t="s">
        <v>1583</v>
      </c>
      <c r="AC2" s="6" t="s">
        <v>1485</v>
      </c>
      <c r="AD2" s="6" t="s">
        <v>1486</v>
      </c>
      <c r="AE2" s="6" t="s">
        <v>1584</v>
      </c>
      <c r="AF2" s="6" t="s">
        <v>1585</v>
      </c>
      <c r="AG2" s="6" t="s">
        <v>1586</v>
      </c>
      <c r="AH2" s="6" t="s">
        <v>1587</v>
      </c>
      <c r="AI2" s="6" t="s">
        <v>1313</v>
      </c>
      <c r="AJ2" s="6" t="s">
        <v>1588</v>
      </c>
      <c r="AL2" s="95" t="s">
        <v>2613</v>
      </c>
      <c r="AM2" s="95" t="s">
        <v>2614</v>
      </c>
    </row>
    <row r="3" spans="1:39" x14ac:dyDescent="0.3">
      <c r="A3" s="7" t="s">
        <v>1693</v>
      </c>
      <c r="B3" s="7" t="s">
        <v>1320</v>
      </c>
      <c r="C3" s="7" t="s">
        <v>1323</v>
      </c>
      <c r="D3" s="7" t="s">
        <v>1694</v>
      </c>
      <c r="E3" s="7" t="s">
        <v>1739</v>
      </c>
      <c r="F3" s="36">
        <v>43466</v>
      </c>
      <c r="G3" s="36">
        <v>44561</v>
      </c>
      <c r="I3" s="36">
        <v>45657</v>
      </c>
      <c r="J3" s="7" t="s">
        <v>1696</v>
      </c>
      <c r="K3" s="8">
        <v>0</v>
      </c>
      <c r="L3" s="8">
        <v>0</v>
      </c>
      <c r="M3" s="8">
        <v>54999.999995999999</v>
      </c>
      <c r="N3" s="8">
        <v>0</v>
      </c>
      <c r="O3" s="8">
        <v>0</v>
      </c>
      <c r="P3" s="8">
        <v>0</v>
      </c>
      <c r="Q3" s="8">
        <v>0</v>
      </c>
      <c r="R3" s="8">
        <f t="shared" ref="R3:R66" si="0">K3+L3+M3+N3+O3+P3+Q3</f>
        <v>54999.999995999999</v>
      </c>
      <c r="S3" s="8">
        <v>0</v>
      </c>
      <c r="T3" s="8">
        <v>0</v>
      </c>
      <c r="U3" s="8">
        <v>50000</v>
      </c>
      <c r="V3" s="8">
        <v>0</v>
      </c>
      <c r="W3" s="8">
        <v>0</v>
      </c>
      <c r="X3" s="8">
        <v>0</v>
      </c>
      <c r="Y3" s="8">
        <v>0</v>
      </c>
      <c r="Z3" s="8">
        <v>-168137.72319700001</v>
      </c>
      <c r="AA3" s="7">
        <v>3.0027400000000002</v>
      </c>
      <c r="AB3" s="8">
        <v>0</v>
      </c>
      <c r="AC3" s="7">
        <v>2.920417</v>
      </c>
      <c r="AD3" s="7" t="s">
        <v>1697</v>
      </c>
      <c r="AE3" s="8">
        <v>0</v>
      </c>
      <c r="AF3" s="8">
        <v>0</v>
      </c>
      <c r="AG3" s="8">
        <v>0</v>
      </c>
      <c r="AH3" s="8">
        <v>0</v>
      </c>
      <c r="AI3" s="7" t="s">
        <v>1194</v>
      </c>
      <c r="AJ3" s="7">
        <f t="shared" ref="AJ3:AJ66" ca="1" si="1">IF(A3=OFFSET(A3,-1,0),OFFSET(AJ3,-1,0)+1,1)</f>
        <v>1</v>
      </c>
      <c r="AL3" s="96">
        <f>(+AA3*AB3)/$AB$612</f>
        <v>0</v>
      </c>
      <c r="AM3" s="97">
        <f>AC3/$AE$612*AE3</f>
        <v>0</v>
      </c>
    </row>
    <row r="4" spans="1:39" x14ac:dyDescent="0.3">
      <c r="A4" s="7" t="s">
        <v>2586</v>
      </c>
      <c r="B4" s="7" t="s">
        <v>1320</v>
      </c>
      <c r="C4" s="7" t="s">
        <v>1323</v>
      </c>
      <c r="D4" s="7" t="s">
        <v>1694</v>
      </c>
      <c r="E4" s="7" t="s">
        <v>1806</v>
      </c>
      <c r="F4" s="36">
        <v>43466</v>
      </c>
      <c r="G4" s="36">
        <v>44561</v>
      </c>
      <c r="H4" s="36">
        <v>44377</v>
      </c>
      <c r="I4" s="36">
        <v>44377</v>
      </c>
      <c r="J4" s="7" t="s">
        <v>1696</v>
      </c>
      <c r="K4" s="8">
        <v>0</v>
      </c>
      <c r="L4" s="8">
        <v>0</v>
      </c>
      <c r="M4" s="8">
        <v>300000</v>
      </c>
      <c r="N4" s="8">
        <v>0</v>
      </c>
      <c r="O4" s="8">
        <v>0</v>
      </c>
      <c r="P4" s="8">
        <v>0</v>
      </c>
      <c r="Q4" s="8">
        <v>0</v>
      </c>
      <c r="R4" s="8">
        <f t="shared" si="0"/>
        <v>300000</v>
      </c>
      <c r="S4" s="8">
        <v>0</v>
      </c>
      <c r="T4" s="8">
        <v>0</v>
      </c>
      <c r="U4" s="8">
        <v>300000</v>
      </c>
      <c r="V4" s="8">
        <v>0</v>
      </c>
      <c r="W4" s="8">
        <v>0</v>
      </c>
      <c r="X4" s="8">
        <v>0</v>
      </c>
      <c r="Y4" s="8">
        <v>0</v>
      </c>
      <c r="Z4" s="8">
        <v>-295683.861102</v>
      </c>
      <c r="AA4" s="7">
        <v>0</v>
      </c>
      <c r="AB4" s="8">
        <v>0</v>
      </c>
      <c r="AC4" s="7">
        <v>7</v>
      </c>
      <c r="AD4" s="7" t="s">
        <v>1226</v>
      </c>
      <c r="AE4" s="8">
        <v>0</v>
      </c>
      <c r="AF4" s="8">
        <v>0</v>
      </c>
      <c r="AG4" s="8">
        <v>0</v>
      </c>
      <c r="AH4" s="8">
        <v>0</v>
      </c>
      <c r="AI4" s="7" t="s">
        <v>1194</v>
      </c>
      <c r="AJ4" s="7">
        <f t="shared" ca="1" si="1"/>
        <v>1</v>
      </c>
      <c r="AL4" s="96">
        <f t="shared" ref="AL4:AL13" si="2">(+AA4*AB4)/$AB$612</f>
        <v>0</v>
      </c>
      <c r="AM4" s="97">
        <f t="shared" ref="AM4:AM13" si="3">AC4/$AE$612*AE4</f>
        <v>0</v>
      </c>
    </row>
    <row r="5" spans="1:39" x14ac:dyDescent="0.3">
      <c r="A5" s="7" t="s">
        <v>1698</v>
      </c>
      <c r="B5" s="7" t="s">
        <v>1320</v>
      </c>
      <c r="C5" s="7" t="s">
        <v>1323</v>
      </c>
      <c r="D5" s="7" t="s">
        <v>1694</v>
      </c>
      <c r="E5" s="7" t="s">
        <v>1739</v>
      </c>
      <c r="F5" s="36">
        <v>43480</v>
      </c>
      <c r="G5" s="36">
        <v>44575</v>
      </c>
      <c r="I5" s="36">
        <v>44575</v>
      </c>
      <c r="J5" s="7" t="s">
        <v>1696</v>
      </c>
      <c r="K5" s="8">
        <v>0</v>
      </c>
      <c r="L5" s="8">
        <v>0</v>
      </c>
      <c r="M5" s="8">
        <v>601271.85908099997</v>
      </c>
      <c r="N5" s="8">
        <v>0</v>
      </c>
      <c r="O5" s="8">
        <v>0</v>
      </c>
      <c r="P5" s="8">
        <v>0</v>
      </c>
      <c r="Q5" s="8">
        <v>0</v>
      </c>
      <c r="R5" s="8">
        <f t="shared" si="0"/>
        <v>601271.85908099997</v>
      </c>
      <c r="S5" s="8">
        <v>0</v>
      </c>
      <c r="T5" s="8">
        <v>0</v>
      </c>
      <c r="U5" s="8">
        <v>600000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7">
        <v>3.8356000000000001E-2</v>
      </c>
      <c r="AB5" s="8">
        <v>0</v>
      </c>
      <c r="AC5" s="7">
        <v>7</v>
      </c>
      <c r="AD5" s="7" t="s">
        <v>1226</v>
      </c>
      <c r="AE5" s="8">
        <v>0</v>
      </c>
      <c r="AF5" s="8">
        <v>0</v>
      </c>
      <c r="AG5" s="8">
        <v>0</v>
      </c>
      <c r="AH5" s="8">
        <v>0</v>
      </c>
      <c r="AI5" s="7" t="s">
        <v>1194</v>
      </c>
      <c r="AJ5" s="7">
        <f t="shared" ca="1" si="1"/>
        <v>1</v>
      </c>
      <c r="AL5" s="96">
        <f t="shared" si="2"/>
        <v>0</v>
      </c>
      <c r="AM5" s="97">
        <f t="shared" si="3"/>
        <v>0</v>
      </c>
    </row>
    <row r="6" spans="1:39" x14ac:dyDescent="0.3">
      <c r="A6" s="7" t="s">
        <v>1700</v>
      </c>
      <c r="B6" s="7" t="s">
        <v>1320</v>
      </c>
      <c r="C6" s="7" t="s">
        <v>1323</v>
      </c>
      <c r="D6" s="7" t="s">
        <v>1694</v>
      </c>
      <c r="E6" s="7" t="s">
        <v>1739</v>
      </c>
      <c r="F6" s="36">
        <v>43466</v>
      </c>
      <c r="G6" s="36">
        <v>44561</v>
      </c>
      <c r="I6" s="36">
        <v>45657</v>
      </c>
      <c r="J6" s="7" t="s">
        <v>1696</v>
      </c>
      <c r="K6" s="8">
        <v>0</v>
      </c>
      <c r="L6" s="8">
        <v>0</v>
      </c>
      <c r="M6" s="8">
        <v>149999.999996</v>
      </c>
      <c r="N6" s="8">
        <v>0</v>
      </c>
      <c r="O6" s="8">
        <v>0</v>
      </c>
      <c r="P6" s="8">
        <v>0</v>
      </c>
      <c r="Q6" s="8">
        <v>0</v>
      </c>
      <c r="R6" s="8">
        <f t="shared" si="0"/>
        <v>149999.999996</v>
      </c>
      <c r="S6" s="8">
        <v>0</v>
      </c>
      <c r="T6" s="8">
        <v>0</v>
      </c>
      <c r="U6" s="8">
        <v>200000</v>
      </c>
      <c r="V6" s="8">
        <v>0</v>
      </c>
      <c r="W6" s="8">
        <v>0</v>
      </c>
      <c r="X6" s="8">
        <v>0</v>
      </c>
      <c r="Y6" s="8">
        <v>0</v>
      </c>
      <c r="Z6" s="8">
        <v>-919125.97727499995</v>
      </c>
      <c r="AA6" s="7">
        <v>3.0027400000000002</v>
      </c>
      <c r="AB6" s="8">
        <v>0</v>
      </c>
      <c r="AC6" s="7">
        <v>2.920417</v>
      </c>
      <c r="AD6" s="7" t="s">
        <v>1697</v>
      </c>
      <c r="AE6" s="8">
        <v>0</v>
      </c>
      <c r="AF6" s="8">
        <v>0</v>
      </c>
      <c r="AG6" s="8">
        <v>0</v>
      </c>
      <c r="AH6" s="8">
        <v>0</v>
      </c>
      <c r="AI6" s="7" t="s">
        <v>1194</v>
      </c>
      <c r="AJ6" s="7">
        <f t="shared" ca="1" si="1"/>
        <v>1</v>
      </c>
      <c r="AL6" s="96">
        <f t="shared" si="2"/>
        <v>0</v>
      </c>
      <c r="AM6" s="97">
        <f t="shared" si="3"/>
        <v>0</v>
      </c>
    </row>
    <row r="7" spans="1:39" x14ac:dyDescent="0.3">
      <c r="A7" s="7" t="s">
        <v>1701</v>
      </c>
      <c r="B7" s="7" t="s">
        <v>1320</v>
      </c>
      <c r="C7" s="7" t="s">
        <v>1323</v>
      </c>
      <c r="D7" s="7" t="s">
        <v>1694</v>
      </c>
      <c r="E7" s="7" t="s">
        <v>1322</v>
      </c>
      <c r="F7" s="36">
        <v>43647</v>
      </c>
      <c r="G7" s="36">
        <v>44742</v>
      </c>
      <c r="H7" s="36">
        <v>44742</v>
      </c>
      <c r="I7" s="36">
        <v>44742</v>
      </c>
      <c r="J7" s="7" t="s">
        <v>1696</v>
      </c>
      <c r="K7" s="8">
        <v>0</v>
      </c>
      <c r="L7" s="8">
        <v>0</v>
      </c>
      <c r="M7" s="8">
        <v>600000</v>
      </c>
      <c r="N7" s="8">
        <v>0</v>
      </c>
      <c r="O7" s="8">
        <v>0</v>
      </c>
      <c r="P7" s="8">
        <v>0</v>
      </c>
      <c r="Q7" s="8">
        <v>0</v>
      </c>
      <c r="R7" s="8">
        <f t="shared" si="0"/>
        <v>600000</v>
      </c>
      <c r="S7" s="8">
        <v>0</v>
      </c>
      <c r="T7" s="8">
        <v>0</v>
      </c>
      <c r="U7" s="8">
        <v>600000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7">
        <v>0.49589</v>
      </c>
      <c r="AB7" s="8">
        <v>295683.861102</v>
      </c>
      <c r="AC7" s="7">
        <v>7</v>
      </c>
      <c r="AD7" s="7" t="s">
        <v>1226</v>
      </c>
      <c r="AE7" s="8">
        <v>300000</v>
      </c>
      <c r="AF7" s="8">
        <v>200000</v>
      </c>
      <c r="AG7" s="8">
        <v>500000</v>
      </c>
      <c r="AH7" s="8">
        <v>0</v>
      </c>
      <c r="AI7" s="7" t="s">
        <v>1194</v>
      </c>
      <c r="AJ7" s="7">
        <f t="shared" ca="1" si="1"/>
        <v>1</v>
      </c>
      <c r="AL7" s="96">
        <f t="shared" si="2"/>
        <v>2.644275998637949E-3</v>
      </c>
      <c r="AM7" s="97">
        <f t="shared" si="3"/>
        <v>3.6303000740878319E-2</v>
      </c>
    </row>
    <row r="8" spans="1:39" x14ac:dyDescent="0.3">
      <c r="A8" s="7" t="s">
        <v>1702</v>
      </c>
      <c r="B8" s="7" t="s">
        <v>1320</v>
      </c>
      <c r="C8" s="7" t="s">
        <v>1323</v>
      </c>
      <c r="D8" s="7" t="s">
        <v>1694</v>
      </c>
      <c r="E8" s="7" t="s">
        <v>1322</v>
      </c>
      <c r="F8" s="36">
        <v>43647</v>
      </c>
      <c r="G8" s="36">
        <v>44742</v>
      </c>
      <c r="H8" s="36">
        <v>44742</v>
      </c>
      <c r="I8" s="36">
        <v>44742</v>
      </c>
      <c r="J8" s="7" t="s">
        <v>1696</v>
      </c>
      <c r="K8" s="8">
        <v>0</v>
      </c>
      <c r="L8" s="8">
        <v>0</v>
      </c>
      <c r="M8" s="8">
        <v>583783.783788</v>
      </c>
      <c r="N8" s="8">
        <v>0</v>
      </c>
      <c r="O8" s="8">
        <v>0</v>
      </c>
      <c r="P8" s="8">
        <v>0</v>
      </c>
      <c r="Q8" s="8">
        <v>0</v>
      </c>
      <c r="R8" s="8">
        <f t="shared" si="0"/>
        <v>583783.783788</v>
      </c>
      <c r="S8" s="8">
        <v>0</v>
      </c>
      <c r="T8" s="8">
        <v>0</v>
      </c>
      <c r="U8" s="8">
        <v>600000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7">
        <v>0.49589</v>
      </c>
      <c r="AB8" s="8">
        <v>295683.861103</v>
      </c>
      <c r="AC8" s="7">
        <v>7</v>
      </c>
      <c r="AD8" s="7" t="s">
        <v>1226</v>
      </c>
      <c r="AE8" s="8">
        <v>300000</v>
      </c>
      <c r="AF8" s="8">
        <v>0</v>
      </c>
      <c r="AG8" s="8">
        <v>300000</v>
      </c>
      <c r="AH8" s="8">
        <v>0</v>
      </c>
      <c r="AI8" s="7" t="s">
        <v>1194</v>
      </c>
      <c r="AJ8" s="7">
        <f t="shared" ca="1" si="1"/>
        <v>1</v>
      </c>
      <c r="AL8" s="96">
        <f t="shared" si="2"/>
        <v>2.6442759986468924E-3</v>
      </c>
      <c r="AM8" s="97">
        <f t="shared" si="3"/>
        <v>3.6303000740878319E-2</v>
      </c>
    </row>
    <row r="9" spans="1:39" x14ac:dyDescent="0.3">
      <c r="A9" s="7" t="s">
        <v>1703</v>
      </c>
      <c r="B9" s="7" t="s">
        <v>1320</v>
      </c>
      <c r="C9" s="7" t="s">
        <v>1323</v>
      </c>
      <c r="D9" s="7" t="s">
        <v>1694</v>
      </c>
      <c r="E9" s="7" t="s">
        <v>1322</v>
      </c>
      <c r="F9" s="36">
        <v>43647</v>
      </c>
      <c r="G9" s="36">
        <v>44742</v>
      </c>
      <c r="H9" s="36">
        <v>44742</v>
      </c>
      <c r="I9" s="36">
        <v>45838</v>
      </c>
      <c r="J9" s="7" t="s">
        <v>1696</v>
      </c>
      <c r="K9" s="8">
        <v>0</v>
      </c>
      <c r="L9" s="8">
        <v>0</v>
      </c>
      <c r="M9" s="8">
        <v>54999.999995999999</v>
      </c>
      <c r="N9" s="8">
        <v>0</v>
      </c>
      <c r="O9" s="8">
        <v>0</v>
      </c>
      <c r="P9" s="8">
        <v>0</v>
      </c>
      <c r="Q9" s="8">
        <v>0</v>
      </c>
      <c r="R9" s="8">
        <f t="shared" si="0"/>
        <v>54999.999995999999</v>
      </c>
      <c r="S9" s="8">
        <v>0</v>
      </c>
      <c r="T9" s="8">
        <v>0</v>
      </c>
      <c r="U9" s="8">
        <v>50000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7">
        <v>3.4986299999999999</v>
      </c>
      <c r="AB9" s="8">
        <v>162371.206572</v>
      </c>
      <c r="AC9" s="7">
        <v>7</v>
      </c>
      <c r="AD9" s="7" t="s">
        <v>1226</v>
      </c>
      <c r="AE9" s="8">
        <v>180000</v>
      </c>
      <c r="AF9" s="8">
        <v>0</v>
      </c>
      <c r="AG9" s="8">
        <v>180000</v>
      </c>
      <c r="AH9" s="8">
        <v>0</v>
      </c>
      <c r="AI9" s="7" t="s">
        <v>1194</v>
      </c>
      <c r="AJ9" s="7">
        <f t="shared" ca="1" si="1"/>
        <v>1</v>
      </c>
      <c r="AL9" s="96">
        <f t="shared" si="2"/>
        <v>1.0244737749751445E-2</v>
      </c>
      <c r="AM9" s="97">
        <f t="shared" si="3"/>
        <v>2.1781800444526992E-2</v>
      </c>
    </row>
    <row r="10" spans="1:39" x14ac:dyDescent="0.3">
      <c r="A10" s="7" t="s">
        <v>1704</v>
      </c>
      <c r="B10" s="7" t="s">
        <v>1320</v>
      </c>
      <c r="C10" s="7" t="s">
        <v>1323</v>
      </c>
      <c r="D10" s="7" t="s">
        <v>1694</v>
      </c>
      <c r="E10" s="7" t="s">
        <v>1322</v>
      </c>
      <c r="F10" s="36">
        <v>43647</v>
      </c>
      <c r="G10" s="36">
        <v>44742</v>
      </c>
      <c r="H10" s="36">
        <v>44742</v>
      </c>
      <c r="I10" s="36">
        <v>44742</v>
      </c>
      <c r="J10" s="7" t="s">
        <v>1696</v>
      </c>
      <c r="K10" s="8">
        <v>0</v>
      </c>
      <c r="L10" s="8">
        <v>0</v>
      </c>
      <c r="M10" s="8">
        <v>600000</v>
      </c>
      <c r="N10" s="8">
        <v>0</v>
      </c>
      <c r="O10" s="8">
        <v>0</v>
      </c>
      <c r="P10" s="8">
        <v>0</v>
      </c>
      <c r="Q10" s="8">
        <v>0</v>
      </c>
      <c r="R10" s="8">
        <f t="shared" si="0"/>
        <v>600000</v>
      </c>
      <c r="S10" s="8">
        <v>0</v>
      </c>
      <c r="T10" s="8">
        <v>0</v>
      </c>
      <c r="U10" s="8">
        <v>600000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7">
        <v>0.49589</v>
      </c>
      <c r="AB10" s="8">
        <v>293969.04169300001</v>
      </c>
      <c r="AC10" s="7">
        <v>7</v>
      </c>
      <c r="AD10" s="7" t="s">
        <v>1226</v>
      </c>
      <c r="AE10" s="8">
        <v>300000</v>
      </c>
      <c r="AF10" s="8">
        <v>0</v>
      </c>
      <c r="AG10" s="8">
        <v>300000</v>
      </c>
      <c r="AH10" s="8">
        <v>0</v>
      </c>
      <c r="AI10" s="7" t="s">
        <v>1194</v>
      </c>
      <c r="AJ10" s="7">
        <f t="shared" ca="1" si="1"/>
        <v>1</v>
      </c>
      <c r="AL10" s="96">
        <f t="shared" si="2"/>
        <v>2.6289405123238923E-3</v>
      </c>
      <c r="AM10" s="97">
        <f t="shared" si="3"/>
        <v>3.6303000740878319E-2</v>
      </c>
    </row>
    <row r="11" spans="1:39" x14ac:dyDescent="0.3">
      <c r="A11" s="7" t="s">
        <v>1705</v>
      </c>
      <c r="B11" s="7" t="s">
        <v>1320</v>
      </c>
      <c r="C11" s="7" t="s">
        <v>1323</v>
      </c>
      <c r="D11" s="7" t="s">
        <v>1694</v>
      </c>
      <c r="E11" s="7" t="s">
        <v>1322</v>
      </c>
      <c r="F11" s="36">
        <v>43647</v>
      </c>
      <c r="G11" s="36">
        <v>44742</v>
      </c>
      <c r="H11" s="36">
        <v>44742</v>
      </c>
      <c r="I11" s="36">
        <v>44742</v>
      </c>
      <c r="J11" s="7" t="s">
        <v>1696</v>
      </c>
      <c r="K11" s="8">
        <v>0</v>
      </c>
      <c r="L11" s="8">
        <v>0</v>
      </c>
      <c r="M11" s="8">
        <v>600000</v>
      </c>
      <c r="N11" s="8">
        <v>0</v>
      </c>
      <c r="O11" s="8">
        <v>0</v>
      </c>
      <c r="P11" s="8">
        <v>0</v>
      </c>
      <c r="Q11" s="8">
        <v>0</v>
      </c>
      <c r="R11" s="8">
        <f t="shared" si="0"/>
        <v>600000</v>
      </c>
      <c r="S11" s="8">
        <v>0</v>
      </c>
      <c r="T11" s="8">
        <v>0</v>
      </c>
      <c r="U11" s="8">
        <v>600000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7">
        <v>0.49589</v>
      </c>
      <c r="AB11" s="8">
        <v>295683.861102</v>
      </c>
      <c r="AC11" s="7">
        <v>7</v>
      </c>
      <c r="AD11" s="7" t="s">
        <v>1226</v>
      </c>
      <c r="AE11" s="8">
        <v>300000</v>
      </c>
      <c r="AF11" s="8">
        <v>0</v>
      </c>
      <c r="AG11" s="8">
        <v>300000</v>
      </c>
      <c r="AH11" s="8">
        <v>0</v>
      </c>
      <c r="AI11" s="7" t="s">
        <v>1194</v>
      </c>
      <c r="AJ11" s="7">
        <f t="shared" ca="1" si="1"/>
        <v>1</v>
      </c>
      <c r="AL11" s="96">
        <f t="shared" si="2"/>
        <v>2.644275998637949E-3</v>
      </c>
      <c r="AM11" s="97">
        <f t="shared" si="3"/>
        <v>3.6303000740878319E-2</v>
      </c>
    </row>
    <row r="12" spans="1:39" x14ac:dyDescent="0.3">
      <c r="A12" s="7" t="s">
        <v>1706</v>
      </c>
      <c r="B12" s="7" t="s">
        <v>1320</v>
      </c>
      <c r="C12" s="7" t="s">
        <v>1323</v>
      </c>
      <c r="D12" s="7" t="s">
        <v>1694</v>
      </c>
      <c r="E12" s="7" t="s">
        <v>1322</v>
      </c>
      <c r="F12" s="36">
        <v>43647</v>
      </c>
      <c r="G12" s="36">
        <v>44742</v>
      </c>
      <c r="H12" s="36">
        <v>44742</v>
      </c>
      <c r="I12" s="36">
        <v>44742</v>
      </c>
      <c r="J12" s="7" t="s">
        <v>1696</v>
      </c>
      <c r="K12" s="8">
        <v>0</v>
      </c>
      <c r="L12" s="8">
        <v>0</v>
      </c>
      <c r="M12" s="8">
        <v>747576.52025713259</v>
      </c>
      <c r="N12" s="8">
        <v>0</v>
      </c>
      <c r="O12" s="8">
        <v>0</v>
      </c>
      <c r="P12" s="8">
        <v>0</v>
      </c>
      <c r="Q12" s="8">
        <v>0</v>
      </c>
      <c r="R12" s="8">
        <f t="shared" si="0"/>
        <v>747576.52025713259</v>
      </c>
      <c r="S12" s="8">
        <v>0</v>
      </c>
      <c r="T12" s="8">
        <v>0</v>
      </c>
      <c r="U12" s="8">
        <v>451415.37239999999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7">
        <v>0.49589</v>
      </c>
      <c r="AB12" s="8">
        <v>222460.400453382</v>
      </c>
      <c r="AC12" s="7">
        <v>7</v>
      </c>
      <c r="AD12" s="7" t="s">
        <v>1226</v>
      </c>
      <c r="AE12" s="8">
        <v>225707.6862</v>
      </c>
      <c r="AF12" s="8">
        <v>0</v>
      </c>
      <c r="AG12" s="8">
        <v>225707.6862</v>
      </c>
      <c r="AH12" s="8">
        <v>0</v>
      </c>
      <c r="AI12" s="7" t="s">
        <v>1194</v>
      </c>
      <c r="AJ12" s="7">
        <f t="shared" ca="1" si="1"/>
        <v>1</v>
      </c>
      <c r="AL12" s="96">
        <f t="shared" si="2"/>
        <v>1.9894447244225527E-3</v>
      </c>
      <c r="AM12" s="97">
        <f t="shared" si="3"/>
        <v>2.731288766446844E-2</v>
      </c>
    </row>
    <row r="13" spans="1:39" x14ac:dyDescent="0.3">
      <c r="A13" s="7" t="s">
        <v>1707</v>
      </c>
      <c r="B13" s="7" t="s">
        <v>1320</v>
      </c>
      <c r="C13" s="7" t="s">
        <v>1323</v>
      </c>
      <c r="D13" s="7" t="s">
        <v>1694</v>
      </c>
      <c r="E13" s="7" t="s">
        <v>1322</v>
      </c>
      <c r="F13" s="36">
        <v>43647</v>
      </c>
      <c r="G13" s="36">
        <v>44742</v>
      </c>
      <c r="H13" s="36">
        <v>44742</v>
      </c>
      <c r="I13" s="36">
        <v>44742</v>
      </c>
      <c r="J13" s="7" t="s">
        <v>1696</v>
      </c>
      <c r="K13" s="8">
        <v>0</v>
      </c>
      <c r="L13" s="8">
        <v>0</v>
      </c>
      <c r="M13" s="8">
        <v>758243.18691697251</v>
      </c>
      <c r="N13" s="8">
        <v>0</v>
      </c>
      <c r="O13" s="8">
        <v>0</v>
      </c>
      <c r="P13" s="8">
        <v>0</v>
      </c>
      <c r="Q13" s="8">
        <v>0</v>
      </c>
      <c r="R13" s="8">
        <f t="shared" si="0"/>
        <v>758243.18691697251</v>
      </c>
      <c r="S13" s="8">
        <v>0</v>
      </c>
      <c r="T13" s="8">
        <v>0</v>
      </c>
      <c r="U13" s="8">
        <v>451415.37239999999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7">
        <v>0.49589</v>
      </c>
      <c r="AB13" s="8">
        <v>240624.29443382641</v>
      </c>
      <c r="AC13" s="7">
        <v>7</v>
      </c>
      <c r="AD13" s="7" t="s">
        <v>1226</v>
      </c>
      <c r="AE13" s="8">
        <v>225707.6862</v>
      </c>
      <c r="AF13" s="8">
        <v>18808.973849999998</v>
      </c>
      <c r="AG13" s="8">
        <v>244516.66005000001</v>
      </c>
      <c r="AH13" s="8">
        <v>0</v>
      </c>
      <c r="AI13" s="7" t="s">
        <v>1194</v>
      </c>
      <c r="AJ13" s="7">
        <f t="shared" ca="1" si="1"/>
        <v>1</v>
      </c>
      <c r="AL13" s="96">
        <f t="shared" si="2"/>
        <v>2.1518829065921398E-3</v>
      </c>
      <c r="AM13" s="97">
        <f t="shared" si="3"/>
        <v>2.731288766446844E-2</v>
      </c>
    </row>
    <row r="14" spans="1:39" x14ac:dyDescent="0.3">
      <c r="A14" s="7" t="s">
        <v>1708</v>
      </c>
      <c r="B14" s="7" t="s">
        <v>1320</v>
      </c>
      <c r="C14" s="7" t="s">
        <v>1323</v>
      </c>
      <c r="D14" s="7" t="s">
        <v>1694</v>
      </c>
      <c r="E14" s="7" t="s">
        <v>1322</v>
      </c>
      <c r="F14" s="36">
        <v>43647</v>
      </c>
      <c r="G14" s="36">
        <v>44742</v>
      </c>
      <c r="H14" s="36">
        <v>44742</v>
      </c>
      <c r="I14" s="36">
        <v>44742</v>
      </c>
      <c r="J14" s="7" t="s">
        <v>1239</v>
      </c>
      <c r="K14" s="8">
        <v>542923.09156800003</v>
      </c>
      <c r="L14" s="8">
        <v>38707.147402000002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0"/>
        <v>581630.23897000006</v>
      </c>
      <c r="S14" s="8">
        <v>0</v>
      </c>
      <c r="T14" s="8">
        <v>41962.366928000003</v>
      </c>
      <c r="U14" s="8">
        <v>0</v>
      </c>
      <c r="V14" s="8">
        <v>558037.633072</v>
      </c>
      <c r="W14" s="8">
        <v>0</v>
      </c>
      <c r="X14" s="8">
        <v>0</v>
      </c>
      <c r="Y14" s="8">
        <v>0</v>
      </c>
      <c r="Z14" s="8">
        <v>0</v>
      </c>
      <c r="AA14" s="7">
        <v>0.49589</v>
      </c>
      <c r="AB14" s="8">
        <v>293969.041692</v>
      </c>
      <c r="AC14" s="7">
        <v>7</v>
      </c>
      <c r="AD14" s="7" t="s">
        <v>1226</v>
      </c>
      <c r="AE14" s="8">
        <v>300000</v>
      </c>
      <c r="AF14" s="8">
        <v>0</v>
      </c>
      <c r="AG14" s="8">
        <v>300000</v>
      </c>
      <c r="AH14" s="8">
        <v>0</v>
      </c>
      <c r="AI14" s="7" t="s">
        <v>1194</v>
      </c>
      <c r="AJ14" s="7">
        <f t="shared" ca="1" si="1"/>
        <v>1</v>
      </c>
      <c r="AL14" s="96">
        <f t="shared" ref="AL14:AL66" si="4">(+AA14*AB14)/$AB$611</f>
        <v>8.7403060914289783E-4</v>
      </c>
      <c r="AM14" s="97">
        <f t="shared" ref="AM14:AM66" si="5">AC14/$AE$611*AE14</f>
        <v>1.3667152134564289E-2</v>
      </c>
    </row>
    <row r="15" spans="1:39" x14ac:dyDescent="0.3">
      <c r="A15" s="7" t="s">
        <v>1709</v>
      </c>
      <c r="B15" s="7" t="s">
        <v>1320</v>
      </c>
      <c r="C15" s="7" t="s">
        <v>1323</v>
      </c>
      <c r="D15" s="7" t="s">
        <v>1694</v>
      </c>
      <c r="E15" s="7" t="s">
        <v>1322</v>
      </c>
      <c r="F15" s="36">
        <v>43647</v>
      </c>
      <c r="G15" s="36">
        <v>44742</v>
      </c>
      <c r="H15" s="36">
        <v>44742</v>
      </c>
      <c r="I15" s="36">
        <v>44742</v>
      </c>
      <c r="J15" s="7" t="s">
        <v>1696</v>
      </c>
      <c r="K15" s="8">
        <v>0</v>
      </c>
      <c r="L15" s="8">
        <v>0</v>
      </c>
      <c r="M15" s="8">
        <v>605000.00000400003</v>
      </c>
      <c r="N15" s="8">
        <v>0</v>
      </c>
      <c r="O15" s="8">
        <v>0</v>
      </c>
      <c r="P15" s="8">
        <v>0</v>
      </c>
      <c r="Q15" s="8">
        <v>0</v>
      </c>
      <c r="R15" s="8">
        <f t="shared" si="0"/>
        <v>605000.00000400003</v>
      </c>
      <c r="S15" s="8">
        <v>0</v>
      </c>
      <c r="T15" s="8">
        <v>0</v>
      </c>
      <c r="U15" s="8">
        <v>600000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7">
        <v>0.49589</v>
      </c>
      <c r="AB15" s="8">
        <v>295683.861102</v>
      </c>
      <c r="AC15" s="7">
        <v>7</v>
      </c>
      <c r="AD15" s="7" t="s">
        <v>1226</v>
      </c>
      <c r="AE15" s="8">
        <v>300000</v>
      </c>
      <c r="AF15" s="8">
        <v>0</v>
      </c>
      <c r="AG15" s="8">
        <v>300000</v>
      </c>
      <c r="AH15" s="8">
        <v>0</v>
      </c>
      <c r="AI15" s="7" t="s">
        <v>1194</v>
      </c>
      <c r="AJ15" s="7">
        <f t="shared" ca="1" si="1"/>
        <v>1</v>
      </c>
      <c r="AL15" s="96">
        <f t="shared" ref="AL15:AL18" si="6">(+AA15*AB15)/$AB$612</f>
        <v>2.644275998637949E-3</v>
      </c>
      <c r="AM15" s="97">
        <f t="shared" ref="AM15:AM18" si="7">AC15/$AE$612*AE15</f>
        <v>3.6303000740878319E-2</v>
      </c>
    </row>
    <row r="16" spans="1:39" x14ac:dyDescent="0.3">
      <c r="A16" s="7" t="s">
        <v>1710</v>
      </c>
      <c r="B16" s="7" t="s">
        <v>1320</v>
      </c>
      <c r="C16" s="7" t="s">
        <v>1323</v>
      </c>
      <c r="D16" s="7" t="s">
        <v>1694</v>
      </c>
      <c r="E16" s="7" t="s">
        <v>1322</v>
      </c>
      <c r="F16" s="36">
        <v>43647</v>
      </c>
      <c r="G16" s="36">
        <v>44742</v>
      </c>
      <c r="H16" s="36">
        <v>44742</v>
      </c>
      <c r="I16" s="36">
        <v>44742</v>
      </c>
      <c r="J16" s="7" t="s">
        <v>1696</v>
      </c>
      <c r="K16" s="8">
        <v>0</v>
      </c>
      <c r="L16" s="8">
        <v>0</v>
      </c>
      <c r="M16" s="8">
        <v>600000</v>
      </c>
      <c r="N16" s="8">
        <v>0</v>
      </c>
      <c r="O16" s="8">
        <v>0</v>
      </c>
      <c r="P16" s="8">
        <v>0</v>
      </c>
      <c r="Q16" s="8">
        <v>0</v>
      </c>
      <c r="R16" s="8">
        <f t="shared" si="0"/>
        <v>600000</v>
      </c>
      <c r="S16" s="8">
        <v>0</v>
      </c>
      <c r="T16" s="8">
        <v>0</v>
      </c>
      <c r="U16" s="8">
        <v>600000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7">
        <v>0.49589</v>
      </c>
      <c r="AB16" s="8">
        <v>295683.861102</v>
      </c>
      <c r="AC16" s="7">
        <v>7</v>
      </c>
      <c r="AD16" s="7" t="s">
        <v>1226</v>
      </c>
      <c r="AE16" s="8">
        <v>300000</v>
      </c>
      <c r="AF16" s="8">
        <v>0</v>
      </c>
      <c r="AG16" s="8">
        <v>300000</v>
      </c>
      <c r="AH16" s="8">
        <v>0</v>
      </c>
      <c r="AI16" s="7" t="s">
        <v>1194</v>
      </c>
      <c r="AJ16" s="7">
        <f t="shared" ca="1" si="1"/>
        <v>1</v>
      </c>
      <c r="AL16" s="96">
        <f t="shared" si="6"/>
        <v>2.644275998637949E-3</v>
      </c>
      <c r="AM16" s="97">
        <f t="shared" si="7"/>
        <v>3.6303000740878319E-2</v>
      </c>
    </row>
    <row r="17" spans="1:39" x14ac:dyDescent="0.3">
      <c r="A17" s="7" t="s">
        <v>1711</v>
      </c>
      <c r="B17" s="7" t="s">
        <v>1320</v>
      </c>
      <c r="C17" s="7" t="s">
        <v>1323</v>
      </c>
      <c r="D17" s="7" t="s">
        <v>1694</v>
      </c>
      <c r="E17" s="7" t="s">
        <v>1322</v>
      </c>
      <c r="F17" s="36">
        <v>43661</v>
      </c>
      <c r="G17" s="36">
        <v>44756</v>
      </c>
      <c r="H17" s="36">
        <v>44756</v>
      </c>
      <c r="I17" s="36">
        <v>44756</v>
      </c>
      <c r="J17" s="7" t="s">
        <v>1696</v>
      </c>
      <c r="K17" s="8">
        <v>0</v>
      </c>
      <c r="L17" s="8">
        <v>0</v>
      </c>
      <c r="M17" s="8">
        <v>600000</v>
      </c>
      <c r="N17" s="8">
        <v>0</v>
      </c>
      <c r="O17" s="8">
        <v>0</v>
      </c>
      <c r="P17" s="8">
        <v>0</v>
      </c>
      <c r="Q17" s="8">
        <v>0</v>
      </c>
      <c r="R17" s="8">
        <f t="shared" si="0"/>
        <v>600000</v>
      </c>
      <c r="S17" s="8">
        <v>0</v>
      </c>
      <c r="T17" s="8">
        <v>0</v>
      </c>
      <c r="U17" s="8">
        <v>600000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7">
        <v>0.53424700000000003</v>
      </c>
      <c r="AB17" s="8">
        <v>294909.42652699997</v>
      </c>
      <c r="AC17" s="7">
        <v>7</v>
      </c>
      <c r="AD17" s="7" t="s">
        <v>1226</v>
      </c>
      <c r="AE17" s="8">
        <v>300000</v>
      </c>
      <c r="AF17" s="8">
        <v>0</v>
      </c>
      <c r="AG17" s="8">
        <v>300000</v>
      </c>
      <c r="AH17" s="8">
        <v>0</v>
      </c>
      <c r="AI17" s="7" t="s">
        <v>1194</v>
      </c>
      <c r="AJ17" s="7">
        <f t="shared" ca="1" si="1"/>
        <v>1</v>
      </c>
      <c r="AL17" s="96">
        <f t="shared" si="6"/>
        <v>2.8413488538044417E-3</v>
      </c>
      <c r="AM17" s="97">
        <f t="shared" si="7"/>
        <v>3.6303000740878319E-2</v>
      </c>
    </row>
    <row r="18" spans="1:39" x14ac:dyDescent="0.3">
      <c r="A18" s="7" t="s">
        <v>1712</v>
      </c>
      <c r="B18" s="7" t="s">
        <v>1320</v>
      </c>
      <c r="C18" s="7" t="s">
        <v>1323</v>
      </c>
      <c r="D18" s="7" t="s">
        <v>1694</v>
      </c>
      <c r="E18" s="7" t="s">
        <v>1322</v>
      </c>
      <c r="F18" s="36">
        <v>43647</v>
      </c>
      <c r="G18" s="36">
        <v>44742</v>
      </c>
      <c r="H18" s="36">
        <v>44742</v>
      </c>
      <c r="I18" s="36">
        <v>44742</v>
      </c>
      <c r="J18" s="7" t="s">
        <v>1696</v>
      </c>
      <c r="K18" s="8">
        <v>0</v>
      </c>
      <c r="L18" s="8">
        <v>0</v>
      </c>
      <c r="M18" s="8">
        <v>600000</v>
      </c>
      <c r="N18" s="8">
        <v>0</v>
      </c>
      <c r="O18" s="8">
        <v>0</v>
      </c>
      <c r="P18" s="8">
        <v>0</v>
      </c>
      <c r="Q18" s="8">
        <v>0</v>
      </c>
      <c r="R18" s="8">
        <f t="shared" si="0"/>
        <v>600000</v>
      </c>
      <c r="S18" s="8">
        <v>0</v>
      </c>
      <c r="T18" s="8">
        <v>0</v>
      </c>
      <c r="U18" s="8">
        <v>600000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7">
        <v>0.49589</v>
      </c>
      <c r="AB18" s="8">
        <v>295683.861102</v>
      </c>
      <c r="AC18" s="7">
        <v>7</v>
      </c>
      <c r="AD18" s="7" t="s">
        <v>1226</v>
      </c>
      <c r="AE18" s="8">
        <v>300000</v>
      </c>
      <c r="AF18" s="8">
        <v>0</v>
      </c>
      <c r="AG18" s="8">
        <v>300000</v>
      </c>
      <c r="AH18" s="8">
        <v>0</v>
      </c>
      <c r="AI18" s="7" t="s">
        <v>1194</v>
      </c>
      <c r="AJ18" s="7">
        <f t="shared" ca="1" si="1"/>
        <v>1</v>
      </c>
      <c r="AL18" s="96">
        <f t="shared" si="6"/>
        <v>2.644275998637949E-3</v>
      </c>
      <c r="AM18" s="97">
        <f t="shared" si="7"/>
        <v>3.6303000740878319E-2</v>
      </c>
    </row>
    <row r="19" spans="1:39" x14ac:dyDescent="0.3">
      <c r="A19" s="7" t="s">
        <v>1713</v>
      </c>
      <c r="B19" s="7" t="s">
        <v>1320</v>
      </c>
      <c r="C19" s="7" t="s">
        <v>1323</v>
      </c>
      <c r="D19" s="7" t="s">
        <v>1694</v>
      </c>
      <c r="E19" s="7" t="s">
        <v>1739</v>
      </c>
      <c r="F19" s="36">
        <v>43647</v>
      </c>
      <c r="G19" s="36">
        <v>43890</v>
      </c>
      <c r="J19" s="7" t="s">
        <v>1699</v>
      </c>
      <c r="K19" s="8">
        <v>0</v>
      </c>
      <c r="L19" s="8">
        <v>0</v>
      </c>
      <c r="M19" s="8">
        <v>0</v>
      </c>
      <c r="N19" s="8">
        <v>780000</v>
      </c>
      <c r="O19" s="8">
        <v>0</v>
      </c>
      <c r="P19" s="8">
        <v>0</v>
      </c>
      <c r="Q19" s="8">
        <v>0</v>
      </c>
      <c r="R19" s="8">
        <f t="shared" si="0"/>
        <v>780000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7">
        <v>0</v>
      </c>
      <c r="AB19" s="8">
        <v>0</v>
      </c>
      <c r="AC19" s="7">
        <v>7</v>
      </c>
      <c r="AD19" s="7" t="s">
        <v>1226</v>
      </c>
      <c r="AE19" s="8">
        <v>65000</v>
      </c>
      <c r="AF19" s="8">
        <v>0</v>
      </c>
      <c r="AG19" s="8">
        <v>65000</v>
      </c>
      <c r="AH19" s="8">
        <v>0</v>
      </c>
      <c r="AI19" s="7" t="s">
        <v>1194</v>
      </c>
      <c r="AJ19" s="7">
        <f t="shared" ca="1" si="1"/>
        <v>1</v>
      </c>
      <c r="AL19" s="100">
        <f>(+AA19*AB19)/$AB$613</f>
        <v>0</v>
      </c>
      <c r="AM19" s="97">
        <f>AC19/$AE$613*AE19</f>
        <v>0.33233034928487393</v>
      </c>
    </row>
    <row r="20" spans="1:39" x14ac:dyDescent="0.3">
      <c r="A20" s="7" t="s">
        <v>1714</v>
      </c>
      <c r="B20" s="7" t="s">
        <v>1320</v>
      </c>
      <c r="C20" s="7" t="s">
        <v>1323</v>
      </c>
      <c r="D20" s="7" t="s">
        <v>1694</v>
      </c>
      <c r="E20" s="7" t="s">
        <v>1322</v>
      </c>
      <c r="F20" s="36">
        <v>43647</v>
      </c>
      <c r="G20" s="36">
        <v>44742</v>
      </c>
      <c r="H20" s="36">
        <v>44742</v>
      </c>
      <c r="I20" s="36">
        <v>45838</v>
      </c>
      <c r="J20" s="7" t="s">
        <v>1696</v>
      </c>
      <c r="K20" s="8">
        <v>0</v>
      </c>
      <c r="L20" s="8">
        <v>0</v>
      </c>
      <c r="M20" s="8">
        <v>249999.999996</v>
      </c>
      <c r="N20" s="8">
        <v>0</v>
      </c>
      <c r="O20" s="8">
        <v>0</v>
      </c>
      <c r="P20" s="8">
        <v>0</v>
      </c>
      <c r="Q20" s="8">
        <v>0</v>
      </c>
      <c r="R20" s="8">
        <f t="shared" si="0"/>
        <v>249999.999996</v>
      </c>
      <c r="S20" s="8">
        <v>0</v>
      </c>
      <c r="T20" s="8">
        <v>0</v>
      </c>
      <c r="U20" s="8">
        <v>200000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7">
        <v>3.4986299999999999</v>
      </c>
      <c r="AB20" s="8">
        <v>890168.02472400002</v>
      </c>
      <c r="AC20" s="7">
        <v>7</v>
      </c>
      <c r="AD20" s="7" t="s">
        <v>1226</v>
      </c>
      <c r="AE20" s="8">
        <v>1000000</v>
      </c>
      <c r="AF20" s="8">
        <v>0</v>
      </c>
      <c r="AG20" s="8">
        <v>1000000</v>
      </c>
      <c r="AH20" s="8">
        <v>0</v>
      </c>
      <c r="AI20" s="7" t="s">
        <v>1194</v>
      </c>
      <c r="AJ20" s="7">
        <f t="shared" ca="1" si="1"/>
        <v>1</v>
      </c>
      <c r="AL20" s="96">
        <f t="shared" ref="AL20:AL31" si="8">(+AA20*AB20)/$AB$612</f>
        <v>5.6164748412261011E-2</v>
      </c>
      <c r="AM20" s="97">
        <f t="shared" ref="AM20:AM31" si="9">AC20/$AE$612*AE20</f>
        <v>0.12101000246959441</v>
      </c>
    </row>
    <row r="21" spans="1:39" x14ac:dyDescent="0.3">
      <c r="A21" s="7" t="s">
        <v>1715</v>
      </c>
      <c r="B21" s="7" t="s">
        <v>1320</v>
      </c>
      <c r="C21" s="7" t="s">
        <v>1323</v>
      </c>
      <c r="D21" s="7" t="s">
        <v>1694</v>
      </c>
      <c r="E21" s="7" t="s">
        <v>1322</v>
      </c>
      <c r="F21" s="36">
        <v>43647</v>
      </c>
      <c r="G21" s="36">
        <v>44742</v>
      </c>
      <c r="H21" s="36">
        <v>44742</v>
      </c>
      <c r="I21" s="36">
        <v>45838</v>
      </c>
      <c r="J21" s="7" t="s">
        <v>1696</v>
      </c>
      <c r="K21" s="8">
        <v>0</v>
      </c>
      <c r="L21" s="8">
        <v>0</v>
      </c>
      <c r="M21" s="8">
        <v>450000</v>
      </c>
      <c r="N21" s="8">
        <v>0</v>
      </c>
      <c r="O21" s="8">
        <v>0</v>
      </c>
      <c r="P21" s="8">
        <v>0</v>
      </c>
      <c r="Q21" s="8">
        <v>0</v>
      </c>
      <c r="R21" s="8">
        <f t="shared" si="0"/>
        <v>450000</v>
      </c>
      <c r="S21" s="8">
        <v>0</v>
      </c>
      <c r="T21" s="8">
        <v>0</v>
      </c>
      <c r="U21" s="8">
        <v>600000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7">
        <v>3.4986299999999999</v>
      </c>
      <c r="AB21" s="8">
        <v>1082138.0467930001</v>
      </c>
      <c r="AC21" s="7">
        <v>7</v>
      </c>
      <c r="AD21" s="7" t="s">
        <v>1226</v>
      </c>
      <c r="AE21" s="8">
        <v>1200000</v>
      </c>
      <c r="AF21" s="8">
        <v>0</v>
      </c>
      <c r="AG21" s="8">
        <v>1200000</v>
      </c>
      <c r="AH21" s="8">
        <v>0</v>
      </c>
      <c r="AI21" s="7" t="s">
        <v>1194</v>
      </c>
      <c r="AJ21" s="7">
        <f t="shared" ca="1" si="1"/>
        <v>1</v>
      </c>
      <c r="AL21" s="96">
        <f t="shared" si="8"/>
        <v>6.8277010022134682E-2</v>
      </c>
      <c r="AM21" s="97">
        <f t="shared" si="9"/>
        <v>0.14521200296351328</v>
      </c>
    </row>
    <row r="22" spans="1:39" x14ac:dyDescent="0.3">
      <c r="A22" s="7" t="s">
        <v>1716</v>
      </c>
      <c r="B22" s="7" t="s">
        <v>1320</v>
      </c>
      <c r="C22" s="7" t="s">
        <v>1323</v>
      </c>
      <c r="D22" s="7" t="s">
        <v>1694</v>
      </c>
      <c r="E22" s="7" t="s">
        <v>1322</v>
      </c>
      <c r="F22" s="36">
        <v>43647</v>
      </c>
      <c r="G22" s="36">
        <v>44742</v>
      </c>
      <c r="H22" s="36">
        <v>44742</v>
      </c>
      <c r="I22" s="36">
        <v>44742</v>
      </c>
      <c r="J22" s="7" t="s">
        <v>1696</v>
      </c>
      <c r="K22" s="8">
        <v>0</v>
      </c>
      <c r="L22" s="8">
        <v>0</v>
      </c>
      <c r="M22" s="8">
        <v>660000</v>
      </c>
      <c r="N22" s="8">
        <v>0</v>
      </c>
      <c r="O22" s="8">
        <v>0</v>
      </c>
      <c r="P22" s="8">
        <v>0</v>
      </c>
      <c r="Q22" s="8">
        <v>0</v>
      </c>
      <c r="R22" s="8">
        <f t="shared" si="0"/>
        <v>660000</v>
      </c>
      <c r="S22" s="8">
        <v>0</v>
      </c>
      <c r="T22" s="8">
        <v>0</v>
      </c>
      <c r="U22" s="8">
        <v>690000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7">
        <v>0.49589</v>
      </c>
      <c r="AB22" s="8">
        <v>354820.63332000002</v>
      </c>
      <c r="AC22" s="7">
        <v>7</v>
      </c>
      <c r="AD22" s="7" t="s">
        <v>1226</v>
      </c>
      <c r="AE22" s="8">
        <v>360000</v>
      </c>
      <c r="AF22" s="8">
        <v>0</v>
      </c>
      <c r="AG22" s="8">
        <v>360000</v>
      </c>
      <c r="AH22" s="8">
        <v>0</v>
      </c>
      <c r="AI22" s="7" t="s">
        <v>1194</v>
      </c>
      <c r="AJ22" s="7">
        <f t="shared" ca="1" si="1"/>
        <v>1</v>
      </c>
      <c r="AL22" s="96">
        <f t="shared" si="8"/>
        <v>3.1731311983440764E-3</v>
      </c>
      <c r="AM22" s="97">
        <f t="shared" si="9"/>
        <v>4.3563600889053984E-2</v>
      </c>
    </row>
    <row r="23" spans="1:39" x14ac:dyDescent="0.3">
      <c r="A23" s="7" t="s">
        <v>1729</v>
      </c>
      <c r="B23" s="7" t="s">
        <v>1320</v>
      </c>
      <c r="C23" s="7" t="s">
        <v>1323</v>
      </c>
      <c r="D23" s="7" t="s">
        <v>1324</v>
      </c>
      <c r="E23" s="7" t="s">
        <v>1322</v>
      </c>
      <c r="F23" s="36">
        <v>44287</v>
      </c>
      <c r="G23" s="36">
        <v>45382</v>
      </c>
      <c r="H23" s="36">
        <v>45382</v>
      </c>
      <c r="I23" s="36">
        <v>45382</v>
      </c>
      <c r="J23" s="7" t="s">
        <v>1696</v>
      </c>
      <c r="K23" s="8">
        <v>0</v>
      </c>
      <c r="L23" s="8">
        <v>0</v>
      </c>
      <c r="M23" s="8">
        <v>7147.5494399999998</v>
      </c>
      <c r="N23" s="8">
        <v>0</v>
      </c>
      <c r="O23" s="8">
        <v>0</v>
      </c>
      <c r="P23" s="8">
        <v>0</v>
      </c>
      <c r="Q23" s="8">
        <v>0</v>
      </c>
      <c r="R23" s="8">
        <f t="shared" si="0"/>
        <v>7147.5494399999998</v>
      </c>
      <c r="S23" s="8">
        <v>0</v>
      </c>
      <c r="T23" s="8">
        <v>0</v>
      </c>
      <c r="U23" s="8">
        <v>7147.5494399999998</v>
      </c>
      <c r="V23" s="8">
        <v>0</v>
      </c>
      <c r="W23" s="8">
        <v>0</v>
      </c>
      <c r="X23" s="8">
        <v>0</v>
      </c>
      <c r="Y23" s="8">
        <v>27377.045195999999</v>
      </c>
      <c r="Z23" s="8">
        <v>0</v>
      </c>
      <c r="AA23" s="7">
        <v>2.2493150000000002</v>
      </c>
      <c r="AB23" s="8">
        <v>20761.732564000002</v>
      </c>
      <c r="AC23" s="7">
        <v>3</v>
      </c>
      <c r="AD23" s="7" t="s">
        <v>1226</v>
      </c>
      <c r="AE23" s="8">
        <v>21442.64832</v>
      </c>
      <c r="AF23" s="8">
        <v>0</v>
      </c>
      <c r="AG23" s="8">
        <v>21442.64832</v>
      </c>
      <c r="AH23" s="8">
        <v>0</v>
      </c>
      <c r="AI23" s="7" t="s">
        <v>1730</v>
      </c>
      <c r="AJ23" s="7">
        <f t="shared" ca="1" si="1"/>
        <v>1</v>
      </c>
      <c r="AL23" s="96">
        <f t="shared" si="8"/>
        <v>8.4218535253858325E-4</v>
      </c>
      <c r="AM23" s="97">
        <f t="shared" si="9"/>
        <v>1.1120463969247903E-3</v>
      </c>
    </row>
    <row r="24" spans="1:39" x14ac:dyDescent="0.3">
      <c r="A24" s="7" t="s">
        <v>1731</v>
      </c>
      <c r="B24" s="7" t="s">
        <v>1320</v>
      </c>
      <c r="C24" s="7" t="s">
        <v>1323</v>
      </c>
      <c r="D24" s="7" t="s">
        <v>1324</v>
      </c>
      <c r="E24" s="7" t="s">
        <v>1322</v>
      </c>
      <c r="F24" s="36">
        <v>44287</v>
      </c>
      <c r="G24" s="36">
        <v>45382</v>
      </c>
      <c r="H24" s="36">
        <v>45382</v>
      </c>
      <c r="I24" s="36">
        <v>45382</v>
      </c>
      <c r="J24" s="7" t="s">
        <v>1696</v>
      </c>
      <c r="K24" s="8">
        <v>0</v>
      </c>
      <c r="L24" s="8">
        <v>0</v>
      </c>
      <c r="M24" s="8">
        <v>7233.5554650000004</v>
      </c>
      <c r="N24" s="8">
        <v>0</v>
      </c>
      <c r="O24" s="8">
        <v>0</v>
      </c>
      <c r="P24" s="8">
        <v>0</v>
      </c>
      <c r="Q24" s="8">
        <v>0</v>
      </c>
      <c r="R24" s="8">
        <f t="shared" si="0"/>
        <v>7233.5554650000004</v>
      </c>
      <c r="S24" s="8">
        <v>0</v>
      </c>
      <c r="T24" s="8">
        <v>0</v>
      </c>
      <c r="U24" s="8">
        <v>7233.5554650000004</v>
      </c>
      <c r="V24" s="8">
        <v>0</v>
      </c>
      <c r="W24" s="8">
        <v>0</v>
      </c>
      <c r="X24" s="8">
        <v>0</v>
      </c>
      <c r="Y24" s="8">
        <v>27706.471505000001</v>
      </c>
      <c r="Z24" s="8">
        <v>0</v>
      </c>
      <c r="AA24" s="7">
        <v>2.2493150000000002</v>
      </c>
      <c r="AB24" s="8">
        <v>21011.557220999999</v>
      </c>
      <c r="AC24" s="7">
        <v>3</v>
      </c>
      <c r="AD24" s="7" t="s">
        <v>1226</v>
      </c>
      <c r="AE24" s="8">
        <v>21700.666395</v>
      </c>
      <c r="AF24" s="8">
        <v>0</v>
      </c>
      <c r="AG24" s="8">
        <v>21700.666395</v>
      </c>
      <c r="AH24" s="8">
        <v>0</v>
      </c>
      <c r="AI24" s="7" t="s">
        <v>1730</v>
      </c>
      <c r="AJ24" s="7">
        <f t="shared" ca="1" si="1"/>
        <v>1</v>
      </c>
      <c r="AL24" s="96">
        <f t="shared" si="8"/>
        <v>8.523193173307701E-4</v>
      </c>
      <c r="AM24" s="97">
        <f t="shared" si="9"/>
        <v>1.125427583164626E-3</v>
      </c>
    </row>
    <row r="25" spans="1:39" x14ac:dyDescent="0.3">
      <c r="A25" s="7" t="s">
        <v>1732</v>
      </c>
      <c r="B25" s="7" t="s">
        <v>1320</v>
      </c>
      <c r="C25" s="7" t="s">
        <v>1323</v>
      </c>
      <c r="D25" s="7" t="s">
        <v>1324</v>
      </c>
      <c r="E25" s="7" t="s">
        <v>1733</v>
      </c>
      <c r="F25" s="36">
        <v>44287</v>
      </c>
      <c r="G25" s="36">
        <v>45382</v>
      </c>
      <c r="H25" s="36">
        <v>45382</v>
      </c>
      <c r="I25" s="36">
        <v>45382</v>
      </c>
      <c r="J25" s="7" t="s">
        <v>1696</v>
      </c>
      <c r="K25" s="8">
        <v>0</v>
      </c>
      <c r="L25" s="8">
        <v>0</v>
      </c>
      <c r="M25" s="8">
        <v>7389.2146860000003</v>
      </c>
      <c r="N25" s="8">
        <v>0</v>
      </c>
      <c r="O25" s="8">
        <v>0</v>
      </c>
      <c r="P25" s="8">
        <v>0</v>
      </c>
      <c r="Q25" s="8">
        <v>0</v>
      </c>
      <c r="R25" s="8">
        <f t="shared" si="0"/>
        <v>7389.2146860000003</v>
      </c>
      <c r="S25" s="8">
        <v>0</v>
      </c>
      <c r="T25" s="8">
        <v>0</v>
      </c>
      <c r="U25" s="8">
        <v>7389.2146860000003</v>
      </c>
      <c r="V25" s="8">
        <v>0</v>
      </c>
      <c r="W25" s="8">
        <v>0</v>
      </c>
      <c r="X25" s="8">
        <v>0</v>
      </c>
      <c r="Y25" s="8">
        <v>28302.688371</v>
      </c>
      <c r="Z25" s="8">
        <v>0</v>
      </c>
      <c r="AA25" s="7">
        <v>2.2493150000000002</v>
      </c>
      <c r="AB25" s="8">
        <v>21463.705910000001</v>
      </c>
      <c r="AC25" s="7">
        <v>3</v>
      </c>
      <c r="AD25" s="7" t="s">
        <v>1226</v>
      </c>
      <c r="AE25" s="8">
        <v>22167.644058000002</v>
      </c>
      <c r="AF25" s="8">
        <v>0</v>
      </c>
      <c r="AG25" s="8">
        <v>22167.644058000002</v>
      </c>
      <c r="AH25" s="8">
        <v>0</v>
      </c>
      <c r="AI25" s="7" t="s">
        <v>1730</v>
      </c>
      <c r="AJ25" s="7">
        <f t="shared" ca="1" si="1"/>
        <v>1</v>
      </c>
      <c r="AL25" s="96">
        <f t="shared" si="8"/>
        <v>8.7066041684505651E-4</v>
      </c>
      <c r="AM25" s="97">
        <f t="shared" si="9"/>
        <v>1.1496457123730012E-3</v>
      </c>
    </row>
    <row r="26" spans="1:39" x14ac:dyDescent="0.3">
      <c r="A26" s="7" t="s">
        <v>1738</v>
      </c>
      <c r="B26" s="7" t="s">
        <v>1320</v>
      </c>
      <c r="C26" s="7" t="s">
        <v>1323</v>
      </c>
      <c r="D26" s="7" t="s">
        <v>1694</v>
      </c>
      <c r="E26" s="7" t="s">
        <v>1322</v>
      </c>
      <c r="F26" s="36">
        <v>43831</v>
      </c>
      <c r="G26" s="36">
        <v>44926</v>
      </c>
      <c r="H26" s="36">
        <v>44926</v>
      </c>
      <c r="I26" s="36">
        <v>44926</v>
      </c>
      <c r="J26" s="7" t="s">
        <v>1696</v>
      </c>
      <c r="K26" s="8">
        <v>0</v>
      </c>
      <c r="L26" s="8">
        <v>0</v>
      </c>
      <c r="M26" s="8">
        <v>600000</v>
      </c>
      <c r="N26" s="8">
        <v>0</v>
      </c>
      <c r="O26" s="8">
        <v>0</v>
      </c>
      <c r="P26" s="8">
        <v>0</v>
      </c>
      <c r="Q26" s="8">
        <v>0</v>
      </c>
      <c r="R26" s="8">
        <f t="shared" si="0"/>
        <v>600000</v>
      </c>
      <c r="S26" s="8">
        <v>0</v>
      </c>
      <c r="T26" s="8">
        <v>0</v>
      </c>
      <c r="U26" s="8">
        <v>600000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7">
        <v>1</v>
      </c>
      <c r="AB26" s="8">
        <v>581226.83371799998</v>
      </c>
      <c r="AC26" s="7">
        <v>7</v>
      </c>
      <c r="AD26" s="7" t="s">
        <v>1226</v>
      </c>
      <c r="AE26" s="8">
        <v>600000</v>
      </c>
      <c r="AF26" s="8">
        <v>200000</v>
      </c>
      <c r="AG26" s="8">
        <v>800000</v>
      </c>
      <c r="AH26" s="8">
        <v>0</v>
      </c>
      <c r="AI26" s="7" t="s">
        <v>1194</v>
      </c>
      <c r="AJ26" s="7">
        <f t="shared" ca="1" si="1"/>
        <v>1</v>
      </c>
      <c r="AL26" s="96">
        <f t="shared" si="8"/>
        <v>1.0481886872306756E-2</v>
      </c>
      <c r="AM26" s="97">
        <f t="shared" si="9"/>
        <v>7.2606001481756638E-2</v>
      </c>
    </row>
    <row r="27" spans="1:39" x14ac:dyDescent="0.3">
      <c r="A27" s="7" t="s">
        <v>1740</v>
      </c>
      <c r="B27" s="7" t="s">
        <v>1320</v>
      </c>
      <c r="C27" s="7" t="s">
        <v>1323</v>
      </c>
      <c r="D27" s="7" t="s">
        <v>1694</v>
      </c>
      <c r="E27" s="7" t="s">
        <v>1322</v>
      </c>
      <c r="F27" s="36">
        <v>43831</v>
      </c>
      <c r="G27" s="36">
        <v>44926</v>
      </c>
      <c r="H27" s="36">
        <v>44926</v>
      </c>
      <c r="I27" s="36">
        <v>44926</v>
      </c>
      <c r="J27" s="7" t="s">
        <v>1696</v>
      </c>
      <c r="K27" s="8">
        <v>0</v>
      </c>
      <c r="L27" s="8">
        <v>0</v>
      </c>
      <c r="M27" s="8">
        <v>583783.783788</v>
      </c>
      <c r="N27" s="8">
        <v>0</v>
      </c>
      <c r="O27" s="8">
        <v>0</v>
      </c>
      <c r="P27" s="8">
        <v>0</v>
      </c>
      <c r="Q27" s="8">
        <v>0</v>
      </c>
      <c r="R27" s="8">
        <f t="shared" si="0"/>
        <v>583783.783788</v>
      </c>
      <c r="S27" s="8">
        <v>0</v>
      </c>
      <c r="T27" s="8">
        <v>0</v>
      </c>
      <c r="U27" s="8">
        <v>600000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7">
        <v>1</v>
      </c>
      <c r="AB27" s="8">
        <v>581226.83371899999</v>
      </c>
      <c r="AC27" s="7">
        <v>7</v>
      </c>
      <c r="AD27" s="7" t="s">
        <v>1226</v>
      </c>
      <c r="AE27" s="8">
        <v>600000</v>
      </c>
      <c r="AF27" s="8">
        <v>0</v>
      </c>
      <c r="AG27" s="8">
        <v>600000</v>
      </c>
      <c r="AH27" s="8">
        <v>0</v>
      </c>
      <c r="AI27" s="7" t="s">
        <v>1194</v>
      </c>
      <c r="AJ27" s="7">
        <f t="shared" ca="1" si="1"/>
        <v>1</v>
      </c>
      <c r="AL27" s="96">
        <f t="shared" si="8"/>
        <v>1.048188687232479E-2</v>
      </c>
      <c r="AM27" s="97">
        <f t="shared" si="9"/>
        <v>7.2606001481756638E-2</v>
      </c>
    </row>
    <row r="28" spans="1:39" x14ac:dyDescent="0.3">
      <c r="A28" s="7" t="s">
        <v>1741</v>
      </c>
      <c r="B28" s="7" t="s">
        <v>1320</v>
      </c>
      <c r="C28" s="7" t="s">
        <v>1323</v>
      </c>
      <c r="D28" s="7" t="s">
        <v>1694</v>
      </c>
      <c r="E28" s="7" t="s">
        <v>1322</v>
      </c>
      <c r="F28" s="36">
        <v>43831</v>
      </c>
      <c r="G28" s="36">
        <v>44926</v>
      </c>
      <c r="H28" s="36">
        <v>44926</v>
      </c>
      <c r="I28" s="36">
        <v>46022</v>
      </c>
      <c r="J28" s="7" t="s">
        <v>1696</v>
      </c>
      <c r="K28" s="8">
        <v>0</v>
      </c>
      <c r="L28" s="8">
        <v>0</v>
      </c>
      <c r="M28" s="8">
        <v>54999.999995999999</v>
      </c>
      <c r="N28" s="8">
        <v>0</v>
      </c>
      <c r="O28" s="8">
        <v>0</v>
      </c>
      <c r="P28" s="8">
        <v>0</v>
      </c>
      <c r="Q28" s="8">
        <v>0</v>
      </c>
      <c r="R28" s="8">
        <f t="shared" si="0"/>
        <v>54999.999995999999</v>
      </c>
      <c r="S28" s="8">
        <v>0</v>
      </c>
      <c r="T28" s="8">
        <v>0</v>
      </c>
      <c r="U28" s="8">
        <v>50000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7">
        <v>4.0027400000000002</v>
      </c>
      <c r="AB28" s="8">
        <v>206802.460639</v>
      </c>
      <c r="AC28" s="7">
        <v>7</v>
      </c>
      <c r="AD28" s="7" t="s">
        <v>1226</v>
      </c>
      <c r="AE28" s="8">
        <v>230000</v>
      </c>
      <c r="AF28" s="8">
        <v>0</v>
      </c>
      <c r="AG28" s="8">
        <v>230000</v>
      </c>
      <c r="AH28" s="8">
        <v>0</v>
      </c>
      <c r="AI28" s="7" t="s">
        <v>1194</v>
      </c>
      <c r="AJ28" s="7">
        <f t="shared" ca="1" si="1"/>
        <v>1</v>
      </c>
      <c r="AL28" s="96">
        <f t="shared" si="8"/>
        <v>1.4928181097593841E-2</v>
      </c>
      <c r="AM28" s="97">
        <f t="shared" si="9"/>
        <v>2.7832300568006715E-2</v>
      </c>
    </row>
    <row r="29" spans="1:39" x14ac:dyDescent="0.3">
      <c r="A29" s="7" t="s">
        <v>1742</v>
      </c>
      <c r="B29" s="7" t="s">
        <v>1320</v>
      </c>
      <c r="C29" s="7" t="s">
        <v>1323</v>
      </c>
      <c r="D29" s="7" t="s">
        <v>1694</v>
      </c>
      <c r="E29" s="7" t="s">
        <v>1322</v>
      </c>
      <c r="F29" s="36">
        <v>43831</v>
      </c>
      <c r="G29" s="36">
        <v>44926</v>
      </c>
      <c r="H29" s="36">
        <v>44926</v>
      </c>
      <c r="I29" s="36">
        <v>44926</v>
      </c>
      <c r="J29" s="7" t="s">
        <v>1696</v>
      </c>
      <c r="K29" s="8">
        <v>0</v>
      </c>
      <c r="L29" s="8">
        <v>0</v>
      </c>
      <c r="M29" s="8">
        <v>600000</v>
      </c>
      <c r="N29" s="8">
        <v>0</v>
      </c>
      <c r="O29" s="8">
        <v>0</v>
      </c>
      <c r="P29" s="8">
        <v>0</v>
      </c>
      <c r="Q29" s="8">
        <v>0</v>
      </c>
      <c r="R29" s="8">
        <f t="shared" si="0"/>
        <v>600000</v>
      </c>
      <c r="S29" s="8">
        <v>0</v>
      </c>
      <c r="T29" s="8">
        <v>0</v>
      </c>
      <c r="U29" s="8">
        <v>600000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7">
        <v>1</v>
      </c>
      <c r="AB29" s="8">
        <v>577856.00701099995</v>
      </c>
      <c r="AC29" s="7">
        <v>7</v>
      </c>
      <c r="AD29" s="7" t="s">
        <v>1226</v>
      </c>
      <c r="AE29" s="8">
        <v>600000</v>
      </c>
      <c r="AF29" s="8">
        <v>0</v>
      </c>
      <c r="AG29" s="8">
        <v>600000</v>
      </c>
      <c r="AH29" s="8">
        <v>0</v>
      </c>
      <c r="AI29" s="7" t="s">
        <v>1194</v>
      </c>
      <c r="AJ29" s="7">
        <f t="shared" ca="1" si="1"/>
        <v>1</v>
      </c>
      <c r="AL29" s="96">
        <f t="shared" si="8"/>
        <v>1.0421097139006061E-2</v>
      </c>
      <c r="AM29" s="97">
        <f t="shared" si="9"/>
        <v>7.2606001481756638E-2</v>
      </c>
    </row>
    <row r="30" spans="1:39" x14ac:dyDescent="0.3">
      <c r="A30" s="7" t="s">
        <v>1743</v>
      </c>
      <c r="B30" s="7" t="s">
        <v>1320</v>
      </c>
      <c r="C30" s="7" t="s">
        <v>1323</v>
      </c>
      <c r="D30" s="7" t="s">
        <v>1694</v>
      </c>
      <c r="E30" s="7" t="s">
        <v>1322</v>
      </c>
      <c r="F30" s="36">
        <v>43831</v>
      </c>
      <c r="G30" s="36">
        <v>44926</v>
      </c>
      <c r="H30" s="36">
        <v>44926</v>
      </c>
      <c r="I30" s="36">
        <v>44926</v>
      </c>
      <c r="J30" s="7" t="s">
        <v>1696</v>
      </c>
      <c r="K30" s="8">
        <v>0</v>
      </c>
      <c r="L30" s="8">
        <v>0</v>
      </c>
      <c r="M30" s="8">
        <v>452225.75092383544</v>
      </c>
      <c r="N30" s="8">
        <v>0</v>
      </c>
      <c r="O30" s="8">
        <v>0</v>
      </c>
      <c r="P30" s="8">
        <v>0</v>
      </c>
      <c r="Q30" s="8">
        <v>0</v>
      </c>
      <c r="R30" s="8">
        <f t="shared" si="0"/>
        <v>452225.75092383544</v>
      </c>
      <c r="S30" s="8">
        <v>0</v>
      </c>
      <c r="T30" s="8">
        <v>0</v>
      </c>
      <c r="U30" s="8">
        <v>451415.37239999999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7">
        <v>1</v>
      </c>
      <c r="AB30" s="8">
        <v>437291.21265280643</v>
      </c>
      <c r="AC30" s="7">
        <v>7</v>
      </c>
      <c r="AD30" s="7" t="s">
        <v>1226</v>
      </c>
      <c r="AE30" s="8">
        <v>451415.37239999999</v>
      </c>
      <c r="AF30" s="8">
        <v>0</v>
      </c>
      <c r="AG30" s="8">
        <v>451415.37239999999</v>
      </c>
      <c r="AH30" s="8">
        <v>0</v>
      </c>
      <c r="AI30" s="7" t="s">
        <v>1194</v>
      </c>
      <c r="AJ30" s="7">
        <f t="shared" ca="1" si="1"/>
        <v>1</v>
      </c>
      <c r="AL30" s="96">
        <f t="shared" si="8"/>
        <v>7.8861414431950425E-3</v>
      </c>
      <c r="AM30" s="97">
        <f t="shared" si="9"/>
        <v>5.4625775328936879E-2</v>
      </c>
    </row>
    <row r="31" spans="1:39" x14ac:dyDescent="0.3">
      <c r="A31" s="7" t="s">
        <v>1744</v>
      </c>
      <c r="B31" s="7" t="s">
        <v>1320</v>
      </c>
      <c r="C31" s="7" t="s">
        <v>1323</v>
      </c>
      <c r="D31" s="7" t="s">
        <v>1694</v>
      </c>
      <c r="E31" s="7" t="s">
        <v>1322</v>
      </c>
      <c r="F31" s="36">
        <v>43831</v>
      </c>
      <c r="G31" s="36">
        <v>44926</v>
      </c>
      <c r="H31" s="36">
        <v>44926</v>
      </c>
      <c r="I31" s="36">
        <v>44926</v>
      </c>
      <c r="J31" s="7" t="s">
        <v>1696</v>
      </c>
      <c r="K31" s="8">
        <v>0</v>
      </c>
      <c r="L31" s="8">
        <v>0</v>
      </c>
      <c r="M31" s="8">
        <v>458507.86758648156</v>
      </c>
      <c r="N31" s="8">
        <v>0</v>
      </c>
      <c r="O31" s="8">
        <v>0</v>
      </c>
      <c r="P31" s="8">
        <v>0</v>
      </c>
      <c r="Q31" s="8">
        <v>0</v>
      </c>
      <c r="R31" s="8">
        <f t="shared" si="0"/>
        <v>458507.86758648156</v>
      </c>
      <c r="S31" s="8">
        <v>0</v>
      </c>
      <c r="T31" s="8">
        <v>0</v>
      </c>
      <c r="U31" s="8">
        <v>451415.37239999999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7">
        <v>1</v>
      </c>
      <c r="AB31" s="8">
        <v>454832.15067473333</v>
      </c>
      <c r="AC31" s="7">
        <v>7</v>
      </c>
      <c r="AD31" s="7" t="s">
        <v>1226</v>
      </c>
      <c r="AE31" s="8">
        <v>451415.37239999999</v>
      </c>
      <c r="AF31" s="8">
        <v>18808.973849999998</v>
      </c>
      <c r="AG31" s="8">
        <v>470224.34625</v>
      </c>
      <c r="AH31" s="8">
        <v>0</v>
      </c>
      <c r="AI31" s="7" t="s">
        <v>1194</v>
      </c>
      <c r="AJ31" s="7">
        <f t="shared" ca="1" si="1"/>
        <v>1</v>
      </c>
      <c r="AL31" s="96">
        <f t="shared" si="8"/>
        <v>8.2024759916257319E-3</v>
      </c>
      <c r="AM31" s="97">
        <f t="shared" si="9"/>
        <v>5.4625775328936879E-2</v>
      </c>
    </row>
    <row r="32" spans="1:39" x14ac:dyDescent="0.3">
      <c r="A32" s="7" t="s">
        <v>1745</v>
      </c>
      <c r="B32" s="7" t="s">
        <v>1320</v>
      </c>
      <c r="C32" s="7" t="s">
        <v>1323</v>
      </c>
      <c r="D32" s="7" t="s">
        <v>1694</v>
      </c>
      <c r="E32" s="7" t="s">
        <v>1322</v>
      </c>
      <c r="F32" s="36">
        <v>43831</v>
      </c>
      <c r="G32" s="36">
        <v>44926</v>
      </c>
      <c r="H32" s="36">
        <v>44926</v>
      </c>
      <c r="I32" s="36">
        <v>44926</v>
      </c>
      <c r="J32" s="7" t="s">
        <v>1239</v>
      </c>
      <c r="K32" s="8">
        <v>542923.09156800003</v>
      </c>
      <c r="L32" s="8">
        <v>57957.464963999999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si="0"/>
        <v>600880.55653200008</v>
      </c>
      <c r="S32" s="8">
        <v>0</v>
      </c>
      <c r="T32" s="8">
        <v>61101.042217000002</v>
      </c>
      <c r="U32" s="8">
        <v>0</v>
      </c>
      <c r="V32" s="8">
        <v>538898.95778299996</v>
      </c>
      <c r="W32" s="8">
        <v>0</v>
      </c>
      <c r="X32" s="8">
        <v>0</v>
      </c>
      <c r="Y32" s="8">
        <v>0</v>
      </c>
      <c r="Z32" s="8">
        <v>0</v>
      </c>
      <c r="AA32" s="7">
        <v>1</v>
      </c>
      <c r="AB32" s="8">
        <v>577856.00700999994</v>
      </c>
      <c r="AC32" s="7">
        <v>7</v>
      </c>
      <c r="AD32" s="7" t="s">
        <v>1226</v>
      </c>
      <c r="AE32" s="8">
        <v>600000</v>
      </c>
      <c r="AF32" s="8">
        <v>0</v>
      </c>
      <c r="AG32" s="8">
        <v>600000</v>
      </c>
      <c r="AH32" s="8">
        <v>0</v>
      </c>
      <c r="AI32" s="7" t="s">
        <v>1194</v>
      </c>
      <c r="AJ32" s="7">
        <f t="shared" ca="1" si="1"/>
        <v>1</v>
      </c>
      <c r="AL32" s="96">
        <f t="shared" si="4"/>
        <v>3.4646496707171686E-3</v>
      </c>
      <c r="AM32" s="97">
        <f t="shared" si="5"/>
        <v>2.7334304269128577E-2</v>
      </c>
    </row>
    <row r="33" spans="1:39" x14ac:dyDescent="0.3">
      <c r="A33" s="7" t="s">
        <v>1746</v>
      </c>
      <c r="B33" s="7" t="s">
        <v>1320</v>
      </c>
      <c r="C33" s="7" t="s">
        <v>1323</v>
      </c>
      <c r="D33" s="7" t="s">
        <v>1694</v>
      </c>
      <c r="E33" s="7" t="s">
        <v>1322</v>
      </c>
      <c r="F33" s="36">
        <v>43831</v>
      </c>
      <c r="G33" s="36">
        <v>44926</v>
      </c>
      <c r="H33" s="36">
        <v>44926</v>
      </c>
      <c r="I33" s="36">
        <v>44926</v>
      </c>
      <c r="J33" s="7" t="s">
        <v>1696</v>
      </c>
      <c r="K33" s="8">
        <v>0</v>
      </c>
      <c r="L33" s="8">
        <v>0</v>
      </c>
      <c r="M33" s="8">
        <v>605000.00000400003</v>
      </c>
      <c r="N33" s="8">
        <v>0</v>
      </c>
      <c r="O33" s="8">
        <v>0</v>
      </c>
      <c r="P33" s="8">
        <v>0</v>
      </c>
      <c r="Q33" s="8">
        <v>0</v>
      </c>
      <c r="R33" s="8">
        <f t="shared" si="0"/>
        <v>605000.00000400003</v>
      </c>
      <c r="S33" s="8">
        <v>0</v>
      </c>
      <c r="T33" s="8">
        <v>0</v>
      </c>
      <c r="U33" s="8">
        <v>600000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7">
        <v>1</v>
      </c>
      <c r="AB33" s="8">
        <v>581226.83371799998</v>
      </c>
      <c r="AC33" s="7">
        <v>7</v>
      </c>
      <c r="AD33" s="7" t="s">
        <v>1226</v>
      </c>
      <c r="AE33" s="8">
        <v>600000</v>
      </c>
      <c r="AF33" s="8">
        <v>0</v>
      </c>
      <c r="AG33" s="8">
        <v>600000</v>
      </c>
      <c r="AH33" s="8">
        <v>0</v>
      </c>
      <c r="AI33" s="7" t="s">
        <v>1194</v>
      </c>
      <c r="AJ33" s="7">
        <f t="shared" ca="1" si="1"/>
        <v>1</v>
      </c>
      <c r="AL33" s="96">
        <f t="shared" ref="AL33:AL36" si="10">(+AA33*AB33)/$AB$612</f>
        <v>1.0481886872306756E-2</v>
      </c>
      <c r="AM33" s="97">
        <f t="shared" ref="AM33:AM36" si="11">AC33/$AE$612*AE33</f>
        <v>7.2606001481756638E-2</v>
      </c>
    </row>
    <row r="34" spans="1:39" x14ac:dyDescent="0.3">
      <c r="A34" s="7" t="s">
        <v>1747</v>
      </c>
      <c r="B34" s="7" t="s">
        <v>1320</v>
      </c>
      <c r="C34" s="7" t="s">
        <v>1323</v>
      </c>
      <c r="D34" s="7" t="s">
        <v>1694</v>
      </c>
      <c r="E34" s="7" t="s">
        <v>1322</v>
      </c>
      <c r="F34" s="36">
        <v>43831</v>
      </c>
      <c r="G34" s="36">
        <v>44926</v>
      </c>
      <c r="H34" s="36">
        <v>44926</v>
      </c>
      <c r="I34" s="36">
        <v>44926</v>
      </c>
      <c r="J34" s="7" t="s">
        <v>1696</v>
      </c>
      <c r="K34" s="8">
        <v>0</v>
      </c>
      <c r="L34" s="8">
        <v>0</v>
      </c>
      <c r="M34" s="8">
        <v>600000</v>
      </c>
      <c r="N34" s="8">
        <v>0</v>
      </c>
      <c r="O34" s="8">
        <v>0</v>
      </c>
      <c r="P34" s="8">
        <v>0</v>
      </c>
      <c r="Q34" s="8">
        <v>0</v>
      </c>
      <c r="R34" s="8">
        <f t="shared" si="0"/>
        <v>600000</v>
      </c>
      <c r="S34" s="8">
        <v>0</v>
      </c>
      <c r="T34" s="8">
        <v>0</v>
      </c>
      <c r="U34" s="8">
        <v>600000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7">
        <v>1</v>
      </c>
      <c r="AB34" s="8">
        <v>581226.83371799998</v>
      </c>
      <c r="AC34" s="7">
        <v>7</v>
      </c>
      <c r="AD34" s="7" t="s">
        <v>1226</v>
      </c>
      <c r="AE34" s="8">
        <v>600000</v>
      </c>
      <c r="AF34" s="8">
        <v>0</v>
      </c>
      <c r="AG34" s="8">
        <v>600000</v>
      </c>
      <c r="AH34" s="8">
        <v>0</v>
      </c>
      <c r="AI34" s="7" t="s">
        <v>1194</v>
      </c>
      <c r="AJ34" s="7">
        <f t="shared" ca="1" si="1"/>
        <v>1</v>
      </c>
      <c r="AL34" s="96">
        <f t="shared" si="10"/>
        <v>1.0481886872306756E-2</v>
      </c>
      <c r="AM34" s="97">
        <f t="shared" si="11"/>
        <v>7.2606001481756638E-2</v>
      </c>
    </row>
    <row r="35" spans="1:39" x14ac:dyDescent="0.3">
      <c r="A35" s="7" t="s">
        <v>1748</v>
      </c>
      <c r="B35" s="7" t="s">
        <v>1320</v>
      </c>
      <c r="C35" s="7" t="s">
        <v>1323</v>
      </c>
      <c r="D35" s="7" t="s">
        <v>1694</v>
      </c>
      <c r="E35" s="7" t="s">
        <v>1322</v>
      </c>
      <c r="F35" s="36">
        <v>43845</v>
      </c>
      <c r="G35" s="36">
        <v>44940</v>
      </c>
      <c r="H35" s="36">
        <v>44940</v>
      </c>
      <c r="I35" s="36">
        <v>44940</v>
      </c>
      <c r="J35" s="7" t="s">
        <v>1696</v>
      </c>
      <c r="K35" s="8">
        <v>0</v>
      </c>
      <c r="L35" s="8">
        <v>0</v>
      </c>
      <c r="M35" s="8">
        <v>600000</v>
      </c>
      <c r="N35" s="8">
        <v>0</v>
      </c>
      <c r="O35" s="8">
        <v>0</v>
      </c>
      <c r="P35" s="8">
        <v>0</v>
      </c>
      <c r="Q35" s="8">
        <v>0</v>
      </c>
      <c r="R35" s="8">
        <f t="shared" si="0"/>
        <v>600000</v>
      </c>
      <c r="S35" s="8">
        <v>0</v>
      </c>
      <c r="T35" s="8">
        <v>0</v>
      </c>
      <c r="U35" s="8">
        <v>600000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7">
        <v>1.0383560000000001</v>
      </c>
      <c r="AB35" s="8">
        <v>579704.52488599997</v>
      </c>
      <c r="AC35" s="7">
        <v>7</v>
      </c>
      <c r="AD35" s="7" t="s">
        <v>1226</v>
      </c>
      <c r="AE35" s="8">
        <v>600000</v>
      </c>
      <c r="AF35" s="8">
        <v>0</v>
      </c>
      <c r="AG35" s="8">
        <v>600000</v>
      </c>
      <c r="AH35" s="8">
        <v>0</v>
      </c>
      <c r="AI35" s="7" t="s">
        <v>1194</v>
      </c>
      <c r="AJ35" s="7">
        <f t="shared" ca="1" si="1"/>
        <v>1</v>
      </c>
      <c r="AL35" s="96">
        <f t="shared" si="10"/>
        <v>1.0855423693620582E-2</v>
      </c>
      <c r="AM35" s="97">
        <f t="shared" si="11"/>
        <v>7.2606001481756638E-2</v>
      </c>
    </row>
    <row r="36" spans="1:39" x14ac:dyDescent="0.3">
      <c r="A36" s="7" t="s">
        <v>1749</v>
      </c>
      <c r="B36" s="7" t="s">
        <v>1320</v>
      </c>
      <c r="C36" s="7" t="s">
        <v>1323</v>
      </c>
      <c r="D36" s="7" t="s">
        <v>1694</v>
      </c>
      <c r="E36" s="7" t="s">
        <v>1322</v>
      </c>
      <c r="F36" s="36">
        <v>43831</v>
      </c>
      <c r="G36" s="36">
        <v>44926</v>
      </c>
      <c r="H36" s="36">
        <v>44926</v>
      </c>
      <c r="I36" s="36">
        <v>44926</v>
      </c>
      <c r="J36" s="7" t="s">
        <v>1696</v>
      </c>
      <c r="K36" s="8">
        <v>0</v>
      </c>
      <c r="L36" s="8">
        <v>0</v>
      </c>
      <c r="M36" s="8">
        <v>600000</v>
      </c>
      <c r="N36" s="8">
        <v>0</v>
      </c>
      <c r="O36" s="8">
        <v>0</v>
      </c>
      <c r="P36" s="8">
        <v>0</v>
      </c>
      <c r="Q36" s="8">
        <v>0</v>
      </c>
      <c r="R36" s="8">
        <f t="shared" si="0"/>
        <v>600000</v>
      </c>
      <c r="S36" s="8">
        <v>0</v>
      </c>
      <c r="T36" s="8">
        <v>0</v>
      </c>
      <c r="U36" s="8">
        <v>600000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7">
        <v>1</v>
      </c>
      <c r="AB36" s="8">
        <v>581226.83372200001</v>
      </c>
      <c r="AC36" s="7">
        <v>7</v>
      </c>
      <c r="AD36" s="7" t="s">
        <v>1226</v>
      </c>
      <c r="AE36" s="8">
        <v>600000</v>
      </c>
      <c r="AF36" s="8">
        <v>0</v>
      </c>
      <c r="AG36" s="8">
        <v>600000</v>
      </c>
      <c r="AH36" s="8">
        <v>0</v>
      </c>
      <c r="AI36" s="7" t="s">
        <v>1194</v>
      </c>
      <c r="AJ36" s="7">
        <f t="shared" ca="1" si="1"/>
        <v>1</v>
      </c>
      <c r="AL36" s="96">
        <f t="shared" si="10"/>
        <v>1.0481886872378892E-2</v>
      </c>
      <c r="AM36" s="97">
        <f t="shared" si="11"/>
        <v>7.2606001481756638E-2</v>
      </c>
    </row>
    <row r="37" spans="1:39" x14ac:dyDescent="0.3">
      <c r="A37" s="7" t="s">
        <v>1751</v>
      </c>
      <c r="B37" s="7" t="s">
        <v>1320</v>
      </c>
      <c r="C37" s="7" t="s">
        <v>1323</v>
      </c>
      <c r="D37" s="7" t="s">
        <v>1694</v>
      </c>
      <c r="E37" s="7" t="s">
        <v>1739</v>
      </c>
      <c r="F37" s="36">
        <v>43831</v>
      </c>
      <c r="G37" s="36">
        <v>44074</v>
      </c>
      <c r="J37" s="7" t="s">
        <v>1699</v>
      </c>
      <c r="K37" s="8">
        <v>0</v>
      </c>
      <c r="L37" s="8">
        <v>0</v>
      </c>
      <c r="M37" s="8">
        <v>0</v>
      </c>
      <c r="N37" s="8">
        <v>780000</v>
      </c>
      <c r="O37" s="8">
        <v>0</v>
      </c>
      <c r="P37" s="8">
        <v>0</v>
      </c>
      <c r="Q37" s="8">
        <v>0</v>
      </c>
      <c r="R37" s="8">
        <f t="shared" si="0"/>
        <v>780000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7">
        <v>0</v>
      </c>
      <c r="AB37" s="8">
        <v>0</v>
      </c>
      <c r="AC37" s="7">
        <v>7</v>
      </c>
      <c r="AD37" s="7" t="s">
        <v>1226</v>
      </c>
      <c r="AE37" s="8">
        <v>65000</v>
      </c>
      <c r="AF37" s="8">
        <v>0</v>
      </c>
      <c r="AG37" s="8">
        <v>65000</v>
      </c>
      <c r="AH37" s="8">
        <v>0</v>
      </c>
      <c r="AI37" s="7" t="s">
        <v>1194</v>
      </c>
      <c r="AJ37" s="7">
        <f t="shared" ca="1" si="1"/>
        <v>1</v>
      </c>
      <c r="AL37" s="100">
        <f>(+AA37*AB37)/$AB$613</f>
        <v>0</v>
      </c>
      <c r="AM37" s="97">
        <f>AC37/$AE$613*AE37</f>
        <v>0.33233034928487393</v>
      </c>
    </row>
    <row r="38" spans="1:39" x14ac:dyDescent="0.3">
      <c r="A38" s="7" t="s">
        <v>1752</v>
      </c>
      <c r="B38" s="7" t="s">
        <v>1320</v>
      </c>
      <c r="C38" s="7" t="s">
        <v>1323</v>
      </c>
      <c r="D38" s="7" t="s">
        <v>1694</v>
      </c>
      <c r="E38" s="7" t="s">
        <v>1322</v>
      </c>
      <c r="F38" s="36">
        <v>43831</v>
      </c>
      <c r="G38" s="36">
        <v>44926</v>
      </c>
      <c r="H38" s="36">
        <v>44926</v>
      </c>
      <c r="I38" s="36">
        <v>46022</v>
      </c>
      <c r="J38" s="7" t="s">
        <v>1696</v>
      </c>
      <c r="K38" s="8">
        <v>0</v>
      </c>
      <c r="L38" s="8">
        <v>0</v>
      </c>
      <c r="M38" s="8">
        <v>249999.999996</v>
      </c>
      <c r="N38" s="8">
        <v>0</v>
      </c>
      <c r="O38" s="8">
        <v>0</v>
      </c>
      <c r="P38" s="8">
        <v>0</v>
      </c>
      <c r="Q38" s="8">
        <v>0</v>
      </c>
      <c r="R38" s="8">
        <f t="shared" si="0"/>
        <v>249999.999996</v>
      </c>
      <c r="S38" s="8">
        <v>0</v>
      </c>
      <c r="T38" s="8">
        <v>0</v>
      </c>
      <c r="U38" s="8">
        <v>200000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7">
        <v>4.0027400000000002</v>
      </c>
      <c r="AB38" s="8">
        <v>958773.58653500001</v>
      </c>
      <c r="AC38" s="7">
        <v>7</v>
      </c>
      <c r="AD38" s="7" t="s">
        <v>1226</v>
      </c>
      <c r="AE38" s="8">
        <v>1100000</v>
      </c>
      <c r="AF38" s="8">
        <v>0</v>
      </c>
      <c r="AG38" s="8">
        <v>1100000</v>
      </c>
      <c r="AH38" s="8">
        <v>0</v>
      </c>
      <c r="AI38" s="7" t="s">
        <v>1194</v>
      </c>
      <c r="AJ38" s="7">
        <f t="shared" ca="1" si="1"/>
        <v>1</v>
      </c>
      <c r="AL38" s="96">
        <f t="shared" ref="AL38:AL65" si="12">(+AA38*AB38)/$AB$612</f>
        <v>6.920974579876378E-2</v>
      </c>
      <c r="AM38" s="97">
        <f t="shared" ref="AM38:AM65" si="13">AC38/$AE$612*AE38</f>
        <v>0.13311100271655385</v>
      </c>
    </row>
    <row r="39" spans="1:39" x14ac:dyDescent="0.3">
      <c r="A39" s="7" t="s">
        <v>1753</v>
      </c>
      <c r="B39" s="7" t="s">
        <v>1320</v>
      </c>
      <c r="C39" s="7" t="s">
        <v>1323</v>
      </c>
      <c r="D39" s="7" t="s">
        <v>1694</v>
      </c>
      <c r="E39" s="7" t="s">
        <v>1322</v>
      </c>
      <c r="F39" s="36">
        <v>43831</v>
      </c>
      <c r="G39" s="36">
        <v>44926</v>
      </c>
      <c r="H39" s="36">
        <v>44926</v>
      </c>
      <c r="I39" s="36">
        <v>46022</v>
      </c>
      <c r="J39" s="7" t="s">
        <v>1696</v>
      </c>
      <c r="K39" s="8">
        <v>0</v>
      </c>
      <c r="L39" s="8">
        <v>0</v>
      </c>
      <c r="M39" s="8">
        <v>450000</v>
      </c>
      <c r="N39" s="8">
        <v>0</v>
      </c>
      <c r="O39" s="8">
        <v>0</v>
      </c>
      <c r="P39" s="8">
        <v>0</v>
      </c>
      <c r="Q39" s="8">
        <v>0</v>
      </c>
      <c r="R39" s="8">
        <f t="shared" si="0"/>
        <v>450000</v>
      </c>
      <c r="S39" s="8">
        <v>0</v>
      </c>
      <c r="T39" s="8">
        <v>0</v>
      </c>
      <c r="U39" s="8">
        <v>600000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7">
        <v>4.0027400000000002</v>
      </c>
      <c r="AB39" s="8">
        <v>1340708.4813590001</v>
      </c>
      <c r="AC39" s="7">
        <v>7</v>
      </c>
      <c r="AD39" s="7" t="s">
        <v>1226</v>
      </c>
      <c r="AE39" s="8">
        <v>1500000</v>
      </c>
      <c r="AF39" s="8">
        <v>0</v>
      </c>
      <c r="AG39" s="8">
        <v>1500000</v>
      </c>
      <c r="AH39" s="8">
        <v>0</v>
      </c>
      <c r="AI39" s="7" t="s">
        <v>1194</v>
      </c>
      <c r="AJ39" s="7">
        <f t="shared" ca="1" si="1"/>
        <v>1</v>
      </c>
      <c r="AL39" s="96">
        <f t="shared" si="12"/>
        <v>9.6779984855909162E-2</v>
      </c>
      <c r="AM39" s="97">
        <f t="shared" si="13"/>
        <v>0.18151500370439161</v>
      </c>
    </row>
    <row r="40" spans="1:39" x14ac:dyDescent="0.3">
      <c r="A40" s="7" t="s">
        <v>1754</v>
      </c>
      <c r="B40" s="7" t="s">
        <v>1320</v>
      </c>
      <c r="C40" s="7" t="s">
        <v>1323</v>
      </c>
      <c r="D40" s="7" t="s">
        <v>1694</v>
      </c>
      <c r="E40" s="7" t="s">
        <v>1322</v>
      </c>
      <c r="F40" s="36">
        <v>43831</v>
      </c>
      <c r="G40" s="36">
        <v>44926</v>
      </c>
      <c r="H40" s="36">
        <v>44926</v>
      </c>
      <c r="I40" s="36">
        <v>44926</v>
      </c>
      <c r="J40" s="7" t="s">
        <v>1696</v>
      </c>
      <c r="K40" s="8">
        <v>0</v>
      </c>
      <c r="L40" s="8">
        <v>0</v>
      </c>
      <c r="M40" s="8">
        <v>660000</v>
      </c>
      <c r="N40" s="8">
        <v>0</v>
      </c>
      <c r="O40" s="8">
        <v>0</v>
      </c>
      <c r="P40" s="8">
        <v>0</v>
      </c>
      <c r="Q40" s="8">
        <v>0</v>
      </c>
      <c r="R40" s="8">
        <f t="shared" si="0"/>
        <v>660000</v>
      </c>
      <c r="S40" s="8">
        <v>0</v>
      </c>
      <c r="T40" s="8">
        <v>0</v>
      </c>
      <c r="U40" s="8">
        <v>660000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7">
        <v>1</v>
      </c>
      <c r="AB40" s="8">
        <v>697472.20046199998</v>
      </c>
      <c r="AC40" s="7">
        <v>7</v>
      </c>
      <c r="AD40" s="7" t="s">
        <v>1726</v>
      </c>
      <c r="AE40" s="8">
        <v>720000</v>
      </c>
      <c r="AF40" s="8">
        <v>0</v>
      </c>
      <c r="AG40" s="8">
        <v>720000</v>
      </c>
      <c r="AH40" s="8">
        <v>0</v>
      </c>
      <c r="AI40" s="7" t="s">
        <v>1194</v>
      </c>
      <c r="AJ40" s="7">
        <f t="shared" ca="1" si="1"/>
        <v>1</v>
      </c>
      <c r="AL40" s="96">
        <f t="shared" si="12"/>
        <v>1.2578264246775321E-2</v>
      </c>
      <c r="AM40" s="97">
        <f t="shared" si="13"/>
        <v>8.7127201778107968E-2</v>
      </c>
    </row>
    <row r="41" spans="1:39" x14ac:dyDescent="0.3">
      <c r="A41" s="7" t="s">
        <v>2587</v>
      </c>
      <c r="B41" s="7" t="s">
        <v>194</v>
      </c>
      <c r="C41" s="7" t="s">
        <v>1769</v>
      </c>
      <c r="D41" s="7" t="s">
        <v>1780</v>
      </c>
      <c r="E41" s="7" t="s">
        <v>1695</v>
      </c>
      <c r="F41" s="36">
        <v>44337</v>
      </c>
      <c r="G41" s="36">
        <v>45432</v>
      </c>
      <c r="H41" s="36">
        <v>44368</v>
      </c>
      <c r="I41" s="36">
        <v>44368</v>
      </c>
      <c r="J41" s="7" t="s">
        <v>1696</v>
      </c>
      <c r="K41" s="8">
        <v>0</v>
      </c>
      <c r="L41" s="8">
        <v>0</v>
      </c>
      <c r="M41" s="8">
        <v>81.88682</v>
      </c>
      <c r="N41" s="8">
        <v>0</v>
      </c>
      <c r="O41" s="8">
        <v>0</v>
      </c>
      <c r="P41" s="8">
        <v>0</v>
      </c>
      <c r="Q41" s="8">
        <v>0</v>
      </c>
      <c r="R41" s="8">
        <f t="shared" si="0"/>
        <v>81.88682</v>
      </c>
      <c r="S41" s="8">
        <v>0</v>
      </c>
      <c r="T41" s="8">
        <v>0</v>
      </c>
      <c r="U41" s="8">
        <v>155.38476</v>
      </c>
      <c r="V41" s="8">
        <v>0</v>
      </c>
      <c r="W41" s="8">
        <v>0</v>
      </c>
      <c r="X41" s="8">
        <v>0</v>
      </c>
      <c r="Y41" s="8">
        <v>2678.24523</v>
      </c>
      <c r="Z41" s="8">
        <v>-2652.9839080000002</v>
      </c>
      <c r="AA41" s="7">
        <v>0</v>
      </c>
      <c r="AB41" s="8">
        <v>0</v>
      </c>
      <c r="AC41" s="7">
        <v>3</v>
      </c>
      <c r="AD41" s="7" t="s">
        <v>1226</v>
      </c>
      <c r="AE41" s="8">
        <v>0</v>
      </c>
      <c r="AF41" s="8">
        <v>0</v>
      </c>
      <c r="AG41" s="8">
        <v>0</v>
      </c>
      <c r="AH41" s="8">
        <v>0</v>
      </c>
      <c r="AI41" s="7" t="s">
        <v>2588</v>
      </c>
      <c r="AJ41" s="7">
        <f t="shared" ca="1" si="1"/>
        <v>1</v>
      </c>
      <c r="AL41" s="96">
        <f t="shared" si="12"/>
        <v>0</v>
      </c>
      <c r="AM41" s="97">
        <f t="shared" si="13"/>
        <v>0</v>
      </c>
    </row>
    <row r="42" spans="1:39" x14ac:dyDescent="0.3">
      <c r="A42" s="7" t="s">
        <v>2589</v>
      </c>
      <c r="B42" s="7" t="s">
        <v>1735</v>
      </c>
      <c r="C42" s="7" t="s">
        <v>1323</v>
      </c>
      <c r="D42" s="7" t="s">
        <v>1324</v>
      </c>
      <c r="E42" s="7" t="s">
        <v>1695</v>
      </c>
      <c r="F42" s="36">
        <v>44166</v>
      </c>
      <c r="G42" s="36">
        <v>45260</v>
      </c>
      <c r="H42" s="36">
        <v>44531</v>
      </c>
      <c r="I42" s="36">
        <v>44531</v>
      </c>
      <c r="J42" s="7" t="s">
        <v>1696</v>
      </c>
      <c r="K42" s="8">
        <v>0</v>
      </c>
      <c r="L42" s="8">
        <v>0</v>
      </c>
      <c r="M42" s="8">
        <v>1259.28</v>
      </c>
      <c r="N42" s="8">
        <v>0</v>
      </c>
      <c r="O42" s="8">
        <v>0</v>
      </c>
      <c r="P42" s="8">
        <v>0</v>
      </c>
      <c r="Q42" s="8">
        <v>0</v>
      </c>
      <c r="R42" s="8">
        <f t="shared" si="0"/>
        <v>1259.28</v>
      </c>
      <c r="S42" s="8">
        <v>0</v>
      </c>
      <c r="T42" s="8">
        <v>0</v>
      </c>
      <c r="U42" s="8">
        <v>1259.28</v>
      </c>
      <c r="V42" s="8">
        <v>0</v>
      </c>
      <c r="W42" s="8">
        <v>0</v>
      </c>
      <c r="X42" s="8">
        <v>0</v>
      </c>
      <c r="Y42" s="8">
        <v>3617.5369369999999</v>
      </c>
      <c r="Z42" s="8">
        <v>-2447.6357269999999</v>
      </c>
      <c r="AA42" s="7">
        <v>0</v>
      </c>
      <c r="AB42" s="8">
        <v>0</v>
      </c>
      <c r="AC42" s="7">
        <v>3</v>
      </c>
      <c r="AD42" s="7" t="s">
        <v>1226</v>
      </c>
      <c r="AE42" s="8">
        <v>0</v>
      </c>
      <c r="AF42" s="8">
        <v>0</v>
      </c>
      <c r="AG42" s="8">
        <v>0</v>
      </c>
      <c r="AH42" s="8">
        <v>0</v>
      </c>
      <c r="AI42" s="7" t="s">
        <v>1760</v>
      </c>
      <c r="AJ42" s="7">
        <f t="shared" ca="1" si="1"/>
        <v>1</v>
      </c>
      <c r="AL42" s="96">
        <f t="shared" si="12"/>
        <v>0</v>
      </c>
      <c r="AM42" s="97">
        <f t="shared" si="13"/>
        <v>0</v>
      </c>
    </row>
    <row r="43" spans="1:39" x14ac:dyDescent="0.3">
      <c r="A43" s="7" t="s">
        <v>1759</v>
      </c>
      <c r="B43" s="7" t="s">
        <v>1735</v>
      </c>
      <c r="C43" s="7" t="s">
        <v>1323</v>
      </c>
      <c r="D43" s="7" t="s">
        <v>1324</v>
      </c>
      <c r="E43" s="7" t="s">
        <v>1322</v>
      </c>
      <c r="F43" s="36">
        <v>44531</v>
      </c>
      <c r="G43" s="36">
        <v>45077</v>
      </c>
      <c r="H43" s="36">
        <v>45077</v>
      </c>
      <c r="I43" s="36">
        <v>45077</v>
      </c>
      <c r="J43" s="7" t="s">
        <v>1696</v>
      </c>
      <c r="K43" s="8">
        <v>0</v>
      </c>
      <c r="L43" s="8">
        <v>0</v>
      </c>
      <c r="M43" s="8">
        <v>104.94</v>
      </c>
      <c r="N43" s="8">
        <v>0</v>
      </c>
      <c r="O43" s="8">
        <v>0</v>
      </c>
      <c r="P43" s="8">
        <v>0</v>
      </c>
      <c r="Q43" s="8">
        <v>0</v>
      </c>
      <c r="R43" s="8">
        <f t="shared" si="0"/>
        <v>104.94</v>
      </c>
      <c r="S43" s="8">
        <v>0</v>
      </c>
      <c r="T43" s="8">
        <v>0</v>
      </c>
      <c r="U43" s="8">
        <v>104.94</v>
      </c>
      <c r="V43" s="8">
        <v>0</v>
      </c>
      <c r="W43" s="8">
        <v>0</v>
      </c>
      <c r="X43" s="8">
        <v>0</v>
      </c>
      <c r="Y43" s="8">
        <v>0</v>
      </c>
      <c r="Z43" s="8">
        <v>1863.3316050000001</v>
      </c>
      <c r="AA43" s="7">
        <v>1.413699</v>
      </c>
      <c r="AB43" s="8">
        <v>1761.2226149999999</v>
      </c>
      <c r="AC43" s="7">
        <v>1.9319999999999999</v>
      </c>
      <c r="AD43" s="7" t="s">
        <v>1226</v>
      </c>
      <c r="AE43" s="8">
        <v>1783.98</v>
      </c>
      <c r="AF43" s="8">
        <v>0</v>
      </c>
      <c r="AG43" s="8">
        <v>1783.98</v>
      </c>
      <c r="AH43" s="8">
        <v>0</v>
      </c>
      <c r="AI43" s="7" t="s">
        <v>1760</v>
      </c>
      <c r="AJ43" s="7">
        <f t="shared" ca="1" si="1"/>
        <v>1</v>
      </c>
      <c r="AL43" s="96">
        <f t="shared" si="12"/>
        <v>4.4901930780602613E-5</v>
      </c>
      <c r="AM43" s="97">
        <f t="shared" si="13"/>
        <v>5.9582721080775134E-5</v>
      </c>
    </row>
    <row r="44" spans="1:39" x14ac:dyDescent="0.3">
      <c r="A44" s="7" t="s">
        <v>1761</v>
      </c>
      <c r="B44" s="7" t="s">
        <v>1735</v>
      </c>
      <c r="C44" s="7" t="s">
        <v>1323</v>
      </c>
      <c r="D44" s="7" t="s">
        <v>1324</v>
      </c>
      <c r="E44" s="7" t="s">
        <v>1322</v>
      </c>
      <c r="F44" s="36">
        <v>44166</v>
      </c>
      <c r="G44" s="36">
        <v>45260</v>
      </c>
      <c r="H44" s="36">
        <v>45260</v>
      </c>
      <c r="I44" s="36">
        <v>45260</v>
      </c>
      <c r="J44" s="7" t="s">
        <v>1696</v>
      </c>
      <c r="K44" s="8">
        <v>0</v>
      </c>
      <c r="L44" s="8">
        <v>0</v>
      </c>
      <c r="M44" s="8">
        <v>240739.20000000001</v>
      </c>
      <c r="N44" s="8">
        <v>0</v>
      </c>
      <c r="O44" s="8">
        <v>0</v>
      </c>
      <c r="P44" s="8">
        <v>0</v>
      </c>
      <c r="Q44" s="8">
        <v>0</v>
      </c>
      <c r="R44" s="8">
        <f t="shared" si="0"/>
        <v>240739.20000000001</v>
      </c>
      <c r="S44" s="8">
        <v>0</v>
      </c>
      <c r="T44" s="8">
        <v>0</v>
      </c>
      <c r="U44" s="8">
        <v>240739.20000000001</v>
      </c>
      <c r="V44" s="8">
        <v>0</v>
      </c>
      <c r="W44" s="8">
        <v>0</v>
      </c>
      <c r="X44" s="8">
        <v>0</v>
      </c>
      <c r="Y44" s="8">
        <v>638374.27107699995</v>
      </c>
      <c r="Z44" s="8">
        <v>0</v>
      </c>
      <c r="AA44" s="7">
        <v>1.915068</v>
      </c>
      <c r="AB44" s="8">
        <v>414440.95653600001</v>
      </c>
      <c r="AC44" s="7">
        <v>3</v>
      </c>
      <c r="AD44" s="7" t="s">
        <v>1226</v>
      </c>
      <c r="AE44" s="8">
        <v>425923.2</v>
      </c>
      <c r="AF44" s="8">
        <v>0</v>
      </c>
      <c r="AG44" s="8">
        <v>425923.2</v>
      </c>
      <c r="AH44" s="8">
        <v>0</v>
      </c>
      <c r="AI44" s="7" t="s">
        <v>1758</v>
      </c>
      <c r="AJ44" s="7">
        <f t="shared" ca="1" si="1"/>
        <v>1</v>
      </c>
      <c r="AL44" s="96">
        <f t="shared" si="12"/>
        <v>1.4313329817625313E-2</v>
      </c>
      <c r="AM44" s="97">
        <f t="shared" si="13"/>
        <v>2.2088986064510378E-2</v>
      </c>
    </row>
    <row r="45" spans="1:39" x14ac:dyDescent="0.3">
      <c r="A45" s="7" t="s">
        <v>1763</v>
      </c>
      <c r="B45" s="7" t="s">
        <v>1735</v>
      </c>
      <c r="C45" s="7" t="s">
        <v>1323</v>
      </c>
      <c r="D45" s="7" t="s">
        <v>1324</v>
      </c>
      <c r="E45" s="7" t="s">
        <v>1322</v>
      </c>
      <c r="F45" s="36">
        <v>44166</v>
      </c>
      <c r="G45" s="36">
        <v>45260</v>
      </c>
      <c r="H45" s="36">
        <v>45260</v>
      </c>
      <c r="I45" s="36">
        <v>45260</v>
      </c>
      <c r="J45" s="7" t="s">
        <v>1696</v>
      </c>
      <c r="K45" s="8">
        <v>0</v>
      </c>
      <c r="L45" s="8">
        <v>0</v>
      </c>
      <c r="M45" s="8">
        <v>10432.031999999999</v>
      </c>
      <c r="N45" s="8">
        <v>0</v>
      </c>
      <c r="O45" s="8">
        <v>0</v>
      </c>
      <c r="P45" s="8">
        <v>0</v>
      </c>
      <c r="Q45" s="8">
        <v>0</v>
      </c>
      <c r="R45" s="8">
        <f t="shared" si="0"/>
        <v>10432.031999999999</v>
      </c>
      <c r="S45" s="8">
        <v>0</v>
      </c>
      <c r="T45" s="8">
        <v>0</v>
      </c>
      <c r="U45" s="8">
        <v>10432.031999999999</v>
      </c>
      <c r="V45" s="8">
        <v>0</v>
      </c>
      <c r="W45" s="8">
        <v>0</v>
      </c>
      <c r="X45" s="8">
        <v>0</v>
      </c>
      <c r="Y45" s="8">
        <v>27662.88508</v>
      </c>
      <c r="Z45" s="8">
        <v>0</v>
      </c>
      <c r="AA45" s="7">
        <v>1.915068</v>
      </c>
      <c r="AB45" s="8">
        <v>17959.108117</v>
      </c>
      <c r="AC45" s="7">
        <v>3</v>
      </c>
      <c r="AD45" s="7" t="s">
        <v>1226</v>
      </c>
      <c r="AE45" s="8">
        <v>18456.671999999999</v>
      </c>
      <c r="AF45" s="8">
        <v>0</v>
      </c>
      <c r="AG45" s="8">
        <v>18456.671999999999</v>
      </c>
      <c r="AH45" s="8">
        <v>0</v>
      </c>
      <c r="AI45" s="7" t="s">
        <v>1730</v>
      </c>
      <c r="AJ45" s="7">
        <f t="shared" ca="1" si="1"/>
        <v>1</v>
      </c>
      <c r="AL45" s="96">
        <f t="shared" si="12"/>
        <v>6.2024429211229284E-4</v>
      </c>
      <c r="AM45" s="97">
        <f t="shared" si="13"/>
        <v>9.5718939612878299E-4</v>
      </c>
    </row>
    <row r="46" spans="1:39" x14ac:dyDescent="0.3">
      <c r="A46" s="7" t="s">
        <v>1764</v>
      </c>
      <c r="B46" s="7" t="s">
        <v>1735</v>
      </c>
      <c r="C46" s="7" t="s">
        <v>1323</v>
      </c>
      <c r="D46" s="7" t="s">
        <v>1324</v>
      </c>
      <c r="E46" s="7" t="s">
        <v>1322</v>
      </c>
      <c r="F46" s="36">
        <v>44166</v>
      </c>
      <c r="G46" s="36">
        <v>45260</v>
      </c>
      <c r="H46" s="36">
        <v>45260</v>
      </c>
      <c r="I46" s="36">
        <v>45260</v>
      </c>
      <c r="J46" s="7" t="s">
        <v>1696</v>
      </c>
      <c r="K46" s="8">
        <v>0</v>
      </c>
      <c r="L46" s="8">
        <v>0</v>
      </c>
      <c r="M46" s="8">
        <v>5456.7551999999996</v>
      </c>
      <c r="N46" s="8">
        <v>0</v>
      </c>
      <c r="O46" s="8">
        <v>0</v>
      </c>
      <c r="P46" s="8">
        <v>0</v>
      </c>
      <c r="Q46" s="8">
        <v>0</v>
      </c>
      <c r="R46" s="8">
        <f t="shared" si="0"/>
        <v>5456.7551999999996</v>
      </c>
      <c r="S46" s="8">
        <v>0</v>
      </c>
      <c r="T46" s="8">
        <v>0</v>
      </c>
      <c r="U46" s="8">
        <v>5456.7551999999996</v>
      </c>
      <c r="V46" s="8">
        <v>0</v>
      </c>
      <c r="W46" s="8">
        <v>0</v>
      </c>
      <c r="X46" s="8">
        <v>0</v>
      </c>
      <c r="Y46" s="8">
        <v>14469.816811999999</v>
      </c>
      <c r="Z46" s="8">
        <v>0</v>
      </c>
      <c r="AA46" s="7">
        <v>1.915068</v>
      </c>
      <c r="AB46" s="8">
        <v>9393.9950239999998</v>
      </c>
      <c r="AC46" s="7">
        <v>3</v>
      </c>
      <c r="AD46" s="7" t="s">
        <v>1226</v>
      </c>
      <c r="AE46" s="8">
        <v>9654.2592000000004</v>
      </c>
      <c r="AF46" s="8">
        <v>0</v>
      </c>
      <c r="AG46" s="8">
        <v>9654.2592000000004</v>
      </c>
      <c r="AH46" s="8">
        <v>0</v>
      </c>
      <c r="AI46" s="7" t="s">
        <v>1760</v>
      </c>
      <c r="AJ46" s="7">
        <f t="shared" ca="1" si="1"/>
        <v>1</v>
      </c>
      <c r="AL46" s="96">
        <f t="shared" si="12"/>
        <v>3.2443547618335678E-4</v>
      </c>
      <c r="AM46" s="97">
        <f t="shared" si="13"/>
        <v>5.0068368412890189E-4</v>
      </c>
    </row>
    <row r="47" spans="1:39" x14ac:dyDescent="0.3">
      <c r="A47" s="7" t="s">
        <v>1765</v>
      </c>
      <c r="B47" s="7" t="s">
        <v>1735</v>
      </c>
      <c r="C47" s="7" t="s">
        <v>1323</v>
      </c>
      <c r="D47" s="7" t="s">
        <v>1324</v>
      </c>
      <c r="E47" s="7" t="s">
        <v>1322</v>
      </c>
      <c r="F47" s="36">
        <v>44166</v>
      </c>
      <c r="G47" s="36">
        <v>45260</v>
      </c>
      <c r="H47" s="36">
        <v>45260</v>
      </c>
      <c r="I47" s="36">
        <v>45260</v>
      </c>
      <c r="J47" s="7" t="s">
        <v>1696</v>
      </c>
      <c r="K47" s="8">
        <v>0</v>
      </c>
      <c r="L47" s="8">
        <v>0</v>
      </c>
      <c r="M47" s="8">
        <v>240739.20000000001</v>
      </c>
      <c r="N47" s="8">
        <v>0</v>
      </c>
      <c r="O47" s="8">
        <v>0</v>
      </c>
      <c r="P47" s="8">
        <v>0</v>
      </c>
      <c r="Q47" s="8">
        <v>0</v>
      </c>
      <c r="R47" s="8">
        <f t="shared" si="0"/>
        <v>240739.20000000001</v>
      </c>
      <c r="S47" s="8">
        <v>0</v>
      </c>
      <c r="T47" s="8">
        <v>0</v>
      </c>
      <c r="U47" s="8">
        <v>240739.20000000001</v>
      </c>
      <c r="V47" s="8">
        <v>0</v>
      </c>
      <c r="W47" s="8">
        <v>0</v>
      </c>
      <c r="X47" s="8">
        <v>0</v>
      </c>
      <c r="Y47" s="8">
        <v>638374.27107699995</v>
      </c>
      <c r="Z47" s="8">
        <v>0</v>
      </c>
      <c r="AA47" s="7">
        <v>1.915068</v>
      </c>
      <c r="AB47" s="8">
        <v>414440.95653600001</v>
      </c>
      <c r="AC47" s="7">
        <v>3</v>
      </c>
      <c r="AD47" s="7" t="s">
        <v>1226</v>
      </c>
      <c r="AE47" s="8">
        <v>425923.2</v>
      </c>
      <c r="AF47" s="8">
        <v>0</v>
      </c>
      <c r="AG47" s="8">
        <v>425923.2</v>
      </c>
      <c r="AH47" s="8">
        <v>0</v>
      </c>
      <c r="AI47" s="7" t="s">
        <v>1758</v>
      </c>
      <c r="AJ47" s="7">
        <f t="shared" ca="1" si="1"/>
        <v>1</v>
      </c>
      <c r="AL47" s="96">
        <f t="shared" si="12"/>
        <v>1.4313329817625313E-2</v>
      </c>
      <c r="AM47" s="97">
        <f t="shared" si="13"/>
        <v>2.2088986064510378E-2</v>
      </c>
    </row>
    <row r="48" spans="1:39" x14ac:dyDescent="0.3">
      <c r="A48" s="7" t="s">
        <v>1766</v>
      </c>
      <c r="B48" s="7" t="s">
        <v>1735</v>
      </c>
      <c r="C48" s="7" t="s">
        <v>1323</v>
      </c>
      <c r="D48" s="7" t="s">
        <v>1324</v>
      </c>
      <c r="E48" s="7" t="s">
        <v>1322</v>
      </c>
      <c r="F48" s="36">
        <v>44166</v>
      </c>
      <c r="G48" s="36">
        <v>45260</v>
      </c>
      <c r="H48" s="36">
        <v>45260</v>
      </c>
      <c r="I48" s="36">
        <v>45260</v>
      </c>
      <c r="J48" s="7" t="s">
        <v>1696</v>
      </c>
      <c r="K48" s="8">
        <v>0</v>
      </c>
      <c r="L48" s="8">
        <v>0</v>
      </c>
      <c r="M48" s="8">
        <v>10432.031999999999</v>
      </c>
      <c r="N48" s="8">
        <v>0</v>
      </c>
      <c r="O48" s="8">
        <v>0</v>
      </c>
      <c r="P48" s="8">
        <v>0</v>
      </c>
      <c r="Q48" s="8">
        <v>0</v>
      </c>
      <c r="R48" s="8">
        <f t="shared" si="0"/>
        <v>10432.031999999999</v>
      </c>
      <c r="S48" s="8">
        <v>0</v>
      </c>
      <c r="T48" s="8">
        <v>0</v>
      </c>
      <c r="U48" s="8">
        <v>10432.031999999999</v>
      </c>
      <c r="V48" s="8">
        <v>0</v>
      </c>
      <c r="W48" s="8">
        <v>0</v>
      </c>
      <c r="X48" s="8">
        <v>0</v>
      </c>
      <c r="Y48" s="8">
        <v>27662.88508</v>
      </c>
      <c r="Z48" s="8">
        <v>0</v>
      </c>
      <c r="AA48" s="7">
        <v>1.915068</v>
      </c>
      <c r="AB48" s="8">
        <v>17959.108117</v>
      </c>
      <c r="AC48" s="7">
        <v>3</v>
      </c>
      <c r="AD48" s="7" t="s">
        <v>1226</v>
      </c>
      <c r="AE48" s="8">
        <v>18456.671999999999</v>
      </c>
      <c r="AF48" s="8">
        <v>0</v>
      </c>
      <c r="AG48" s="8">
        <v>18456.671999999999</v>
      </c>
      <c r="AH48" s="8">
        <v>0</v>
      </c>
      <c r="AI48" s="7" t="s">
        <v>1730</v>
      </c>
      <c r="AJ48" s="7">
        <f t="shared" ca="1" si="1"/>
        <v>1</v>
      </c>
      <c r="AL48" s="96">
        <f t="shared" si="12"/>
        <v>6.2024429211229284E-4</v>
      </c>
      <c r="AM48" s="97">
        <f t="shared" si="13"/>
        <v>9.5718939612878299E-4</v>
      </c>
    </row>
    <row r="49" spans="1:39" x14ac:dyDescent="0.3">
      <c r="A49" s="7" t="s">
        <v>1791</v>
      </c>
      <c r="B49" s="7" t="s">
        <v>1320</v>
      </c>
      <c r="C49" s="7" t="s">
        <v>1323</v>
      </c>
      <c r="D49" s="7" t="s">
        <v>1792</v>
      </c>
      <c r="E49" s="7" t="s">
        <v>1322</v>
      </c>
      <c r="F49" s="36">
        <v>44044</v>
      </c>
      <c r="G49" s="36">
        <v>44773</v>
      </c>
      <c r="H49" s="36">
        <v>44773</v>
      </c>
      <c r="I49" s="36">
        <v>45138</v>
      </c>
      <c r="J49" s="7" t="s">
        <v>1696</v>
      </c>
      <c r="K49" s="8">
        <v>0</v>
      </c>
      <c r="L49" s="8">
        <v>0</v>
      </c>
      <c r="M49" s="8">
        <v>7948.0864320000001</v>
      </c>
      <c r="N49" s="8">
        <v>0</v>
      </c>
      <c r="O49" s="8">
        <v>0</v>
      </c>
      <c r="P49" s="8">
        <v>0</v>
      </c>
      <c r="Q49" s="8">
        <v>0</v>
      </c>
      <c r="R49" s="8">
        <f t="shared" si="0"/>
        <v>7948.0864320000001</v>
      </c>
      <c r="S49" s="8">
        <v>0</v>
      </c>
      <c r="T49" s="8">
        <v>0</v>
      </c>
      <c r="U49" s="8">
        <v>6222.1823999999997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7">
        <v>1.5808219999999999</v>
      </c>
      <c r="AB49" s="8">
        <v>14801.407481</v>
      </c>
      <c r="AC49" s="7">
        <v>1.8029999999999999</v>
      </c>
      <c r="AD49" s="7" t="s">
        <v>1226</v>
      </c>
      <c r="AE49" s="8">
        <v>15029.50086</v>
      </c>
      <c r="AF49" s="8">
        <v>0</v>
      </c>
      <c r="AG49" s="8">
        <v>15029.50086</v>
      </c>
      <c r="AH49" s="8">
        <v>0</v>
      </c>
      <c r="AI49" s="7" t="s">
        <v>1793</v>
      </c>
      <c r="AJ49" s="7">
        <f t="shared" ca="1" si="1"/>
        <v>1</v>
      </c>
      <c r="AL49" s="96">
        <f t="shared" si="12"/>
        <v>4.2196827261491724E-4</v>
      </c>
      <c r="AM49" s="97">
        <f t="shared" si="13"/>
        <v>4.6845029213460343E-4</v>
      </c>
    </row>
    <row r="50" spans="1:39" x14ac:dyDescent="0.3">
      <c r="A50" s="7" t="s">
        <v>1795</v>
      </c>
      <c r="B50" s="7" t="s">
        <v>1320</v>
      </c>
      <c r="C50" s="7" t="s">
        <v>1323</v>
      </c>
      <c r="D50" s="7" t="s">
        <v>1792</v>
      </c>
      <c r="E50" s="7" t="s">
        <v>1322</v>
      </c>
      <c r="F50" s="36">
        <v>44044</v>
      </c>
      <c r="G50" s="36">
        <v>44773</v>
      </c>
      <c r="H50" s="36">
        <v>44773</v>
      </c>
      <c r="I50" s="36">
        <v>45138</v>
      </c>
      <c r="J50" s="7" t="s">
        <v>1696</v>
      </c>
      <c r="K50" s="8">
        <v>0</v>
      </c>
      <c r="L50" s="8">
        <v>0</v>
      </c>
      <c r="M50" s="8">
        <v>7948.0864320000001</v>
      </c>
      <c r="N50" s="8">
        <v>0</v>
      </c>
      <c r="O50" s="8">
        <v>0</v>
      </c>
      <c r="P50" s="8">
        <v>0</v>
      </c>
      <c r="Q50" s="8">
        <v>0</v>
      </c>
      <c r="R50" s="8">
        <f t="shared" si="0"/>
        <v>7948.0864320000001</v>
      </c>
      <c r="S50" s="8">
        <v>0</v>
      </c>
      <c r="T50" s="8">
        <v>0</v>
      </c>
      <c r="U50" s="8">
        <v>6222.1823999999997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7">
        <v>1.5808219999999999</v>
      </c>
      <c r="AB50" s="8">
        <v>14801.407481</v>
      </c>
      <c r="AC50" s="7">
        <v>1.8029999999999999</v>
      </c>
      <c r="AD50" s="7" t="s">
        <v>1226</v>
      </c>
      <c r="AE50" s="8">
        <v>15029.50086</v>
      </c>
      <c r="AF50" s="8">
        <v>0</v>
      </c>
      <c r="AG50" s="8">
        <v>15029.50086</v>
      </c>
      <c r="AH50" s="8">
        <v>0</v>
      </c>
      <c r="AI50" s="7" t="s">
        <v>1793</v>
      </c>
      <c r="AJ50" s="7">
        <f t="shared" ca="1" si="1"/>
        <v>1</v>
      </c>
      <c r="AL50" s="96">
        <f t="shared" si="12"/>
        <v>4.2196827261491724E-4</v>
      </c>
      <c r="AM50" s="97">
        <f t="shared" si="13"/>
        <v>4.6845029213460343E-4</v>
      </c>
    </row>
    <row r="51" spans="1:39" x14ac:dyDescent="0.3">
      <c r="A51" s="7" t="s">
        <v>1796</v>
      </c>
      <c r="B51" s="7" t="s">
        <v>194</v>
      </c>
      <c r="C51" s="7" t="s">
        <v>1323</v>
      </c>
      <c r="D51" s="7" t="s">
        <v>1780</v>
      </c>
      <c r="E51" s="7" t="s">
        <v>1322</v>
      </c>
      <c r="F51" s="36">
        <v>44228</v>
      </c>
      <c r="G51" s="36">
        <v>45322</v>
      </c>
      <c r="H51" s="36">
        <v>45322</v>
      </c>
      <c r="I51" s="36">
        <v>45322</v>
      </c>
      <c r="J51" s="7" t="s">
        <v>1696</v>
      </c>
      <c r="K51" s="8">
        <v>0</v>
      </c>
      <c r="L51" s="8">
        <v>0</v>
      </c>
      <c r="M51" s="8">
        <v>4753.0559999999996</v>
      </c>
      <c r="N51" s="8">
        <v>0</v>
      </c>
      <c r="O51" s="8">
        <v>0</v>
      </c>
      <c r="P51" s="8">
        <v>0</v>
      </c>
      <c r="Q51" s="8">
        <v>0</v>
      </c>
      <c r="R51" s="8">
        <f t="shared" si="0"/>
        <v>4753.0559999999996</v>
      </c>
      <c r="S51" s="8">
        <v>0</v>
      </c>
      <c r="T51" s="8">
        <v>0</v>
      </c>
      <c r="U51" s="8">
        <v>4753.0559999999996</v>
      </c>
      <c r="V51" s="8">
        <v>0</v>
      </c>
      <c r="W51" s="8">
        <v>0</v>
      </c>
      <c r="X51" s="8">
        <v>0</v>
      </c>
      <c r="Y51" s="8">
        <v>14895.399658</v>
      </c>
      <c r="Z51" s="8">
        <v>0</v>
      </c>
      <c r="AA51" s="7">
        <v>2.0849319999999998</v>
      </c>
      <c r="AB51" s="8">
        <v>10485.232709</v>
      </c>
      <c r="AC51" s="7">
        <v>3</v>
      </c>
      <c r="AD51" s="7" t="s">
        <v>1226</v>
      </c>
      <c r="AE51" s="8">
        <v>10802.4</v>
      </c>
      <c r="AF51" s="8">
        <v>0</v>
      </c>
      <c r="AG51" s="8">
        <v>10802.4</v>
      </c>
      <c r="AH51" s="8">
        <v>0</v>
      </c>
      <c r="AI51" s="7" t="s">
        <v>1730</v>
      </c>
      <c r="AJ51" s="7">
        <f t="shared" ca="1" si="1"/>
        <v>1</v>
      </c>
      <c r="AL51" s="96">
        <f t="shared" si="12"/>
        <v>3.9424280900109869E-4</v>
      </c>
      <c r="AM51" s="97">
        <f t="shared" si="13"/>
        <v>5.6022790743323419E-4</v>
      </c>
    </row>
    <row r="52" spans="1:39" x14ac:dyDescent="0.3">
      <c r="A52" s="7" t="s">
        <v>1799</v>
      </c>
      <c r="B52" s="7" t="s">
        <v>1320</v>
      </c>
      <c r="C52" s="7" t="s">
        <v>1756</v>
      </c>
      <c r="D52" s="7" t="s">
        <v>1780</v>
      </c>
      <c r="E52" s="7" t="s">
        <v>1322</v>
      </c>
      <c r="F52" s="36">
        <v>44252</v>
      </c>
      <c r="G52" s="36">
        <v>45346</v>
      </c>
      <c r="H52" s="36">
        <v>45346</v>
      </c>
      <c r="I52" s="36">
        <v>45346</v>
      </c>
      <c r="J52" s="7" t="s">
        <v>1696</v>
      </c>
      <c r="K52" s="8">
        <v>0</v>
      </c>
      <c r="L52" s="8">
        <v>0</v>
      </c>
      <c r="M52" s="8">
        <v>9391.4742839999999</v>
      </c>
      <c r="N52" s="8">
        <v>0</v>
      </c>
      <c r="O52" s="8">
        <v>0</v>
      </c>
      <c r="P52" s="8">
        <v>0</v>
      </c>
      <c r="Q52" s="8">
        <v>0</v>
      </c>
      <c r="R52" s="8">
        <f t="shared" si="0"/>
        <v>9391.4742839999999</v>
      </c>
      <c r="S52" s="8">
        <v>0</v>
      </c>
      <c r="T52" s="8">
        <v>0</v>
      </c>
      <c r="U52" s="8">
        <v>10185.120000000001</v>
      </c>
      <c r="V52" s="8">
        <v>0</v>
      </c>
      <c r="W52" s="8">
        <v>0</v>
      </c>
      <c r="X52" s="8">
        <v>0</v>
      </c>
      <c r="Y52" s="8">
        <v>31918.713554999998</v>
      </c>
      <c r="Z52" s="8">
        <v>0</v>
      </c>
      <c r="AA52" s="7">
        <v>2.1506850000000002</v>
      </c>
      <c r="AB52" s="8">
        <v>22424.97711</v>
      </c>
      <c r="AC52" s="7">
        <v>3</v>
      </c>
      <c r="AD52" s="7" t="s">
        <v>1226</v>
      </c>
      <c r="AE52" s="8">
        <v>23148</v>
      </c>
      <c r="AF52" s="8">
        <v>0</v>
      </c>
      <c r="AG52" s="8">
        <v>23148</v>
      </c>
      <c r="AH52" s="8">
        <v>0</v>
      </c>
      <c r="AI52" s="7" t="s">
        <v>1730</v>
      </c>
      <c r="AJ52" s="7">
        <f t="shared" ca="1" si="1"/>
        <v>1</v>
      </c>
      <c r="AL52" s="96">
        <f t="shared" si="12"/>
        <v>8.6976640000544696E-4</v>
      </c>
      <c r="AM52" s="97">
        <f t="shared" si="13"/>
        <v>1.2004883730712163E-3</v>
      </c>
    </row>
    <row r="53" spans="1:39" x14ac:dyDescent="0.3">
      <c r="A53" s="7" t="s">
        <v>1802</v>
      </c>
      <c r="B53" s="7" t="s">
        <v>1735</v>
      </c>
      <c r="C53" s="7" t="s">
        <v>1323</v>
      </c>
      <c r="D53" s="7" t="s">
        <v>1780</v>
      </c>
      <c r="E53" s="7" t="s">
        <v>1322</v>
      </c>
      <c r="F53" s="36">
        <v>44336</v>
      </c>
      <c r="G53" s="36">
        <v>45431</v>
      </c>
      <c r="H53" s="36">
        <v>45431</v>
      </c>
      <c r="I53" s="36">
        <v>45431</v>
      </c>
      <c r="J53" s="7" t="s">
        <v>1696</v>
      </c>
      <c r="K53" s="8">
        <v>0</v>
      </c>
      <c r="L53" s="8">
        <v>0</v>
      </c>
      <c r="M53" s="8">
        <v>3191.9349659999998</v>
      </c>
      <c r="N53" s="8">
        <v>0</v>
      </c>
      <c r="O53" s="8">
        <v>0</v>
      </c>
      <c r="P53" s="8">
        <v>0</v>
      </c>
      <c r="Q53" s="8">
        <v>0</v>
      </c>
      <c r="R53" s="8">
        <f t="shared" si="0"/>
        <v>3191.9349659999998</v>
      </c>
      <c r="S53" s="8">
        <v>0</v>
      </c>
      <c r="T53" s="8">
        <v>0</v>
      </c>
      <c r="U53" s="8">
        <v>3456.768</v>
      </c>
      <c r="V53" s="8">
        <v>0</v>
      </c>
      <c r="W53" s="8">
        <v>0</v>
      </c>
      <c r="X53" s="8">
        <v>0</v>
      </c>
      <c r="Y53" s="8">
        <v>14895.399658</v>
      </c>
      <c r="Z53" s="8">
        <v>0</v>
      </c>
      <c r="AA53" s="7">
        <v>2.383562</v>
      </c>
      <c r="AB53" s="8">
        <v>11682.160297</v>
      </c>
      <c r="AC53" s="7">
        <v>3</v>
      </c>
      <c r="AD53" s="7" t="s">
        <v>1226</v>
      </c>
      <c r="AE53" s="8">
        <v>12098.688</v>
      </c>
      <c r="AF53" s="8">
        <v>0</v>
      </c>
      <c r="AG53" s="8">
        <v>12098.688</v>
      </c>
      <c r="AH53" s="8">
        <v>0</v>
      </c>
      <c r="AI53" s="7" t="s">
        <v>1730</v>
      </c>
      <c r="AJ53" s="7">
        <f t="shared" ca="1" si="1"/>
        <v>1</v>
      </c>
      <c r="AL53" s="96">
        <f t="shared" si="12"/>
        <v>5.0216151517606413E-4</v>
      </c>
      <c r="AM53" s="97">
        <f t="shared" si="13"/>
        <v>6.2745525632522229E-4</v>
      </c>
    </row>
    <row r="54" spans="1:39" x14ac:dyDescent="0.3">
      <c r="A54" s="7" t="s">
        <v>1803</v>
      </c>
      <c r="B54" s="7" t="s">
        <v>194</v>
      </c>
      <c r="C54" s="7" t="s">
        <v>1323</v>
      </c>
      <c r="D54" s="7" t="s">
        <v>1780</v>
      </c>
      <c r="E54" s="7" t="s">
        <v>1322</v>
      </c>
      <c r="F54" s="36">
        <v>44378</v>
      </c>
      <c r="G54" s="36">
        <v>45473</v>
      </c>
      <c r="H54" s="36">
        <v>45473</v>
      </c>
      <c r="I54" s="36">
        <v>45473</v>
      </c>
      <c r="J54" s="7" t="s">
        <v>1696</v>
      </c>
      <c r="K54" s="8">
        <v>0</v>
      </c>
      <c r="L54" s="8">
        <v>0</v>
      </c>
      <c r="M54" s="8">
        <v>1481.472</v>
      </c>
      <c r="N54" s="8">
        <v>0</v>
      </c>
      <c r="O54" s="8">
        <v>0</v>
      </c>
      <c r="P54" s="8">
        <v>0</v>
      </c>
      <c r="Q54" s="8">
        <v>0</v>
      </c>
      <c r="R54" s="8">
        <f t="shared" si="0"/>
        <v>1481.472</v>
      </c>
      <c r="S54" s="8">
        <v>0</v>
      </c>
      <c r="T54" s="8">
        <v>0</v>
      </c>
      <c r="U54" s="8">
        <v>1481.472</v>
      </c>
      <c r="V54" s="8">
        <v>0</v>
      </c>
      <c r="W54" s="8">
        <v>0</v>
      </c>
      <c r="X54" s="8">
        <v>0</v>
      </c>
      <c r="Y54" s="8">
        <v>8511.6569479999998</v>
      </c>
      <c r="Z54" s="8">
        <v>0</v>
      </c>
      <c r="AA54" s="7">
        <v>2.4986299999999999</v>
      </c>
      <c r="AB54" s="8">
        <v>7145.6434079999999</v>
      </c>
      <c r="AC54" s="7">
        <v>3</v>
      </c>
      <c r="AD54" s="7" t="s">
        <v>1226</v>
      </c>
      <c r="AE54" s="8">
        <v>7407.36</v>
      </c>
      <c r="AF54" s="8">
        <v>0</v>
      </c>
      <c r="AG54" s="8">
        <v>7407.36</v>
      </c>
      <c r="AH54" s="8">
        <v>0</v>
      </c>
      <c r="AI54" s="7" t="s">
        <v>1760</v>
      </c>
      <c r="AJ54" s="7">
        <f t="shared" ca="1" si="1"/>
        <v>1</v>
      </c>
      <c r="AL54" s="96">
        <f t="shared" si="12"/>
        <v>3.2198608351014435E-4</v>
      </c>
      <c r="AM54" s="97">
        <f t="shared" si="13"/>
        <v>3.8415627938278917E-4</v>
      </c>
    </row>
    <row r="55" spans="1:39" x14ac:dyDescent="0.3">
      <c r="A55" s="7" t="s">
        <v>2590</v>
      </c>
      <c r="B55" s="7" t="s">
        <v>1320</v>
      </c>
      <c r="C55" s="7" t="s">
        <v>1805</v>
      </c>
      <c r="D55" s="7" t="s">
        <v>1780</v>
      </c>
      <c r="E55" s="7" t="s">
        <v>1695</v>
      </c>
      <c r="F55" s="36">
        <v>44440</v>
      </c>
      <c r="G55" s="36">
        <v>45169</v>
      </c>
      <c r="H55" s="36">
        <v>44467</v>
      </c>
      <c r="I55" s="36">
        <v>44467</v>
      </c>
      <c r="J55" s="7" t="s">
        <v>1696</v>
      </c>
      <c r="K55" s="8">
        <v>0</v>
      </c>
      <c r="L55" s="8">
        <v>0</v>
      </c>
      <c r="M55" s="8">
        <v>9.3016670000000001</v>
      </c>
      <c r="N55" s="8">
        <v>0</v>
      </c>
      <c r="O55" s="8">
        <v>0</v>
      </c>
      <c r="P55" s="8">
        <v>0</v>
      </c>
      <c r="Q55" s="8">
        <v>0</v>
      </c>
      <c r="R55" s="8">
        <f t="shared" si="0"/>
        <v>9.3016670000000001</v>
      </c>
      <c r="S55" s="8">
        <v>0</v>
      </c>
      <c r="T55" s="8">
        <v>0</v>
      </c>
      <c r="U55" s="8">
        <v>185.184</v>
      </c>
      <c r="V55" s="8">
        <v>0</v>
      </c>
      <c r="W55" s="8">
        <v>0</v>
      </c>
      <c r="X55" s="8">
        <v>0</v>
      </c>
      <c r="Y55" s="8">
        <v>4319.2583789999999</v>
      </c>
      <c r="Z55" s="8">
        <v>-4319.2583789999999</v>
      </c>
      <c r="AA55" s="7">
        <v>0</v>
      </c>
      <c r="AB55" s="8">
        <v>0</v>
      </c>
      <c r="AC55" s="7">
        <v>3</v>
      </c>
      <c r="AD55" s="7" t="s">
        <v>1226</v>
      </c>
      <c r="AE55" s="8">
        <v>0</v>
      </c>
      <c r="AF55" s="8">
        <v>0</v>
      </c>
      <c r="AG55" s="8">
        <v>0</v>
      </c>
      <c r="AH55" s="8">
        <v>0</v>
      </c>
      <c r="AI55" s="7" t="s">
        <v>1730</v>
      </c>
      <c r="AJ55" s="7">
        <f t="shared" ca="1" si="1"/>
        <v>1</v>
      </c>
      <c r="AL55" s="96">
        <f t="shared" si="12"/>
        <v>0</v>
      </c>
      <c r="AM55" s="97">
        <f t="shared" si="13"/>
        <v>0</v>
      </c>
    </row>
    <row r="56" spans="1:39" x14ac:dyDescent="0.3">
      <c r="A56" s="7" t="s">
        <v>1808</v>
      </c>
      <c r="B56" s="7" t="s">
        <v>194</v>
      </c>
      <c r="C56" s="7" t="s">
        <v>1805</v>
      </c>
      <c r="D56" s="7" t="s">
        <v>1780</v>
      </c>
      <c r="E56" s="7" t="s">
        <v>1322</v>
      </c>
      <c r="F56" s="36">
        <v>44256</v>
      </c>
      <c r="G56" s="36">
        <v>45351</v>
      </c>
      <c r="H56" s="36">
        <v>45351</v>
      </c>
      <c r="I56" s="36">
        <v>45351</v>
      </c>
      <c r="J56" s="7" t="s">
        <v>1696</v>
      </c>
      <c r="K56" s="8">
        <v>0</v>
      </c>
      <c r="L56" s="8">
        <v>0</v>
      </c>
      <c r="M56" s="8">
        <v>4868.2012000000004</v>
      </c>
      <c r="N56" s="8">
        <v>0</v>
      </c>
      <c r="O56" s="8">
        <v>0</v>
      </c>
      <c r="P56" s="8">
        <v>0</v>
      </c>
      <c r="Q56" s="8">
        <v>0</v>
      </c>
      <c r="R56" s="8">
        <f t="shared" si="0"/>
        <v>4868.2012000000004</v>
      </c>
      <c r="S56" s="8">
        <v>0</v>
      </c>
      <c r="T56" s="8">
        <v>0</v>
      </c>
      <c r="U56" s="8">
        <v>4868.2012000000004</v>
      </c>
      <c r="V56" s="8">
        <v>0</v>
      </c>
      <c r="W56" s="8">
        <v>0</v>
      </c>
      <c r="X56" s="8">
        <v>0</v>
      </c>
      <c r="Y56" s="8">
        <v>16781.873124000002</v>
      </c>
      <c r="Z56" s="8">
        <v>0</v>
      </c>
      <c r="AA56" s="7">
        <v>2.1643840000000001</v>
      </c>
      <c r="AB56" s="8">
        <v>12270.527939</v>
      </c>
      <c r="AC56" s="7">
        <v>3</v>
      </c>
      <c r="AD56" s="7" t="s">
        <v>1226</v>
      </c>
      <c r="AE56" s="8">
        <v>12657.323119999999</v>
      </c>
      <c r="AF56" s="8">
        <v>0</v>
      </c>
      <c r="AG56" s="8">
        <v>12657.323119999999</v>
      </c>
      <c r="AH56" s="8">
        <v>0</v>
      </c>
      <c r="AI56" s="7" t="s">
        <v>1730</v>
      </c>
      <c r="AJ56" s="7">
        <f t="shared" ca="1" si="1"/>
        <v>1</v>
      </c>
      <c r="AL56" s="96">
        <f t="shared" si="12"/>
        <v>4.7895132084529367E-4</v>
      </c>
      <c r="AM56" s="97">
        <f t="shared" si="13"/>
        <v>6.5642687228985178E-4</v>
      </c>
    </row>
    <row r="57" spans="1:39" x14ac:dyDescent="0.3">
      <c r="A57" s="7" t="s">
        <v>1809</v>
      </c>
      <c r="B57" s="7" t="s">
        <v>194</v>
      </c>
      <c r="C57" s="7" t="s">
        <v>1756</v>
      </c>
      <c r="D57" s="7" t="s">
        <v>1780</v>
      </c>
      <c r="E57" s="7" t="s">
        <v>1739</v>
      </c>
      <c r="F57" s="36">
        <v>44287</v>
      </c>
      <c r="G57" s="36">
        <v>45382</v>
      </c>
      <c r="I57" s="36">
        <v>44620</v>
      </c>
      <c r="J57" s="7" t="s">
        <v>1696</v>
      </c>
      <c r="K57" s="8">
        <v>0</v>
      </c>
      <c r="L57" s="8">
        <v>0</v>
      </c>
      <c r="M57" s="8">
        <v>733.018777</v>
      </c>
      <c r="N57" s="8">
        <v>0</v>
      </c>
      <c r="O57" s="8">
        <v>0</v>
      </c>
      <c r="P57" s="8">
        <v>-255</v>
      </c>
      <c r="Q57" s="8">
        <v>0</v>
      </c>
      <c r="R57" s="8">
        <f t="shared" si="0"/>
        <v>478.018777</v>
      </c>
      <c r="S57" s="8">
        <v>0</v>
      </c>
      <c r="T57" s="8">
        <v>0</v>
      </c>
      <c r="U57" s="8">
        <v>2432.1</v>
      </c>
      <c r="V57" s="8">
        <v>0</v>
      </c>
      <c r="W57" s="8">
        <v>-255</v>
      </c>
      <c r="X57" s="8">
        <v>0</v>
      </c>
      <c r="Y57" s="8">
        <v>1425.881114</v>
      </c>
      <c r="Z57" s="8">
        <v>1472.1848620000001</v>
      </c>
      <c r="AA57" s="7">
        <v>0.16164400000000001</v>
      </c>
      <c r="AB57" s="8">
        <v>499.37655899999999</v>
      </c>
      <c r="AC57" s="7">
        <v>3</v>
      </c>
      <c r="AD57" s="7" t="s">
        <v>1226</v>
      </c>
      <c r="AE57" s="8">
        <v>500</v>
      </c>
      <c r="AF57" s="8">
        <v>0</v>
      </c>
      <c r="AG57" s="8">
        <v>500</v>
      </c>
      <c r="AH57" s="8">
        <v>0</v>
      </c>
      <c r="AI57" s="7" t="s">
        <v>1730</v>
      </c>
      <c r="AJ57" s="7">
        <f t="shared" ca="1" si="1"/>
        <v>1</v>
      </c>
      <c r="AL57" s="96">
        <f t="shared" si="12"/>
        <v>1.4557324169327613E-6</v>
      </c>
      <c r="AM57" s="97">
        <f t="shared" si="13"/>
        <v>2.5930714814913086E-5</v>
      </c>
    </row>
    <row r="58" spans="1:39" x14ac:dyDescent="0.3">
      <c r="A58" s="7" t="s">
        <v>1810</v>
      </c>
      <c r="B58" s="7" t="s">
        <v>194</v>
      </c>
      <c r="C58" s="7" t="s">
        <v>1323</v>
      </c>
      <c r="D58" s="7" t="s">
        <v>1780</v>
      </c>
      <c r="E58" s="7" t="s">
        <v>1322</v>
      </c>
      <c r="F58" s="36">
        <v>44256</v>
      </c>
      <c r="G58" s="36">
        <v>45351</v>
      </c>
      <c r="H58" s="36">
        <v>45351</v>
      </c>
      <c r="I58" s="36">
        <v>45351</v>
      </c>
      <c r="J58" s="7" t="s">
        <v>1696</v>
      </c>
      <c r="K58" s="8">
        <v>0</v>
      </c>
      <c r="L58" s="8">
        <v>0</v>
      </c>
      <c r="M58" s="8">
        <v>4629.6000000000004</v>
      </c>
      <c r="N58" s="8">
        <v>0</v>
      </c>
      <c r="O58" s="8">
        <v>0</v>
      </c>
      <c r="P58" s="8">
        <v>0</v>
      </c>
      <c r="Q58" s="8">
        <v>0</v>
      </c>
      <c r="R58" s="8">
        <f t="shared" si="0"/>
        <v>4629.6000000000004</v>
      </c>
      <c r="S58" s="8">
        <v>0</v>
      </c>
      <c r="T58" s="8">
        <v>0</v>
      </c>
      <c r="U58" s="8">
        <v>4629.6000000000004</v>
      </c>
      <c r="V58" s="8">
        <v>0</v>
      </c>
      <c r="W58" s="8">
        <v>0</v>
      </c>
      <c r="X58" s="8">
        <v>0</v>
      </c>
      <c r="Y58" s="8">
        <v>15959.356777000001</v>
      </c>
      <c r="Z58" s="8">
        <v>0</v>
      </c>
      <c r="AA58" s="7">
        <v>2.1643840000000001</v>
      </c>
      <c r="AB58" s="8">
        <v>11669.122497</v>
      </c>
      <c r="AC58" s="7">
        <v>3</v>
      </c>
      <c r="AD58" s="7" t="s">
        <v>1226</v>
      </c>
      <c r="AE58" s="8">
        <v>12036.96</v>
      </c>
      <c r="AF58" s="8">
        <v>0</v>
      </c>
      <c r="AG58" s="8">
        <v>12036.96</v>
      </c>
      <c r="AH58" s="8">
        <v>0</v>
      </c>
      <c r="AI58" s="7" t="s">
        <v>1730</v>
      </c>
      <c r="AJ58" s="7">
        <f t="shared" ca="1" si="1"/>
        <v>1</v>
      </c>
      <c r="AL58" s="96">
        <f t="shared" si="12"/>
        <v>4.5547686789254468E-4</v>
      </c>
      <c r="AM58" s="97">
        <f t="shared" si="13"/>
        <v>6.2425395399703237E-4</v>
      </c>
    </row>
    <row r="59" spans="1:39" x14ac:dyDescent="0.3">
      <c r="A59" s="7" t="s">
        <v>1812</v>
      </c>
      <c r="B59" s="7" t="s">
        <v>194</v>
      </c>
      <c r="C59" s="7" t="s">
        <v>1323</v>
      </c>
      <c r="D59" s="7" t="s">
        <v>1780</v>
      </c>
      <c r="E59" s="7" t="s">
        <v>1322</v>
      </c>
      <c r="F59" s="36">
        <v>44256</v>
      </c>
      <c r="G59" s="36">
        <v>45351</v>
      </c>
      <c r="H59" s="36">
        <v>45351</v>
      </c>
      <c r="I59" s="36">
        <v>45351</v>
      </c>
      <c r="J59" s="7" t="s">
        <v>1696</v>
      </c>
      <c r="K59" s="8">
        <v>0</v>
      </c>
      <c r="L59" s="8">
        <v>0</v>
      </c>
      <c r="M59" s="8">
        <v>4506.1440000000002</v>
      </c>
      <c r="N59" s="8">
        <v>0</v>
      </c>
      <c r="O59" s="8">
        <v>0</v>
      </c>
      <c r="P59" s="8">
        <v>0</v>
      </c>
      <c r="Q59" s="8">
        <v>0</v>
      </c>
      <c r="R59" s="8">
        <f t="shared" si="0"/>
        <v>4506.1440000000002</v>
      </c>
      <c r="S59" s="8">
        <v>0</v>
      </c>
      <c r="T59" s="8">
        <v>0</v>
      </c>
      <c r="U59" s="8">
        <v>4506.1440000000002</v>
      </c>
      <c r="V59" s="8">
        <v>0</v>
      </c>
      <c r="W59" s="8">
        <v>0</v>
      </c>
      <c r="X59" s="8">
        <v>0</v>
      </c>
      <c r="Y59" s="8">
        <v>15533.773929999999</v>
      </c>
      <c r="Z59" s="8">
        <v>0</v>
      </c>
      <c r="AA59" s="7">
        <v>2.1643840000000001</v>
      </c>
      <c r="AB59" s="8">
        <v>11357.945900000001</v>
      </c>
      <c r="AC59" s="7">
        <v>3</v>
      </c>
      <c r="AD59" s="7" t="s">
        <v>1226</v>
      </c>
      <c r="AE59" s="8">
        <v>11715.974399999999</v>
      </c>
      <c r="AF59" s="8">
        <v>0</v>
      </c>
      <c r="AG59" s="8">
        <v>11715.974399999999</v>
      </c>
      <c r="AH59" s="8">
        <v>0</v>
      </c>
      <c r="AI59" s="7" t="s">
        <v>1730</v>
      </c>
      <c r="AJ59" s="7">
        <f t="shared" ca="1" si="1"/>
        <v>1</v>
      </c>
      <c r="AL59" s="96">
        <f t="shared" si="12"/>
        <v>4.4333081819605217E-4</v>
      </c>
      <c r="AM59" s="97">
        <f t="shared" si="13"/>
        <v>6.0760718189044479E-4</v>
      </c>
    </row>
    <row r="60" spans="1:39" x14ac:dyDescent="0.3">
      <c r="A60" s="7" t="s">
        <v>1813</v>
      </c>
      <c r="B60" s="7" t="s">
        <v>194</v>
      </c>
      <c r="C60" s="7" t="s">
        <v>1323</v>
      </c>
      <c r="D60" s="7" t="s">
        <v>1780</v>
      </c>
      <c r="E60" s="7" t="s">
        <v>1750</v>
      </c>
      <c r="F60" s="36">
        <v>44256</v>
      </c>
      <c r="G60" s="36">
        <v>45351</v>
      </c>
      <c r="H60" s="36">
        <v>45016</v>
      </c>
      <c r="I60" s="36">
        <v>45351</v>
      </c>
      <c r="J60" s="7" t="s">
        <v>1696</v>
      </c>
      <c r="K60" s="8">
        <v>0</v>
      </c>
      <c r="L60" s="8">
        <v>0</v>
      </c>
      <c r="M60" s="8">
        <v>4135.8</v>
      </c>
      <c r="N60" s="8">
        <v>0</v>
      </c>
      <c r="O60" s="8">
        <v>0</v>
      </c>
      <c r="P60" s="8">
        <v>0</v>
      </c>
      <c r="Q60" s="8">
        <v>0</v>
      </c>
      <c r="R60" s="8">
        <f t="shared" si="0"/>
        <v>4135.8</v>
      </c>
      <c r="S60" s="8">
        <v>0</v>
      </c>
      <c r="T60" s="8">
        <v>0</v>
      </c>
      <c r="U60" s="8">
        <v>4040.74</v>
      </c>
      <c r="V60" s="8">
        <v>0</v>
      </c>
      <c r="W60" s="8">
        <v>0</v>
      </c>
      <c r="X60" s="8">
        <v>0</v>
      </c>
      <c r="Y60" s="8">
        <v>14245.523346</v>
      </c>
      <c r="Z60" s="8">
        <v>0</v>
      </c>
      <c r="AA60" s="7">
        <v>2.1643840000000001</v>
      </c>
      <c r="AB60" s="8">
        <v>10508.510205</v>
      </c>
      <c r="AC60" s="7">
        <v>3</v>
      </c>
      <c r="AD60" s="7" t="s">
        <v>1697</v>
      </c>
      <c r="AE60" s="8">
        <v>10848.14</v>
      </c>
      <c r="AF60" s="8">
        <v>0</v>
      </c>
      <c r="AG60" s="8">
        <v>10848.14</v>
      </c>
      <c r="AH60" s="8">
        <v>0</v>
      </c>
      <c r="AI60" s="7" t="s">
        <v>1730</v>
      </c>
      <c r="AJ60" s="7">
        <f t="shared" ca="1" si="1"/>
        <v>1</v>
      </c>
      <c r="AL60" s="96">
        <f t="shared" si="12"/>
        <v>4.1017508519777454E-4</v>
      </c>
      <c r="AM60" s="97">
        <f t="shared" si="13"/>
        <v>5.6260004922450242E-4</v>
      </c>
    </row>
    <row r="61" spans="1:39" x14ac:dyDescent="0.3">
      <c r="A61" s="7" t="s">
        <v>1814</v>
      </c>
      <c r="B61" s="7" t="s">
        <v>1735</v>
      </c>
      <c r="C61" s="7" t="s">
        <v>1805</v>
      </c>
      <c r="D61" s="7" t="s">
        <v>1780</v>
      </c>
      <c r="E61" s="7" t="s">
        <v>1322</v>
      </c>
      <c r="F61" s="36">
        <v>44286</v>
      </c>
      <c r="G61" s="36">
        <v>45381</v>
      </c>
      <c r="H61" s="36">
        <v>45381</v>
      </c>
      <c r="I61" s="36">
        <v>45381</v>
      </c>
      <c r="J61" s="7" t="s">
        <v>1696</v>
      </c>
      <c r="K61" s="8">
        <v>0</v>
      </c>
      <c r="L61" s="8">
        <v>0</v>
      </c>
      <c r="M61" s="8">
        <v>7839.3677379999999</v>
      </c>
      <c r="N61" s="8">
        <v>0</v>
      </c>
      <c r="O61" s="8">
        <v>0</v>
      </c>
      <c r="P61" s="8">
        <v>0</v>
      </c>
      <c r="Q61" s="8">
        <v>0</v>
      </c>
      <c r="R61" s="8">
        <f t="shared" si="0"/>
        <v>7839.3677379999999</v>
      </c>
      <c r="S61" s="8">
        <v>0</v>
      </c>
      <c r="T61" s="8">
        <v>0</v>
      </c>
      <c r="U61" s="8">
        <v>8679.2999999999993</v>
      </c>
      <c r="V61" s="8">
        <v>0</v>
      </c>
      <c r="W61" s="8">
        <v>0</v>
      </c>
      <c r="X61" s="8">
        <v>0</v>
      </c>
      <c r="Y61" s="8">
        <v>29919.657264000001</v>
      </c>
      <c r="Z61" s="8">
        <v>0</v>
      </c>
      <c r="AA61" s="7">
        <v>2.246575</v>
      </c>
      <c r="AB61" s="8">
        <v>21823.784800000001</v>
      </c>
      <c r="AC61" s="7">
        <v>3</v>
      </c>
      <c r="AD61" s="7" t="s">
        <v>1226</v>
      </c>
      <c r="AE61" s="8">
        <v>22566.18</v>
      </c>
      <c r="AF61" s="8">
        <v>0</v>
      </c>
      <c r="AG61" s="8">
        <v>22566.18</v>
      </c>
      <c r="AH61" s="8">
        <v>0</v>
      </c>
      <c r="AI61" s="7" t="s">
        <v>1730</v>
      </c>
      <c r="AJ61" s="7">
        <f t="shared" ca="1" si="1"/>
        <v>1</v>
      </c>
      <c r="AL61" s="96">
        <f t="shared" si="12"/>
        <v>8.841883819989398E-4</v>
      </c>
      <c r="AM61" s="97">
        <f t="shared" si="13"/>
        <v>1.1703143560839906E-3</v>
      </c>
    </row>
    <row r="62" spans="1:39" x14ac:dyDescent="0.3">
      <c r="A62" s="7" t="s">
        <v>1816</v>
      </c>
      <c r="B62" s="7" t="s">
        <v>1735</v>
      </c>
      <c r="C62" s="7" t="s">
        <v>1323</v>
      </c>
      <c r="D62" s="7" t="s">
        <v>1780</v>
      </c>
      <c r="E62" s="7" t="s">
        <v>1322</v>
      </c>
      <c r="F62" s="36">
        <v>44393</v>
      </c>
      <c r="G62" s="36">
        <v>45122</v>
      </c>
      <c r="H62" s="36">
        <v>45122</v>
      </c>
      <c r="I62" s="36">
        <v>45122</v>
      </c>
      <c r="J62" s="7" t="s">
        <v>1696</v>
      </c>
      <c r="K62" s="8">
        <v>0</v>
      </c>
      <c r="L62" s="8">
        <v>0</v>
      </c>
      <c r="M62" s="8">
        <v>2383.519354</v>
      </c>
      <c r="N62" s="8">
        <v>0</v>
      </c>
      <c r="O62" s="8">
        <v>0</v>
      </c>
      <c r="P62" s="8">
        <v>0</v>
      </c>
      <c r="Q62" s="8">
        <v>0</v>
      </c>
      <c r="R62" s="8">
        <f t="shared" si="0"/>
        <v>2383.519354</v>
      </c>
      <c r="S62" s="8">
        <v>0</v>
      </c>
      <c r="T62" s="8">
        <v>0</v>
      </c>
      <c r="U62" s="8">
        <v>2592.6</v>
      </c>
      <c r="V62" s="8">
        <v>0</v>
      </c>
      <c r="W62" s="8">
        <v>0</v>
      </c>
      <c r="X62" s="8">
        <v>0</v>
      </c>
      <c r="Y62" s="8">
        <v>10146.580324</v>
      </c>
      <c r="Z62" s="8">
        <v>0</v>
      </c>
      <c r="AA62" s="7">
        <v>1.536986</v>
      </c>
      <c r="AB62" s="8">
        <v>7646.2082339999997</v>
      </c>
      <c r="AC62" s="7">
        <v>2.2879999999999998</v>
      </c>
      <c r="AD62" s="7" t="s">
        <v>1226</v>
      </c>
      <c r="AE62" s="8">
        <v>7777.8</v>
      </c>
      <c r="AF62" s="8">
        <v>0</v>
      </c>
      <c r="AG62" s="8">
        <v>7777.8</v>
      </c>
      <c r="AH62" s="8">
        <v>0</v>
      </c>
      <c r="AI62" s="7" t="s">
        <v>1730</v>
      </c>
      <c r="AJ62" s="7">
        <f t="shared" ca="1" si="1"/>
        <v>1</v>
      </c>
      <c r="AL62" s="96">
        <f t="shared" si="12"/>
        <v>2.1193849438091533E-4</v>
      </c>
      <c r="AM62" s="97">
        <f t="shared" si="13"/>
        <v>3.0763519634456138E-4</v>
      </c>
    </row>
    <row r="63" spans="1:39" x14ac:dyDescent="0.3">
      <c r="A63" s="7" t="s">
        <v>1817</v>
      </c>
      <c r="B63" s="7" t="s">
        <v>1735</v>
      </c>
      <c r="C63" s="7" t="s">
        <v>1756</v>
      </c>
      <c r="D63" s="7" t="s">
        <v>1780</v>
      </c>
      <c r="E63" s="7" t="s">
        <v>1322</v>
      </c>
      <c r="F63" s="36">
        <v>44298</v>
      </c>
      <c r="G63" s="36">
        <v>45393</v>
      </c>
      <c r="H63" s="36">
        <v>45393</v>
      </c>
      <c r="I63" s="36">
        <v>45393</v>
      </c>
      <c r="J63" s="7" t="s">
        <v>1696</v>
      </c>
      <c r="K63" s="8">
        <v>0</v>
      </c>
      <c r="L63" s="8">
        <v>0</v>
      </c>
      <c r="M63" s="8">
        <v>447.236041</v>
      </c>
      <c r="N63" s="8">
        <v>0</v>
      </c>
      <c r="O63" s="8">
        <v>0</v>
      </c>
      <c r="P63" s="8">
        <v>0</v>
      </c>
      <c r="Q63" s="8">
        <v>0</v>
      </c>
      <c r="R63" s="8">
        <f t="shared" si="0"/>
        <v>447.236041</v>
      </c>
      <c r="S63" s="8">
        <v>0</v>
      </c>
      <c r="T63" s="8">
        <v>0</v>
      </c>
      <c r="U63" s="8">
        <v>466.66368</v>
      </c>
      <c r="V63" s="8">
        <v>0</v>
      </c>
      <c r="W63" s="8">
        <v>0</v>
      </c>
      <c r="X63" s="8">
        <v>0</v>
      </c>
      <c r="Y63" s="8">
        <v>0</v>
      </c>
      <c r="Z63" s="8">
        <v>1787.9952800000001</v>
      </c>
      <c r="AA63" s="7">
        <v>2.279452</v>
      </c>
      <c r="AB63" s="8">
        <v>1354.3345380000001</v>
      </c>
      <c r="AC63" s="7">
        <v>3</v>
      </c>
      <c r="AD63" s="7" t="s">
        <v>1226</v>
      </c>
      <c r="AE63" s="8">
        <v>1399.9910400000001</v>
      </c>
      <c r="AF63" s="8">
        <v>0</v>
      </c>
      <c r="AG63" s="8">
        <v>1399.9910400000001</v>
      </c>
      <c r="AH63" s="8">
        <v>0</v>
      </c>
      <c r="AI63" s="7" t="s">
        <v>1781</v>
      </c>
      <c r="AJ63" s="7">
        <f t="shared" ca="1" si="1"/>
        <v>1</v>
      </c>
      <c r="AL63" s="96">
        <f t="shared" si="12"/>
        <v>5.5673716955595946E-5</v>
      </c>
      <c r="AM63" s="97">
        <f t="shared" si="13"/>
        <v>7.2605536803347162E-5</v>
      </c>
    </row>
    <row r="64" spans="1:39" x14ac:dyDescent="0.3">
      <c r="A64" s="7" t="s">
        <v>1818</v>
      </c>
      <c r="B64" s="7" t="s">
        <v>1735</v>
      </c>
      <c r="C64" s="7" t="s">
        <v>1756</v>
      </c>
      <c r="D64" s="7" t="s">
        <v>1780</v>
      </c>
      <c r="E64" s="7" t="s">
        <v>1322</v>
      </c>
      <c r="F64" s="36">
        <v>44298</v>
      </c>
      <c r="G64" s="36">
        <v>45393</v>
      </c>
      <c r="H64" s="36">
        <v>45393</v>
      </c>
      <c r="I64" s="36">
        <v>45393</v>
      </c>
      <c r="J64" s="7" t="s">
        <v>1696</v>
      </c>
      <c r="K64" s="8">
        <v>0</v>
      </c>
      <c r="L64" s="8">
        <v>0</v>
      </c>
      <c r="M64" s="8">
        <v>392.49434100000002</v>
      </c>
      <c r="N64" s="8">
        <v>0</v>
      </c>
      <c r="O64" s="8">
        <v>0</v>
      </c>
      <c r="P64" s="8">
        <v>0</v>
      </c>
      <c r="Q64" s="8">
        <v>0</v>
      </c>
      <c r="R64" s="8">
        <f t="shared" si="0"/>
        <v>392.49434100000002</v>
      </c>
      <c r="S64" s="8">
        <v>0</v>
      </c>
      <c r="T64" s="8">
        <v>0</v>
      </c>
      <c r="U64" s="8">
        <v>433.33055999999999</v>
      </c>
      <c r="V64" s="8">
        <v>0</v>
      </c>
      <c r="W64" s="8">
        <v>0</v>
      </c>
      <c r="X64" s="8">
        <v>0</v>
      </c>
      <c r="Y64" s="8">
        <v>0</v>
      </c>
      <c r="Z64" s="8">
        <v>1690.266738</v>
      </c>
      <c r="AA64" s="7">
        <v>2.279452</v>
      </c>
      <c r="AB64" s="8">
        <v>1257.5963609999999</v>
      </c>
      <c r="AC64" s="7">
        <v>3</v>
      </c>
      <c r="AD64" s="7" t="s">
        <v>1226</v>
      </c>
      <c r="AE64" s="8">
        <v>1299.9916800000001</v>
      </c>
      <c r="AF64" s="8">
        <v>0</v>
      </c>
      <c r="AG64" s="8">
        <v>1299.9916800000001</v>
      </c>
      <c r="AH64" s="8">
        <v>0</v>
      </c>
      <c r="AI64" s="7" t="s">
        <v>1781</v>
      </c>
      <c r="AJ64" s="7">
        <f t="shared" ca="1" si="1"/>
        <v>1</v>
      </c>
      <c r="AL64" s="96">
        <f t="shared" si="12"/>
        <v>5.1697023063515382E-5</v>
      </c>
      <c r="AM64" s="97">
        <f t="shared" si="13"/>
        <v>6.7419427031679507E-5</v>
      </c>
    </row>
    <row r="65" spans="1:39" x14ac:dyDescent="0.3">
      <c r="A65" s="7" t="s">
        <v>1819</v>
      </c>
      <c r="B65" s="7" t="s">
        <v>1735</v>
      </c>
      <c r="C65" s="7" t="s">
        <v>1756</v>
      </c>
      <c r="D65" s="7" t="s">
        <v>1780</v>
      </c>
      <c r="E65" s="7" t="s">
        <v>1322</v>
      </c>
      <c r="F65" s="36">
        <v>44298</v>
      </c>
      <c r="G65" s="36">
        <v>45027</v>
      </c>
      <c r="H65" s="36">
        <v>45027</v>
      </c>
      <c r="I65" s="36">
        <v>45027</v>
      </c>
      <c r="J65" s="7" t="s">
        <v>1696</v>
      </c>
      <c r="K65" s="8">
        <v>0</v>
      </c>
      <c r="L65" s="8">
        <v>0</v>
      </c>
      <c r="M65" s="8">
        <v>365.68041299999999</v>
      </c>
      <c r="N65" s="8">
        <v>0</v>
      </c>
      <c r="O65" s="8">
        <v>0</v>
      </c>
      <c r="P65" s="8">
        <v>0</v>
      </c>
      <c r="Q65" s="8">
        <v>0</v>
      </c>
      <c r="R65" s="8">
        <f t="shared" si="0"/>
        <v>365.68041299999999</v>
      </c>
      <c r="S65" s="8">
        <v>0</v>
      </c>
      <c r="T65" s="8">
        <v>0</v>
      </c>
      <c r="U65" s="8">
        <v>399.99743999999998</v>
      </c>
      <c r="V65" s="8">
        <v>0</v>
      </c>
      <c r="W65" s="8">
        <v>0</v>
      </c>
      <c r="X65" s="8">
        <v>0</v>
      </c>
      <c r="Y65" s="8">
        <v>0</v>
      </c>
      <c r="Z65" s="8">
        <v>1071.78657</v>
      </c>
      <c r="AA65" s="7">
        <v>1.2767120000000001</v>
      </c>
      <c r="AB65" s="8">
        <v>657.41020200000003</v>
      </c>
      <c r="AC65" s="7">
        <v>2.2879999999999998</v>
      </c>
      <c r="AD65" s="7" t="s">
        <v>1226</v>
      </c>
      <c r="AE65" s="8">
        <v>666.66240000000005</v>
      </c>
      <c r="AF65" s="8">
        <v>0</v>
      </c>
      <c r="AG65" s="8">
        <v>666.66240000000005</v>
      </c>
      <c r="AH65" s="8">
        <v>0</v>
      </c>
      <c r="AI65" s="7" t="s">
        <v>1781</v>
      </c>
      <c r="AJ65" s="7">
        <f t="shared" ca="1" si="1"/>
        <v>1</v>
      </c>
      <c r="AL65" s="96">
        <f t="shared" si="12"/>
        <v>1.5136420758775908E-5</v>
      </c>
      <c r="AM65" s="97">
        <f t="shared" si="13"/>
        <v>2.6368487016834649E-5</v>
      </c>
    </row>
    <row r="66" spans="1:39" x14ac:dyDescent="0.3">
      <c r="A66" s="7" t="s">
        <v>1820</v>
      </c>
      <c r="B66" s="7" t="s">
        <v>1735</v>
      </c>
      <c r="C66" s="7" t="s">
        <v>1756</v>
      </c>
      <c r="D66" s="7" t="s">
        <v>1780</v>
      </c>
      <c r="E66" s="7" t="s">
        <v>1322</v>
      </c>
      <c r="F66" s="36">
        <v>44298</v>
      </c>
      <c r="G66" s="36">
        <v>45758</v>
      </c>
      <c r="H66" s="36">
        <v>45758</v>
      </c>
      <c r="I66" s="36">
        <v>45758</v>
      </c>
      <c r="J66" s="7" t="s">
        <v>1239</v>
      </c>
      <c r="K66" s="8">
        <v>306.083688</v>
      </c>
      <c r="L66" s="8">
        <v>21.763293000000001</v>
      </c>
      <c r="M66" s="8">
        <v>0</v>
      </c>
      <c r="N66" s="8">
        <v>-25.802303999999999</v>
      </c>
      <c r="O66" s="8">
        <v>0</v>
      </c>
      <c r="P66" s="8">
        <v>0</v>
      </c>
      <c r="Q66" s="8">
        <v>0</v>
      </c>
      <c r="R66" s="8">
        <f t="shared" si="0"/>
        <v>302.04467699999998</v>
      </c>
      <c r="S66" s="8">
        <v>0</v>
      </c>
      <c r="T66" s="8">
        <v>20.290641000000001</v>
      </c>
      <c r="U66" s="8">
        <v>0</v>
      </c>
      <c r="V66" s="8">
        <v>306.40935899999999</v>
      </c>
      <c r="W66" s="8">
        <v>0</v>
      </c>
      <c r="X66" s="8">
        <v>0</v>
      </c>
      <c r="Y66" s="8">
        <v>0</v>
      </c>
      <c r="Z66" s="8">
        <v>1701.778002</v>
      </c>
      <c r="AA66" s="7">
        <v>3.279452</v>
      </c>
      <c r="AB66" s="8">
        <v>1369.566339</v>
      </c>
      <c r="AC66" s="7">
        <v>2</v>
      </c>
      <c r="AD66" s="7" t="s">
        <v>1226</v>
      </c>
      <c r="AE66" s="8">
        <v>1415.7</v>
      </c>
      <c r="AF66" s="8">
        <v>0</v>
      </c>
      <c r="AG66" s="8">
        <v>1415.7</v>
      </c>
      <c r="AH66" s="8">
        <v>0</v>
      </c>
      <c r="AI66" s="7" t="s">
        <v>1781</v>
      </c>
      <c r="AJ66" s="7">
        <f t="shared" ca="1" si="1"/>
        <v>1</v>
      </c>
      <c r="AL66" s="96">
        <f t="shared" si="4"/>
        <v>2.6929236918624814E-5</v>
      </c>
      <c r="AM66" s="97">
        <f t="shared" si="5"/>
        <v>1.8427225978002537E-5</v>
      </c>
    </row>
    <row r="67" spans="1:39" x14ac:dyDescent="0.3">
      <c r="A67" s="7" t="s">
        <v>1821</v>
      </c>
      <c r="B67" s="7" t="s">
        <v>1320</v>
      </c>
      <c r="C67" s="7" t="s">
        <v>1323</v>
      </c>
      <c r="D67" s="7" t="s">
        <v>1780</v>
      </c>
      <c r="E67" s="7" t="s">
        <v>1322</v>
      </c>
      <c r="F67" s="36">
        <v>44440</v>
      </c>
      <c r="G67" s="36">
        <v>46265</v>
      </c>
      <c r="H67" s="36">
        <v>46265</v>
      </c>
      <c r="I67" s="36">
        <v>46265</v>
      </c>
      <c r="J67" s="7" t="s">
        <v>1696</v>
      </c>
      <c r="K67" s="8">
        <v>0</v>
      </c>
      <c r="L67" s="8">
        <v>0</v>
      </c>
      <c r="M67" s="8">
        <v>24208.210408999999</v>
      </c>
      <c r="N67" s="8">
        <v>0</v>
      </c>
      <c r="O67" s="8">
        <v>0</v>
      </c>
      <c r="P67" s="8">
        <v>0</v>
      </c>
      <c r="Q67" s="8">
        <v>0</v>
      </c>
      <c r="R67" s="8">
        <f t="shared" ref="R67:R130" si="14">K67+L67+M67+N67+O67+P67+Q67</f>
        <v>24208.210408999999</v>
      </c>
      <c r="S67" s="8">
        <v>0</v>
      </c>
      <c r="T67" s="8">
        <v>0</v>
      </c>
      <c r="U67" s="8">
        <v>24691.360000000001</v>
      </c>
      <c r="V67" s="8">
        <v>0</v>
      </c>
      <c r="W67" s="8">
        <v>0</v>
      </c>
      <c r="X67" s="8">
        <v>0</v>
      </c>
      <c r="Y67" s="8">
        <v>352648.558342</v>
      </c>
      <c r="Z67" s="8">
        <v>0</v>
      </c>
      <c r="AA67" s="7">
        <v>4.6684929999999998</v>
      </c>
      <c r="AB67" s="8">
        <v>335448.63827900001</v>
      </c>
      <c r="AC67" s="7">
        <v>2.181667</v>
      </c>
      <c r="AD67" s="7" t="s">
        <v>1226</v>
      </c>
      <c r="AE67" s="8">
        <v>352656.8</v>
      </c>
      <c r="AF67" s="8">
        <v>0</v>
      </c>
      <c r="AG67" s="8">
        <v>352656.8</v>
      </c>
      <c r="AH67" s="8">
        <v>0</v>
      </c>
      <c r="AI67" s="7" t="s">
        <v>1758</v>
      </c>
      <c r="AJ67" s="7">
        <f t="shared" ref="AJ67:AJ130" ca="1" si="15">IF(A67=OFFSET(A67,-1,0),OFFSET(AJ67,-1,0)+1,1)</f>
        <v>1</v>
      </c>
      <c r="AL67" s="96">
        <f t="shared" ref="AL67:AL84" si="16">(+AA67*AB67)/$AB$612</f>
        <v>2.8242072076877903E-2</v>
      </c>
      <c r="AM67" s="97">
        <f t="shared" ref="AM67:AM84" si="17">AC67/$AE$612*AE67</f>
        <v>1.3300377106606035E-2</v>
      </c>
    </row>
    <row r="68" spans="1:39" x14ac:dyDescent="0.3">
      <c r="A68" s="7" t="s">
        <v>1822</v>
      </c>
      <c r="B68" s="7" t="s">
        <v>1735</v>
      </c>
      <c r="C68" s="7" t="s">
        <v>1323</v>
      </c>
      <c r="D68" s="7" t="s">
        <v>1780</v>
      </c>
      <c r="E68" s="7" t="s">
        <v>1322</v>
      </c>
      <c r="F68" s="36">
        <v>44287</v>
      </c>
      <c r="G68" s="36">
        <v>46112</v>
      </c>
      <c r="H68" s="36">
        <v>46112</v>
      </c>
      <c r="I68" s="36">
        <v>46112</v>
      </c>
      <c r="J68" s="7" t="s">
        <v>1696</v>
      </c>
      <c r="K68" s="8">
        <v>0</v>
      </c>
      <c r="L68" s="8">
        <v>0</v>
      </c>
      <c r="M68" s="8">
        <v>56602.224000000002</v>
      </c>
      <c r="N68" s="8">
        <v>0</v>
      </c>
      <c r="O68" s="8">
        <v>0</v>
      </c>
      <c r="P68" s="8">
        <v>0</v>
      </c>
      <c r="Q68" s="8">
        <v>0</v>
      </c>
      <c r="R68" s="8">
        <f t="shared" si="14"/>
        <v>56602.224000000002</v>
      </c>
      <c r="S68" s="8">
        <v>0</v>
      </c>
      <c r="T68" s="8">
        <v>0</v>
      </c>
      <c r="U68" s="8">
        <v>55555.56</v>
      </c>
      <c r="V68" s="8">
        <v>0</v>
      </c>
      <c r="W68" s="8">
        <v>0</v>
      </c>
      <c r="X68" s="8">
        <v>0</v>
      </c>
      <c r="Y68" s="8">
        <v>357644.45642300003</v>
      </c>
      <c r="Z68" s="8">
        <v>0</v>
      </c>
      <c r="AA68" s="7">
        <v>4.2493150000000002</v>
      </c>
      <c r="AB68" s="8">
        <v>307476.12075900001</v>
      </c>
      <c r="AC68" s="7">
        <v>2.181667</v>
      </c>
      <c r="AD68" s="7" t="s">
        <v>1226</v>
      </c>
      <c r="AE68" s="8">
        <v>321792.59999999998</v>
      </c>
      <c r="AF68" s="8">
        <v>0</v>
      </c>
      <c r="AG68" s="8">
        <v>321792.59999999998</v>
      </c>
      <c r="AH68" s="8">
        <v>0</v>
      </c>
      <c r="AI68" s="7" t="s">
        <v>1758</v>
      </c>
      <c r="AJ68" s="7">
        <f t="shared" ca="1" si="15"/>
        <v>1</v>
      </c>
      <c r="AL68" s="96">
        <f t="shared" si="16"/>
        <v>2.3562649953310536E-2</v>
      </c>
      <c r="AM68" s="97">
        <f t="shared" si="17"/>
        <v>1.2136340289242212E-2</v>
      </c>
    </row>
    <row r="69" spans="1:39" x14ac:dyDescent="0.3">
      <c r="A69" s="7" t="s">
        <v>1823</v>
      </c>
      <c r="B69" s="7" t="s">
        <v>1320</v>
      </c>
      <c r="C69" s="7" t="s">
        <v>1323</v>
      </c>
      <c r="D69" s="7" t="s">
        <v>1324</v>
      </c>
      <c r="E69" s="7" t="s">
        <v>1322</v>
      </c>
      <c r="F69" s="36">
        <v>44075</v>
      </c>
      <c r="G69" s="36">
        <v>46265</v>
      </c>
      <c r="H69" s="36">
        <v>46265</v>
      </c>
      <c r="I69" s="36">
        <v>46265</v>
      </c>
      <c r="J69" s="7" t="s">
        <v>1696</v>
      </c>
      <c r="K69" s="8">
        <v>0</v>
      </c>
      <c r="L69" s="8">
        <v>0</v>
      </c>
      <c r="M69" s="8">
        <v>42312.328763999998</v>
      </c>
      <c r="N69" s="8">
        <v>0</v>
      </c>
      <c r="O69" s="8">
        <v>0</v>
      </c>
      <c r="P69" s="8">
        <v>0</v>
      </c>
      <c r="Q69" s="8">
        <v>0</v>
      </c>
      <c r="R69" s="8">
        <f t="shared" si="14"/>
        <v>42312.328763999998</v>
      </c>
      <c r="S69" s="8">
        <v>0</v>
      </c>
      <c r="T69" s="8">
        <v>0</v>
      </c>
      <c r="U69" s="8">
        <v>42900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7">
        <v>4.6684929999999998</v>
      </c>
      <c r="AB69" s="8">
        <v>189943.41558900001</v>
      </c>
      <c r="AC69" s="7">
        <v>2.318333</v>
      </c>
      <c r="AD69" s="7" t="s">
        <v>1226</v>
      </c>
      <c r="AE69" s="8">
        <v>200200</v>
      </c>
      <c r="AF69" s="8">
        <v>0</v>
      </c>
      <c r="AG69" s="8">
        <v>200200</v>
      </c>
      <c r="AH69" s="8">
        <v>0</v>
      </c>
      <c r="AI69" s="7" t="s">
        <v>1758</v>
      </c>
      <c r="AJ69" s="7">
        <f t="shared" ca="1" si="15"/>
        <v>1</v>
      </c>
      <c r="AL69" s="96">
        <f t="shared" si="16"/>
        <v>1.5991704903363557E-2</v>
      </c>
      <c r="AM69" s="97">
        <f t="shared" si="17"/>
        <v>8.0234863867827862E-3</v>
      </c>
    </row>
    <row r="70" spans="1:39" x14ac:dyDescent="0.3">
      <c r="A70" s="7" t="s">
        <v>1824</v>
      </c>
      <c r="B70" s="7" t="s">
        <v>1320</v>
      </c>
      <c r="C70" s="7" t="s">
        <v>1323</v>
      </c>
      <c r="D70" s="7" t="s">
        <v>1324</v>
      </c>
      <c r="E70" s="7" t="s">
        <v>1322</v>
      </c>
      <c r="F70" s="36">
        <v>44075</v>
      </c>
      <c r="G70" s="36">
        <v>46265</v>
      </c>
      <c r="H70" s="36">
        <v>46265</v>
      </c>
      <c r="I70" s="36">
        <v>46265</v>
      </c>
      <c r="J70" s="7" t="s">
        <v>1696</v>
      </c>
      <c r="K70" s="8">
        <v>0</v>
      </c>
      <c r="L70" s="8">
        <v>0</v>
      </c>
      <c r="M70" s="8">
        <v>42312.328763999998</v>
      </c>
      <c r="N70" s="8">
        <v>0</v>
      </c>
      <c r="O70" s="8">
        <v>0</v>
      </c>
      <c r="P70" s="8">
        <v>0</v>
      </c>
      <c r="Q70" s="8">
        <v>0</v>
      </c>
      <c r="R70" s="8">
        <f t="shared" si="14"/>
        <v>42312.328763999998</v>
      </c>
      <c r="S70" s="8">
        <v>0</v>
      </c>
      <c r="T70" s="8">
        <v>0</v>
      </c>
      <c r="U70" s="8">
        <v>42900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7">
        <v>4.6684929999999998</v>
      </c>
      <c r="AB70" s="8">
        <v>189943.41558900001</v>
      </c>
      <c r="AC70" s="7">
        <v>2.318333</v>
      </c>
      <c r="AD70" s="7" t="s">
        <v>1226</v>
      </c>
      <c r="AE70" s="8">
        <v>200200</v>
      </c>
      <c r="AF70" s="8">
        <v>0</v>
      </c>
      <c r="AG70" s="8">
        <v>200200</v>
      </c>
      <c r="AH70" s="8">
        <v>0</v>
      </c>
      <c r="AI70" s="7" t="s">
        <v>1758</v>
      </c>
      <c r="AJ70" s="7">
        <f t="shared" ca="1" si="15"/>
        <v>1</v>
      </c>
      <c r="AL70" s="96">
        <f t="shared" si="16"/>
        <v>1.5991704903363557E-2</v>
      </c>
      <c r="AM70" s="97">
        <f t="shared" si="17"/>
        <v>8.0234863867827862E-3</v>
      </c>
    </row>
    <row r="71" spans="1:39" x14ac:dyDescent="0.3">
      <c r="A71" s="7" t="s">
        <v>1825</v>
      </c>
      <c r="B71" s="7" t="s">
        <v>1320</v>
      </c>
      <c r="C71" s="7" t="s">
        <v>1323</v>
      </c>
      <c r="D71" s="7" t="s">
        <v>1324</v>
      </c>
      <c r="E71" s="7" t="s">
        <v>1322</v>
      </c>
      <c r="F71" s="36">
        <v>44075</v>
      </c>
      <c r="G71" s="36">
        <v>46265</v>
      </c>
      <c r="H71" s="36">
        <v>46265</v>
      </c>
      <c r="I71" s="36">
        <v>46265</v>
      </c>
      <c r="J71" s="7" t="s">
        <v>1696</v>
      </c>
      <c r="K71" s="8">
        <v>0</v>
      </c>
      <c r="L71" s="8">
        <v>0</v>
      </c>
      <c r="M71" s="8">
        <v>42312.328763999998</v>
      </c>
      <c r="N71" s="8">
        <v>0</v>
      </c>
      <c r="O71" s="8">
        <v>0</v>
      </c>
      <c r="P71" s="8">
        <v>0</v>
      </c>
      <c r="Q71" s="8">
        <v>0</v>
      </c>
      <c r="R71" s="8">
        <f t="shared" si="14"/>
        <v>42312.328763999998</v>
      </c>
      <c r="S71" s="8">
        <v>0</v>
      </c>
      <c r="T71" s="8">
        <v>0</v>
      </c>
      <c r="U71" s="8">
        <v>42900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7">
        <v>4.6684929999999998</v>
      </c>
      <c r="AB71" s="8">
        <v>189943.41558900001</v>
      </c>
      <c r="AC71" s="7">
        <v>2.318333</v>
      </c>
      <c r="AD71" s="7" t="s">
        <v>1226</v>
      </c>
      <c r="AE71" s="8">
        <v>200200</v>
      </c>
      <c r="AF71" s="8">
        <v>0</v>
      </c>
      <c r="AG71" s="8">
        <v>200200</v>
      </c>
      <c r="AH71" s="8">
        <v>0</v>
      </c>
      <c r="AI71" s="7" t="s">
        <v>1758</v>
      </c>
      <c r="AJ71" s="7">
        <f t="shared" ca="1" si="15"/>
        <v>1</v>
      </c>
      <c r="AL71" s="96">
        <f t="shared" si="16"/>
        <v>1.5991704903363557E-2</v>
      </c>
      <c r="AM71" s="97">
        <f t="shared" si="17"/>
        <v>8.0234863867827862E-3</v>
      </c>
    </row>
    <row r="72" spans="1:39" x14ac:dyDescent="0.3">
      <c r="A72" s="7" t="s">
        <v>1832</v>
      </c>
      <c r="B72" s="7" t="s">
        <v>1320</v>
      </c>
      <c r="C72" s="7" t="s">
        <v>1323</v>
      </c>
      <c r="D72" s="7" t="s">
        <v>1324</v>
      </c>
      <c r="E72" s="7" t="s">
        <v>1322</v>
      </c>
      <c r="F72" s="36">
        <v>44105</v>
      </c>
      <c r="G72" s="36">
        <v>45199</v>
      </c>
      <c r="H72" s="36">
        <v>45199</v>
      </c>
      <c r="I72" s="36">
        <v>45199</v>
      </c>
      <c r="J72" s="7" t="s">
        <v>1696</v>
      </c>
      <c r="K72" s="8">
        <v>0</v>
      </c>
      <c r="L72" s="8">
        <v>0</v>
      </c>
      <c r="M72" s="8">
        <v>3851.8272000000002</v>
      </c>
      <c r="N72" s="8">
        <v>0</v>
      </c>
      <c r="O72" s="8">
        <v>0</v>
      </c>
      <c r="P72" s="8">
        <v>0</v>
      </c>
      <c r="Q72" s="8">
        <v>0</v>
      </c>
      <c r="R72" s="8">
        <f t="shared" si="14"/>
        <v>3851.8272000000002</v>
      </c>
      <c r="S72" s="8">
        <v>0</v>
      </c>
      <c r="T72" s="8">
        <v>0</v>
      </c>
      <c r="U72" s="8">
        <v>3851.8272000000002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7">
        <v>1.7479450000000001</v>
      </c>
      <c r="AB72" s="8">
        <v>6628.0684149999997</v>
      </c>
      <c r="AC72" s="7">
        <v>2.0299999999999998</v>
      </c>
      <c r="AD72" s="7" t="s">
        <v>1226</v>
      </c>
      <c r="AE72" s="8">
        <v>6740.6976000000004</v>
      </c>
      <c r="AF72" s="8">
        <v>0</v>
      </c>
      <c r="AG72" s="8">
        <v>6740.6976000000004</v>
      </c>
      <c r="AH72" s="8">
        <v>0</v>
      </c>
      <c r="AI72" s="7" t="s">
        <v>1781</v>
      </c>
      <c r="AJ72" s="7">
        <f t="shared" ca="1" si="15"/>
        <v>1</v>
      </c>
      <c r="AL72" s="96">
        <f t="shared" si="16"/>
        <v>2.0893373001893391E-4</v>
      </c>
      <c r="AM72" s="97">
        <f t="shared" si="17"/>
        <v>2.3655063163460882E-4</v>
      </c>
    </row>
    <row r="73" spans="1:39" x14ac:dyDescent="0.3">
      <c r="A73" s="7" t="s">
        <v>1834</v>
      </c>
      <c r="B73" s="7" t="s">
        <v>1320</v>
      </c>
      <c r="C73" s="7" t="s">
        <v>1323</v>
      </c>
      <c r="D73" s="7" t="s">
        <v>1324</v>
      </c>
      <c r="E73" s="7" t="s">
        <v>1322</v>
      </c>
      <c r="F73" s="36">
        <v>44105</v>
      </c>
      <c r="G73" s="36">
        <v>45199</v>
      </c>
      <c r="H73" s="36">
        <v>45199</v>
      </c>
      <c r="I73" s="36">
        <v>45199</v>
      </c>
      <c r="J73" s="7" t="s">
        <v>1696</v>
      </c>
      <c r="K73" s="8">
        <v>0</v>
      </c>
      <c r="L73" s="8">
        <v>0</v>
      </c>
      <c r="M73" s="8">
        <v>3851.8272000000002</v>
      </c>
      <c r="N73" s="8">
        <v>0</v>
      </c>
      <c r="O73" s="8">
        <v>0</v>
      </c>
      <c r="P73" s="8">
        <v>0</v>
      </c>
      <c r="Q73" s="8">
        <v>0</v>
      </c>
      <c r="R73" s="8">
        <f t="shared" si="14"/>
        <v>3851.8272000000002</v>
      </c>
      <c r="S73" s="8">
        <v>0</v>
      </c>
      <c r="T73" s="8">
        <v>0</v>
      </c>
      <c r="U73" s="8">
        <v>3851.8272000000002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7">
        <v>1.7479450000000001</v>
      </c>
      <c r="AB73" s="8">
        <v>6575.2257550000004</v>
      </c>
      <c r="AC73" s="7">
        <v>3</v>
      </c>
      <c r="AD73" s="7" t="s">
        <v>1226</v>
      </c>
      <c r="AE73" s="8">
        <v>6740.6976000000004</v>
      </c>
      <c r="AF73" s="8">
        <v>0</v>
      </c>
      <c r="AG73" s="8">
        <v>6740.6976000000004</v>
      </c>
      <c r="AH73" s="8">
        <v>0</v>
      </c>
      <c r="AI73" s="7" t="s">
        <v>1781</v>
      </c>
      <c r="AJ73" s="7">
        <f t="shared" ca="1" si="15"/>
        <v>1</v>
      </c>
      <c r="AL73" s="96">
        <f t="shared" si="16"/>
        <v>2.072679937339951E-4</v>
      </c>
      <c r="AM73" s="97">
        <f t="shared" si="17"/>
        <v>3.4958221423833814E-4</v>
      </c>
    </row>
    <row r="74" spans="1:39" x14ac:dyDescent="0.3">
      <c r="A74" s="7" t="s">
        <v>1835</v>
      </c>
      <c r="B74" s="7" t="s">
        <v>1320</v>
      </c>
      <c r="C74" s="7" t="s">
        <v>1323</v>
      </c>
      <c r="D74" s="7" t="s">
        <v>1324</v>
      </c>
      <c r="E74" s="7" t="s">
        <v>1322</v>
      </c>
      <c r="F74" s="36">
        <v>44105</v>
      </c>
      <c r="G74" s="36">
        <v>45199</v>
      </c>
      <c r="H74" s="36">
        <v>45199</v>
      </c>
      <c r="I74" s="36">
        <v>45199</v>
      </c>
      <c r="J74" s="7" t="s">
        <v>1696</v>
      </c>
      <c r="K74" s="8">
        <v>0</v>
      </c>
      <c r="L74" s="8">
        <v>0</v>
      </c>
      <c r="M74" s="8">
        <v>3851.8272000000002</v>
      </c>
      <c r="N74" s="8">
        <v>0</v>
      </c>
      <c r="O74" s="8">
        <v>0</v>
      </c>
      <c r="P74" s="8">
        <v>0</v>
      </c>
      <c r="Q74" s="8">
        <v>0</v>
      </c>
      <c r="R74" s="8">
        <f t="shared" si="14"/>
        <v>3851.8272000000002</v>
      </c>
      <c r="S74" s="8">
        <v>0</v>
      </c>
      <c r="T74" s="8">
        <v>0</v>
      </c>
      <c r="U74" s="8">
        <v>3851.8272000000002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7">
        <v>1.7479450000000001</v>
      </c>
      <c r="AB74" s="8">
        <v>6575.2257550000004</v>
      </c>
      <c r="AC74" s="7">
        <v>3</v>
      </c>
      <c r="AD74" s="7" t="s">
        <v>1226</v>
      </c>
      <c r="AE74" s="8">
        <v>6740.6976000000004</v>
      </c>
      <c r="AF74" s="8">
        <v>0</v>
      </c>
      <c r="AG74" s="8">
        <v>6740.6976000000004</v>
      </c>
      <c r="AH74" s="8">
        <v>0</v>
      </c>
      <c r="AI74" s="7" t="s">
        <v>1781</v>
      </c>
      <c r="AJ74" s="7">
        <f t="shared" ca="1" si="15"/>
        <v>1</v>
      </c>
      <c r="AL74" s="96">
        <f t="shared" si="16"/>
        <v>2.072679937339951E-4</v>
      </c>
      <c r="AM74" s="97">
        <f t="shared" si="17"/>
        <v>3.4958221423833814E-4</v>
      </c>
    </row>
    <row r="75" spans="1:39" x14ac:dyDescent="0.3">
      <c r="A75" s="7" t="s">
        <v>1836</v>
      </c>
      <c r="B75" s="7" t="s">
        <v>1320</v>
      </c>
      <c r="C75" s="7" t="s">
        <v>1323</v>
      </c>
      <c r="D75" s="7" t="s">
        <v>1324</v>
      </c>
      <c r="E75" s="7" t="s">
        <v>1322</v>
      </c>
      <c r="F75" s="36">
        <v>44105</v>
      </c>
      <c r="G75" s="36">
        <v>45199</v>
      </c>
      <c r="H75" s="36">
        <v>45199</v>
      </c>
      <c r="I75" s="36">
        <v>45199</v>
      </c>
      <c r="J75" s="7" t="s">
        <v>1696</v>
      </c>
      <c r="K75" s="8">
        <v>0</v>
      </c>
      <c r="L75" s="8">
        <v>0</v>
      </c>
      <c r="M75" s="8">
        <v>3851.8272000000002</v>
      </c>
      <c r="N75" s="8">
        <v>0</v>
      </c>
      <c r="O75" s="8">
        <v>0</v>
      </c>
      <c r="P75" s="8">
        <v>0</v>
      </c>
      <c r="Q75" s="8">
        <v>0</v>
      </c>
      <c r="R75" s="8">
        <f t="shared" si="14"/>
        <v>3851.8272000000002</v>
      </c>
      <c r="S75" s="8">
        <v>0</v>
      </c>
      <c r="T75" s="8">
        <v>0</v>
      </c>
      <c r="U75" s="8">
        <v>3851.8272000000002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7">
        <v>1.7479450000000001</v>
      </c>
      <c r="AB75" s="8">
        <v>6575.2257550000004</v>
      </c>
      <c r="AC75" s="7">
        <v>3</v>
      </c>
      <c r="AD75" s="7" t="s">
        <v>1226</v>
      </c>
      <c r="AE75" s="8">
        <v>6740.6976000000004</v>
      </c>
      <c r="AF75" s="8">
        <v>0</v>
      </c>
      <c r="AG75" s="8">
        <v>6740.6976000000004</v>
      </c>
      <c r="AH75" s="8">
        <v>0</v>
      </c>
      <c r="AI75" s="7" t="s">
        <v>1781</v>
      </c>
      <c r="AJ75" s="7">
        <f t="shared" ca="1" si="15"/>
        <v>1</v>
      </c>
      <c r="AL75" s="96">
        <f t="shared" si="16"/>
        <v>2.072679937339951E-4</v>
      </c>
      <c r="AM75" s="97">
        <f t="shared" si="17"/>
        <v>3.4958221423833814E-4</v>
      </c>
    </row>
    <row r="76" spans="1:39" x14ac:dyDescent="0.3">
      <c r="A76" s="7" t="s">
        <v>1837</v>
      </c>
      <c r="B76" s="7" t="s">
        <v>1320</v>
      </c>
      <c r="C76" s="7" t="s">
        <v>1323</v>
      </c>
      <c r="D76" s="7" t="s">
        <v>1324</v>
      </c>
      <c r="E76" s="7" t="s">
        <v>1322</v>
      </c>
      <c r="F76" s="36">
        <v>44105</v>
      </c>
      <c r="G76" s="36">
        <v>45199</v>
      </c>
      <c r="H76" s="36">
        <v>45199</v>
      </c>
      <c r="I76" s="36">
        <v>45199</v>
      </c>
      <c r="J76" s="7" t="s">
        <v>1696</v>
      </c>
      <c r="K76" s="8">
        <v>0</v>
      </c>
      <c r="L76" s="8">
        <v>0</v>
      </c>
      <c r="M76" s="8">
        <v>3851.8272000000002</v>
      </c>
      <c r="N76" s="8">
        <v>0</v>
      </c>
      <c r="O76" s="8">
        <v>0</v>
      </c>
      <c r="P76" s="8">
        <v>0</v>
      </c>
      <c r="Q76" s="8">
        <v>0</v>
      </c>
      <c r="R76" s="8">
        <f t="shared" si="14"/>
        <v>3851.8272000000002</v>
      </c>
      <c r="S76" s="8">
        <v>0</v>
      </c>
      <c r="T76" s="8">
        <v>0</v>
      </c>
      <c r="U76" s="8">
        <v>3851.8272000000002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7">
        <v>1.7479450000000001</v>
      </c>
      <c r="AB76" s="8">
        <v>6575.2257550000004</v>
      </c>
      <c r="AC76" s="7">
        <v>3</v>
      </c>
      <c r="AD76" s="7" t="s">
        <v>1226</v>
      </c>
      <c r="AE76" s="8">
        <v>6740.6976000000004</v>
      </c>
      <c r="AF76" s="8">
        <v>0</v>
      </c>
      <c r="AG76" s="8">
        <v>6740.6976000000004</v>
      </c>
      <c r="AH76" s="8">
        <v>0</v>
      </c>
      <c r="AI76" s="7" t="s">
        <v>1781</v>
      </c>
      <c r="AJ76" s="7">
        <f t="shared" ca="1" si="15"/>
        <v>1</v>
      </c>
      <c r="AL76" s="96">
        <f t="shared" si="16"/>
        <v>2.072679937339951E-4</v>
      </c>
      <c r="AM76" s="97">
        <f t="shared" si="17"/>
        <v>3.4958221423833814E-4</v>
      </c>
    </row>
    <row r="77" spans="1:39" x14ac:dyDescent="0.3">
      <c r="A77" s="7" t="s">
        <v>1838</v>
      </c>
      <c r="B77" s="7" t="s">
        <v>1320</v>
      </c>
      <c r="C77" s="7" t="s">
        <v>1323</v>
      </c>
      <c r="D77" s="7" t="s">
        <v>1324</v>
      </c>
      <c r="E77" s="7" t="s">
        <v>1322</v>
      </c>
      <c r="F77" s="36">
        <v>44105</v>
      </c>
      <c r="G77" s="36">
        <v>45199</v>
      </c>
      <c r="H77" s="36">
        <v>45199</v>
      </c>
      <c r="I77" s="36">
        <v>45199</v>
      </c>
      <c r="J77" s="7" t="s">
        <v>1696</v>
      </c>
      <c r="K77" s="8">
        <v>0</v>
      </c>
      <c r="L77" s="8">
        <v>0</v>
      </c>
      <c r="M77" s="8">
        <v>3851.8272000000002</v>
      </c>
      <c r="N77" s="8">
        <v>0</v>
      </c>
      <c r="O77" s="8">
        <v>0</v>
      </c>
      <c r="P77" s="8">
        <v>0</v>
      </c>
      <c r="Q77" s="8">
        <v>0</v>
      </c>
      <c r="R77" s="8">
        <f t="shared" si="14"/>
        <v>3851.8272000000002</v>
      </c>
      <c r="S77" s="8">
        <v>0</v>
      </c>
      <c r="T77" s="8">
        <v>0</v>
      </c>
      <c r="U77" s="8">
        <v>3851.8272000000002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7">
        <v>1.7479450000000001</v>
      </c>
      <c r="AB77" s="8">
        <v>6575.2257550000004</v>
      </c>
      <c r="AC77" s="7">
        <v>3</v>
      </c>
      <c r="AD77" s="7" t="s">
        <v>1226</v>
      </c>
      <c r="AE77" s="8">
        <v>6740.6976000000004</v>
      </c>
      <c r="AF77" s="8">
        <v>0</v>
      </c>
      <c r="AG77" s="8">
        <v>6740.6976000000004</v>
      </c>
      <c r="AH77" s="8">
        <v>0</v>
      </c>
      <c r="AI77" s="7" t="s">
        <v>1781</v>
      </c>
      <c r="AJ77" s="7">
        <f t="shared" ca="1" si="15"/>
        <v>1</v>
      </c>
      <c r="AL77" s="96">
        <f t="shared" si="16"/>
        <v>2.072679937339951E-4</v>
      </c>
      <c r="AM77" s="97">
        <f t="shared" si="17"/>
        <v>3.4958221423833814E-4</v>
      </c>
    </row>
    <row r="78" spans="1:39" x14ac:dyDescent="0.3">
      <c r="A78" s="7" t="s">
        <v>1839</v>
      </c>
      <c r="B78" s="7" t="s">
        <v>1320</v>
      </c>
      <c r="C78" s="7" t="s">
        <v>1323</v>
      </c>
      <c r="D78" s="7" t="s">
        <v>1324</v>
      </c>
      <c r="E78" s="7" t="s">
        <v>1322</v>
      </c>
      <c r="F78" s="36">
        <v>44105</v>
      </c>
      <c r="G78" s="36">
        <v>45199</v>
      </c>
      <c r="H78" s="36">
        <v>45199</v>
      </c>
      <c r="I78" s="36">
        <v>45199</v>
      </c>
      <c r="J78" s="7" t="s">
        <v>1696</v>
      </c>
      <c r="K78" s="8">
        <v>0</v>
      </c>
      <c r="L78" s="8">
        <v>0</v>
      </c>
      <c r="M78" s="8">
        <v>3851.8272000000002</v>
      </c>
      <c r="N78" s="8">
        <v>0</v>
      </c>
      <c r="O78" s="8">
        <v>0</v>
      </c>
      <c r="P78" s="8">
        <v>0</v>
      </c>
      <c r="Q78" s="8">
        <v>0</v>
      </c>
      <c r="R78" s="8">
        <f t="shared" si="14"/>
        <v>3851.8272000000002</v>
      </c>
      <c r="S78" s="8">
        <v>0</v>
      </c>
      <c r="T78" s="8">
        <v>0</v>
      </c>
      <c r="U78" s="8">
        <v>3851.8272000000002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7">
        <v>1.7479450000000001</v>
      </c>
      <c r="AB78" s="8">
        <v>6575.2257550000004</v>
      </c>
      <c r="AC78" s="7">
        <v>3</v>
      </c>
      <c r="AD78" s="7" t="s">
        <v>1226</v>
      </c>
      <c r="AE78" s="8">
        <v>6740.6976000000004</v>
      </c>
      <c r="AF78" s="8">
        <v>0</v>
      </c>
      <c r="AG78" s="8">
        <v>6740.6976000000004</v>
      </c>
      <c r="AH78" s="8">
        <v>0</v>
      </c>
      <c r="AI78" s="7" t="s">
        <v>1781</v>
      </c>
      <c r="AJ78" s="7">
        <f t="shared" ca="1" si="15"/>
        <v>1</v>
      </c>
      <c r="AL78" s="96">
        <f t="shared" si="16"/>
        <v>2.072679937339951E-4</v>
      </c>
      <c r="AM78" s="97">
        <f t="shared" si="17"/>
        <v>3.4958221423833814E-4</v>
      </c>
    </row>
    <row r="79" spans="1:39" x14ac:dyDescent="0.3">
      <c r="A79" s="7" t="s">
        <v>1840</v>
      </c>
      <c r="B79" s="7" t="s">
        <v>1320</v>
      </c>
      <c r="C79" s="7" t="s">
        <v>1323</v>
      </c>
      <c r="D79" s="7" t="s">
        <v>1324</v>
      </c>
      <c r="E79" s="7" t="s">
        <v>1322</v>
      </c>
      <c r="F79" s="36">
        <v>44105</v>
      </c>
      <c r="G79" s="36">
        <v>45199</v>
      </c>
      <c r="H79" s="36">
        <v>45199</v>
      </c>
      <c r="I79" s="36">
        <v>45199</v>
      </c>
      <c r="J79" s="7" t="s">
        <v>1696</v>
      </c>
      <c r="K79" s="8">
        <v>0</v>
      </c>
      <c r="L79" s="8">
        <v>0</v>
      </c>
      <c r="M79" s="8">
        <v>3851.8272000000002</v>
      </c>
      <c r="N79" s="8">
        <v>0</v>
      </c>
      <c r="O79" s="8">
        <v>0</v>
      </c>
      <c r="P79" s="8">
        <v>0</v>
      </c>
      <c r="Q79" s="8">
        <v>0</v>
      </c>
      <c r="R79" s="8">
        <f t="shared" si="14"/>
        <v>3851.8272000000002</v>
      </c>
      <c r="S79" s="8">
        <v>0</v>
      </c>
      <c r="T79" s="8">
        <v>0</v>
      </c>
      <c r="U79" s="8">
        <v>3851.8272000000002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7">
        <v>1.7479450000000001</v>
      </c>
      <c r="AB79" s="8">
        <v>6575.2257550000004</v>
      </c>
      <c r="AC79" s="7">
        <v>3</v>
      </c>
      <c r="AD79" s="7" t="s">
        <v>1226</v>
      </c>
      <c r="AE79" s="8">
        <v>6740.6976000000004</v>
      </c>
      <c r="AF79" s="8">
        <v>0</v>
      </c>
      <c r="AG79" s="8">
        <v>6740.6976000000004</v>
      </c>
      <c r="AH79" s="8">
        <v>0</v>
      </c>
      <c r="AI79" s="7" t="s">
        <v>1781</v>
      </c>
      <c r="AJ79" s="7">
        <f t="shared" ca="1" si="15"/>
        <v>1</v>
      </c>
      <c r="AL79" s="96">
        <f t="shared" si="16"/>
        <v>2.072679937339951E-4</v>
      </c>
      <c r="AM79" s="97">
        <f t="shared" si="17"/>
        <v>3.4958221423833814E-4</v>
      </c>
    </row>
    <row r="80" spans="1:39" x14ac:dyDescent="0.3">
      <c r="A80" s="7" t="s">
        <v>1841</v>
      </c>
      <c r="B80" s="7" t="s">
        <v>1320</v>
      </c>
      <c r="C80" s="7" t="s">
        <v>1323</v>
      </c>
      <c r="D80" s="7" t="s">
        <v>1324</v>
      </c>
      <c r="E80" s="7" t="s">
        <v>1322</v>
      </c>
      <c r="F80" s="36">
        <v>44105</v>
      </c>
      <c r="G80" s="36">
        <v>45199</v>
      </c>
      <c r="H80" s="36">
        <v>45199</v>
      </c>
      <c r="I80" s="36">
        <v>45199</v>
      </c>
      <c r="J80" s="7" t="s">
        <v>1696</v>
      </c>
      <c r="K80" s="8">
        <v>0</v>
      </c>
      <c r="L80" s="8">
        <v>0</v>
      </c>
      <c r="M80" s="8">
        <v>3851.8272000000002</v>
      </c>
      <c r="N80" s="8">
        <v>0</v>
      </c>
      <c r="O80" s="8">
        <v>0</v>
      </c>
      <c r="P80" s="8">
        <v>0</v>
      </c>
      <c r="Q80" s="8">
        <v>0</v>
      </c>
      <c r="R80" s="8">
        <f t="shared" si="14"/>
        <v>3851.8272000000002</v>
      </c>
      <c r="S80" s="8">
        <v>0</v>
      </c>
      <c r="T80" s="8">
        <v>0</v>
      </c>
      <c r="U80" s="8">
        <v>3851.8272000000002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7">
        <v>1.7479450000000001</v>
      </c>
      <c r="AB80" s="8">
        <v>6575.2257550000004</v>
      </c>
      <c r="AC80" s="7">
        <v>3</v>
      </c>
      <c r="AD80" s="7" t="s">
        <v>1226</v>
      </c>
      <c r="AE80" s="8">
        <v>6740.6976000000004</v>
      </c>
      <c r="AF80" s="8">
        <v>0</v>
      </c>
      <c r="AG80" s="8">
        <v>6740.6976000000004</v>
      </c>
      <c r="AH80" s="8">
        <v>0</v>
      </c>
      <c r="AI80" s="7" t="s">
        <v>1781</v>
      </c>
      <c r="AJ80" s="7">
        <f t="shared" ca="1" si="15"/>
        <v>1</v>
      </c>
      <c r="AL80" s="96">
        <f t="shared" si="16"/>
        <v>2.072679937339951E-4</v>
      </c>
      <c r="AM80" s="97">
        <f t="shared" si="17"/>
        <v>3.4958221423833814E-4</v>
      </c>
    </row>
    <row r="81" spans="1:39" x14ac:dyDescent="0.3">
      <c r="A81" s="7" t="s">
        <v>1842</v>
      </c>
      <c r="B81" s="7" t="s">
        <v>1320</v>
      </c>
      <c r="C81" s="7" t="s">
        <v>1323</v>
      </c>
      <c r="D81" s="7" t="s">
        <v>1324</v>
      </c>
      <c r="E81" s="7" t="s">
        <v>1322</v>
      </c>
      <c r="F81" s="36">
        <v>44105</v>
      </c>
      <c r="G81" s="36">
        <v>45199</v>
      </c>
      <c r="H81" s="36">
        <v>45199</v>
      </c>
      <c r="I81" s="36">
        <v>45199</v>
      </c>
      <c r="J81" s="7" t="s">
        <v>1696</v>
      </c>
      <c r="K81" s="8">
        <v>0</v>
      </c>
      <c r="L81" s="8">
        <v>0</v>
      </c>
      <c r="M81" s="8">
        <v>1111.104</v>
      </c>
      <c r="N81" s="8">
        <v>0</v>
      </c>
      <c r="O81" s="8">
        <v>0</v>
      </c>
      <c r="P81" s="8">
        <v>0</v>
      </c>
      <c r="Q81" s="8">
        <v>0</v>
      </c>
      <c r="R81" s="8">
        <f t="shared" si="14"/>
        <v>1111.104</v>
      </c>
      <c r="S81" s="8">
        <v>0</v>
      </c>
      <c r="T81" s="8">
        <v>0</v>
      </c>
      <c r="U81" s="8">
        <v>1111.104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7">
        <v>1.7479450000000001</v>
      </c>
      <c r="AB81" s="8">
        <v>1896.6997449999999</v>
      </c>
      <c r="AC81" s="7">
        <v>3</v>
      </c>
      <c r="AD81" s="7" t="s">
        <v>1226</v>
      </c>
      <c r="AE81" s="8">
        <v>1944.432</v>
      </c>
      <c r="AF81" s="8">
        <v>0</v>
      </c>
      <c r="AG81" s="8">
        <v>1944.432</v>
      </c>
      <c r="AH81" s="8">
        <v>0</v>
      </c>
      <c r="AI81" s="7" t="s">
        <v>1781</v>
      </c>
      <c r="AJ81" s="7">
        <f t="shared" ca="1" si="15"/>
        <v>1</v>
      </c>
      <c r="AL81" s="96">
        <f t="shared" si="16"/>
        <v>5.9788844597919066E-5</v>
      </c>
      <c r="AM81" s="97">
        <f t="shared" si="17"/>
        <v>1.0084102333798216E-4</v>
      </c>
    </row>
    <row r="82" spans="1:39" x14ac:dyDescent="0.3">
      <c r="A82" s="7" t="s">
        <v>1847</v>
      </c>
      <c r="B82" s="7" t="s">
        <v>1848</v>
      </c>
      <c r="C82" s="7" t="s">
        <v>1323</v>
      </c>
      <c r="D82" s="7" t="s">
        <v>1849</v>
      </c>
      <c r="E82" s="7" t="s">
        <v>1322</v>
      </c>
      <c r="F82" s="36">
        <v>44197</v>
      </c>
      <c r="G82" s="36">
        <v>45291</v>
      </c>
      <c r="H82" s="36">
        <v>45291</v>
      </c>
      <c r="I82" s="36">
        <v>45291</v>
      </c>
      <c r="J82" s="7" t="s">
        <v>1696</v>
      </c>
      <c r="K82" s="8">
        <v>0</v>
      </c>
      <c r="L82" s="8">
        <v>0</v>
      </c>
      <c r="M82" s="8">
        <v>3333.3119999999999</v>
      </c>
      <c r="N82" s="8">
        <v>0</v>
      </c>
      <c r="O82" s="8">
        <v>0</v>
      </c>
      <c r="P82" s="8">
        <v>0</v>
      </c>
      <c r="Q82" s="8">
        <v>0</v>
      </c>
      <c r="R82" s="8">
        <f t="shared" si="14"/>
        <v>3333.3119999999999</v>
      </c>
      <c r="S82" s="8">
        <v>0</v>
      </c>
      <c r="T82" s="8">
        <v>0</v>
      </c>
      <c r="U82" s="8">
        <v>3333.3119999999999</v>
      </c>
      <c r="V82" s="8">
        <v>0</v>
      </c>
      <c r="W82" s="8">
        <v>0</v>
      </c>
      <c r="X82" s="8">
        <v>0</v>
      </c>
      <c r="Y82" s="8">
        <v>9575.6140649999998</v>
      </c>
      <c r="Z82" s="8">
        <v>0</v>
      </c>
      <c r="AA82" s="7">
        <v>2</v>
      </c>
      <c r="AB82" s="8">
        <v>6478.8875669999998</v>
      </c>
      <c r="AC82" s="7">
        <v>3</v>
      </c>
      <c r="AD82" s="7" t="s">
        <v>1226</v>
      </c>
      <c r="AE82" s="8">
        <v>6666.6239999999998</v>
      </c>
      <c r="AF82" s="8">
        <v>0</v>
      </c>
      <c r="AG82" s="8">
        <v>6666.6239999999998</v>
      </c>
      <c r="AH82" s="8">
        <v>0</v>
      </c>
      <c r="AI82" s="7" t="s">
        <v>1781</v>
      </c>
      <c r="AJ82" s="7">
        <f t="shared" ca="1" si="15"/>
        <v>1</v>
      </c>
      <c r="AL82" s="96">
        <f t="shared" si="16"/>
        <v>2.336814565193934E-4</v>
      </c>
      <c r="AM82" s="97">
        <f t="shared" si="17"/>
        <v>3.4574065144451024E-4</v>
      </c>
    </row>
    <row r="83" spans="1:39" x14ac:dyDescent="0.3">
      <c r="A83" s="7" t="s">
        <v>1853</v>
      </c>
      <c r="B83" s="7" t="s">
        <v>1854</v>
      </c>
      <c r="C83" s="7" t="s">
        <v>1323</v>
      </c>
      <c r="D83" s="7" t="s">
        <v>1770</v>
      </c>
      <c r="E83" s="7" t="s">
        <v>1322</v>
      </c>
      <c r="F83" s="36">
        <v>42370</v>
      </c>
      <c r="G83" s="36">
        <v>46387</v>
      </c>
      <c r="H83" s="36">
        <v>46387</v>
      </c>
      <c r="I83" s="36">
        <v>46387</v>
      </c>
      <c r="J83" s="7" t="s">
        <v>1696</v>
      </c>
      <c r="K83" s="8">
        <v>0</v>
      </c>
      <c r="L83" s="8">
        <v>0</v>
      </c>
      <c r="M83" s="8">
        <v>2520000</v>
      </c>
      <c r="N83" s="8">
        <v>0</v>
      </c>
      <c r="O83" s="8">
        <v>0</v>
      </c>
      <c r="P83" s="8">
        <v>0</v>
      </c>
      <c r="Q83" s="8">
        <v>0</v>
      </c>
      <c r="R83" s="8">
        <f t="shared" si="14"/>
        <v>2520000</v>
      </c>
      <c r="S83" s="8">
        <v>0</v>
      </c>
      <c r="T83" s="8">
        <v>0</v>
      </c>
      <c r="U83" s="8">
        <v>2520000</v>
      </c>
      <c r="V83" s="8">
        <v>0</v>
      </c>
      <c r="W83" s="8">
        <v>0</v>
      </c>
      <c r="X83" s="8">
        <v>0</v>
      </c>
      <c r="Y83" s="8">
        <v>4127020.798496</v>
      </c>
      <c r="Z83" s="8">
        <v>0</v>
      </c>
      <c r="AA83" s="7">
        <v>5.0027400000000002</v>
      </c>
      <c r="AB83" s="8">
        <v>1994853.892708</v>
      </c>
      <c r="AC83" s="7">
        <v>2.1101670000000001</v>
      </c>
      <c r="AD83" s="7" t="s">
        <v>1226</v>
      </c>
      <c r="AE83" s="8">
        <v>2100000</v>
      </c>
      <c r="AF83" s="8">
        <v>0</v>
      </c>
      <c r="AG83" s="8">
        <v>2100000</v>
      </c>
      <c r="AH83" s="8">
        <v>0</v>
      </c>
      <c r="AI83" s="7" t="s">
        <v>1758</v>
      </c>
      <c r="AJ83" s="7">
        <f t="shared" ca="1" si="15"/>
        <v>1</v>
      </c>
      <c r="AL83" s="96">
        <f t="shared" si="16"/>
        <v>0.17997527131281366</v>
      </c>
      <c r="AM83" s="97">
        <f t="shared" si="17"/>
        <v>7.6605394164376991E-2</v>
      </c>
    </row>
    <row r="84" spans="1:39" x14ac:dyDescent="0.3">
      <c r="A84" s="7" t="s">
        <v>1855</v>
      </c>
      <c r="B84" s="7" t="s">
        <v>194</v>
      </c>
      <c r="C84" s="7" t="s">
        <v>1432</v>
      </c>
      <c r="D84" s="7" t="s">
        <v>1324</v>
      </c>
      <c r="E84" s="7" t="s">
        <v>1322</v>
      </c>
      <c r="F84" s="36">
        <v>44252</v>
      </c>
      <c r="G84" s="36">
        <v>45346</v>
      </c>
      <c r="H84" s="36">
        <v>45346</v>
      </c>
      <c r="I84" s="36">
        <v>45375</v>
      </c>
      <c r="J84" s="7" t="s">
        <v>1696</v>
      </c>
      <c r="K84" s="8">
        <v>0</v>
      </c>
      <c r="L84" s="8">
        <v>0</v>
      </c>
      <c r="M84" s="8">
        <v>7607.1428550000001</v>
      </c>
      <c r="N84" s="8">
        <v>0</v>
      </c>
      <c r="O84" s="8">
        <v>0</v>
      </c>
      <c r="P84" s="8">
        <v>0</v>
      </c>
      <c r="Q84" s="8">
        <v>0</v>
      </c>
      <c r="R84" s="8">
        <f t="shared" si="14"/>
        <v>7607.1428550000001</v>
      </c>
      <c r="S84" s="8">
        <v>0</v>
      </c>
      <c r="T84" s="8">
        <v>0</v>
      </c>
      <c r="U84" s="8">
        <v>8250</v>
      </c>
      <c r="V84" s="8">
        <v>0</v>
      </c>
      <c r="W84" s="8">
        <v>0</v>
      </c>
      <c r="X84" s="8">
        <v>0</v>
      </c>
      <c r="Y84" s="8">
        <v>26570.977835999998</v>
      </c>
      <c r="Z84" s="8">
        <v>0</v>
      </c>
      <c r="AA84" s="7">
        <v>2.230137</v>
      </c>
      <c r="AB84" s="8">
        <v>18884.004617999999</v>
      </c>
      <c r="AC84" s="7">
        <v>2.920417</v>
      </c>
      <c r="AD84" s="7" t="s">
        <v>1226</v>
      </c>
      <c r="AE84" s="8">
        <v>19500</v>
      </c>
      <c r="AF84" s="8">
        <v>0</v>
      </c>
      <c r="AG84" s="8">
        <v>19500</v>
      </c>
      <c r="AH84" s="8">
        <v>0</v>
      </c>
      <c r="AI84" s="7" t="s">
        <v>1760</v>
      </c>
      <c r="AJ84" s="7">
        <f t="shared" ca="1" si="15"/>
        <v>1</v>
      </c>
      <c r="AL84" s="96">
        <f t="shared" si="16"/>
        <v>7.5948544079373372E-4</v>
      </c>
      <c r="AM84" s="97">
        <f t="shared" si="17"/>
        <v>9.8447050477911248E-4</v>
      </c>
    </row>
    <row r="85" spans="1:39" x14ac:dyDescent="0.3">
      <c r="A85" s="7" t="s">
        <v>1856</v>
      </c>
      <c r="B85" s="7" t="s">
        <v>194</v>
      </c>
      <c r="C85" s="7" t="s">
        <v>1323</v>
      </c>
      <c r="D85" s="7" t="s">
        <v>1324</v>
      </c>
      <c r="E85" s="7" t="s">
        <v>1739</v>
      </c>
      <c r="F85" s="36">
        <v>43480</v>
      </c>
      <c r="G85" s="36">
        <v>44575</v>
      </c>
      <c r="I85" s="36">
        <v>44575</v>
      </c>
      <c r="J85" s="7" t="s">
        <v>1239</v>
      </c>
      <c r="K85" s="8">
        <v>1608336.685236</v>
      </c>
      <c r="L85" s="8">
        <v>171230.725286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f t="shared" si="14"/>
        <v>1779567.4105219999</v>
      </c>
      <c r="S85" s="8">
        <v>0</v>
      </c>
      <c r="T85" s="8">
        <v>171230.725286</v>
      </c>
      <c r="U85" s="8">
        <v>0</v>
      </c>
      <c r="V85" s="8">
        <v>1628769.2747140001</v>
      </c>
      <c r="W85" s="8">
        <v>0</v>
      </c>
      <c r="X85" s="8">
        <v>1628769.274713</v>
      </c>
      <c r="Y85" s="8">
        <v>0</v>
      </c>
      <c r="Z85" s="8">
        <v>0</v>
      </c>
      <c r="AA85" s="7">
        <v>3.8356000000000001E-2</v>
      </c>
      <c r="AB85" s="8">
        <v>0</v>
      </c>
      <c r="AC85" s="7">
        <v>7</v>
      </c>
      <c r="AD85" s="7" t="s">
        <v>1226</v>
      </c>
      <c r="AE85" s="8">
        <v>0</v>
      </c>
      <c r="AF85" s="8">
        <v>0</v>
      </c>
      <c r="AG85" s="8">
        <v>0</v>
      </c>
      <c r="AH85" s="8">
        <v>0</v>
      </c>
      <c r="AI85" s="7" t="s">
        <v>1781</v>
      </c>
      <c r="AJ85" s="7">
        <f t="shared" ca="1" si="15"/>
        <v>1</v>
      </c>
      <c r="AL85" s="96">
        <f t="shared" ref="AL85:AL126" si="18">(+AA85*AB85)/$AB$611</f>
        <v>0</v>
      </c>
      <c r="AM85" s="97">
        <f t="shared" ref="AM85:AM126" si="19">AC85/$AE$611*AE85</f>
        <v>0</v>
      </c>
    </row>
    <row r="86" spans="1:39" x14ac:dyDescent="0.3">
      <c r="A86" s="7" t="s">
        <v>1856</v>
      </c>
      <c r="B86" s="7" t="s">
        <v>194</v>
      </c>
      <c r="C86" s="7" t="s">
        <v>1323</v>
      </c>
      <c r="D86" s="7" t="s">
        <v>1324</v>
      </c>
      <c r="E86" s="7" t="s">
        <v>1739</v>
      </c>
      <c r="F86" s="36">
        <v>43480</v>
      </c>
      <c r="G86" s="36">
        <v>44575</v>
      </c>
      <c r="I86" s="36">
        <v>44575</v>
      </c>
      <c r="J86" s="7" t="s">
        <v>1699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f t="shared" si="14"/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7">
        <v>0</v>
      </c>
      <c r="AB86" s="8">
        <v>0</v>
      </c>
      <c r="AC86" s="7">
        <v>7</v>
      </c>
      <c r="AD86" s="7" t="s">
        <v>1226</v>
      </c>
      <c r="AE86" s="8">
        <v>50000</v>
      </c>
      <c r="AF86" s="8">
        <v>0</v>
      </c>
      <c r="AG86" s="8">
        <v>50000</v>
      </c>
      <c r="AH86" s="8">
        <v>0</v>
      </c>
      <c r="AI86" s="7" t="s">
        <v>1781</v>
      </c>
      <c r="AJ86" s="7">
        <f t="shared" ca="1" si="15"/>
        <v>2</v>
      </c>
      <c r="AL86" s="100">
        <f>(+AA86*AB86)/$AB$613</f>
        <v>0</v>
      </c>
      <c r="AM86" s="97">
        <f>AC86/$AE$613*AE86</f>
        <v>0.2556387302191338</v>
      </c>
    </row>
    <row r="87" spans="1:39" x14ac:dyDescent="0.3">
      <c r="A87" s="7" t="s">
        <v>1857</v>
      </c>
      <c r="B87" s="7" t="s">
        <v>194</v>
      </c>
      <c r="C87" s="7" t="s">
        <v>1323</v>
      </c>
      <c r="D87" s="7" t="s">
        <v>1324</v>
      </c>
      <c r="E87" s="7" t="s">
        <v>1322</v>
      </c>
      <c r="F87" s="36">
        <v>44378</v>
      </c>
      <c r="G87" s="36">
        <v>45473</v>
      </c>
      <c r="H87" s="36">
        <v>45473</v>
      </c>
      <c r="I87" s="36">
        <v>46568</v>
      </c>
      <c r="J87" s="7" t="s">
        <v>1239</v>
      </c>
      <c r="K87" s="8">
        <v>100871.652372</v>
      </c>
      <c r="L87" s="8">
        <v>40332.925062000002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f t="shared" si="14"/>
        <v>141204.57743400001</v>
      </c>
      <c r="S87" s="8">
        <v>0</v>
      </c>
      <c r="T87" s="8">
        <v>20426.740951</v>
      </c>
      <c r="U87" s="8">
        <v>0</v>
      </c>
      <c r="V87" s="8">
        <v>79573.259049</v>
      </c>
      <c r="W87" s="8">
        <v>0</v>
      </c>
      <c r="X87" s="8">
        <v>1210459.828455</v>
      </c>
      <c r="Y87" s="8">
        <v>0</v>
      </c>
      <c r="Z87" s="8">
        <v>0</v>
      </c>
      <c r="AA87" s="7">
        <v>5.4986300000000004</v>
      </c>
      <c r="AB87" s="8">
        <v>1130886.569406</v>
      </c>
      <c r="AC87" s="7">
        <v>7</v>
      </c>
      <c r="AD87" s="7" t="s">
        <v>1226</v>
      </c>
      <c r="AE87" s="8">
        <v>1400000</v>
      </c>
      <c r="AF87" s="8">
        <v>0</v>
      </c>
      <c r="AG87" s="8">
        <v>1400000</v>
      </c>
      <c r="AH87" s="8">
        <v>0</v>
      </c>
      <c r="AI87" s="7" t="s">
        <v>1758</v>
      </c>
      <c r="AJ87" s="7">
        <f t="shared" ca="1" si="15"/>
        <v>1</v>
      </c>
      <c r="AL87" s="96">
        <f t="shared" si="18"/>
        <v>3.7283204981926339E-2</v>
      </c>
      <c r="AM87" s="97">
        <f t="shared" si="19"/>
        <v>6.378004329463334E-2</v>
      </c>
    </row>
    <row r="88" spans="1:39" x14ac:dyDescent="0.3">
      <c r="A88" s="7" t="s">
        <v>1859</v>
      </c>
      <c r="B88" s="7" t="s">
        <v>1320</v>
      </c>
      <c r="C88" s="7" t="s">
        <v>1769</v>
      </c>
      <c r="D88" s="7" t="s">
        <v>1324</v>
      </c>
      <c r="E88" s="7" t="s">
        <v>1322</v>
      </c>
      <c r="F88" s="36">
        <v>44455</v>
      </c>
      <c r="G88" s="36">
        <v>45550</v>
      </c>
      <c r="H88" s="36">
        <v>45550</v>
      </c>
      <c r="I88" s="36">
        <v>45550</v>
      </c>
      <c r="J88" s="7" t="s">
        <v>1239</v>
      </c>
      <c r="K88" s="8">
        <v>1915.173505</v>
      </c>
      <c r="L88" s="8">
        <v>270.82635199999999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f t="shared" si="14"/>
        <v>2185.9998569999998</v>
      </c>
      <c r="S88" s="8">
        <v>0</v>
      </c>
      <c r="T88" s="8">
        <v>226.06881799999999</v>
      </c>
      <c r="U88" s="8">
        <v>0</v>
      </c>
      <c r="V88" s="8">
        <v>3477.4711820000002</v>
      </c>
      <c r="W88" s="8">
        <v>0</v>
      </c>
      <c r="X88" s="8">
        <v>32831.545791999997</v>
      </c>
      <c r="Y88" s="8">
        <v>0</v>
      </c>
      <c r="Z88" s="8">
        <v>0</v>
      </c>
      <c r="AA88" s="7">
        <v>2.7095889999999998</v>
      </c>
      <c r="AB88" s="8">
        <v>29362.135323999999</v>
      </c>
      <c r="AC88" s="7">
        <v>3</v>
      </c>
      <c r="AD88" s="7" t="s">
        <v>1226</v>
      </c>
      <c r="AE88" s="8">
        <v>29628.32</v>
      </c>
      <c r="AF88" s="8">
        <v>0</v>
      </c>
      <c r="AG88" s="8">
        <v>29628.32</v>
      </c>
      <c r="AH88" s="8">
        <v>0</v>
      </c>
      <c r="AI88" s="7" t="s">
        <v>1194</v>
      </c>
      <c r="AJ88" s="7">
        <f t="shared" ca="1" si="15"/>
        <v>1</v>
      </c>
      <c r="AL88" s="96">
        <f t="shared" si="18"/>
        <v>4.7701358928922943E-4</v>
      </c>
      <c r="AM88" s="97">
        <f t="shared" si="19"/>
        <v>5.7847822418793406E-4</v>
      </c>
    </row>
    <row r="89" spans="1:39" x14ac:dyDescent="0.3">
      <c r="A89" s="7" t="s">
        <v>2591</v>
      </c>
      <c r="B89" s="7" t="s">
        <v>1320</v>
      </c>
      <c r="C89" s="7" t="s">
        <v>1323</v>
      </c>
      <c r="D89" s="7" t="s">
        <v>1694</v>
      </c>
      <c r="E89" s="7" t="s">
        <v>1775</v>
      </c>
      <c r="F89" s="36">
        <v>43466</v>
      </c>
      <c r="G89" s="36">
        <v>44561</v>
      </c>
      <c r="H89" s="36">
        <v>44561</v>
      </c>
      <c r="I89" s="36">
        <v>44561</v>
      </c>
      <c r="J89" s="7" t="s">
        <v>1696</v>
      </c>
      <c r="K89" s="8">
        <v>0</v>
      </c>
      <c r="L89" s="8">
        <v>0</v>
      </c>
      <c r="M89" s="8">
        <v>-1200000</v>
      </c>
      <c r="N89" s="8">
        <v>0</v>
      </c>
      <c r="O89" s="8">
        <v>0</v>
      </c>
      <c r="P89" s="8">
        <v>0</v>
      </c>
      <c r="Q89" s="8">
        <v>0</v>
      </c>
      <c r="R89" s="8">
        <f t="shared" si="14"/>
        <v>-1200000</v>
      </c>
      <c r="S89" s="8">
        <v>0</v>
      </c>
      <c r="T89" s="8">
        <v>0</v>
      </c>
      <c r="U89" s="8">
        <v>-1200000</v>
      </c>
      <c r="V89" s="8">
        <v>0</v>
      </c>
      <c r="W89" s="8">
        <v>0</v>
      </c>
      <c r="X89" s="8">
        <v>0</v>
      </c>
      <c r="Y89" s="8">
        <v>0</v>
      </c>
      <c r="Z89" s="8">
        <v>-1628769.274713</v>
      </c>
      <c r="AA89" s="7">
        <v>0</v>
      </c>
      <c r="AB89" s="8">
        <v>0</v>
      </c>
      <c r="AC89" s="7">
        <v>7</v>
      </c>
      <c r="AD89" s="7" t="s">
        <v>1226</v>
      </c>
      <c r="AE89" s="8">
        <v>0</v>
      </c>
      <c r="AF89" s="8">
        <v>0</v>
      </c>
      <c r="AG89" s="8">
        <v>0</v>
      </c>
      <c r="AH89" s="8">
        <v>0</v>
      </c>
      <c r="AI89" s="7" t="s">
        <v>1194</v>
      </c>
      <c r="AJ89" s="7">
        <f t="shared" ca="1" si="15"/>
        <v>1</v>
      </c>
      <c r="AL89" s="96">
        <f t="shared" ref="AL89:AL96" si="20">(+AA89*AB89)/$AB$612</f>
        <v>0</v>
      </c>
      <c r="AM89" s="97">
        <f t="shared" ref="AM89:AM96" si="21">AC89/$AE$612*AE89</f>
        <v>0</v>
      </c>
    </row>
    <row r="90" spans="1:39" x14ac:dyDescent="0.3">
      <c r="A90" s="7" t="s">
        <v>1861</v>
      </c>
      <c r="B90" s="7" t="s">
        <v>1320</v>
      </c>
      <c r="C90" s="7" t="s">
        <v>1323</v>
      </c>
      <c r="D90" s="7" t="s">
        <v>1792</v>
      </c>
      <c r="E90" s="7" t="s">
        <v>1322</v>
      </c>
      <c r="F90" s="36">
        <v>43221</v>
      </c>
      <c r="G90" s="36">
        <v>44681</v>
      </c>
      <c r="H90" s="36">
        <v>44681</v>
      </c>
      <c r="I90" s="36">
        <v>44681</v>
      </c>
      <c r="J90" s="7" t="s">
        <v>1696</v>
      </c>
      <c r="K90" s="8">
        <v>0</v>
      </c>
      <c r="L90" s="8">
        <v>0</v>
      </c>
      <c r="M90" s="8">
        <v>4036.1100120000001</v>
      </c>
      <c r="N90" s="8">
        <v>0</v>
      </c>
      <c r="O90" s="8">
        <v>0</v>
      </c>
      <c r="P90" s="8">
        <v>0</v>
      </c>
      <c r="Q90" s="8">
        <v>0</v>
      </c>
      <c r="R90" s="8">
        <f t="shared" si="14"/>
        <v>4036.1100120000001</v>
      </c>
      <c r="S90" s="8">
        <v>0</v>
      </c>
      <c r="T90" s="8">
        <v>0</v>
      </c>
      <c r="U90" s="8">
        <v>3699.999996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7">
        <v>0.32876699999999998</v>
      </c>
      <c r="AB90" s="8">
        <v>1196.9411849999999</v>
      </c>
      <c r="AC90" s="7">
        <v>2.0449999999999999</v>
      </c>
      <c r="AD90" s="7" t="s">
        <v>1226</v>
      </c>
      <c r="AE90" s="8">
        <v>1200</v>
      </c>
      <c r="AF90" s="8">
        <v>0</v>
      </c>
      <c r="AG90" s="8">
        <v>1200</v>
      </c>
      <c r="AH90" s="8">
        <v>0</v>
      </c>
      <c r="AI90" s="7" t="s">
        <v>1736</v>
      </c>
      <c r="AJ90" s="7">
        <f t="shared" ca="1" si="15"/>
        <v>1</v>
      </c>
      <c r="AL90" s="96">
        <f t="shared" si="20"/>
        <v>7.0966737675278629E-6</v>
      </c>
      <c r="AM90" s="97">
        <f t="shared" si="21"/>
        <v>4.2422649437197807E-5</v>
      </c>
    </row>
    <row r="91" spans="1:39" x14ac:dyDescent="0.3">
      <c r="A91" s="7" t="s">
        <v>1862</v>
      </c>
      <c r="B91" s="7" t="s">
        <v>1320</v>
      </c>
      <c r="C91" s="7" t="s">
        <v>1323</v>
      </c>
      <c r="D91" s="7" t="s">
        <v>1792</v>
      </c>
      <c r="E91" s="7" t="s">
        <v>1322</v>
      </c>
      <c r="F91" s="36">
        <v>43230</v>
      </c>
      <c r="G91" s="36">
        <v>44690</v>
      </c>
      <c r="H91" s="36">
        <v>44690</v>
      </c>
      <c r="I91" s="36">
        <v>44690</v>
      </c>
      <c r="J91" s="7" t="s">
        <v>1696</v>
      </c>
      <c r="K91" s="8">
        <v>0</v>
      </c>
      <c r="L91" s="8">
        <v>0</v>
      </c>
      <c r="M91" s="8">
        <v>4444.4160000000002</v>
      </c>
      <c r="N91" s="8">
        <v>0</v>
      </c>
      <c r="O91" s="8">
        <v>0</v>
      </c>
      <c r="P91" s="8">
        <v>0</v>
      </c>
      <c r="Q91" s="8">
        <v>0</v>
      </c>
      <c r="R91" s="8">
        <f t="shared" si="14"/>
        <v>4444.4160000000002</v>
      </c>
      <c r="S91" s="8">
        <v>0</v>
      </c>
      <c r="T91" s="8">
        <v>0</v>
      </c>
      <c r="U91" s="8">
        <v>4444.4160000000002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7">
        <v>0.35342499999999999</v>
      </c>
      <c r="AB91" s="8">
        <v>1476.965856</v>
      </c>
      <c r="AC91" s="7">
        <v>2.0449999999999999</v>
      </c>
      <c r="AD91" s="7" t="s">
        <v>1226</v>
      </c>
      <c r="AE91" s="8">
        <v>1481.472</v>
      </c>
      <c r="AF91" s="8">
        <v>0</v>
      </c>
      <c r="AG91" s="8">
        <v>1481.472</v>
      </c>
      <c r="AH91" s="8">
        <v>0</v>
      </c>
      <c r="AI91" s="7" t="s">
        <v>1736</v>
      </c>
      <c r="AJ91" s="7">
        <f t="shared" ca="1" si="15"/>
        <v>1</v>
      </c>
      <c r="AL91" s="96">
        <f t="shared" si="20"/>
        <v>9.4137255815953724E-6</v>
      </c>
      <c r="AM91" s="97">
        <f t="shared" si="21"/>
        <v>5.2373306089186923E-5</v>
      </c>
    </row>
    <row r="92" spans="1:39" x14ac:dyDescent="0.3">
      <c r="A92" s="7" t="s">
        <v>1863</v>
      </c>
      <c r="B92" s="7" t="s">
        <v>1320</v>
      </c>
      <c r="C92" s="7" t="s">
        <v>1323</v>
      </c>
      <c r="D92" s="7" t="s">
        <v>1792</v>
      </c>
      <c r="E92" s="7" t="s">
        <v>1322</v>
      </c>
      <c r="F92" s="36">
        <v>43230</v>
      </c>
      <c r="G92" s="36">
        <v>44690</v>
      </c>
      <c r="H92" s="36">
        <v>44690</v>
      </c>
      <c r="I92" s="36">
        <v>44690</v>
      </c>
      <c r="J92" s="7" t="s">
        <v>1696</v>
      </c>
      <c r="K92" s="8">
        <v>0</v>
      </c>
      <c r="L92" s="8">
        <v>0</v>
      </c>
      <c r="M92" s="8">
        <v>4444.4160000000002</v>
      </c>
      <c r="N92" s="8">
        <v>0</v>
      </c>
      <c r="O92" s="8">
        <v>0</v>
      </c>
      <c r="P92" s="8">
        <v>0</v>
      </c>
      <c r="Q92" s="8">
        <v>0</v>
      </c>
      <c r="R92" s="8">
        <f t="shared" si="14"/>
        <v>4444.4160000000002</v>
      </c>
      <c r="S92" s="8">
        <v>0</v>
      </c>
      <c r="T92" s="8">
        <v>0</v>
      </c>
      <c r="U92" s="8">
        <v>4444.4160000000002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7">
        <v>0.35342499999999999</v>
      </c>
      <c r="AB92" s="8">
        <v>1476.965856</v>
      </c>
      <c r="AC92" s="7">
        <v>2.0449999999999999</v>
      </c>
      <c r="AD92" s="7" t="s">
        <v>1226</v>
      </c>
      <c r="AE92" s="8">
        <v>1481.472</v>
      </c>
      <c r="AF92" s="8">
        <v>0</v>
      </c>
      <c r="AG92" s="8">
        <v>1481.472</v>
      </c>
      <c r="AH92" s="8">
        <v>0</v>
      </c>
      <c r="AI92" s="7" t="s">
        <v>1736</v>
      </c>
      <c r="AJ92" s="7">
        <f t="shared" ca="1" si="15"/>
        <v>1</v>
      </c>
      <c r="AL92" s="96">
        <f t="shared" si="20"/>
        <v>9.4137255815953724E-6</v>
      </c>
      <c r="AM92" s="97">
        <f t="shared" si="21"/>
        <v>5.2373306089186923E-5</v>
      </c>
    </row>
    <row r="93" spans="1:39" x14ac:dyDescent="0.3">
      <c r="A93" s="7" t="s">
        <v>1865</v>
      </c>
      <c r="B93" s="7" t="s">
        <v>1320</v>
      </c>
      <c r="C93" s="7" t="s">
        <v>1323</v>
      </c>
      <c r="D93" s="7" t="s">
        <v>1792</v>
      </c>
      <c r="E93" s="7" t="s">
        <v>1322</v>
      </c>
      <c r="F93" s="36">
        <v>43230</v>
      </c>
      <c r="G93" s="36">
        <v>44690</v>
      </c>
      <c r="H93" s="36">
        <v>44690</v>
      </c>
      <c r="I93" s="36">
        <v>44690</v>
      </c>
      <c r="J93" s="7" t="s">
        <v>1696</v>
      </c>
      <c r="K93" s="8">
        <v>0</v>
      </c>
      <c r="L93" s="8">
        <v>0</v>
      </c>
      <c r="M93" s="8">
        <v>4444.4160000000002</v>
      </c>
      <c r="N93" s="8">
        <v>0</v>
      </c>
      <c r="O93" s="8">
        <v>0</v>
      </c>
      <c r="P93" s="8">
        <v>0</v>
      </c>
      <c r="Q93" s="8">
        <v>0</v>
      </c>
      <c r="R93" s="8">
        <f t="shared" si="14"/>
        <v>4444.4160000000002</v>
      </c>
      <c r="S93" s="8">
        <v>0</v>
      </c>
      <c r="T93" s="8">
        <v>0</v>
      </c>
      <c r="U93" s="8">
        <v>4444.4160000000002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7">
        <v>0.35342499999999999</v>
      </c>
      <c r="AB93" s="8">
        <v>1476.965856</v>
      </c>
      <c r="AC93" s="7">
        <v>2.0449999999999999</v>
      </c>
      <c r="AD93" s="7" t="s">
        <v>1226</v>
      </c>
      <c r="AE93" s="8">
        <v>1481.472</v>
      </c>
      <c r="AF93" s="8">
        <v>0</v>
      </c>
      <c r="AG93" s="8">
        <v>1481.472</v>
      </c>
      <c r="AH93" s="8">
        <v>0</v>
      </c>
      <c r="AI93" s="7" t="s">
        <v>1736</v>
      </c>
      <c r="AJ93" s="7">
        <f t="shared" ca="1" si="15"/>
        <v>1</v>
      </c>
      <c r="AL93" s="96">
        <f t="shared" si="20"/>
        <v>9.4137255815953724E-6</v>
      </c>
      <c r="AM93" s="97">
        <f t="shared" si="21"/>
        <v>5.2373306089186923E-5</v>
      </c>
    </row>
    <row r="94" spans="1:39" x14ac:dyDescent="0.3">
      <c r="A94" s="7" t="s">
        <v>1866</v>
      </c>
      <c r="B94" s="7" t="s">
        <v>1320</v>
      </c>
      <c r="C94" s="7" t="s">
        <v>1323</v>
      </c>
      <c r="D94" s="7" t="s">
        <v>1324</v>
      </c>
      <c r="E94" s="7" t="s">
        <v>1739</v>
      </c>
      <c r="F94" s="36">
        <v>43862</v>
      </c>
      <c r="G94" s="36">
        <v>44561</v>
      </c>
      <c r="I94" s="36">
        <v>44561</v>
      </c>
      <c r="J94" s="7" t="s">
        <v>1696</v>
      </c>
      <c r="K94" s="8">
        <v>0</v>
      </c>
      <c r="L94" s="8">
        <v>0</v>
      </c>
      <c r="M94" s="8">
        <v>40766340.187224999</v>
      </c>
      <c r="N94" s="8">
        <v>0</v>
      </c>
      <c r="O94" s="8">
        <v>0</v>
      </c>
      <c r="P94" s="8">
        <v>0</v>
      </c>
      <c r="Q94" s="8">
        <v>0</v>
      </c>
      <c r="R94" s="8">
        <f t="shared" si="14"/>
        <v>40766340.187224999</v>
      </c>
      <c r="S94" s="8">
        <v>0</v>
      </c>
      <c r="T94" s="8">
        <v>0</v>
      </c>
      <c r="U94" s="8">
        <v>7407.36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7">
        <v>0</v>
      </c>
      <c r="AB94" s="8">
        <v>0</v>
      </c>
      <c r="AC94" s="7">
        <v>1.7840830000000001</v>
      </c>
      <c r="AD94" s="7" t="s">
        <v>1226</v>
      </c>
      <c r="AE94" s="8">
        <v>0</v>
      </c>
      <c r="AF94" s="8">
        <v>0</v>
      </c>
      <c r="AG94" s="8">
        <v>0</v>
      </c>
      <c r="AH94" s="8">
        <v>0</v>
      </c>
      <c r="AI94" s="7" t="s">
        <v>1194</v>
      </c>
      <c r="AJ94" s="7">
        <f t="shared" ca="1" si="15"/>
        <v>1</v>
      </c>
      <c r="AL94" s="96">
        <f t="shared" si="20"/>
        <v>0</v>
      </c>
      <c r="AM94" s="97">
        <f t="shared" si="21"/>
        <v>0</v>
      </c>
    </row>
    <row r="95" spans="1:39" x14ac:dyDescent="0.3">
      <c r="A95" s="7" t="s">
        <v>1867</v>
      </c>
      <c r="B95" s="7" t="s">
        <v>1320</v>
      </c>
      <c r="C95" s="7" t="s">
        <v>1323</v>
      </c>
      <c r="D95" s="7" t="s">
        <v>1694</v>
      </c>
      <c r="E95" s="7" t="s">
        <v>1739</v>
      </c>
      <c r="F95" s="36">
        <v>43466</v>
      </c>
      <c r="G95" s="36">
        <v>44561</v>
      </c>
      <c r="I95" s="36">
        <v>45657</v>
      </c>
      <c r="J95" s="7" t="s">
        <v>1696</v>
      </c>
      <c r="K95" s="8">
        <v>0</v>
      </c>
      <c r="L95" s="8">
        <v>0</v>
      </c>
      <c r="M95" s="8">
        <v>204900.98014</v>
      </c>
      <c r="N95" s="8">
        <v>0</v>
      </c>
      <c r="O95" s="8">
        <v>0</v>
      </c>
      <c r="P95" s="8">
        <v>0</v>
      </c>
      <c r="Q95" s="8">
        <v>0</v>
      </c>
      <c r="R95" s="8">
        <f t="shared" si="14"/>
        <v>204900.98014</v>
      </c>
      <c r="S95" s="8">
        <v>0</v>
      </c>
      <c r="T95" s="8">
        <v>0</v>
      </c>
      <c r="U95" s="8">
        <v>200000</v>
      </c>
      <c r="V95" s="8">
        <v>0</v>
      </c>
      <c r="W95" s="8">
        <v>0</v>
      </c>
      <c r="X95" s="8">
        <v>0</v>
      </c>
      <c r="Y95" s="8">
        <v>0</v>
      </c>
      <c r="Z95" s="8">
        <v>-864224.99713100004</v>
      </c>
      <c r="AA95" s="7">
        <v>3.0027400000000002</v>
      </c>
      <c r="AB95" s="8">
        <v>0</v>
      </c>
      <c r="AC95" s="7">
        <v>2.920417</v>
      </c>
      <c r="AD95" s="7" t="s">
        <v>1697</v>
      </c>
      <c r="AE95" s="8">
        <v>0</v>
      </c>
      <c r="AF95" s="8">
        <v>0</v>
      </c>
      <c r="AG95" s="8">
        <v>0</v>
      </c>
      <c r="AH95" s="8">
        <v>0</v>
      </c>
      <c r="AI95" s="7" t="s">
        <v>1194</v>
      </c>
      <c r="AJ95" s="7">
        <f t="shared" ca="1" si="15"/>
        <v>1</v>
      </c>
      <c r="AL95" s="96">
        <f t="shared" si="20"/>
        <v>0</v>
      </c>
      <c r="AM95" s="97">
        <f t="shared" si="21"/>
        <v>0</v>
      </c>
    </row>
    <row r="96" spans="1:39" x14ac:dyDescent="0.3">
      <c r="A96" s="7" t="s">
        <v>1868</v>
      </c>
      <c r="B96" s="7" t="s">
        <v>1320</v>
      </c>
      <c r="C96" s="7" t="s">
        <v>1323</v>
      </c>
      <c r="D96" s="7" t="s">
        <v>1694</v>
      </c>
      <c r="E96" s="7" t="s">
        <v>1739</v>
      </c>
      <c r="F96" s="36">
        <v>43466</v>
      </c>
      <c r="G96" s="36">
        <v>44561</v>
      </c>
      <c r="I96" s="36">
        <v>45657</v>
      </c>
      <c r="J96" s="7" t="s">
        <v>1696</v>
      </c>
      <c r="K96" s="8">
        <v>0</v>
      </c>
      <c r="L96" s="8">
        <v>0</v>
      </c>
      <c r="M96" s="8">
        <v>54999.999995999999</v>
      </c>
      <c r="N96" s="8">
        <v>0</v>
      </c>
      <c r="O96" s="8">
        <v>0</v>
      </c>
      <c r="P96" s="8">
        <v>0</v>
      </c>
      <c r="Q96" s="8">
        <v>0</v>
      </c>
      <c r="R96" s="8">
        <f t="shared" si="14"/>
        <v>54999.999995999999</v>
      </c>
      <c r="S96" s="8">
        <v>0</v>
      </c>
      <c r="T96" s="8">
        <v>0</v>
      </c>
      <c r="U96" s="8">
        <v>50000</v>
      </c>
      <c r="V96" s="8">
        <v>0</v>
      </c>
      <c r="W96" s="8">
        <v>0</v>
      </c>
      <c r="X96" s="8">
        <v>0</v>
      </c>
      <c r="Y96" s="8">
        <v>0</v>
      </c>
      <c r="Z96" s="8">
        <v>-168137.72319700001</v>
      </c>
      <c r="AA96" s="7">
        <v>3.0027400000000002</v>
      </c>
      <c r="AB96" s="8">
        <v>0</v>
      </c>
      <c r="AC96" s="7">
        <v>2.920417</v>
      </c>
      <c r="AD96" s="7" t="s">
        <v>1697</v>
      </c>
      <c r="AE96" s="8">
        <v>0</v>
      </c>
      <c r="AF96" s="8">
        <v>0</v>
      </c>
      <c r="AG96" s="8">
        <v>0</v>
      </c>
      <c r="AH96" s="8">
        <v>0</v>
      </c>
      <c r="AI96" s="7" t="s">
        <v>1194</v>
      </c>
      <c r="AJ96" s="7">
        <f t="shared" ca="1" si="15"/>
        <v>1</v>
      </c>
      <c r="AL96" s="96">
        <f t="shared" si="20"/>
        <v>0</v>
      </c>
      <c r="AM96" s="97">
        <f t="shared" si="21"/>
        <v>0</v>
      </c>
    </row>
    <row r="97" spans="1:39" x14ac:dyDescent="0.3">
      <c r="A97" s="7" t="s">
        <v>1869</v>
      </c>
      <c r="B97" s="7" t="s">
        <v>194</v>
      </c>
      <c r="C97" s="7" t="s">
        <v>1323</v>
      </c>
      <c r="D97" s="7" t="s">
        <v>1852</v>
      </c>
      <c r="E97" s="7" t="s">
        <v>1322</v>
      </c>
      <c r="F97" s="36">
        <v>44287</v>
      </c>
      <c r="G97" s="36">
        <v>45382</v>
      </c>
      <c r="H97" s="36">
        <v>45382</v>
      </c>
      <c r="I97" s="36">
        <v>45382</v>
      </c>
      <c r="J97" s="7" t="s">
        <v>1239</v>
      </c>
      <c r="K97" s="8">
        <v>407192.318676</v>
      </c>
      <c r="L97" s="8">
        <v>74201.760240999996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f t="shared" si="14"/>
        <v>481394.07891699998</v>
      </c>
      <c r="S97" s="8">
        <v>0</v>
      </c>
      <c r="T97" s="8">
        <v>66935.151089999999</v>
      </c>
      <c r="U97" s="8">
        <v>0</v>
      </c>
      <c r="V97" s="8">
        <v>383064.84891</v>
      </c>
      <c r="W97" s="8">
        <v>0</v>
      </c>
      <c r="X97" s="8">
        <v>1628769.274713</v>
      </c>
      <c r="Y97" s="8">
        <v>0</v>
      </c>
      <c r="Z97" s="8">
        <v>0</v>
      </c>
      <c r="AA97" s="7">
        <v>2.2493150000000002</v>
      </c>
      <c r="AB97" s="8">
        <v>1245704.4258030001</v>
      </c>
      <c r="AC97" s="7">
        <v>7</v>
      </c>
      <c r="AD97" s="7" t="s">
        <v>1226</v>
      </c>
      <c r="AE97" s="8">
        <v>1350000</v>
      </c>
      <c r="AF97" s="8">
        <v>0</v>
      </c>
      <c r="AG97" s="8">
        <v>1350000</v>
      </c>
      <c r="AH97" s="8">
        <v>0</v>
      </c>
      <c r="AI97" s="7" t="s">
        <v>1781</v>
      </c>
      <c r="AJ97" s="7">
        <f t="shared" ca="1" si="15"/>
        <v>1</v>
      </c>
      <c r="AL97" s="96">
        <f t="shared" si="18"/>
        <v>1.6799833669773123E-2</v>
      </c>
      <c r="AM97" s="97">
        <f t="shared" si="19"/>
        <v>6.1502184605539294E-2</v>
      </c>
    </row>
    <row r="98" spans="1:39" x14ac:dyDescent="0.3">
      <c r="A98" s="7" t="s">
        <v>1870</v>
      </c>
      <c r="B98" s="7" t="s">
        <v>194</v>
      </c>
      <c r="C98" s="7" t="s">
        <v>1323</v>
      </c>
      <c r="D98" s="7" t="s">
        <v>1852</v>
      </c>
      <c r="E98" s="7" t="s">
        <v>1322</v>
      </c>
      <c r="F98" s="36">
        <v>44378</v>
      </c>
      <c r="G98" s="36">
        <v>45473</v>
      </c>
      <c r="H98" s="36">
        <v>45473</v>
      </c>
      <c r="I98" s="36">
        <v>45473</v>
      </c>
      <c r="J98" s="7" t="s">
        <v>1239</v>
      </c>
      <c r="K98" s="8">
        <v>298497.51101999998</v>
      </c>
      <c r="L98" s="8">
        <v>57420.86997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f t="shared" si="14"/>
        <v>355918.38098999998</v>
      </c>
      <c r="S98" s="8">
        <v>0</v>
      </c>
      <c r="T98" s="8">
        <v>43654.069974999999</v>
      </c>
      <c r="U98" s="8">
        <v>0</v>
      </c>
      <c r="V98" s="8">
        <v>256345.93002500001</v>
      </c>
      <c r="W98" s="8">
        <v>0</v>
      </c>
      <c r="X98" s="8">
        <v>1790985.0661899999</v>
      </c>
      <c r="Y98" s="8">
        <v>0</v>
      </c>
      <c r="Z98" s="8">
        <v>0</v>
      </c>
      <c r="AA98" s="7">
        <v>2.4986299999999999</v>
      </c>
      <c r="AB98" s="8">
        <v>1540400.133315</v>
      </c>
      <c r="AC98" s="7">
        <v>7</v>
      </c>
      <c r="AD98" s="7" t="s">
        <v>1226</v>
      </c>
      <c r="AE98" s="8">
        <v>1500000</v>
      </c>
      <c r="AF98" s="8">
        <v>200000</v>
      </c>
      <c r="AG98" s="8">
        <v>1700000</v>
      </c>
      <c r="AH98" s="8">
        <v>0</v>
      </c>
      <c r="AI98" s="7" t="s">
        <v>1781</v>
      </c>
      <c r="AJ98" s="7">
        <f t="shared" ca="1" si="15"/>
        <v>1</v>
      </c>
      <c r="AL98" s="96">
        <f t="shared" si="18"/>
        <v>2.3076779089863109E-2</v>
      </c>
      <c r="AM98" s="97">
        <f t="shared" si="19"/>
        <v>6.8335760672821447E-2</v>
      </c>
    </row>
    <row r="99" spans="1:39" x14ac:dyDescent="0.3">
      <c r="A99" s="7" t="s">
        <v>1871</v>
      </c>
      <c r="B99" s="7" t="s">
        <v>1320</v>
      </c>
      <c r="C99" s="7" t="s">
        <v>1323</v>
      </c>
      <c r="D99" s="7" t="s">
        <v>1792</v>
      </c>
      <c r="E99" s="7" t="s">
        <v>1322</v>
      </c>
      <c r="F99" s="36">
        <v>43221</v>
      </c>
      <c r="G99" s="36">
        <v>44681</v>
      </c>
      <c r="H99" s="36">
        <v>44681</v>
      </c>
      <c r="I99" s="36">
        <v>44681</v>
      </c>
      <c r="J99" s="7" t="s">
        <v>1696</v>
      </c>
      <c r="K99" s="8">
        <v>0</v>
      </c>
      <c r="L99" s="8">
        <v>0</v>
      </c>
      <c r="M99" s="8">
        <v>4444.4160000000002</v>
      </c>
      <c r="N99" s="8">
        <v>0</v>
      </c>
      <c r="O99" s="8">
        <v>0</v>
      </c>
      <c r="P99" s="8">
        <v>0</v>
      </c>
      <c r="Q99" s="8">
        <v>0</v>
      </c>
      <c r="R99" s="8">
        <f t="shared" si="14"/>
        <v>4444.4160000000002</v>
      </c>
      <c r="S99" s="8">
        <v>0</v>
      </c>
      <c r="T99" s="8">
        <v>0</v>
      </c>
      <c r="U99" s="8">
        <v>4444.4160000000002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7">
        <v>0.32876699999999998</v>
      </c>
      <c r="AB99" s="8">
        <v>1477.695708</v>
      </c>
      <c r="AC99" s="7">
        <v>2.0449999999999999</v>
      </c>
      <c r="AD99" s="7" t="s">
        <v>1226</v>
      </c>
      <c r="AE99" s="8">
        <v>1481.472</v>
      </c>
      <c r="AF99" s="8">
        <v>0</v>
      </c>
      <c r="AG99" s="8">
        <v>1481.472</v>
      </c>
      <c r="AH99" s="8">
        <v>0</v>
      </c>
      <c r="AI99" s="7" t="s">
        <v>1736</v>
      </c>
      <c r="AJ99" s="7">
        <f t="shared" ca="1" si="15"/>
        <v>1</v>
      </c>
      <c r="AL99" s="96">
        <f t="shared" ref="AL99:AL103" si="22">(+AA99*AB99)/$AB$612</f>
        <v>8.7612695584136945E-6</v>
      </c>
      <c r="AM99" s="97">
        <f t="shared" ref="AM99:AM103" si="23">AC99/$AE$612*AE99</f>
        <v>5.2373306089186923E-5</v>
      </c>
    </row>
    <row r="100" spans="1:39" x14ac:dyDescent="0.3">
      <c r="A100" s="7" t="s">
        <v>1872</v>
      </c>
      <c r="B100" s="7" t="s">
        <v>1320</v>
      </c>
      <c r="C100" s="7" t="s">
        <v>1323</v>
      </c>
      <c r="D100" s="7" t="s">
        <v>1792</v>
      </c>
      <c r="E100" s="7" t="s">
        <v>1322</v>
      </c>
      <c r="F100" s="36">
        <v>43221</v>
      </c>
      <c r="G100" s="36">
        <v>44681</v>
      </c>
      <c r="H100" s="36">
        <v>44681</v>
      </c>
      <c r="I100" s="36">
        <v>44681</v>
      </c>
      <c r="J100" s="7" t="s">
        <v>1696</v>
      </c>
      <c r="K100" s="8">
        <v>0</v>
      </c>
      <c r="L100" s="8">
        <v>0</v>
      </c>
      <c r="M100" s="8">
        <v>4444.4160000000002</v>
      </c>
      <c r="N100" s="8">
        <v>0</v>
      </c>
      <c r="O100" s="8">
        <v>0</v>
      </c>
      <c r="P100" s="8">
        <v>0</v>
      </c>
      <c r="Q100" s="8">
        <v>0</v>
      </c>
      <c r="R100" s="8">
        <f t="shared" si="14"/>
        <v>4444.4160000000002</v>
      </c>
      <c r="S100" s="8">
        <v>0</v>
      </c>
      <c r="T100" s="8">
        <v>0</v>
      </c>
      <c r="U100" s="8">
        <v>4444.4160000000002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7">
        <v>0.32876699999999998</v>
      </c>
      <c r="AB100" s="8">
        <v>1477.695708</v>
      </c>
      <c r="AC100" s="7">
        <v>2.0449999999999999</v>
      </c>
      <c r="AD100" s="7" t="s">
        <v>1226</v>
      </c>
      <c r="AE100" s="8">
        <v>1481.472</v>
      </c>
      <c r="AF100" s="8">
        <v>0</v>
      </c>
      <c r="AG100" s="8">
        <v>1481.472</v>
      </c>
      <c r="AH100" s="8">
        <v>0</v>
      </c>
      <c r="AI100" s="7" t="s">
        <v>1736</v>
      </c>
      <c r="AJ100" s="7">
        <f t="shared" ca="1" si="15"/>
        <v>1</v>
      </c>
      <c r="AL100" s="96">
        <f t="shared" si="22"/>
        <v>8.7612695584136945E-6</v>
      </c>
      <c r="AM100" s="97">
        <f t="shared" si="23"/>
        <v>5.2373306089186923E-5</v>
      </c>
    </row>
    <row r="101" spans="1:39" x14ac:dyDescent="0.3">
      <c r="A101" s="7" t="s">
        <v>1873</v>
      </c>
      <c r="B101" s="7" t="s">
        <v>1320</v>
      </c>
      <c r="C101" s="7" t="s">
        <v>1323</v>
      </c>
      <c r="D101" s="7" t="s">
        <v>1792</v>
      </c>
      <c r="E101" s="7" t="s">
        <v>1322</v>
      </c>
      <c r="F101" s="36">
        <v>43221</v>
      </c>
      <c r="G101" s="36">
        <v>44681</v>
      </c>
      <c r="H101" s="36">
        <v>44681</v>
      </c>
      <c r="I101" s="36">
        <v>44681</v>
      </c>
      <c r="J101" s="7" t="s">
        <v>1696</v>
      </c>
      <c r="K101" s="8">
        <v>0</v>
      </c>
      <c r="L101" s="8">
        <v>0</v>
      </c>
      <c r="M101" s="8">
        <v>4444.4160000000002</v>
      </c>
      <c r="N101" s="8">
        <v>0</v>
      </c>
      <c r="O101" s="8">
        <v>0</v>
      </c>
      <c r="P101" s="8">
        <v>0</v>
      </c>
      <c r="Q101" s="8">
        <v>0</v>
      </c>
      <c r="R101" s="8">
        <f t="shared" si="14"/>
        <v>4444.4160000000002</v>
      </c>
      <c r="S101" s="8">
        <v>0</v>
      </c>
      <c r="T101" s="8">
        <v>0</v>
      </c>
      <c r="U101" s="8">
        <v>4444.4160000000002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7">
        <v>0.32876699999999998</v>
      </c>
      <c r="AB101" s="8">
        <v>1477.695708</v>
      </c>
      <c r="AC101" s="7">
        <v>2.0449999999999999</v>
      </c>
      <c r="AD101" s="7" t="s">
        <v>1226</v>
      </c>
      <c r="AE101" s="8">
        <v>1481.472</v>
      </c>
      <c r="AF101" s="8">
        <v>0</v>
      </c>
      <c r="AG101" s="8">
        <v>1481.472</v>
      </c>
      <c r="AH101" s="8">
        <v>0</v>
      </c>
      <c r="AI101" s="7" t="s">
        <v>1736</v>
      </c>
      <c r="AJ101" s="7">
        <f t="shared" ca="1" si="15"/>
        <v>1</v>
      </c>
      <c r="AL101" s="96">
        <f t="shared" si="22"/>
        <v>8.7612695584136945E-6</v>
      </c>
      <c r="AM101" s="97">
        <f t="shared" si="23"/>
        <v>5.2373306089186923E-5</v>
      </c>
    </row>
    <row r="102" spans="1:39" x14ac:dyDescent="0.3">
      <c r="A102" s="7" t="s">
        <v>1874</v>
      </c>
      <c r="B102" s="7" t="s">
        <v>1320</v>
      </c>
      <c r="C102" s="7" t="s">
        <v>1323</v>
      </c>
      <c r="D102" s="7" t="s">
        <v>1792</v>
      </c>
      <c r="E102" s="7" t="s">
        <v>1322</v>
      </c>
      <c r="F102" s="36">
        <v>43221</v>
      </c>
      <c r="G102" s="36">
        <v>44681</v>
      </c>
      <c r="H102" s="36">
        <v>44681</v>
      </c>
      <c r="I102" s="36">
        <v>44681</v>
      </c>
      <c r="J102" s="7" t="s">
        <v>1696</v>
      </c>
      <c r="K102" s="8">
        <v>0</v>
      </c>
      <c r="L102" s="8">
        <v>0</v>
      </c>
      <c r="M102" s="8">
        <v>4444.4160000000002</v>
      </c>
      <c r="N102" s="8">
        <v>0</v>
      </c>
      <c r="O102" s="8">
        <v>0</v>
      </c>
      <c r="P102" s="8">
        <v>0</v>
      </c>
      <c r="Q102" s="8">
        <v>0</v>
      </c>
      <c r="R102" s="8">
        <f t="shared" si="14"/>
        <v>4444.4160000000002</v>
      </c>
      <c r="S102" s="8">
        <v>0</v>
      </c>
      <c r="T102" s="8">
        <v>0</v>
      </c>
      <c r="U102" s="8">
        <v>4444.4160000000002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7">
        <v>0.32876699999999998</v>
      </c>
      <c r="AB102" s="8">
        <v>1477.695708</v>
      </c>
      <c r="AC102" s="7">
        <v>2.0449999999999999</v>
      </c>
      <c r="AD102" s="7" t="s">
        <v>1226</v>
      </c>
      <c r="AE102" s="8">
        <v>1481.472</v>
      </c>
      <c r="AF102" s="8">
        <v>0</v>
      </c>
      <c r="AG102" s="8">
        <v>1481.472</v>
      </c>
      <c r="AH102" s="8">
        <v>0</v>
      </c>
      <c r="AI102" s="7" t="s">
        <v>1736</v>
      </c>
      <c r="AJ102" s="7">
        <f t="shared" ca="1" si="15"/>
        <v>1</v>
      </c>
      <c r="AL102" s="96">
        <f t="shared" si="22"/>
        <v>8.7612695584136945E-6</v>
      </c>
      <c r="AM102" s="97">
        <f t="shared" si="23"/>
        <v>5.2373306089186923E-5</v>
      </c>
    </row>
    <row r="103" spans="1:39" x14ac:dyDescent="0.3">
      <c r="A103" s="7" t="s">
        <v>1875</v>
      </c>
      <c r="B103" s="7" t="s">
        <v>1320</v>
      </c>
      <c r="C103" s="7" t="s">
        <v>1323</v>
      </c>
      <c r="D103" s="7" t="s">
        <v>1792</v>
      </c>
      <c r="E103" s="7" t="s">
        <v>1322</v>
      </c>
      <c r="F103" s="36">
        <v>43983</v>
      </c>
      <c r="G103" s="36">
        <v>44681</v>
      </c>
      <c r="H103" s="36">
        <v>44681</v>
      </c>
      <c r="I103" s="36">
        <v>44712</v>
      </c>
      <c r="J103" s="7" t="s">
        <v>1696</v>
      </c>
      <c r="K103" s="8">
        <v>0</v>
      </c>
      <c r="L103" s="8">
        <v>0</v>
      </c>
      <c r="M103" s="8">
        <v>4359.2314679999999</v>
      </c>
      <c r="N103" s="8">
        <v>0</v>
      </c>
      <c r="O103" s="8">
        <v>0</v>
      </c>
      <c r="P103" s="8">
        <v>0</v>
      </c>
      <c r="Q103" s="8">
        <v>0</v>
      </c>
      <c r="R103" s="8">
        <f t="shared" si="14"/>
        <v>4359.2314679999999</v>
      </c>
      <c r="S103" s="8">
        <v>0</v>
      </c>
      <c r="T103" s="8">
        <v>0</v>
      </c>
      <c r="U103" s="8">
        <v>4444.4160000000002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7">
        <v>0.41369899999999998</v>
      </c>
      <c r="AB103" s="8">
        <v>1676.9902770000001</v>
      </c>
      <c r="AC103" s="7">
        <v>1.7840830000000001</v>
      </c>
      <c r="AD103" s="7" t="s">
        <v>1226</v>
      </c>
      <c r="AE103" s="8">
        <v>1681.4709210000001</v>
      </c>
      <c r="AF103" s="8">
        <v>0</v>
      </c>
      <c r="AG103" s="8">
        <v>1681.4709210000001</v>
      </c>
      <c r="AH103" s="8">
        <v>0</v>
      </c>
      <c r="AI103" s="7" t="s">
        <v>1736</v>
      </c>
      <c r="AJ103" s="7">
        <f t="shared" ca="1" si="15"/>
        <v>1</v>
      </c>
      <c r="AL103" s="96">
        <f t="shared" si="22"/>
        <v>1.2511484078790122E-5</v>
      </c>
      <c r="AM103" s="97">
        <f t="shared" si="23"/>
        <v>5.1859418878364441E-5</v>
      </c>
    </row>
    <row r="104" spans="1:39" x14ac:dyDescent="0.3">
      <c r="A104" s="7" t="s">
        <v>1876</v>
      </c>
      <c r="B104" s="7" t="s">
        <v>1320</v>
      </c>
      <c r="C104" s="7" t="s">
        <v>1323</v>
      </c>
      <c r="D104" s="7" t="s">
        <v>1792</v>
      </c>
      <c r="E104" s="7" t="s">
        <v>1322</v>
      </c>
      <c r="F104" s="36">
        <v>43221</v>
      </c>
      <c r="G104" s="36">
        <v>44681</v>
      </c>
      <c r="H104" s="36">
        <v>44681</v>
      </c>
      <c r="I104" s="36">
        <v>44681</v>
      </c>
      <c r="J104" s="7" t="s">
        <v>1239</v>
      </c>
      <c r="K104" s="8">
        <v>1153252.16016</v>
      </c>
      <c r="L104" s="8">
        <v>19234.416969999998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f t="shared" si="14"/>
        <v>1172486.5771299999</v>
      </c>
      <c r="S104" s="8">
        <v>0</v>
      </c>
      <c r="T104" s="8">
        <v>21243.21499</v>
      </c>
      <c r="U104" s="8">
        <v>0</v>
      </c>
      <c r="V104" s="8">
        <v>1178756.78501</v>
      </c>
      <c r="W104" s="8">
        <v>0</v>
      </c>
      <c r="X104" s="8">
        <v>0</v>
      </c>
      <c r="Y104" s="8">
        <v>0</v>
      </c>
      <c r="Z104" s="8">
        <v>0</v>
      </c>
      <c r="AA104" s="7">
        <v>0.32876699999999998</v>
      </c>
      <c r="AB104" s="8">
        <v>398301.62440999999</v>
      </c>
      <c r="AC104" s="7">
        <v>2.0449999999999999</v>
      </c>
      <c r="AD104" s="7" t="s">
        <v>1226</v>
      </c>
      <c r="AE104" s="8">
        <v>400000</v>
      </c>
      <c r="AF104" s="8">
        <v>0</v>
      </c>
      <c r="AG104" s="8">
        <v>400000</v>
      </c>
      <c r="AH104" s="8">
        <v>0</v>
      </c>
      <c r="AI104" s="7" t="s">
        <v>1877</v>
      </c>
      <c r="AJ104" s="7">
        <f t="shared" ca="1" si="15"/>
        <v>1</v>
      </c>
      <c r="AL104" s="96">
        <f t="shared" si="18"/>
        <v>7.8512714223735692E-4</v>
      </c>
      <c r="AM104" s="97">
        <f t="shared" si="19"/>
        <v>5.3236811647969463E-3</v>
      </c>
    </row>
    <row r="105" spans="1:39" x14ac:dyDescent="0.3">
      <c r="A105" s="7" t="s">
        <v>1878</v>
      </c>
      <c r="B105" s="7" t="s">
        <v>1320</v>
      </c>
      <c r="C105" s="7" t="s">
        <v>1323</v>
      </c>
      <c r="D105" s="7" t="s">
        <v>1792</v>
      </c>
      <c r="E105" s="7" t="s">
        <v>1322</v>
      </c>
      <c r="F105" s="36">
        <v>43221</v>
      </c>
      <c r="G105" s="36">
        <v>44681</v>
      </c>
      <c r="H105" s="36">
        <v>44681</v>
      </c>
      <c r="I105" s="36">
        <v>44681</v>
      </c>
      <c r="J105" s="7" t="s">
        <v>1239</v>
      </c>
      <c r="K105" s="8">
        <v>1153252.16016</v>
      </c>
      <c r="L105" s="8">
        <v>19234.416969999998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f t="shared" si="14"/>
        <v>1172486.5771299999</v>
      </c>
      <c r="S105" s="8">
        <v>0</v>
      </c>
      <c r="T105" s="8">
        <v>21243.21499</v>
      </c>
      <c r="U105" s="8">
        <v>0</v>
      </c>
      <c r="V105" s="8">
        <v>1178756.78501</v>
      </c>
      <c r="W105" s="8">
        <v>0</v>
      </c>
      <c r="X105" s="8">
        <v>0</v>
      </c>
      <c r="Y105" s="8">
        <v>0</v>
      </c>
      <c r="Z105" s="8">
        <v>0</v>
      </c>
      <c r="AA105" s="7">
        <v>0.32876699999999998</v>
      </c>
      <c r="AB105" s="8">
        <v>398301.62440999999</v>
      </c>
      <c r="AC105" s="7">
        <v>2.0449999999999999</v>
      </c>
      <c r="AD105" s="7" t="s">
        <v>1226</v>
      </c>
      <c r="AE105" s="8">
        <v>400000</v>
      </c>
      <c r="AF105" s="8">
        <v>0</v>
      </c>
      <c r="AG105" s="8">
        <v>400000</v>
      </c>
      <c r="AH105" s="8">
        <v>0</v>
      </c>
      <c r="AI105" s="7" t="s">
        <v>1877</v>
      </c>
      <c r="AJ105" s="7">
        <f t="shared" ca="1" si="15"/>
        <v>1</v>
      </c>
      <c r="AL105" s="96">
        <f t="shared" si="18"/>
        <v>7.8512714223735692E-4</v>
      </c>
      <c r="AM105" s="97">
        <f t="shared" si="19"/>
        <v>5.3236811647969463E-3</v>
      </c>
    </row>
    <row r="106" spans="1:39" x14ac:dyDescent="0.3">
      <c r="A106" s="7" t="s">
        <v>1879</v>
      </c>
      <c r="B106" s="7" t="s">
        <v>1320</v>
      </c>
      <c r="C106" s="7" t="s">
        <v>1323</v>
      </c>
      <c r="D106" s="7" t="s">
        <v>1792</v>
      </c>
      <c r="E106" s="7" t="s">
        <v>1322</v>
      </c>
      <c r="F106" s="36">
        <v>43221</v>
      </c>
      <c r="G106" s="36">
        <v>44681</v>
      </c>
      <c r="H106" s="36">
        <v>44681</v>
      </c>
      <c r="I106" s="36">
        <v>44681</v>
      </c>
      <c r="J106" s="7" t="s">
        <v>1239</v>
      </c>
      <c r="K106" s="8">
        <v>1153252.16016</v>
      </c>
      <c r="L106" s="8">
        <v>19234.416969999998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f t="shared" si="14"/>
        <v>1172486.5771299999</v>
      </c>
      <c r="S106" s="8">
        <v>0</v>
      </c>
      <c r="T106" s="8">
        <v>21243.21499</v>
      </c>
      <c r="U106" s="8">
        <v>0</v>
      </c>
      <c r="V106" s="8">
        <v>1178756.78501</v>
      </c>
      <c r="W106" s="8">
        <v>0</v>
      </c>
      <c r="X106" s="8">
        <v>0</v>
      </c>
      <c r="Y106" s="8">
        <v>0</v>
      </c>
      <c r="Z106" s="8">
        <v>0</v>
      </c>
      <c r="AA106" s="7">
        <v>0.32876699999999998</v>
      </c>
      <c r="AB106" s="8">
        <v>398301.62440999999</v>
      </c>
      <c r="AC106" s="7">
        <v>2.0449999999999999</v>
      </c>
      <c r="AD106" s="7" t="s">
        <v>1226</v>
      </c>
      <c r="AE106" s="8">
        <v>400000</v>
      </c>
      <c r="AF106" s="8">
        <v>0</v>
      </c>
      <c r="AG106" s="8">
        <v>400000</v>
      </c>
      <c r="AH106" s="8">
        <v>0</v>
      </c>
      <c r="AI106" s="7" t="s">
        <v>1877</v>
      </c>
      <c r="AJ106" s="7">
        <f t="shared" ca="1" si="15"/>
        <v>1</v>
      </c>
      <c r="AL106" s="96">
        <f t="shared" si="18"/>
        <v>7.8512714223735692E-4</v>
      </c>
      <c r="AM106" s="97">
        <f t="shared" si="19"/>
        <v>5.3236811647969463E-3</v>
      </c>
    </row>
    <row r="107" spans="1:39" x14ac:dyDescent="0.3">
      <c r="A107" s="7" t="s">
        <v>1880</v>
      </c>
      <c r="B107" s="7" t="s">
        <v>1320</v>
      </c>
      <c r="C107" s="7" t="s">
        <v>1323</v>
      </c>
      <c r="D107" s="7" t="s">
        <v>1792</v>
      </c>
      <c r="E107" s="7" t="s">
        <v>1322</v>
      </c>
      <c r="F107" s="36">
        <v>43221</v>
      </c>
      <c r="G107" s="36">
        <v>44681</v>
      </c>
      <c r="H107" s="36">
        <v>44681</v>
      </c>
      <c r="I107" s="36">
        <v>44681</v>
      </c>
      <c r="J107" s="7" t="s">
        <v>1239</v>
      </c>
      <c r="K107" s="8">
        <v>1153252.16016</v>
      </c>
      <c r="L107" s="8">
        <v>19234.416969999998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f t="shared" si="14"/>
        <v>1172486.5771299999</v>
      </c>
      <c r="S107" s="8">
        <v>0</v>
      </c>
      <c r="T107" s="8">
        <v>21243.21499</v>
      </c>
      <c r="U107" s="8">
        <v>0</v>
      </c>
      <c r="V107" s="8">
        <v>1178756.78501</v>
      </c>
      <c r="W107" s="8">
        <v>0</v>
      </c>
      <c r="X107" s="8">
        <v>0</v>
      </c>
      <c r="Y107" s="8">
        <v>0</v>
      </c>
      <c r="Z107" s="8">
        <v>0</v>
      </c>
      <c r="AA107" s="7">
        <v>0.32876699999999998</v>
      </c>
      <c r="AB107" s="8">
        <v>398301.62440999999</v>
      </c>
      <c r="AC107" s="7">
        <v>2.0449999999999999</v>
      </c>
      <c r="AD107" s="7" t="s">
        <v>1226</v>
      </c>
      <c r="AE107" s="8">
        <v>400000</v>
      </c>
      <c r="AF107" s="8">
        <v>0</v>
      </c>
      <c r="AG107" s="8">
        <v>400000</v>
      </c>
      <c r="AH107" s="8">
        <v>0</v>
      </c>
      <c r="AI107" s="7" t="s">
        <v>1877</v>
      </c>
      <c r="AJ107" s="7">
        <f t="shared" ca="1" si="15"/>
        <v>1</v>
      </c>
      <c r="AL107" s="96">
        <f t="shared" si="18"/>
        <v>7.8512714223735692E-4</v>
      </c>
      <c r="AM107" s="97">
        <f t="shared" si="19"/>
        <v>5.3236811647969463E-3</v>
      </c>
    </row>
    <row r="108" spans="1:39" x14ac:dyDescent="0.3">
      <c r="A108" s="7" t="s">
        <v>1881</v>
      </c>
      <c r="B108" s="7" t="s">
        <v>1320</v>
      </c>
      <c r="C108" s="7" t="s">
        <v>1323</v>
      </c>
      <c r="D108" s="7" t="s">
        <v>1792</v>
      </c>
      <c r="E108" s="7" t="s">
        <v>1322</v>
      </c>
      <c r="F108" s="36">
        <v>43221</v>
      </c>
      <c r="G108" s="36">
        <v>44681</v>
      </c>
      <c r="H108" s="36">
        <v>44681</v>
      </c>
      <c r="I108" s="36">
        <v>44681</v>
      </c>
      <c r="J108" s="7" t="s">
        <v>1239</v>
      </c>
      <c r="K108" s="8">
        <v>1153252.16016</v>
      </c>
      <c r="L108" s="8">
        <v>19234.416969999998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f t="shared" si="14"/>
        <v>1172486.5771299999</v>
      </c>
      <c r="S108" s="8">
        <v>0</v>
      </c>
      <c r="T108" s="8">
        <v>21243.21499</v>
      </c>
      <c r="U108" s="8">
        <v>0</v>
      </c>
      <c r="V108" s="8">
        <v>1178756.78501</v>
      </c>
      <c r="W108" s="8">
        <v>0</v>
      </c>
      <c r="X108" s="8">
        <v>0</v>
      </c>
      <c r="Y108" s="8">
        <v>0</v>
      </c>
      <c r="Z108" s="8">
        <v>0</v>
      </c>
      <c r="AA108" s="7">
        <v>0.32876699999999998</v>
      </c>
      <c r="AB108" s="8">
        <v>398301.62440999999</v>
      </c>
      <c r="AC108" s="7">
        <v>2.0449999999999999</v>
      </c>
      <c r="AD108" s="7" t="s">
        <v>1226</v>
      </c>
      <c r="AE108" s="8">
        <v>400000</v>
      </c>
      <c r="AF108" s="8">
        <v>0</v>
      </c>
      <c r="AG108" s="8">
        <v>400000</v>
      </c>
      <c r="AH108" s="8">
        <v>0</v>
      </c>
      <c r="AI108" s="7" t="s">
        <v>1877</v>
      </c>
      <c r="AJ108" s="7">
        <f t="shared" ca="1" si="15"/>
        <v>1</v>
      </c>
      <c r="AL108" s="96">
        <f t="shared" si="18"/>
        <v>7.8512714223735692E-4</v>
      </c>
      <c r="AM108" s="97">
        <f t="shared" si="19"/>
        <v>5.3236811647969463E-3</v>
      </c>
    </row>
    <row r="109" spans="1:39" x14ac:dyDescent="0.3">
      <c r="A109" s="7" t="s">
        <v>1882</v>
      </c>
      <c r="B109" s="7" t="s">
        <v>1320</v>
      </c>
      <c r="C109" s="7" t="s">
        <v>1323</v>
      </c>
      <c r="D109" s="7" t="s">
        <v>1792</v>
      </c>
      <c r="E109" s="7" t="s">
        <v>1322</v>
      </c>
      <c r="F109" s="36">
        <v>43221</v>
      </c>
      <c r="G109" s="36">
        <v>44681</v>
      </c>
      <c r="H109" s="36">
        <v>44681</v>
      </c>
      <c r="I109" s="36">
        <v>44681</v>
      </c>
      <c r="J109" s="7" t="s">
        <v>1239</v>
      </c>
      <c r="K109" s="8">
        <v>1153252.16016</v>
      </c>
      <c r="L109" s="8">
        <v>19234.416969999998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f t="shared" si="14"/>
        <v>1172486.5771299999</v>
      </c>
      <c r="S109" s="8">
        <v>0</v>
      </c>
      <c r="T109" s="8">
        <v>21243.21499</v>
      </c>
      <c r="U109" s="8">
        <v>0</v>
      </c>
      <c r="V109" s="8">
        <v>1178756.78501</v>
      </c>
      <c r="W109" s="8">
        <v>0</v>
      </c>
      <c r="X109" s="8">
        <v>0</v>
      </c>
      <c r="Y109" s="8">
        <v>0</v>
      </c>
      <c r="Z109" s="8">
        <v>0</v>
      </c>
      <c r="AA109" s="7">
        <v>0.32876699999999998</v>
      </c>
      <c r="AB109" s="8">
        <v>398301.62440999999</v>
      </c>
      <c r="AC109" s="7">
        <v>2.0449999999999999</v>
      </c>
      <c r="AD109" s="7" t="s">
        <v>1226</v>
      </c>
      <c r="AE109" s="8">
        <v>400000</v>
      </c>
      <c r="AF109" s="8">
        <v>0</v>
      </c>
      <c r="AG109" s="8">
        <v>400000</v>
      </c>
      <c r="AH109" s="8">
        <v>0</v>
      </c>
      <c r="AI109" s="7" t="s">
        <v>1877</v>
      </c>
      <c r="AJ109" s="7">
        <f t="shared" ca="1" si="15"/>
        <v>1</v>
      </c>
      <c r="AL109" s="96">
        <f t="shared" si="18"/>
        <v>7.8512714223735692E-4</v>
      </c>
      <c r="AM109" s="97">
        <f t="shared" si="19"/>
        <v>5.3236811647969463E-3</v>
      </c>
    </row>
    <row r="110" spans="1:39" x14ac:dyDescent="0.3">
      <c r="A110" s="7" t="s">
        <v>1883</v>
      </c>
      <c r="B110" s="7" t="s">
        <v>1320</v>
      </c>
      <c r="C110" s="7" t="s">
        <v>1323</v>
      </c>
      <c r="D110" s="7" t="s">
        <v>1694</v>
      </c>
      <c r="E110" s="7" t="s">
        <v>1739</v>
      </c>
      <c r="F110" s="36">
        <v>43480</v>
      </c>
      <c r="G110" s="36">
        <v>44575</v>
      </c>
      <c r="I110" s="36">
        <v>44575</v>
      </c>
      <c r="J110" s="7" t="s">
        <v>1696</v>
      </c>
      <c r="K110" s="8">
        <v>0</v>
      </c>
      <c r="L110" s="8">
        <v>0</v>
      </c>
      <c r="M110" s="8">
        <v>450000</v>
      </c>
      <c r="N110" s="8">
        <v>0</v>
      </c>
      <c r="O110" s="8">
        <v>0</v>
      </c>
      <c r="P110" s="8">
        <v>0</v>
      </c>
      <c r="Q110" s="8">
        <v>0</v>
      </c>
      <c r="R110" s="8">
        <f t="shared" si="14"/>
        <v>450000</v>
      </c>
      <c r="S110" s="8">
        <v>0</v>
      </c>
      <c r="T110" s="8">
        <v>0</v>
      </c>
      <c r="U110" s="8">
        <v>600000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7">
        <v>3.8356000000000001E-2</v>
      </c>
      <c r="AB110" s="8">
        <v>0</v>
      </c>
      <c r="AC110" s="7">
        <v>7</v>
      </c>
      <c r="AD110" s="7" t="s">
        <v>1226</v>
      </c>
      <c r="AE110" s="8">
        <v>0</v>
      </c>
      <c r="AF110" s="8">
        <v>0</v>
      </c>
      <c r="AG110" s="8">
        <v>0</v>
      </c>
      <c r="AH110" s="8">
        <v>0</v>
      </c>
      <c r="AI110" s="7" t="s">
        <v>1194</v>
      </c>
      <c r="AJ110" s="7">
        <f t="shared" ca="1" si="15"/>
        <v>1</v>
      </c>
      <c r="AL110" s="96">
        <f>(+AA110*AB110)/$AB$612</f>
        <v>0</v>
      </c>
      <c r="AM110" s="97">
        <f>AC110/$AE$612*AE110</f>
        <v>0</v>
      </c>
    </row>
    <row r="111" spans="1:39" x14ac:dyDescent="0.3">
      <c r="A111" s="7" t="s">
        <v>1884</v>
      </c>
      <c r="B111" s="7" t="s">
        <v>194</v>
      </c>
      <c r="C111" s="7" t="s">
        <v>1323</v>
      </c>
      <c r="D111" s="7" t="s">
        <v>1852</v>
      </c>
      <c r="E111" s="7" t="s">
        <v>1322</v>
      </c>
      <c r="F111" s="36">
        <v>44287</v>
      </c>
      <c r="G111" s="36">
        <v>45382</v>
      </c>
      <c r="H111" s="36">
        <v>45382</v>
      </c>
      <c r="I111" s="36">
        <v>45382</v>
      </c>
      <c r="J111" s="7" t="s">
        <v>1239</v>
      </c>
      <c r="K111" s="8">
        <v>203596.159338</v>
      </c>
      <c r="L111" s="8">
        <v>37100.880120000002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f t="shared" si="14"/>
        <v>240697.03945799998</v>
      </c>
      <c r="S111" s="8">
        <v>0</v>
      </c>
      <c r="T111" s="8">
        <v>33467.575545</v>
      </c>
      <c r="U111" s="8">
        <v>0</v>
      </c>
      <c r="V111" s="8">
        <v>191532.424455</v>
      </c>
      <c r="W111" s="8">
        <v>0</v>
      </c>
      <c r="X111" s="8">
        <v>814384.63735700003</v>
      </c>
      <c r="Y111" s="8">
        <v>0</v>
      </c>
      <c r="Z111" s="8">
        <v>0</v>
      </c>
      <c r="AA111" s="7">
        <v>2.2493150000000002</v>
      </c>
      <c r="AB111" s="8">
        <v>622852.21290200006</v>
      </c>
      <c r="AC111" s="7">
        <v>7</v>
      </c>
      <c r="AD111" s="7" t="s">
        <v>1226</v>
      </c>
      <c r="AE111" s="8">
        <v>675000</v>
      </c>
      <c r="AF111" s="8">
        <v>0</v>
      </c>
      <c r="AG111" s="8">
        <v>675000</v>
      </c>
      <c r="AH111" s="8">
        <v>0</v>
      </c>
      <c r="AI111" s="7" t="s">
        <v>1781</v>
      </c>
      <c r="AJ111" s="7">
        <f t="shared" ca="1" si="15"/>
        <v>1</v>
      </c>
      <c r="AL111" s="96">
        <f t="shared" si="18"/>
        <v>8.3999168348933041E-3</v>
      </c>
      <c r="AM111" s="97">
        <f t="shared" si="19"/>
        <v>3.0751092302769647E-2</v>
      </c>
    </row>
    <row r="112" spans="1:39" x14ac:dyDescent="0.3">
      <c r="A112" s="7" t="s">
        <v>1885</v>
      </c>
      <c r="B112" s="7" t="s">
        <v>194</v>
      </c>
      <c r="C112" s="7" t="s">
        <v>1323</v>
      </c>
      <c r="D112" s="7" t="s">
        <v>1852</v>
      </c>
      <c r="E112" s="7" t="s">
        <v>1322</v>
      </c>
      <c r="F112" s="36">
        <v>44378</v>
      </c>
      <c r="G112" s="36">
        <v>45473</v>
      </c>
      <c r="H112" s="36">
        <v>45473</v>
      </c>
      <c r="I112" s="36">
        <v>45473</v>
      </c>
      <c r="J112" s="7" t="s">
        <v>1239</v>
      </c>
      <c r="K112" s="8">
        <v>273961.545858</v>
      </c>
      <c r="L112" s="8">
        <v>51659.872844999998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f t="shared" si="14"/>
        <v>325621.418703</v>
      </c>
      <c r="S112" s="8">
        <v>0</v>
      </c>
      <c r="T112" s="8">
        <v>58654.069998999999</v>
      </c>
      <c r="U112" s="8">
        <v>0</v>
      </c>
      <c r="V112" s="8">
        <v>256345.930092</v>
      </c>
      <c r="W112" s="8">
        <v>0</v>
      </c>
      <c r="X112" s="8">
        <v>1643769.2752040001</v>
      </c>
      <c r="Y112" s="8">
        <v>0</v>
      </c>
      <c r="Z112" s="8">
        <v>0</v>
      </c>
      <c r="AA112" s="7">
        <v>2.4986299999999999</v>
      </c>
      <c r="AB112" s="8">
        <v>1372423.3451109999</v>
      </c>
      <c r="AC112" s="7">
        <v>7</v>
      </c>
      <c r="AD112" s="7" t="s">
        <v>1226</v>
      </c>
      <c r="AE112" s="8">
        <v>1500000.0004499999</v>
      </c>
      <c r="AF112" s="8">
        <v>0</v>
      </c>
      <c r="AG112" s="8">
        <v>1500000.0004499999</v>
      </c>
      <c r="AH112" s="8">
        <v>0</v>
      </c>
      <c r="AI112" s="7" t="s">
        <v>1781</v>
      </c>
      <c r="AJ112" s="7">
        <f t="shared" ca="1" si="15"/>
        <v>1</v>
      </c>
      <c r="AL112" s="96">
        <f t="shared" si="18"/>
        <v>2.0560313952154796E-2</v>
      </c>
      <c r="AM112" s="97">
        <f t="shared" si="19"/>
        <v>6.8335760693322173E-2</v>
      </c>
    </row>
    <row r="113" spans="1:39" x14ac:dyDescent="0.3">
      <c r="A113" s="7" t="s">
        <v>1886</v>
      </c>
      <c r="B113" s="7" t="s">
        <v>1320</v>
      </c>
      <c r="C113" s="7" t="s">
        <v>1323</v>
      </c>
      <c r="D113" s="7" t="s">
        <v>1792</v>
      </c>
      <c r="E113" s="7" t="s">
        <v>1322</v>
      </c>
      <c r="F113" s="36">
        <v>43221</v>
      </c>
      <c r="G113" s="36">
        <v>44681</v>
      </c>
      <c r="H113" s="36">
        <v>44681</v>
      </c>
      <c r="I113" s="36">
        <v>44681</v>
      </c>
      <c r="J113" s="7" t="s">
        <v>1696</v>
      </c>
      <c r="K113" s="8">
        <v>0</v>
      </c>
      <c r="L113" s="8">
        <v>0</v>
      </c>
      <c r="M113" s="8">
        <v>4444.4160000000002</v>
      </c>
      <c r="N113" s="8">
        <v>0</v>
      </c>
      <c r="O113" s="8">
        <v>0</v>
      </c>
      <c r="P113" s="8">
        <v>0</v>
      </c>
      <c r="Q113" s="8">
        <v>0</v>
      </c>
      <c r="R113" s="8">
        <f t="shared" si="14"/>
        <v>4444.4160000000002</v>
      </c>
      <c r="S113" s="8">
        <v>0</v>
      </c>
      <c r="T113" s="8">
        <v>0</v>
      </c>
      <c r="U113" s="8">
        <v>4444.4160000000002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7">
        <v>0.32876699999999998</v>
      </c>
      <c r="AB113" s="8">
        <v>1477.695708</v>
      </c>
      <c r="AC113" s="7">
        <v>2.0449999999999999</v>
      </c>
      <c r="AD113" s="7" t="s">
        <v>1226</v>
      </c>
      <c r="AE113" s="8">
        <v>1481.472</v>
      </c>
      <c r="AF113" s="8">
        <v>0</v>
      </c>
      <c r="AG113" s="8">
        <v>1481.472</v>
      </c>
      <c r="AH113" s="8">
        <v>0</v>
      </c>
      <c r="AI113" s="7" t="s">
        <v>1736</v>
      </c>
      <c r="AJ113" s="7">
        <f t="shared" ca="1" si="15"/>
        <v>1</v>
      </c>
      <c r="AL113" s="96">
        <f t="shared" ref="AL113:AL118" si="24">(+AA113*AB113)/$AB$612</f>
        <v>8.7612695584136945E-6</v>
      </c>
      <c r="AM113" s="97">
        <f t="shared" ref="AM113:AM118" si="25">AC113/$AE$612*AE113</f>
        <v>5.2373306089186923E-5</v>
      </c>
    </row>
    <row r="114" spans="1:39" x14ac:dyDescent="0.3">
      <c r="A114" s="7" t="s">
        <v>1887</v>
      </c>
      <c r="B114" s="7" t="s">
        <v>1320</v>
      </c>
      <c r="C114" s="7" t="s">
        <v>1323</v>
      </c>
      <c r="D114" s="7" t="s">
        <v>1792</v>
      </c>
      <c r="E114" s="7" t="s">
        <v>1322</v>
      </c>
      <c r="F114" s="36">
        <v>43221</v>
      </c>
      <c r="G114" s="36">
        <v>44681</v>
      </c>
      <c r="H114" s="36">
        <v>44681</v>
      </c>
      <c r="I114" s="36">
        <v>44681</v>
      </c>
      <c r="J114" s="7" t="s">
        <v>1696</v>
      </c>
      <c r="K114" s="8">
        <v>0</v>
      </c>
      <c r="L114" s="8">
        <v>0</v>
      </c>
      <c r="M114" s="8">
        <v>4444.4160000000002</v>
      </c>
      <c r="N114" s="8">
        <v>0</v>
      </c>
      <c r="O114" s="8">
        <v>0</v>
      </c>
      <c r="P114" s="8">
        <v>0</v>
      </c>
      <c r="Q114" s="8">
        <v>0</v>
      </c>
      <c r="R114" s="8">
        <f t="shared" si="14"/>
        <v>4444.4160000000002</v>
      </c>
      <c r="S114" s="8">
        <v>0</v>
      </c>
      <c r="T114" s="8">
        <v>0</v>
      </c>
      <c r="U114" s="8">
        <v>4444.4160000000002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7">
        <v>0.32876699999999998</v>
      </c>
      <c r="AB114" s="8">
        <v>1477.695708</v>
      </c>
      <c r="AC114" s="7">
        <v>2.0449999999999999</v>
      </c>
      <c r="AD114" s="7" t="s">
        <v>1226</v>
      </c>
      <c r="AE114" s="8">
        <v>1481.472</v>
      </c>
      <c r="AF114" s="8">
        <v>0</v>
      </c>
      <c r="AG114" s="8">
        <v>1481.472</v>
      </c>
      <c r="AH114" s="8">
        <v>0</v>
      </c>
      <c r="AI114" s="7" t="s">
        <v>1736</v>
      </c>
      <c r="AJ114" s="7">
        <f t="shared" ca="1" si="15"/>
        <v>1</v>
      </c>
      <c r="AL114" s="96">
        <f t="shared" si="24"/>
        <v>8.7612695584136945E-6</v>
      </c>
      <c r="AM114" s="97">
        <f t="shared" si="25"/>
        <v>5.2373306089186923E-5</v>
      </c>
    </row>
    <row r="115" spans="1:39" x14ac:dyDescent="0.3">
      <c r="A115" s="7" t="s">
        <v>1888</v>
      </c>
      <c r="B115" s="7" t="s">
        <v>1320</v>
      </c>
      <c r="C115" s="7" t="s">
        <v>1323</v>
      </c>
      <c r="D115" s="7" t="s">
        <v>1792</v>
      </c>
      <c r="E115" s="7" t="s">
        <v>1322</v>
      </c>
      <c r="F115" s="36">
        <v>43221</v>
      </c>
      <c r="G115" s="36">
        <v>44681</v>
      </c>
      <c r="H115" s="36">
        <v>44681</v>
      </c>
      <c r="I115" s="36">
        <v>44681</v>
      </c>
      <c r="J115" s="7" t="s">
        <v>1696</v>
      </c>
      <c r="K115" s="8">
        <v>0</v>
      </c>
      <c r="L115" s="8">
        <v>0</v>
      </c>
      <c r="M115" s="8">
        <v>4444.4160000000002</v>
      </c>
      <c r="N115" s="8">
        <v>0</v>
      </c>
      <c r="O115" s="8">
        <v>0</v>
      </c>
      <c r="P115" s="8">
        <v>0</v>
      </c>
      <c r="Q115" s="8">
        <v>0</v>
      </c>
      <c r="R115" s="8">
        <f t="shared" si="14"/>
        <v>4444.4160000000002</v>
      </c>
      <c r="S115" s="8">
        <v>0</v>
      </c>
      <c r="T115" s="8">
        <v>0</v>
      </c>
      <c r="U115" s="8">
        <v>4444.4160000000002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7">
        <v>0.32876699999999998</v>
      </c>
      <c r="AB115" s="8">
        <v>1477.695708</v>
      </c>
      <c r="AC115" s="7">
        <v>2.0449999999999999</v>
      </c>
      <c r="AD115" s="7" t="s">
        <v>1226</v>
      </c>
      <c r="AE115" s="8">
        <v>1481.472</v>
      </c>
      <c r="AF115" s="8">
        <v>0</v>
      </c>
      <c r="AG115" s="8">
        <v>1481.472</v>
      </c>
      <c r="AH115" s="8">
        <v>0</v>
      </c>
      <c r="AI115" s="7" t="s">
        <v>1736</v>
      </c>
      <c r="AJ115" s="7">
        <f t="shared" ca="1" si="15"/>
        <v>1</v>
      </c>
      <c r="AL115" s="96">
        <f t="shared" si="24"/>
        <v>8.7612695584136945E-6</v>
      </c>
      <c r="AM115" s="97">
        <f t="shared" si="25"/>
        <v>5.2373306089186923E-5</v>
      </c>
    </row>
    <row r="116" spans="1:39" x14ac:dyDescent="0.3">
      <c r="A116" s="7" t="s">
        <v>1889</v>
      </c>
      <c r="B116" s="7" t="s">
        <v>1320</v>
      </c>
      <c r="C116" s="7" t="s">
        <v>1323</v>
      </c>
      <c r="D116" s="7" t="s">
        <v>1792</v>
      </c>
      <c r="E116" s="7" t="s">
        <v>1322</v>
      </c>
      <c r="F116" s="36">
        <v>43221</v>
      </c>
      <c r="G116" s="36">
        <v>44681</v>
      </c>
      <c r="H116" s="36">
        <v>44681</v>
      </c>
      <c r="I116" s="36">
        <v>44681</v>
      </c>
      <c r="J116" s="7" t="s">
        <v>1696</v>
      </c>
      <c r="K116" s="8">
        <v>0</v>
      </c>
      <c r="L116" s="8">
        <v>0</v>
      </c>
      <c r="M116" s="8">
        <v>4444.4160000000002</v>
      </c>
      <c r="N116" s="8">
        <v>0</v>
      </c>
      <c r="O116" s="8">
        <v>0</v>
      </c>
      <c r="P116" s="8">
        <v>0</v>
      </c>
      <c r="Q116" s="8">
        <v>0</v>
      </c>
      <c r="R116" s="8">
        <f t="shared" si="14"/>
        <v>4444.4160000000002</v>
      </c>
      <c r="S116" s="8">
        <v>0</v>
      </c>
      <c r="T116" s="8">
        <v>0</v>
      </c>
      <c r="U116" s="8">
        <v>4444.4160000000002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7">
        <v>0.32876699999999998</v>
      </c>
      <c r="AB116" s="8">
        <v>1477.695708</v>
      </c>
      <c r="AC116" s="7">
        <v>2.0449999999999999</v>
      </c>
      <c r="AD116" s="7" t="s">
        <v>1226</v>
      </c>
      <c r="AE116" s="8">
        <v>1481.472</v>
      </c>
      <c r="AF116" s="8">
        <v>0</v>
      </c>
      <c r="AG116" s="8">
        <v>1481.472</v>
      </c>
      <c r="AH116" s="8">
        <v>0</v>
      </c>
      <c r="AI116" s="7" t="s">
        <v>1736</v>
      </c>
      <c r="AJ116" s="7">
        <f t="shared" ca="1" si="15"/>
        <v>1</v>
      </c>
      <c r="AL116" s="96">
        <f t="shared" si="24"/>
        <v>8.7612695584136945E-6</v>
      </c>
      <c r="AM116" s="97">
        <f t="shared" si="25"/>
        <v>5.2373306089186923E-5</v>
      </c>
    </row>
    <row r="117" spans="1:39" x14ac:dyDescent="0.3">
      <c r="A117" s="7" t="s">
        <v>1890</v>
      </c>
      <c r="B117" s="7" t="s">
        <v>1320</v>
      </c>
      <c r="C117" s="7" t="s">
        <v>1323</v>
      </c>
      <c r="D117" s="7" t="s">
        <v>1694</v>
      </c>
      <c r="E117" s="7" t="s">
        <v>1739</v>
      </c>
      <c r="F117" s="36">
        <v>42826</v>
      </c>
      <c r="G117" s="36">
        <v>43921</v>
      </c>
      <c r="I117" s="36">
        <v>45016</v>
      </c>
      <c r="J117" s="7" t="s">
        <v>1696</v>
      </c>
      <c r="K117" s="8">
        <v>0</v>
      </c>
      <c r="L117" s="8">
        <v>0</v>
      </c>
      <c r="M117" s="8">
        <v>128686.958579</v>
      </c>
      <c r="N117" s="8">
        <v>0</v>
      </c>
      <c r="O117" s="8">
        <v>0</v>
      </c>
      <c r="P117" s="8">
        <v>0</v>
      </c>
      <c r="Q117" s="8">
        <v>0</v>
      </c>
      <c r="R117" s="8">
        <f t="shared" si="14"/>
        <v>128686.958579</v>
      </c>
      <c r="S117" s="8">
        <v>0</v>
      </c>
      <c r="T117" s="8">
        <v>0</v>
      </c>
      <c r="U117" s="8">
        <v>200000</v>
      </c>
      <c r="V117" s="8">
        <v>0</v>
      </c>
      <c r="W117" s="8">
        <v>0</v>
      </c>
      <c r="X117" s="8">
        <v>0</v>
      </c>
      <c r="Y117" s="8">
        <v>0</v>
      </c>
      <c r="Z117" s="8">
        <v>143155.48852799999</v>
      </c>
      <c r="AA117" s="7">
        <v>1.246575</v>
      </c>
      <c r="AB117" s="8">
        <v>50000.000001</v>
      </c>
      <c r="AC117" s="7">
        <v>2.920417</v>
      </c>
      <c r="AD117" s="7" t="s">
        <v>1697</v>
      </c>
      <c r="AE117" s="8">
        <v>50000</v>
      </c>
      <c r="AF117" s="8">
        <v>0</v>
      </c>
      <c r="AG117" s="8">
        <v>50000</v>
      </c>
      <c r="AH117" s="8">
        <v>0</v>
      </c>
      <c r="AI117" s="7" t="s">
        <v>1194</v>
      </c>
      <c r="AJ117" s="7">
        <f t="shared" ca="1" si="15"/>
        <v>1</v>
      </c>
      <c r="AL117" s="96">
        <f t="shared" si="24"/>
        <v>1.1240411978679151E-3</v>
      </c>
      <c r="AM117" s="97">
        <f t="shared" si="25"/>
        <v>2.5242833455874675E-3</v>
      </c>
    </row>
    <row r="118" spans="1:39" x14ac:dyDescent="0.3">
      <c r="A118" s="7" t="s">
        <v>1891</v>
      </c>
      <c r="B118" s="7" t="s">
        <v>1320</v>
      </c>
      <c r="C118" s="7" t="s">
        <v>1323</v>
      </c>
      <c r="D118" s="7" t="s">
        <v>1694</v>
      </c>
      <c r="E118" s="7" t="s">
        <v>1739</v>
      </c>
      <c r="F118" s="36">
        <v>42826</v>
      </c>
      <c r="G118" s="36">
        <v>43921</v>
      </c>
      <c r="I118" s="36">
        <v>45016</v>
      </c>
      <c r="J118" s="7" t="s">
        <v>1696</v>
      </c>
      <c r="K118" s="8">
        <v>0</v>
      </c>
      <c r="L118" s="8">
        <v>0</v>
      </c>
      <c r="M118" s="8">
        <v>29155.729452</v>
      </c>
      <c r="N118" s="8">
        <v>0</v>
      </c>
      <c r="O118" s="8">
        <v>0</v>
      </c>
      <c r="P118" s="8">
        <v>0</v>
      </c>
      <c r="Q118" s="8">
        <v>0</v>
      </c>
      <c r="R118" s="8">
        <f t="shared" si="14"/>
        <v>29155.729452</v>
      </c>
      <c r="S118" s="8">
        <v>0</v>
      </c>
      <c r="T118" s="8">
        <v>0</v>
      </c>
      <c r="U118" s="8">
        <v>50000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7">
        <v>1.246575</v>
      </c>
      <c r="AB118" s="8">
        <v>0</v>
      </c>
      <c r="AC118" s="7">
        <v>2.920417</v>
      </c>
      <c r="AD118" s="7" t="s">
        <v>1697</v>
      </c>
      <c r="AE118" s="8">
        <v>0</v>
      </c>
      <c r="AF118" s="8">
        <v>0</v>
      </c>
      <c r="AG118" s="8">
        <v>0</v>
      </c>
      <c r="AH118" s="8">
        <v>0</v>
      </c>
      <c r="AI118" s="7" t="s">
        <v>1194</v>
      </c>
      <c r="AJ118" s="7">
        <f t="shared" ca="1" si="15"/>
        <v>1</v>
      </c>
      <c r="AL118" s="96">
        <f t="shared" si="24"/>
        <v>0</v>
      </c>
      <c r="AM118" s="97">
        <f t="shared" si="25"/>
        <v>0</v>
      </c>
    </row>
    <row r="119" spans="1:39" x14ac:dyDescent="0.3">
      <c r="A119" s="7" t="s">
        <v>1892</v>
      </c>
      <c r="B119" s="7" t="s">
        <v>194</v>
      </c>
      <c r="C119" s="7" t="s">
        <v>1323</v>
      </c>
      <c r="D119" s="7" t="s">
        <v>1324</v>
      </c>
      <c r="E119" s="7" t="s">
        <v>1322</v>
      </c>
      <c r="F119" s="36">
        <v>44287</v>
      </c>
      <c r="G119" s="36">
        <v>45382</v>
      </c>
      <c r="H119" s="36">
        <v>45382</v>
      </c>
      <c r="I119" s="36">
        <v>45382</v>
      </c>
      <c r="J119" s="7" t="s">
        <v>1239</v>
      </c>
      <c r="K119" s="8">
        <v>404830.805643</v>
      </c>
      <c r="L119" s="8">
        <v>76381.203221999996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f t="shared" si="14"/>
        <v>481212.00886499998</v>
      </c>
      <c r="S119" s="8">
        <v>0</v>
      </c>
      <c r="T119" s="8">
        <v>76381.203221999996</v>
      </c>
      <c r="U119" s="8">
        <v>0</v>
      </c>
      <c r="V119" s="8">
        <v>373618.79677800002</v>
      </c>
      <c r="W119" s="8">
        <v>0</v>
      </c>
      <c r="X119" s="8">
        <v>1619323.2225820001</v>
      </c>
      <c r="Y119" s="8">
        <v>0</v>
      </c>
      <c r="Z119" s="8">
        <v>0</v>
      </c>
      <c r="AA119" s="7">
        <v>2.2493150000000002</v>
      </c>
      <c r="AB119" s="8">
        <v>1245704.4258040001</v>
      </c>
      <c r="AC119" s="7">
        <v>7</v>
      </c>
      <c r="AD119" s="7" t="s">
        <v>1226</v>
      </c>
      <c r="AE119" s="8">
        <v>1350000</v>
      </c>
      <c r="AF119" s="8">
        <v>0</v>
      </c>
      <c r="AG119" s="8">
        <v>1350000</v>
      </c>
      <c r="AH119" s="8">
        <v>0</v>
      </c>
      <c r="AI119" s="7" t="s">
        <v>1758</v>
      </c>
      <c r="AJ119" s="7">
        <f t="shared" ca="1" si="15"/>
        <v>1</v>
      </c>
      <c r="AL119" s="96">
        <f t="shared" si="18"/>
        <v>1.6799833669786608E-2</v>
      </c>
      <c r="AM119" s="97">
        <f t="shared" si="19"/>
        <v>6.1502184605539294E-2</v>
      </c>
    </row>
    <row r="120" spans="1:39" x14ac:dyDescent="0.3">
      <c r="A120" s="7" t="s">
        <v>1893</v>
      </c>
      <c r="B120" s="7" t="s">
        <v>194</v>
      </c>
      <c r="C120" s="7" t="s">
        <v>1323</v>
      </c>
      <c r="D120" s="7" t="s">
        <v>1324</v>
      </c>
      <c r="E120" s="7" t="s">
        <v>1322</v>
      </c>
      <c r="F120" s="36">
        <v>44378</v>
      </c>
      <c r="G120" s="36">
        <v>45473</v>
      </c>
      <c r="H120" s="36">
        <v>45473</v>
      </c>
      <c r="I120" s="36">
        <v>45473</v>
      </c>
      <c r="J120" s="7" t="s">
        <v>1239</v>
      </c>
      <c r="K120" s="8">
        <v>271461.54578400002</v>
      </c>
      <c r="L120" s="8">
        <v>51659.872820999997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f t="shared" si="14"/>
        <v>323121.41860500001</v>
      </c>
      <c r="S120" s="8">
        <v>0</v>
      </c>
      <c r="T120" s="8">
        <v>43654.069976999999</v>
      </c>
      <c r="U120" s="8">
        <v>0</v>
      </c>
      <c r="V120" s="8">
        <v>256345.93002299999</v>
      </c>
      <c r="W120" s="8">
        <v>0</v>
      </c>
      <c r="X120" s="8">
        <v>1628769.274713</v>
      </c>
      <c r="Y120" s="8">
        <v>0</v>
      </c>
      <c r="Z120" s="8">
        <v>0</v>
      </c>
      <c r="AA120" s="7">
        <v>2.4986299999999999</v>
      </c>
      <c r="AB120" s="8">
        <v>1372423.3446899999</v>
      </c>
      <c r="AC120" s="7">
        <v>7</v>
      </c>
      <c r="AD120" s="7" t="s">
        <v>1226</v>
      </c>
      <c r="AE120" s="8">
        <v>1500000</v>
      </c>
      <c r="AF120" s="8">
        <v>0</v>
      </c>
      <c r="AG120" s="8">
        <v>1500000</v>
      </c>
      <c r="AH120" s="8">
        <v>0</v>
      </c>
      <c r="AI120" s="7" t="s">
        <v>1758</v>
      </c>
      <c r="AJ120" s="7">
        <f t="shared" ca="1" si="15"/>
        <v>1</v>
      </c>
      <c r="AL120" s="96">
        <f t="shared" si="18"/>
        <v>2.0560313945847782E-2</v>
      </c>
      <c r="AM120" s="97">
        <f t="shared" si="19"/>
        <v>6.8335760672821447E-2</v>
      </c>
    </row>
    <row r="121" spans="1:39" x14ac:dyDescent="0.3">
      <c r="A121" s="7" t="s">
        <v>1894</v>
      </c>
      <c r="B121" s="7" t="s">
        <v>1320</v>
      </c>
      <c r="C121" s="7" t="s">
        <v>1323</v>
      </c>
      <c r="D121" s="7" t="s">
        <v>1792</v>
      </c>
      <c r="E121" s="7" t="s">
        <v>1322</v>
      </c>
      <c r="F121" s="36">
        <v>43221</v>
      </c>
      <c r="G121" s="36">
        <v>44681</v>
      </c>
      <c r="H121" s="36">
        <v>44681</v>
      </c>
      <c r="I121" s="36">
        <v>45046</v>
      </c>
      <c r="J121" s="7" t="s">
        <v>1696</v>
      </c>
      <c r="K121" s="8">
        <v>0</v>
      </c>
      <c r="L121" s="8">
        <v>0</v>
      </c>
      <c r="M121" s="8">
        <v>4035.5301960000002</v>
      </c>
      <c r="N121" s="8">
        <v>0</v>
      </c>
      <c r="O121" s="8">
        <v>0</v>
      </c>
      <c r="P121" s="8">
        <v>0</v>
      </c>
      <c r="Q121" s="8">
        <v>0</v>
      </c>
      <c r="R121" s="8">
        <f t="shared" si="14"/>
        <v>4035.5301960000002</v>
      </c>
      <c r="S121" s="8">
        <v>0</v>
      </c>
      <c r="T121" s="8">
        <v>0</v>
      </c>
      <c r="U121" s="8">
        <v>4444.4160000000002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7">
        <v>1.328767</v>
      </c>
      <c r="AB121" s="8">
        <v>3839.2141409999999</v>
      </c>
      <c r="AC121" s="7">
        <v>2.0449999999999999</v>
      </c>
      <c r="AD121" s="7" t="s">
        <v>1226</v>
      </c>
      <c r="AE121" s="8">
        <v>3881.4590520000002</v>
      </c>
      <c r="AF121" s="8">
        <v>0</v>
      </c>
      <c r="AG121" s="8">
        <v>3881.4590520000002</v>
      </c>
      <c r="AH121" s="8">
        <v>0</v>
      </c>
      <c r="AI121" s="7" t="s">
        <v>1736</v>
      </c>
      <c r="AJ121" s="7">
        <f t="shared" ca="1" si="15"/>
        <v>1</v>
      </c>
      <c r="AL121" s="96">
        <f t="shared" ref="AL121:AL124" si="26">(+AA121*AB121)/$AB$612</f>
        <v>9.1999397309517695E-5</v>
      </c>
      <c r="AM121" s="97">
        <f t="shared" ref="AM121:AM124" si="27">AC121/$AE$612*AE121</f>
        <v>1.372181472231951E-4</v>
      </c>
    </row>
    <row r="122" spans="1:39" x14ac:dyDescent="0.3">
      <c r="A122" s="7" t="s">
        <v>1895</v>
      </c>
      <c r="B122" s="7" t="s">
        <v>1320</v>
      </c>
      <c r="C122" s="7" t="s">
        <v>1323</v>
      </c>
      <c r="D122" s="7" t="s">
        <v>1792</v>
      </c>
      <c r="E122" s="7" t="s">
        <v>1322</v>
      </c>
      <c r="F122" s="36">
        <v>43221</v>
      </c>
      <c r="G122" s="36">
        <v>44681</v>
      </c>
      <c r="H122" s="36">
        <v>44681</v>
      </c>
      <c r="I122" s="36">
        <v>45046</v>
      </c>
      <c r="J122" s="7" t="s">
        <v>1696</v>
      </c>
      <c r="K122" s="8">
        <v>0</v>
      </c>
      <c r="L122" s="8">
        <v>0</v>
      </c>
      <c r="M122" s="8">
        <v>4035.5301960000002</v>
      </c>
      <c r="N122" s="8">
        <v>0</v>
      </c>
      <c r="O122" s="8">
        <v>0</v>
      </c>
      <c r="P122" s="8">
        <v>0</v>
      </c>
      <c r="Q122" s="8">
        <v>0</v>
      </c>
      <c r="R122" s="8">
        <f t="shared" si="14"/>
        <v>4035.5301960000002</v>
      </c>
      <c r="S122" s="8">
        <v>0</v>
      </c>
      <c r="T122" s="8">
        <v>0</v>
      </c>
      <c r="U122" s="8">
        <v>4444.4160000000002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7">
        <v>1.328767</v>
      </c>
      <c r="AB122" s="8">
        <v>3839.2141409999999</v>
      </c>
      <c r="AC122" s="7">
        <v>2.0449999999999999</v>
      </c>
      <c r="AD122" s="7" t="s">
        <v>1226</v>
      </c>
      <c r="AE122" s="8">
        <v>3881.4590520000002</v>
      </c>
      <c r="AF122" s="8">
        <v>0</v>
      </c>
      <c r="AG122" s="8">
        <v>3881.4590520000002</v>
      </c>
      <c r="AH122" s="8">
        <v>0</v>
      </c>
      <c r="AI122" s="7" t="s">
        <v>1736</v>
      </c>
      <c r="AJ122" s="7">
        <f t="shared" ca="1" si="15"/>
        <v>1</v>
      </c>
      <c r="AL122" s="96">
        <f t="shared" si="26"/>
        <v>9.1999397309517695E-5</v>
      </c>
      <c r="AM122" s="97">
        <f t="shared" si="27"/>
        <v>1.372181472231951E-4</v>
      </c>
    </row>
    <row r="123" spans="1:39" x14ac:dyDescent="0.3">
      <c r="A123" s="7" t="s">
        <v>1896</v>
      </c>
      <c r="B123" s="7" t="s">
        <v>1320</v>
      </c>
      <c r="C123" s="7" t="s">
        <v>1323</v>
      </c>
      <c r="D123" s="7" t="s">
        <v>1792</v>
      </c>
      <c r="E123" s="7" t="s">
        <v>1322</v>
      </c>
      <c r="F123" s="36">
        <v>43221</v>
      </c>
      <c r="G123" s="36">
        <v>44681</v>
      </c>
      <c r="H123" s="36">
        <v>44681</v>
      </c>
      <c r="I123" s="36">
        <v>45046</v>
      </c>
      <c r="J123" s="7" t="s">
        <v>1696</v>
      </c>
      <c r="K123" s="8">
        <v>0</v>
      </c>
      <c r="L123" s="8">
        <v>0</v>
      </c>
      <c r="M123" s="8">
        <v>4035.5301960000002</v>
      </c>
      <c r="N123" s="8">
        <v>0</v>
      </c>
      <c r="O123" s="8">
        <v>0</v>
      </c>
      <c r="P123" s="8">
        <v>0</v>
      </c>
      <c r="Q123" s="8">
        <v>0</v>
      </c>
      <c r="R123" s="8">
        <f t="shared" si="14"/>
        <v>4035.5301960000002</v>
      </c>
      <c r="S123" s="8">
        <v>0</v>
      </c>
      <c r="T123" s="8">
        <v>0</v>
      </c>
      <c r="U123" s="8">
        <v>4444.4160000000002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7">
        <v>1.328767</v>
      </c>
      <c r="AB123" s="8">
        <v>3839.2141409999999</v>
      </c>
      <c r="AC123" s="7">
        <v>2.0449999999999999</v>
      </c>
      <c r="AD123" s="7" t="s">
        <v>1226</v>
      </c>
      <c r="AE123" s="8">
        <v>3881.4590520000002</v>
      </c>
      <c r="AF123" s="8">
        <v>0</v>
      </c>
      <c r="AG123" s="8">
        <v>3881.4590520000002</v>
      </c>
      <c r="AH123" s="8">
        <v>0</v>
      </c>
      <c r="AI123" s="7" t="s">
        <v>1736</v>
      </c>
      <c r="AJ123" s="7">
        <f t="shared" ca="1" si="15"/>
        <v>1</v>
      </c>
      <c r="AL123" s="96">
        <f t="shared" si="26"/>
        <v>9.1999397309517695E-5</v>
      </c>
      <c r="AM123" s="97">
        <f t="shared" si="27"/>
        <v>1.372181472231951E-4</v>
      </c>
    </row>
    <row r="124" spans="1:39" x14ac:dyDescent="0.3">
      <c r="A124" s="7" t="s">
        <v>1897</v>
      </c>
      <c r="B124" s="7" t="s">
        <v>1320</v>
      </c>
      <c r="C124" s="7" t="s">
        <v>1323</v>
      </c>
      <c r="D124" s="7" t="s">
        <v>1792</v>
      </c>
      <c r="E124" s="7" t="s">
        <v>1322</v>
      </c>
      <c r="F124" s="36">
        <v>43221</v>
      </c>
      <c r="G124" s="36">
        <v>44681</v>
      </c>
      <c r="H124" s="36">
        <v>44681</v>
      </c>
      <c r="I124" s="36">
        <v>45046</v>
      </c>
      <c r="J124" s="7" t="s">
        <v>1696</v>
      </c>
      <c r="K124" s="8">
        <v>0</v>
      </c>
      <c r="L124" s="8">
        <v>0</v>
      </c>
      <c r="M124" s="8">
        <v>4035.5301960000002</v>
      </c>
      <c r="N124" s="8">
        <v>0</v>
      </c>
      <c r="O124" s="8">
        <v>0</v>
      </c>
      <c r="P124" s="8">
        <v>0</v>
      </c>
      <c r="Q124" s="8">
        <v>0</v>
      </c>
      <c r="R124" s="8">
        <f t="shared" si="14"/>
        <v>4035.5301960000002</v>
      </c>
      <c r="S124" s="8">
        <v>0</v>
      </c>
      <c r="T124" s="8">
        <v>0</v>
      </c>
      <c r="U124" s="8">
        <v>4444.4160000000002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7">
        <v>1.328767</v>
      </c>
      <c r="AB124" s="8">
        <v>3839.2141409999999</v>
      </c>
      <c r="AC124" s="7">
        <v>2.0449999999999999</v>
      </c>
      <c r="AD124" s="7" t="s">
        <v>1226</v>
      </c>
      <c r="AE124" s="8">
        <v>3881.4590520000002</v>
      </c>
      <c r="AF124" s="8">
        <v>0</v>
      </c>
      <c r="AG124" s="8">
        <v>3881.4590520000002</v>
      </c>
      <c r="AH124" s="8">
        <v>0</v>
      </c>
      <c r="AI124" s="7" t="s">
        <v>1736</v>
      </c>
      <c r="AJ124" s="7">
        <f t="shared" ca="1" si="15"/>
        <v>1</v>
      </c>
      <c r="AL124" s="96">
        <f t="shared" si="26"/>
        <v>9.1999397309517695E-5</v>
      </c>
      <c r="AM124" s="97">
        <f t="shared" si="27"/>
        <v>1.372181472231951E-4</v>
      </c>
    </row>
    <row r="125" spans="1:39" x14ac:dyDescent="0.3">
      <c r="A125" s="7" t="s">
        <v>1898</v>
      </c>
      <c r="B125" s="7" t="s">
        <v>194</v>
      </c>
      <c r="C125" s="7" t="s">
        <v>1323</v>
      </c>
      <c r="D125" s="7" t="s">
        <v>1852</v>
      </c>
      <c r="E125" s="7" t="s">
        <v>1322</v>
      </c>
      <c r="F125" s="36">
        <v>44287</v>
      </c>
      <c r="G125" s="36">
        <v>45382</v>
      </c>
      <c r="H125" s="36">
        <v>45382</v>
      </c>
      <c r="I125" s="36">
        <v>45382</v>
      </c>
      <c r="J125" s="7" t="s">
        <v>1239</v>
      </c>
      <c r="K125" s="8">
        <v>407192.31867610977</v>
      </c>
      <c r="L125" s="8">
        <v>74201.760241020005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f t="shared" si="14"/>
        <v>481394.07891712978</v>
      </c>
      <c r="S125" s="8">
        <v>0</v>
      </c>
      <c r="T125" s="8">
        <v>66935.151090018044</v>
      </c>
      <c r="U125" s="8">
        <v>0</v>
      </c>
      <c r="V125" s="8">
        <v>383064.84891010326</v>
      </c>
      <c r="W125" s="8">
        <v>0</v>
      </c>
      <c r="X125" s="8">
        <v>1628769.2747134389</v>
      </c>
      <c r="Y125" s="8">
        <v>0</v>
      </c>
      <c r="Z125" s="8">
        <v>0</v>
      </c>
      <c r="AA125" s="7">
        <v>2.2493150000000002</v>
      </c>
      <c r="AB125" s="8">
        <v>1245704.4258033358</v>
      </c>
      <c r="AC125" s="7">
        <v>7</v>
      </c>
      <c r="AD125" s="7" t="s">
        <v>1226</v>
      </c>
      <c r="AE125" s="8">
        <v>1350000.0000003905</v>
      </c>
      <c r="AF125" s="8">
        <v>0</v>
      </c>
      <c r="AG125" s="8">
        <v>1350000.0000003905</v>
      </c>
      <c r="AH125" s="8">
        <v>0</v>
      </c>
      <c r="AI125" s="7" t="s">
        <v>1781</v>
      </c>
      <c r="AJ125" s="7">
        <f t="shared" ca="1" si="15"/>
        <v>1</v>
      </c>
      <c r="AL125" s="96">
        <f t="shared" si="18"/>
        <v>1.6799833669777654E-2</v>
      </c>
      <c r="AM125" s="97">
        <f t="shared" si="19"/>
        <v>6.1502184605557085E-2</v>
      </c>
    </row>
    <row r="126" spans="1:39" x14ac:dyDescent="0.3">
      <c r="A126" s="7" t="s">
        <v>1899</v>
      </c>
      <c r="B126" s="7" t="s">
        <v>194</v>
      </c>
      <c r="C126" s="7" t="s">
        <v>1323</v>
      </c>
      <c r="D126" s="7" t="s">
        <v>1324</v>
      </c>
      <c r="E126" s="7" t="s">
        <v>1322</v>
      </c>
      <c r="F126" s="36">
        <v>44378</v>
      </c>
      <c r="G126" s="36">
        <v>45473</v>
      </c>
      <c r="H126" s="36">
        <v>45473</v>
      </c>
      <c r="I126" s="36">
        <v>45473</v>
      </c>
      <c r="J126" s="7" t="s">
        <v>1239</v>
      </c>
      <c r="K126" s="8">
        <v>754070.09490499995</v>
      </c>
      <c r="L126" s="8">
        <v>316302.34457000002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f t="shared" si="14"/>
        <v>1070372.4394749999</v>
      </c>
      <c r="S126" s="8">
        <v>0</v>
      </c>
      <c r="T126" s="8">
        <v>300000</v>
      </c>
      <c r="U126" s="8">
        <v>0</v>
      </c>
      <c r="V126" s="8">
        <v>0</v>
      </c>
      <c r="W126" s="8">
        <v>0</v>
      </c>
      <c r="X126" s="8">
        <v>1364126.802966</v>
      </c>
      <c r="Y126" s="8">
        <v>0</v>
      </c>
      <c r="Z126" s="8">
        <v>0</v>
      </c>
      <c r="AA126" s="7">
        <v>2.4986299999999999</v>
      </c>
      <c r="AB126" s="8">
        <v>1364126.802966</v>
      </c>
      <c r="AC126" s="7">
        <v>7</v>
      </c>
      <c r="AD126" s="7" t="s">
        <v>1226</v>
      </c>
      <c r="AE126" s="8">
        <v>1500000</v>
      </c>
      <c r="AF126" s="8">
        <v>0</v>
      </c>
      <c r="AG126" s="8">
        <v>1500000</v>
      </c>
      <c r="AH126" s="8">
        <v>0</v>
      </c>
      <c r="AI126" s="7" t="s">
        <v>1758</v>
      </c>
      <c r="AJ126" s="7">
        <f t="shared" ca="1" si="15"/>
        <v>1</v>
      </c>
      <c r="AL126" s="96">
        <f t="shared" si="18"/>
        <v>2.0436023213567363E-2</v>
      </c>
      <c r="AM126" s="97">
        <f t="shared" si="19"/>
        <v>6.8335760672821447E-2</v>
      </c>
    </row>
    <row r="127" spans="1:39" x14ac:dyDescent="0.3">
      <c r="A127" s="7" t="s">
        <v>1900</v>
      </c>
      <c r="B127" s="7" t="s">
        <v>1320</v>
      </c>
      <c r="C127" s="7" t="s">
        <v>1323</v>
      </c>
      <c r="D127" s="7" t="s">
        <v>1792</v>
      </c>
      <c r="E127" s="7" t="s">
        <v>1322</v>
      </c>
      <c r="F127" s="36">
        <v>43221</v>
      </c>
      <c r="G127" s="36">
        <v>44681</v>
      </c>
      <c r="H127" s="36">
        <v>44681</v>
      </c>
      <c r="I127" s="36">
        <v>44681</v>
      </c>
      <c r="J127" s="7" t="s">
        <v>1696</v>
      </c>
      <c r="K127" s="8">
        <v>0</v>
      </c>
      <c r="L127" s="8">
        <v>0</v>
      </c>
      <c r="M127" s="8">
        <v>4444.4160000000002</v>
      </c>
      <c r="N127" s="8">
        <v>0</v>
      </c>
      <c r="O127" s="8">
        <v>0</v>
      </c>
      <c r="P127" s="8">
        <v>0</v>
      </c>
      <c r="Q127" s="8">
        <v>0</v>
      </c>
      <c r="R127" s="8">
        <f t="shared" si="14"/>
        <v>4444.4160000000002</v>
      </c>
      <c r="S127" s="8">
        <v>0</v>
      </c>
      <c r="T127" s="8">
        <v>0</v>
      </c>
      <c r="U127" s="8">
        <v>4444.4160000000002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7">
        <v>0.32876699999999998</v>
      </c>
      <c r="AB127" s="8">
        <v>1477.695708</v>
      </c>
      <c r="AC127" s="7">
        <v>2.0449999999999999</v>
      </c>
      <c r="AD127" s="7" t="s">
        <v>1226</v>
      </c>
      <c r="AE127" s="8">
        <v>1481.472</v>
      </c>
      <c r="AF127" s="8">
        <v>0</v>
      </c>
      <c r="AG127" s="8">
        <v>1481.472</v>
      </c>
      <c r="AH127" s="8">
        <v>0</v>
      </c>
      <c r="AI127" s="7" t="s">
        <v>1736</v>
      </c>
      <c r="AJ127" s="7">
        <f t="shared" ca="1" si="15"/>
        <v>1</v>
      </c>
      <c r="AL127" s="96">
        <f t="shared" ref="AL127:AL132" si="28">(+AA127*AB127)/$AB$612</f>
        <v>8.7612695584136945E-6</v>
      </c>
      <c r="AM127" s="97">
        <f t="shared" ref="AM127:AM132" si="29">AC127/$AE$612*AE127</f>
        <v>5.2373306089186923E-5</v>
      </c>
    </row>
    <row r="128" spans="1:39" x14ac:dyDescent="0.3">
      <c r="A128" s="7" t="s">
        <v>1901</v>
      </c>
      <c r="B128" s="7" t="s">
        <v>1320</v>
      </c>
      <c r="C128" s="7" t="s">
        <v>1323</v>
      </c>
      <c r="D128" s="7" t="s">
        <v>1792</v>
      </c>
      <c r="E128" s="7" t="s">
        <v>1322</v>
      </c>
      <c r="F128" s="36">
        <v>43221</v>
      </c>
      <c r="G128" s="36">
        <v>44681</v>
      </c>
      <c r="H128" s="36">
        <v>44681</v>
      </c>
      <c r="I128" s="36">
        <v>44681</v>
      </c>
      <c r="J128" s="7" t="s">
        <v>1696</v>
      </c>
      <c r="K128" s="8">
        <v>0</v>
      </c>
      <c r="L128" s="8">
        <v>0</v>
      </c>
      <c r="M128" s="8">
        <v>4444.4160000000002</v>
      </c>
      <c r="N128" s="8">
        <v>0</v>
      </c>
      <c r="O128" s="8">
        <v>0</v>
      </c>
      <c r="P128" s="8">
        <v>0</v>
      </c>
      <c r="Q128" s="8">
        <v>0</v>
      </c>
      <c r="R128" s="8">
        <f t="shared" si="14"/>
        <v>4444.4160000000002</v>
      </c>
      <c r="S128" s="8">
        <v>0</v>
      </c>
      <c r="T128" s="8">
        <v>0</v>
      </c>
      <c r="U128" s="8">
        <v>4444.4160000000002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7">
        <v>0.32876699999999998</v>
      </c>
      <c r="AB128" s="8">
        <v>1477.695708</v>
      </c>
      <c r="AC128" s="7">
        <v>2.0449999999999999</v>
      </c>
      <c r="AD128" s="7" t="s">
        <v>1226</v>
      </c>
      <c r="AE128" s="8">
        <v>1481.472</v>
      </c>
      <c r="AF128" s="8">
        <v>0</v>
      </c>
      <c r="AG128" s="8">
        <v>1481.472</v>
      </c>
      <c r="AH128" s="8">
        <v>0</v>
      </c>
      <c r="AI128" s="7" t="s">
        <v>1736</v>
      </c>
      <c r="AJ128" s="7">
        <f t="shared" ca="1" si="15"/>
        <v>1</v>
      </c>
      <c r="AL128" s="96">
        <f t="shared" si="28"/>
        <v>8.7612695584136945E-6</v>
      </c>
      <c r="AM128" s="97">
        <f t="shared" si="29"/>
        <v>5.2373306089186923E-5</v>
      </c>
    </row>
    <row r="129" spans="1:39" x14ac:dyDescent="0.3">
      <c r="A129" s="7" t="s">
        <v>1902</v>
      </c>
      <c r="B129" s="7" t="s">
        <v>1320</v>
      </c>
      <c r="C129" s="7" t="s">
        <v>1323</v>
      </c>
      <c r="D129" s="7" t="s">
        <v>1792</v>
      </c>
      <c r="E129" s="7" t="s">
        <v>1322</v>
      </c>
      <c r="F129" s="36">
        <v>43221</v>
      </c>
      <c r="G129" s="36">
        <v>44681</v>
      </c>
      <c r="H129" s="36">
        <v>44681</v>
      </c>
      <c r="I129" s="36">
        <v>44681</v>
      </c>
      <c r="J129" s="7" t="s">
        <v>1696</v>
      </c>
      <c r="K129" s="8">
        <v>0</v>
      </c>
      <c r="L129" s="8">
        <v>0</v>
      </c>
      <c r="M129" s="8">
        <v>4444.4160000000002</v>
      </c>
      <c r="N129" s="8">
        <v>0</v>
      </c>
      <c r="O129" s="8">
        <v>0</v>
      </c>
      <c r="P129" s="8">
        <v>0</v>
      </c>
      <c r="Q129" s="8">
        <v>0</v>
      </c>
      <c r="R129" s="8">
        <f t="shared" si="14"/>
        <v>4444.4160000000002</v>
      </c>
      <c r="S129" s="8">
        <v>0</v>
      </c>
      <c r="T129" s="8">
        <v>0</v>
      </c>
      <c r="U129" s="8">
        <v>4444.4160000000002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7">
        <v>0.32876699999999998</v>
      </c>
      <c r="AB129" s="8">
        <v>1477.695708</v>
      </c>
      <c r="AC129" s="7">
        <v>2.0449999999999999</v>
      </c>
      <c r="AD129" s="7" t="s">
        <v>1226</v>
      </c>
      <c r="AE129" s="8">
        <v>1481.472</v>
      </c>
      <c r="AF129" s="8">
        <v>0</v>
      </c>
      <c r="AG129" s="8">
        <v>1481.472</v>
      </c>
      <c r="AH129" s="8">
        <v>0</v>
      </c>
      <c r="AI129" s="7" t="s">
        <v>1736</v>
      </c>
      <c r="AJ129" s="7">
        <f t="shared" ca="1" si="15"/>
        <v>1</v>
      </c>
      <c r="AL129" s="96">
        <f t="shared" si="28"/>
        <v>8.7612695584136945E-6</v>
      </c>
      <c r="AM129" s="97">
        <f t="shared" si="29"/>
        <v>5.2373306089186923E-5</v>
      </c>
    </row>
    <row r="130" spans="1:39" x14ac:dyDescent="0.3">
      <c r="A130" s="7" t="s">
        <v>1903</v>
      </c>
      <c r="B130" s="7" t="s">
        <v>1320</v>
      </c>
      <c r="C130" s="7" t="s">
        <v>1323</v>
      </c>
      <c r="D130" s="7" t="s">
        <v>1792</v>
      </c>
      <c r="E130" s="7" t="s">
        <v>1322</v>
      </c>
      <c r="F130" s="36">
        <v>43221</v>
      </c>
      <c r="G130" s="36">
        <v>44681</v>
      </c>
      <c r="H130" s="36">
        <v>44681</v>
      </c>
      <c r="I130" s="36">
        <v>44681</v>
      </c>
      <c r="J130" s="7" t="s">
        <v>1696</v>
      </c>
      <c r="K130" s="8">
        <v>0</v>
      </c>
      <c r="L130" s="8">
        <v>0</v>
      </c>
      <c r="M130" s="8">
        <v>4444.4160000000002</v>
      </c>
      <c r="N130" s="8">
        <v>0</v>
      </c>
      <c r="O130" s="8">
        <v>0</v>
      </c>
      <c r="P130" s="8">
        <v>0</v>
      </c>
      <c r="Q130" s="8">
        <v>0</v>
      </c>
      <c r="R130" s="8">
        <f t="shared" si="14"/>
        <v>4444.4160000000002</v>
      </c>
      <c r="S130" s="8">
        <v>0</v>
      </c>
      <c r="T130" s="8">
        <v>0</v>
      </c>
      <c r="U130" s="8">
        <v>4444.4160000000002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7">
        <v>0.32876699999999998</v>
      </c>
      <c r="AB130" s="8">
        <v>1477.695708</v>
      </c>
      <c r="AC130" s="7">
        <v>2.0449999999999999</v>
      </c>
      <c r="AD130" s="7" t="s">
        <v>1226</v>
      </c>
      <c r="AE130" s="8">
        <v>1481.472</v>
      </c>
      <c r="AF130" s="8">
        <v>0</v>
      </c>
      <c r="AG130" s="8">
        <v>1481.472</v>
      </c>
      <c r="AH130" s="8">
        <v>0</v>
      </c>
      <c r="AI130" s="7" t="s">
        <v>1736</v>
      </c>
      <c r="AJ130" s="7">
        <f t="shared" ca="1" si="15"/>
        <v>1</v>
      </c>
      <c r="AL130" s="96">
        <f t="shared" si="28"/>
        <v>8.7612695584136945E-6</v>
      </c>
      <c r="AM130" s="97">
        <f t="shared" si="29"/>
        <v>5.2373306089186923E-5</v>
      </c>
    </row>
    <row r="131" spans="1:39" x14ac:dyDescent="0.3">
      <c r="A131" s="7" t="s">
        <v>1904</v>
      </c>
      <c r="B131" s="7" t="s">
        <v>1320</v>
      </c>
      <c r="C131" s="7" t="s">
        <v>1323</v>
      </c>
      <c r="D131" s="7" t="s">
        <v>1694</v>
      </c>
      <c r="E131" s="7" t="s">
        <v>1322</v>
      </c>
      <c r="F131" s="36">
        <v>43556</v>
      </c>
      <c r="G131" s="36">
        <v>44651</v>
      </c>
      <c r="H131" s="36">
        <v>44651</v>
      </c>
      <c r="I131" s="36">
        <v>45747</v>
      </c>
      <c r="J131" s="7" t="s">
        <v>1696</v>
      </c>
      <c r="K131" s="8">
        <v>0</v>
      </c>
      <c r="L131" s="8">
        <v>0</v>
      </c>
      <c r="M131" s="8">
        <v>249999.999996</v>
      </c>
      <c r="N131" s="8">
        <v>0</v>
      </c>
      <c r="O131" s="8">
        <v>0</v>
      </c>
      <c r="P131" s="8">
        <v>0</v>
      </c>
      <c r="Q131" s="8">
        <v>0</v>
      </c>
      <c r="R131" s="8">
        <f t="shared" ref="R131:R194" si="30">K131+L131+M131+N131+O131+P131+Q131</f>
        <v>249999.999996</v>
      </c>
      <c r="S131" s="8">
        <v>0</v>
      </c>
      <c r="T131" s="8">
        <v>0</v>
      </c>
      <c r="U131" s="8">
        <v>200000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7">
        <v>3.2493150000000002</v>
      </c>
      <c r="AB131" s="8">
        <v>854956.89907799999</v>
      </c>
      <c r="AC131" s="7">
        <v>7</v>
      </c>
      <c r="AD131" s="7" t="s">
        <v>1226</v>
      </c>
      <c r="AE131" s="8">
        <v>950000</v>
      </c>
      <c r="AF131" s="8">
        <v>0</v>
      </c>
      <c r="AG131" s="8">
        <v>950000</v>
      </c>
      <c r="AH131" s="8">
        <v>0</v>
      </c>
      <c r="AI131" s="7" t="s">
        <v>1194</v>
      </c>
      <c r="AJ131" s="7">
        <f t="shared" ref="AJ131:AJ194" ca="1" si="31">IF(A131=OFFSET(A131,-1,0),OFFSET(AJ131,-1,0)+1,1)</f>
        <v>1</v>
      </c>
      <c r="AL131" s="96">
        <f t="shared" si="28"/>
        <v>5.009909127700804E-2</v>
      </c>
      <c r="AM131" s="97">
        <f t="shared" si="29"/>
        <v>0.11495950234611468</v>
      </c>
    </row>
    <row r="132" spans="1:39" x14ac:dyDescent="0.3">
      <c r="A132" s="7" t="s">
        <v>1905</v>
      </c>
      <c r="B132" s="7" t="s">
        <v>1320</v>
      </c>
      <c r="C132" s="7" t="s">
        <v>1323</v>
      </c>
      <c r="D132" s="7" t="s">
        <v>1694</v>
      </c>
      <c r="E132" s="7" t="s">
        <v>1322</v>
      </c>
      <c r="F132" s="36">
        <v>43556</v>
      </c>
      <c r="G132" s="36">
        <v>44651</v>
      </c>
      <c r="H132" s="36">
        <v>44651</v>
      </c>
      <c r="I132" s="36">
        <v>45747</v>
      </c>
      <c r="J132" s="7" t="s">
        <v>1696</v>
      </c>
      <c r="K132" s="8">
        <v>0</v>
      </c>
      <c r="L132" s="8">
        <v>0</v>
      </c>
      <c r="M132" s="8">
        <v>54999.999995999999</v>
      </c>
      <c r="N132" s="8">
        <v>0</v>
      </c>
      <c r="O132" s="8">
        <v>0</v>
      </c>
      <c r="P132" s="8">
        <v>0</v>
      </c>
      <c r="Q132" s="8">
        <v>0</v>
      </c>
      <c r="R132" s="8">
        <f t="shared" si="30"/>
        <v>54999.999995999999</v>
      </c>
      <c r="S132" s="8">
        <v>0</v>
      </c>
      <c r="T132" s="8">
        <v>0</v>
      </c>
      <c r="U132" s="8">
        <v>50000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7">
        <v>3.2493150000000002</v>
      </c>
      <c r="AB132" s="8">
        <v>165229.31031100001</v>
      </c>
      <c r="AC132" s="7">
        <v>7</v>
      </c>
      <c r="AD132" s="7" t="s">
        <v>1226</v>
      </c>
      <c r="AE132" s="8">
        <v>180000</v>
      </c>
      <c r="AF132" s="8">
        <v>0</v>
      </c>
      <c r="AG132" s="8">
        <v>180000</v>
      </c>
      <c r="AH132" s="8">
        <v>0</v>
      </c>
      <c r="AI132" s="7" t="s">
        <v>1194</v>
      </c>
      <c r="AJ132" s="7">
        <f t="shared" ca="1" si="31"/>
        <v>1</v>
      </c>
      <c r="AL132" s="96">
        <f t="shared" si="28"/>
        <v>9.6821703033624692E-3</v>
      </c>
      <c r="AM132" s="97">
        <f t="shared" si="29"/>
        <v>2.1781800444526992E-2</v>
      </c>
    </row>
    <row r="133" spans="1:39" x14ac:dyDescent="0.3">
      <c r="A133" s="7" t="s">
        <v>1906</v>
      </c>
      <c r="B133" s="7" t="s">
        <v>194</v>
      </c>
      <c r="C133" s="7" t="s">
        <v>1323</v>
      </c>
      <c r="D133" s="7" t="s">
        <v>1852</v>
      </c>
      <c r="E133" s="7" t="s">
        <v>1322</v>
      </c>
      <c r="F133" s="36">
        <v>44287</v>
      </c>
      <c r="G133" s="36">
        <v>45382</v>
      </c>
      <c r="H133" s="36">
        <v>45382</v>
      </c>
      <c r="I133" s="36">
        <v>45382</v>
      </c>
      <c r="J133" s="7" t="s">
        <v>1239</v>
      </c>
      <c r="K133" s="8">
        <v>412261.56216011115</v>
      </c>
      <c r="L133" s="8">
        <v>75291.481720020296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f t="shared" si="30"/>
        <v>487553.04388013144</v>
      </c>
      <c r="S133" s="8">
        <v>0</v>
      </c>
      <c r="T133" s="8">
        <v>66935.15108001804</v>
      </c>
      <c r="U133" s="8">
        <v>0</v>
      </c>
      <c r="V133" s="8">
        <v>383064.84892010328</v>
      </c>
      <c r="W133" s="8">
        <v>0</v>
      </c>
      <c r="X133" s="8">
        <v>1649046.2486484444</v>
      </c>
      <c r="Y133" s="8">
        <v>0</v>
      </c>
      <c r="Z133" s="8">
        <v>0</v>
      </c>
      <c r="AA133" s="7">
        <v>2.2493150000000002</v>
      </c>
      <c r="AB133" s="8">
        <v>1267071.1212163416</v>
      </c>
      <c r="AC133" s="7">
        <v>7</v>
      </c>
      <c r="AD133" s="7" t="s">
        <v>1226</v>
      </c>
      <c r="AE133" s="8">
        <v>1350000.0000003905</v>
      </c>
      <c r="AF133" s="8">
        <v>25000.000000006738</v>
      </c>
      <c r="AG133" s="8">
        <v>1375000.0000003972</v>
      </c>
      <c r="AH133" s="8">
        <v>0</v>
      </c>
      <c r="AI133" s="7" t="s">
        <v>1781</v>
      </c>
      <c r="AJ133" s="7">
        <f t="shared" ca="1" si="31"/>
        <v>1</v>
      </c>
      <c r="AL133" s="96">
        <f t="shared" ref="AL133:AL166" si="32">(+AA133*AB133)/$AB$611</f>
        <v>1.7087989448609224E-2</v>
      </c>
      <c r="AM133" s="97">
        <f t="shared" ref="AM133:AM166" si="33">AC133/$AE$611*AE133</f>
        <v>6.1502184605557085E-2</v>
      </c>
    </row>
    <row r="134" spans="1:39" x14ac:dyDescent="0.3">
      <c r="A134" s="7" t="s">
        <v>1907</v>
      </c>
      <c r="B134" s="7" t="s">
        <v>194</v>
      </c>
      <c r="C134" s="7" t="s">
        <v>1323</v>
      </c>
      <c r="D134" s="7" t="s">
        <v>1852</v>
      </c>
      <c r="E134" s="7" t="s">
        <v>1322</v>
      </c>
      <c r="F134" s="36">
        <v>44378</v>
      </c>
      <c r="G134" s="36">
        <v>45473</v>
      </c>
      <c r="H134" s="36">
        <v>45473</v>
      </c>
      <c r="I134" s="36">
        <v>45473</v>
      </c>
      <c r="J134" s="7" t="s">
        <v>1239</v>
      </c>
      <c r="K134" s="8">
        <v>271461.54578400002</v>
      </c>
      <c r="L134" s="8">
        <v>51659.872820999997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f t="shared" si="30"/>
        <v>323121.41860500001</v>
      </c>
      <c r="S134" s="8">
        <v>0</v>
      </c>
      <c r="T134" s="8">
        <v>43654.069976999999</v>
      </c>
      <c r="U134" s="8">
        <v>0</v>
      </c>
      <c r="V134" s="8">
        <v>256345.93002299999</v>
      </c>
      <c r="W134" s="8">
        <v>0</v>
      </c>
      <c r="X134" s="8">
        <v>1628769.274713</v>
      </c>
      <c r="Y134" s="8">
        <v>0</v>
      </c>
      <c r="Z134" s="8">
        <v>0</v>
      </c>
      <c r="AA134" s="7">
        <v>2.4986299999999999</v>
      </c>
      <c r="AB134" s="8">
        <v>1372423.3446899999</v>
      </c>
      <c r="AC134" s="7">
        <v>7</v>
      </c>
      <c r="AD134" s="7" t="s">
        <v>1226</v>
      </c>
      <c r="AE134" s="8">
        <v>1500000</v>
      </c>
      <c r="AF134" s="8">
        <v>0</v>
      </c>
      <c r="AG134" s="8">
        <v>1500000</v>
      </c>
      <c r="AH134" s="8">
        <v>0</v>
      </c>
      <c r="AI134" s="7" t="s">
        <v>1781</v>
      </c>
      <c r="AJ134" s="7">
        <f t="shared" ca="1" si="31"/>
        <v>1</v>
      </c>
      <c r="AL134" s="96">
        <f t="shared" si="32"/>
        <v>2.0560313945847782E-2</v>
      </c>
      <c r="AM134" s="97">
        <f t="shared" si="33"/>
        <v>6.8335760672821447E-2</v>
      </c>
    </row>
    <row r="135" spans="1:39" x14ac:dyDescent="0.3">
      <c r="A135" s="7" t="s">
        <v>1908</v>
      </c>
      <c r="B135" s="7" t="s">
        <v>1320</v>
      </c>
      <c r="C135" s="7" t="s">
        <v>1323</v>
      </c>
      <c r="D135" s="7" t="s">
        <v>1694</v>
      </c>
      <c r="E135" s="7" t="s">
        <v>1322</v>
      </c>
      <c r="F135" s="36">
        <v>44044</v>
      </c>
      <c r="G135" s="36">
        <v>44651</v>
      </c>
      <c r="H135" s="36">
        <v>44651</v>
      </c>
      <c r="I135" s="36">
        <v>44651</v>
      </c>
      <c r="J135" s="7" t="s">
        <v>1239</v>
      </c>
      <c r="K135" s="8">
        <v>583769.08271999995</v>
      </c>
      <c r="L135" s="8">
        <v>7283.9160089999996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f t="shared" si="30"/>
        <v>591052.99872899998</v>
      </c>
      <c r="S135" s="8">
        <v>0</v>
      </c>
      <c r="T135" s="8">
        <v>8135.8713770000004</v>
      </c>
      <c r="U135" s="8">
        <v>0</v>
      </c>
      <c r="V135" s="8">
        <v>591864.128623</v>
      </c>
      <c r="W135" s="8">
        <v>0</v>
      </c>
      <c r="X135" s="8">
        <v>0</v>
      </c>
      <c r="Y135" s="8">
        <v>0</v>
      </c>
      <c r="Z135" s="8">
        <v>0</v>
      </c>
      <c r="AA135" s="7">
        <v>0.24657499999999999</v>
      </c>
      <c r="AB135" s="8">
        <v>149569.200518</v>
      </c>
      <c r="AC135" s="7">
        <v>1.727333</v>
      </c>
      <c r="AD135" s="7" t="s">
        <v>1226</v>
      </c>
      <c r="AE135" s="8">
        <v>150000</v>
      </c>
      <c r="AF135" s="8">
        <v>0</v>
      </c>
      <c r="AG135" s="8">
        <v>150000</v>
      </c>
      <c r="AH135" s="8">
        <v>0</v>
      </c>
      <c r="AI135" s="7" t="s">
        <v>1194</v>
      </c>
      <c r="AJ135" s="7">
        <f t="shared" ca="1" si="31"/>
        <v>1</v>
      </c>
      <c r="AL135" s="96">
        <f t="shared" si="32"/>
        <v>2.2112146808622412E-4</v>
      </c>
      <c r="AM135" s="97">
        <f t="shared" si="33"/>
        <v>1.686265921289524E-3</v>
      </c>
    </row>
    <row r="136" spans="1:39" x14ac:dyDescent="0.3">
      <c r="A136" s="7" t="s">
        <v>1909</v>
      </c>
      <c r="B136" s="7" t="s">
        <v>1320</v>
      </c>
      <c r="C136" s="7" t="s">
        <v>1323</v>
      </c>
      <c r="D136" s="7" t="s">
        <v>1792</v>
      </c>
      <c r="E136" s="7" t="s">
        <v>1322</v>
      </c>
      <c r="F136" s="36">
        <v>43221</v>
      </c>
      <c r="G136" s="36">
        <v>44681</v>
      </c>
      <c r="H136" s="36">
        <v>44681</v>
      </c>
      <c r="I136" s="36">
        <v>44681</v>
      </c>
      <c r="J136" s="7" t="s">
        <v>1696</v>
      </c>
      <c r="K136" s="8">
        <v>0</v>
      </c>
      <c r="L136" s="8">
        <v>0</v>
      </c>
      <c r="M136" s="8">
        <v>4444.4160000000002</v>
      </c>
      <c r="N136" s="8">
        <v>0</v>
      </c>
      <c r="O136" s="8">
        <v>0</v>
      </c>
      <c r="P136" s="8">
        <v>0</v>
      </c>
      <c r="Q136" s="8">
        <v>0</v>
      </c>
      <c r="R136" s="8">
        <f t="shared" si="30"/>
        <v>4444.4160000000002</v>
      </c>
      <c r="S136" s="8">
        <v>0</v>
      </c>
      <c r="T136" s="8">
        <v>0</v>
      </c>
      <c r="U136" s="8">
        <v>4444.4160000000002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7">
        <v>0.32876699999999998</v>
      </c>
      <c r="AB136" s="8">
        <v>1477.695708</v>
      </c>
      <c r="AC136" s="7">
        <v>2.0449999999999999</v>
      </c>
      <c r="AD136" s="7" t="s">
        <v>1226</v>
      </c>
      <c r="AE136" s="8">
        <v>1481.472</v>
      </c>
      <c r="AF136" s="8">
        <v>0</v>
      </c>
      <c r="AG136" s="8">
        <v>1481.472</v>
      </c>
      <c r="AH136" s="8">
        <v>0</v>
      </c>
      <c r="AI136" s="7" t="s">
        <v>1736</v>
      </c>
      <c r="AJ136" s="7">
        <f t="shared" ca="1" si="31"/>
        <v>1</v>
      </c>
      <c r="AL136" s="96">
        <f t="shared" ref="AL136:AL156" si="34">(+AA136*AB136)/$AB$612</f>
        <v>8.7612695584136945E-6</v>
      </c>
      <c r="AM136" s="97">
        <f t="shared" ref="AM136:AM156" si="35">AC136/$AE$612*AE136</f>
        <v>5.2373306089186923E-5</v>
      </c>
    </row>
    <row r="137" spans="1:39" x14ac:dyDescent="0.3">
      <c r="A137" s="7" t="s">
        <v>1910</v>
      </c>
      <c r="B137" s="7" t="s">
        <v>1320</v>
      </c>
      <c r="C137" s="7" t="s">
        <v>1323</v>
      </c>
      <c r="D137" s="7" t="s">
        <v>1792</v>
      </c>
      <c r="E137" s="7" t="s">
        <v>1322</v>
      </c>
      <c r="F137" s="36">
        <v>43221</v>
      </c>
      <c r="G137" s="36">
        <v>44681</v>
      </c>
      <c r="H137" s="36">
        <v>44681</v>
      </c>
      <c r="I137" s="36">
        <v>44681</v>
      </c>
      <c r="J137" s="7" t="s">
        <v>1696</v>
      </c>
      <c r="K137" s="8">
        <v>0</v>
      </c>
      <c r="L137" s="8">
        <v>0</v>
      </c>
      <c r="M137" s="8">
        <v>4444.4160000000002</v>
      </c>
      <c r="N137" s="8">
        <v>0</v>
      </c>
      <c r="O137" s="8">
        <v>0</v>
      </c>
      <c r="P137" s="8">
        <v>0</v>
      </c>
      <c r="Q137" s="8">
        <v>0</v>
      </c>
      <c r="R137" s="8">
        <f t="shared" si="30"/>
        <v>4444.4160000000002</v>
      </c>
      <c r="S137" s="8">
        <v>0</v>
      </c>
      <c r="T137" s="8">
        <v>0</v>
      </c>
      <c r="U137" s="8">
        <v>4444.4160000000002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7">
        <v>0.32876699999999998</v>
      </c>
      <c r="AB137" s="8">
        <v>1477.695708</v>
      </c>
      <c r="AC137" s="7">
        <v>2.0449999999999999</v>
      </c>
      <c r="AD137" s="7" t="s">
        <v>1226</v>
      </c>
      <c r="AE137" s="8">
        <v>1481.472</v>
      </c>
      <c r="AF137" s="8">
        <v>0</v>
      </c>
      <c r="AG137" s="8">
        <v>1481.472</v>
      </c>
      <c r="AH137" s="8">
        <v>0</v>
      </c>
      <c r="AI137" s="7" t="s">
        <v>1736</v>
      </c>
      <c r="AJ137" s="7">
        <f t="shared" ca="1" si="31"/>
        <v>1</v>
      </c>
      <c r="AL137" s="96">
        <f t="shared" si="34"/>
        <v>8.7612695584136945E-6</v>
      </c>
      <c r="AM137" s="97">
        <f t="shared" si="35"/>
        <v>5.2373306089186923E-5</v>
      </c>
    </row>
    <row r="138" spans="1:39" x14ac:dyDescent="0.3">
      <c r="A138" s="7" t="s">
        <v>1911</v>
      </c>
      <c r="B138" s="7" t="s">
        <v>1320</v>
      </c>
      <c r="C138" s="7" t="s">
        <v>1323</v>
      </c>
      <c r="D138" s="7" t="s">
        <v>1792</v>
      </c>
      <c r="E138" s="7" t="s">
        <v>1322</v>
      </c>
      <c r="F138" s="36">
        <v>43221</v>
      </c>
      <c r="G138" s="36">
        <v>44681</v>
      </c>
      <c r="H138" s="36">
        <v>44681</v>
      </c>
      <c r="I138" s="36">
        <v>44681</v>
      </c>
      <c r="J138" s="7" t="s">
        <v>1696</v>
      </c>
      <c r="K138" s="8">
        <v>0</v>
      </c>
      <c r="L138" s="8">
        <v>0</v>
      </c>
      <c r="M138" s="8">
        <v>4444.4160000000002</v>
      </c>
      <c r="N138" s="8">
        <v>0</v>
      </c>
      <c r="O138" s="8">
        <v>0</v>
      </c>
      <c r="P138" s="8">
        <v>0</v>
      </c>
      <c r="Q138" s="8">
        <v>0</v>
      </c>
      <c r="R138" s="8">
        <f t="shared" si="30"/>
        <v>4444.4160000000002</v>
      </c>
      <c r="S138" s="8">
        <v>0</v>
      </c>
      <c r="T138" s="8">
        <v>0</v>
      </c>
      <c r="U138" s="8">
        <v>4444.4160000000002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7">
        <v>0.32876699999999998</v>
      </c>
      <c r="AB138" s="8">
        <v>1477.695708</v>
      </c>
      <c r="AC138" s="7">
        <v>2.0449999999999999</v>
      </c>
      <c r="AD138" s="7" t="s">
        <v>1226</v>
      </c>
      <c r="AE138" s="8">
        <v>1481.472</v>
      </c>
      <c r="AF138" s="8">
        <v>0</v>
      </c>
      <c r="AG138" s="8">
        <v>1481.472</v>
      </c>
      <c r="AH138" s="8">
        <v>0</v>
      </c>
      <c r="AI138" s="7" t="s">
        <v>1736</v>
      </c>
      <c r="AJ138" s="7">
        <f t="shared" ca="1" si="31"/>
        <v>1</v>
      </c>
      <c r="AL138" s="96">
        <f t="shared" si="34"/>
        <v>8.7612695584136945E-6</v>
      </c>
      <c r="AM138" s="97">
        <f t="shared" si="35"/>
        <v>5.2373306089186923E-5</v>
      </c>
    </row>
    <row r="139" spans="1:39" x14ac:dyDescent="0.3">
      <c r="A139" s="7" t="s">
        <v>1912</v>
      </c>
      <c r="B139" s="7" t="s">
        <v>1320</v>
      </c>
      <c r="C139" s="7" t="s">
        <v>1323</v>
      </c>
      <c r="D139" s="7" t="s">
        <v>1792</v>
      </c>
      <c r="E139" s="7" t="s">
        <v>1322</v>
      </c>
      <c r="F139" s="36">
        <v>43221</v>
      </c>
      <c r="G139" s="36">
        <v>44681</v>
      </c>
      <c r="H139" s="36">
        <v>44681</v>
      </c>
      <c r="I139" s="36">
        <v>44681</v>
      </c>
      <c r="J139" s="7" t="s">
        <v>1696</v>
      </c>
      <c r="K139" s="8">
        <v>0</v>
      </c>
      <c r="L139" s="8">
        <v>0</v>
      </c>
      <c r="M139" s="8">
        <v>4444.4160000000002</v>
      </c>
      <c r="N139" s="8">
        <v>0</v>
      </c>
      <c r="O139" s="8">
        <v>0</v>
      </c>
      <c r="P139" s="8">
        <v>0</v>
      </c>
      <c r="Q139" s="8">
        <v>0</v>
      </c>
      <c r="R139" s="8">
        <f t="shared" si="30"/>
        <v>4444.4160000000002</v>
      </c>
      <c r="S139" s="8">
        <v>0</v>
      </c>
      <c r="T139" s="8">
        <v>0</v>
      </c>
      <c r="U139" s="8">
        <v>4444.4160000000002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7">
        <v>0.32876699999999998</v>
      </c>
      <c r="AB139" s="8">
        <v>1477.695708</v>
      </c>
      <c r="AC139" s="7">
        <v>2.0449999999999999</v>
      </c>
      <c r="AD139" s="7" t="s">
        <v>1226</v>
      </c>
      <c r="AE139" s="8">
        <v>1481.472</v>
      </c>
      <c r="AF139" s="8">
        <v>0</v>
      </c>
      <c r="AG139" s="8">
        <v>1481.472</v>
      </c>
      <c r="AH139" s="8">
        <v>0</v>
      </c>
      <c r="AI139" s="7" t="s">
        <v>1736</v>
      </c>
      <c r="AJ139" s="7">
        <f t="shared" ca="1" si="31"/>
        <v>1</v>
      </c>
      <c r="AL139" s="96">
        <f t="shared" si="34"/>
        <v>8.7612695584136945E-6</v>
      </c>
      <c r="AM139" s="97">
        <f t="shared" si="35"/>
        <v>5.2373306089186923E-5</v>
      </c>
    </row>
    <row r="140" spans="1:39" x14ac:dyDescent="0.3">
      <c r="A140" s="7" t="s">
        <v>1913</v>
      </c>
      <c r="B140" s="7" t="s">
        <v>194</v>
      </c>
      <c r="C140" s="7" t="s">
        <v>1323</v>
      </c>
      <c r="D140" s="7" t="s">
        <v>1324</v>
      </c>
      <c r="E140" s="7" t="s">
        <v>1322</v>
      </c>
      <c r="F140" s="36">
        <v>44287</v>
      </c>
      <c r="G140" s="36">
        <v>45382</v>
      </c>
      <c r="H140" s="36">
        <v>45382</v>
      </c>
      <c r="I140" s="36">
        <v>45382</v>
      </c>
      <c r="J140" s="7" t="s">
        <v>1696</v>
      </c>
      <c r="K140" s="8">
        <v>0</v>
      </c>
      <c r="L140" s="8">
        <v>0</v>
      </c>
      <c r="M140" s="8">
        <v>450000</v>
      </c>
      <c r="N140" s="8">
        <v>0</v>
      </c>
      <c r="O140" s="8">
        <v>0</v>
      </c>
      <c r="P140" s="8">
        <v>0</v>
      </c>
      <c r="Q140" s="8">
        <v>0</v>
      </c>
      <c r="R140" s="8">
        <f t="shared" si="30"/>
        <v>450000</v>
      </c>
      <c r="S140" s="8">
        <v>0</v>
      </c>
      <c r="T140" s="8">
        <v>0</v>
      </c>
      <c r="U140" s="8">
        <v>450000</v>
      </c>
      <c r="V140" s="8">
        <v>0</v>
      </c>
      <c r="W140" s="8">
        <v>0</v>
      </c>
      <c r="X140" s="8">
        <v>0</v>
      </c>
      <c r="Y140" s="8">
        <v>1628769.274713</v>
      </c>
      <c r="Z140" s="8">
        <v>0</v>
      </c>
      <c r="AA140" s="7">
        <v>2.2493150000000002</v>
      </c>
      <c r="AB140" s="8">
        <v>1252971.034954</v>
      </c>
      <c r="AC140" s="7">
        <v>7</v>
      </c>
      <c r="AD140" s="7" t="s">
        <v>1226</v>
      </c>
      <c r="AE140" s="8">
        <v>1350000</v>
      </c>
      <c r="AF140" s="8">
        <v>0</v>
      </c>
      <c r="AG140" s="8">
        <v>1350000</v>
      </c>
      <c r="AH140" s="8">
        <v>0</v>
      </c>
      <c r="AI140" s="7" t="s">
        <v>1758</v>
      </c>
      <c r="AJ140" s="7">
        <f t="shared" ca="1" si="31"/>
        <v>1</v>
      </c>
      <c r="AL140" s="96">
        <f t="shared" si="34"/>
        <v>5.0825905282254745E-2</v>
      </c>
      <c r="AM140" s="97">
        <f t="shared" si="35"/>
        <v>0.16336350333395244</v>
      </c>
    </row>
    <row r="141" spans="1:39" x14ac:dyDescent="0.3">
      <c r="A141" s="7" t="s">
        <v>1914</v>
      </c>
      <c r="B141" s="7" t="s">
        <v>1320</v>
      </c>
      <c r="C141" s="7" t="s">
        <v>1323</v>
      </c>
      <c r="D141" s="7" t="s">
        <v>1792</v>
      </c>
      <c r="E141" s="7" t="s">
        <v>1322</v>
      </c>
      <c r="F141" s="36">
        <v>43221</v>
      </c>
      <c r="G141" s="36">
        <v>44681</v>
      </c>
      <c r="H141" s="36">
        <v>44681</v>
      </c>
      <c r="I141" s="36">
        <v>44681</v>
      </c>
      <c r="J141" s="7" t="s">
        <v>1696</v>
      </c>
      <c r="K141" s="8">
        <v>0</v>
      </c>
      <c r="L141" s="8">
        <v>0</v>
      </c>
      <c r="M141" s="8">
        <v>4444.4160000000002</v>
      </c>
      <c r="N141" s="8">
        <v>0</v>
      </c>
      <c r="O141" s="8">
        <v>0</v>
      </c>
      <c r="P141" s="8">
        <v>0</v>
      </c>
      <c r="Q141" s="8">
        <v>0</v>
      </c>
      <c r="R141" s="8">
        <f t="shared" si="30"/>
        <v>4444.4160000000002</v>
      </c>
      <c r="S141" s="8">
        <v>0</v>
      </c>
      <c r="T141" s="8">
        <v>0</v>
      </c>
      <c r="U141" s="8">
        <v>4444.4160000000002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7">
        <v>0.32876699999999998</v>
      </c>
      <c r="AB141" s="8">
        <v>1477.695708</v>
      </c>
      <c r="AC141" s="7">
        <v>2.0449999999999999</v>
      </c>
      <c r="AD141" s="7" t="s">
        <v>1226</v>
      </c>
      <c r="AE141" s="8">
        <v>1481.472</v>
      </c>
      <c r="AF141" s="8">
        <v>0</v>
      </c>
      <c r="AG141" s="8">
        <v>1481.472</v>
      </c>
      <c r="AH141" s="8">
        <v>0</v>
      </c>
      <c r="AI141" s="7" t="s">
        <v>1736</v>
      </c>
      <c r="AJ141" s="7">
        <f t="shared" ca="1" si="31"/>
        <v>1</v>
      </c>
      <c r="AL141" s="96">
        <f t="shared" si="34"/>
        <v>8.7612695584136945E-6</v>
      </c>
      <c r="AM141" s="97">
        <f t="shared" si="35"/>
        <v>5.2373306089186923E-5</v>
      </c>
    </row>
    <row r="142" spans="1:39" x14ac:dyDescent="0.3">
      <c r="A142" s="7" t="s">
        <v>1915</v>
      </c>
      <c r="B142" s="7" t="s">
        <v>1320</v>
      </c>
      <c r="C142" s="7" t="s">
        <v>1323</v>
      </c>
      <c r="D142" s="7" t="s">
        <v>1792</v>
      </c>
      <c r="E142" s="7" t="s">
        <v>1322</v>
      </c>
      <c r="F142" s="36">
        <v>43221</v>
      </c>
      <c r="G142" s="36">
        <v>44681</v>
      </c>
      <c r="H142" s="36">
        <v>44681</v>
      </c>
      <c r="I142" s="36">
        <v>44681</v>
      </c>
      <c r="J142" s="7" t="s">
        <v>1696</v>
      </c>
      <c r="K142" s="8">
        <v>0</v>
      </c>
      <c r="L142" s="8">
        <v>0</v>
      </c>
      <c r="M142" s="8">
        <v>4444.4160000000002</v>
      </c>
      <c r="N142" s="8">
        <v>0</v>
      </c>
      <c r="O142" s="8">
        <v>0</v>
      </c>
      <c r="P142" s="8">
        <v>0</v>
      </c>
      <c r="Q142" s="8">
        <v>0</v>
      </c>
      <c r="R142" s="8">
        <f t="shared" si="30"/>
        <v>4444.4160000000002</v>
      </c>
      <c r="S142" s="8">
        <v>0</v>
      </c>
      <c r="T142" s="8">
        <v>0</v>
      </c>
      <c r="U142" s="8">
        <v>4444.4160000000002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7">
        <v>0.32876699999999998</v>
      </c>
      <c r="AB142" s="8">
        <v>1477.695708</v>
      </c>
      <c r="AC142" s="7">
        <v>2.0449999999999999</v>
      </c>
      <c r="AD142" s="7" t="s">
        <v>1226</v>
      </c>
      <c r="AE142" s="8">
        <v>1481.472</v>
      </c>
      <c r="AF142" s="8">
        <v>0</v>
      </c>
      <c r="AG142" s="8">
        <v>1481.472</v>
      </c>
      <c r="AH142" s="8">
        <v>0</v>
      </c>
      <c r="AI142" s="7" t="s">
        <v>1736</v>
      </c>
      <c r="AJ142" s="7">
        <f t="shared" ca="1" si="31"/>
        <v>1</v>
      </c>
      <c r="AL142" s="96">
        <f t="shared" si="34"/>
        <v>8.7612695584136945E-6</v>
      </c>
      <c r="AM142" s="97">
        <f t="shared" si="35"/>
        <v>5.2373306089186923E-5</v>
      </c>
    </row>
    <row r="143" spans="1:39" x14ac:dyDescent="0.3">
      <c r="A143" s="7" t="s">
        <v>1917</v>
      </c>
      <c r="B143" s="7" t="s">
        <v>1320</v>
      </c>
      <c r="C143" s="7" t="s">
        <v>1323</v>
      </c>
      <c r="D143" s="7" t="s">
        <v>1792</v>
      </c>
      <c r="E143" s="7" t="s">
        <v>1322</v>
      </c>
      <c r="F143" s="36">
        <v>43221</v>
      </c>
      <c r="G143" s="36">
        <v>44681</v>
      </c>
      <c r="H143" s="36">
        <v>44681</v>
      </c>
      <c r="I143" s="36">
        <v>44681</v>
      </c>
      <c r="J143" s="7" t="s">
        <v>1696</v>
      </c>
      <c r="K143" s="8">
        <v>0</v>
      </c>
      <c r="L143" s="8">
        <v>0</v>
      </c>
      <c r="M143" s="8">
        <v>4444.4160000000002</v>
      </c>
      <c r="N143" s="8">
        <v>0</v>
      </c>
      <c r="O143" s="8">
        <v>0</v>
      </c>
      <c r="P143" s="8">
        <v>0</v>
      </c>
      <c r="Q143" s="8">
        <v>0</v>
      </c>
      <c r="R143" s="8">
        <f t="shared" si="30"/>
        <v>4444.4160000000002</v>
      </c>
      <c r="S143" s="8">
        <v>0</v>
      </c>
      <c r="T143" s="8">
        <v>0</v>
      </c>
      <c r="U143" s="8">
        <v>4444.4160000000002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7">
        <v>0.32876699999999998</v>
      </c>
      <c r="AB143" s="8">
        <v>1477.695708</v>
      </c>
      <c r="AC143" s="7">
        <v>2.0449999999999999</v>
      </c>
      <c r="AD143" s="7" t="s">
        <v>1226</v>
      </c>
      <c r="AE143" s="8">
        <v>1481.472</v>
      </c>
      <c r="AF143" s="8">
        <v>0</v>
      </c>
      <c r="AG143" s="8">
        <v>1481.472</v>
      </c>
      <c r="AH143" s="8">
        <v>0</v>
      </c>
      <c r="AI143" s="7" t="s">
        <v>1736</v>
      </c>
      <c r="AJ143" s="7">
        <f t="shared" ca="1" si="31"/>
        <v>1</v>
      </c>
      <c r="AL143" s="96">
        <f t="shared" si="34"/>
        <v>8.7612695584136945E-6</v>
      </c>
      <c r="AM143" s="97">
        <f t="shared" si="35"/>
        <v>5.2373306089186923E-5</v>
      </c>
    </row>
    <row r="144" spans="1:39" x14ac:dyDescent="0.3">
      <c r="A144" s="7" t="s">
        <v>1918</v>
      </c>
      <c r="B144" s="7" t="s">
        <v>1320</v>
      </c>
      <c r="C144" s="7" t="s">
        <v>1323</v>
      </c>
      <c r="D144" s="7" t="s">
        <v>1792</v>
      </c>
      <c r="E144" s="7" t="s">
        <v>1322</v>
      </c>
      <c r="F144" s="36">
        <v>43221</v>
      </c>
      <c r="G144" s="36">
        <v>44681</v>
      </c>
      <c r="H144" s="36">
        <v>44681</v>
      </c>
      <c r="I144" s="36">
        <v>44681</v>
      </c>
      <c r="J144" s="7" t="s">
        <v>1696</v>
      </c>
      <c r="K144" s="8">
        <v>0</v>
      </c>
      <c r="L144" s="8">
        <v>0</v>
      </c>
      <c r="M144" s="8">
        <v>4444.4160000000002</v>
      </c>
      <c r="N144" s="8">
        <v>0</v>
      </c>
      <c r="O144" s="8">
        <v>0</v>
      </c>
      <c r="P144" s="8">
        <v>0</v>
      </c>
      <c r="Q144" s="8">
        <v>0</v>
      </c>
      <c r="R144" s="8">
        <f t="shared" si="30"/>
        <v>4444.4160000000002</v>
      </c>
      <c r="S144" s="8">
        <v>0</v>
      </c>
      <c r="T144" s="8">
        <v>0</v>
      </c>
      <c r="U144" s="8">
        <v>4444.4160000000002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7">
        <v>0.32876699999999998</v>
      </c>
      <c r="AB144" s="8">
        <v>1477.695708</v>
      </c>
      <c r="AC144" s="7">
        <v>2.0449999999999999</v>
      </c>
      <c r="AD144" s="7" t="s">
        <v>1226</v>
      </c>
      <c r="AE144" s="8">
        <v>1481.472</v>
      </c>
      <c r="AF144" s="8">
        <v>0</v>
      </c>
      <c r="AG144" s="8">
        <v>1481.472</v>
      </c>
      <c r="AH144" s="8">
        <v>0</v>
      </c>
      <c r="AI144" s="7" t="s">
        <v>1736</v>
      </c>
      <c r="AJ144" s="7">
        <f t="shared" ca="1" si="31"/>
        <v>1</v>
      </c>
      <c r="AL144" s="96">
        <f t="shared" si="34"/>
        <v>8.7612695584136945E-6</v>
      </c>
      <c r="AM144" s="97">
        <f t="shared" si="35"/>
        <v>5.2373306089186923E-5</v>
      </c>
    </row>
    <row r="145" spans="1:39" x14ac:dyDescent="0.3">
      <c r="A145" s="7" t="s">
        <v>1919</v>
      </c>
      <c r="B145" s="7" t="s">
        <v>1320</v>
      </c>
      <c r="C145" s="7" t="s">
        <v>1323</v>
      </c>
      <c r="D145" s="7" t="s">
        <v>1792</v>
      </c>
      <c r="E145" s="7" t="s">
        <v>1739</v>
      </c>
      <c r="F145" s="36">
        <v>43983</v>
      </c>
      <c r="G145" s="36">
        <v>44530</v>
      </c>
      <c r="I145" s="36">
        <v>44651</v>
      </c>
      <c r="J145" s="7" t="s">
        <v>1696</v>
      </c>
      <c r="K145" s="8">
        <v>0</v>
      </c>
      <c r="L145" s="8">
        <v>0</v>
      </c>
      <c r="M145" s="8">
        <v>1650.657659</v>
      </c>
      <c r="N145" s="8">
        <v>0</v>
      </c>
      <c r="O145" s="8">
        <v>0</v>
      </c>
      <c r="P145" s="8">
        <v>0</v>
      </c>
      <c r="Q145" s="8">
        <v>0</v>
      </c>
      <c r="R145" s="8">
        <f t="shared" si="30"/>
        <v>1650.657659</v>
      </c>
      <c r="S145" s="8">
        <v>0</v>
      </c>
      <c r="T145" s="8">
        <v>0</v>
      </c>
      <c r="U145" s="8">
        <v>1350</v>
      </c>
      <c r="V145" s="8">
        <v>0</v>
      </c>
      <c r="W145" s="8">
        <v>0</v>
      </c>
      <c r="X145" s="8">
        <v>0</v>
      </c>
      <c r="Y145" s="8">
        <v>0</v>
      </c>
      <c r="Z145" s="8">
        <v>-1047.8585860000001</v>
      </c>
      <c r="AA145" s="7">
        <v>0.24657499999999999</v>
      </c>
      <c r="AB145" s="8">
        <v>0</v>
      </c>
      <c r="AC145" s="7">
        <v>1.845818</v>
      </c>
      <c r="AD145" s="7" t="s">
        <v>1697</v>
      </c>
      <c r="AE145" s="8">
        <v>0</v>
      </c>
      <c r="AF145" s="8">
        <v>0</v>
      </c>
      <c r="AG145" s="8">
        <v>0</v>
      </c>
      <c r="AH145" s="8">
        <v>0</v>
      </c>
      <c r="AI145" s="7" t="s">
        <v>1736</v>
      </c>
      <c r="AJ145" s="7">
        <f t="shared" ca="1" si="31"/>
        <v>1</v>
      </c>
      <c r="AL145" s="96">
        <f t="shared" si="34"/>
        <v>0</v>
      </c>
      <c r="AM145" s="97">
        <f t="shared" si="35"/>
        <v>0</v>
      </c>
    </row>
    <row r="146" spans="1:39" x14ac:dyDescent="0.3">
      <c r="A146" s="7" t="s">
        <v>1920</v>
      </c>
      <c r="B146" s="7" t="s">
        <v>1320</v>
      </c>
      <c r="C146" s="7" t="s">
        <v>1323</v>
      </c>
      <c r="D146" s="7" t="s">
        <v>1792</v>
      </c>
      <c r="E146" s="7" t="s">
        <v>1322</v>
      </c>
      <c r="F146" s="36">
        <v>43221</v>
      </c>
      <c r="G146" s="36">
        <v>44681</v>
      </c>
      <c r="H146" s="36">
        <v>44681</v>
      </c>
      <c r="I146" s="36">
        <v>44681</v>
      </c>
      <c r="J146" s="7" t="s">
        <v>1696</v>
      </c>
      <c r="K146" s="8">
        <v>0</v>
      </c>
      <c r="L146" s="8">
        <v>0</v>
      </c>
      <c r="M146" s="8">
        <v>4444.4160000000002</v>
      </c>
      <c r="N146" s="8">
        <v>0</v>
      </c>
      <c r="O146" s="8">
        <v>0</v>
      </c>
      <c r="P146" s="8">
        <v>0</v>
      </c>
      <c r="Q146" s="8">
        <v>0</v>
      </c>
      <c r="R146" s="8">
        <f t="shared" si="30"/>
        <v>4444.4160000000002</v>
      </c>
      <c r="S146" s="8">
        <v>0</v>
      </c>
      <c r="T146" s="8">
        <v>0</v>
      </c>
      <c r="U146" s="8">
        <v>4444.4160000000002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7">
        <v>0.32876699999999998</v>
      </c>
      <c r="AB146" s="8">
        <v>1477.695708</v>
      </c>
      <c r="AC146" s="7">
        <v>2.0449999999999999</v>
      </c>
      <c r="AD146" s="7" t="s">
        <v>1226</v>
      </c>
      <c r="AE146" s="8">
        <v>1481.472</v>
      </c>
      <c r="AF146" s="8">
        <v>0</v>
      </c>
      <c r="AG146" s="8">
        <v>1481.472</v>
      </c>
      <c r="AH146" s="8">
        <v>0</v>
      </c>
      <c r="AI146" s="7" t="s">
        <v>1736</v>
      </c>
      <c r="AJ146" s="7">
        <f t="shared" ca="1" si="31"/>
        <v>1</v>
      </c>
      <c r="AL146" s="96">
        <f t="shared" si="34"/>
        <v>8.7612695584136945E-6</v>
      </c>
      <c r="AM146" s="97">
        <f t="shared" si="35"/>
        <v>5.2373306089186923E-5</v>
      </c>
    </row>
    <row r="147" spans="1:39" x14ac:dyDescent="0.3">
      <c r="A147" s="7" t="s">
        <v>1921</v>
      </c>
      <c r="B147" s="7" t="s">
        <v>1320</v>
      </c>
      <c r="C147" s="7" t="s">
        <v>1323</v>
      </c>
      <c r="D147" s="7" t="s">
        <v>1792</v>
      </c>
      <c r="E147" s="7" t="s">
        <v>1322</v>
      </c>
      <c r="F147" s="36">
        <v>43221</v>
      </c>
      <c r="G147" s="36">
        <v>44681</v>
      </c>
      <c r="H147" s="36">
        <v>44681</v>
      </c>
      <c r="I147" s="36">
        <v>44681</v>
      </c>
      <c r="J147" s="7" t="s">
        <v>1696</v>
      </c>
      <c r="K147" s="8">
        <v>0</v>
      </c>
      <c r="L147" s="8">
        <v>0</v>
      </c>
      <c r="M147" s="8">
        <v>4444.4160000000002</v>
      </c>
      <c r="N147" s="8">
        <v>0</v>
      </c>
      <c r="O147" s="8">
        <v>0</v>
      </c>
      <c r="P147" s="8">
        <v>0</v>
      </c>
      <c r="Q147" s="8">
        <v>0</v>
      </c>
      <c r="R147" s="8">
        <f t="shared" si="30"/>
        <v>4444.4160000000002</v>
      </c>
      <c r="S147" s="8">
        <v>0</v>
      </c>
      <c r="T147" s="8">
        <v>0</v>
      </c>
      <c r="U147" s="8">
        <v>4444.4160000000002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7">
        <v>0.32876699999999998</v>
      </c>
      <c r="AB147" s="8">
        <v>1477.695708</v>
      </c>
      <c r="AC147" s="7">
        <v>2.0449999999999999</v>
      </c>
      <c r="AD147" s="7" t="s">
        <v>1226</v>
      </c>
      <c r="AE147" s="8">
        <v>1481.472</v>
      </c>
      <c r="AF147" s="8">
        <v>0</v>
      </c>
      <c r="AG147" s="8">
        <v>1481.472</v>
      </c>
      <c r="AH147" s="8">
        <v>0</v>
      </c>
      <c r="AI147" s="7" t="s">
        <v>1736</v>
      </c>
      <c r="AJ147" s="7">
        <f t="shared" ca="1" si="31"/>
        <v>1</v>
      </c>
      <c r="AL147" s="96">
        <f t="shared" si="34"/>
        <v>8.7612695584136945E-6</v>
      </c>
      <c r="AM147" s="97">
        <f t="shared" si="35"/>
        <v>5.2373306089186923E-5</v>
      </c>
    </row>
    <row r="148" spans="1:39" x14ac:dyDescent="0.3">
      <c r="A148" s="7" t="s">
        <v>1922</v>
      </c>
      <c r="B148" s="7" t="s">
        <v>1320</v>
      </c>
      <c r="C148" s="7" t="s">
        <v>1323</v>
      </c>
      <c r="D148" s="7" t="s">
        <v>1792</v>
      </c>
      <c r="E148" s="7" t="s">
        <v>1322</v>
      </c>
      <c r="F148" s="36">
        <v>43221</v>
      </c>
      <c r="G148" s="36">
        <v>44681</v>
      </c>
      <c r="H148" s="36">
        <v>44681</v>
      </c>
      <c r="I148" s="36">
        <v>44681</v>
      </c>
      <c r="J148" s="7" t="s">
        <v>1696</v>
      </c>
      <c r="K148" s="8">
        <v>0</v>
      </c>
      <c r="L148" s="8">
        <v>0</v>
      </c>
      <c r="M148" s="8">
        <v>4444.4160000000002</v>
      </c>
      <c r="N148" s="8">
        <v>0</v>
      </c>
      <c r="O148" s="8">
        <v>0</v>
      </c>
      <c r="P148" s="8">
        <v>0</v>
      </c>
      <c r="Q148" s="8">
        <v>0</v>
      </c>
      <c r="R148" s="8">
        <f t="shared" si="30"/>
        <v>4444.4160000000002</v>
      </c>
      <c r="S148" s="8">
        <v>0</v>
      </c>
      <c r="T148" s="8">
        <v>0</v>
      </c>
      <c r="U148" s="8">
        <v>4444.4160000000002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7">
        <v>0.32876699999999998</v>
      </c>
      <c r="AB148" s="8">
        <v>1477.695708</v>
      </c>
      <c r="AC148" s="7">
        <v>2.0449999999999999</v>
      </c>
      <c r="AD148" s="7" t="s">
        <v>1226</v>
      </c>
      <c r="AE148" s="8">
        <v>1481.472</v>
      </c>
      <c r="AF148" s="8">
        <v>0</v>
      </c>
      <c r="AG148" s="8">
        <v>1481.472</v>
      </c>
      <c r="AH148" s="8">
        <v>0</v>
      </c>
      <c r="AI148" s="7" t="s">
        <v>1736</v>
      </c>
      <c r="AJ148" s="7">
        <f t="shared" ca="1" si="31"/>
        <v>1</v>
      </c>
      <c r="AL148" s="96">
        <f t="shared" si="34"/>
        <v>8.7612695584136945E-6</v>
      </c>
      <c r="AM148" s="97">
        <f t="shared" si="35"/>
        <v>5.2373306089186923E-5</v>
      </c>
    </row>
    <row r="149" spans="1:39" x14ac:dyDescent="0.3">
      <c r="A149" s="7" t="s">
        <v>1923</v>
      </c>
      <c r="B149" s="7" t="s">
        <v>1320</v>
      </c>
      <c r="C149" s="7" t="s">
        <v>1323</v>
      </c>
      <c r="D149" s="7" t="s">
        <v>1792</v>
      </c>
      <c r="E149" s="7" t="s">
        <v>1322</v>
      </c>
      <c r="F149" s="36">
        <v>43221</v>
      </c>
      <c r="G149" s="36">
        <v>44681</v>
      </c>
      <c r="H149" s="36">
        <v>44681</v>
      </c>
      <c r="I149" s="36">
        <v>44681</v>
      </c>
      <c r="J149" s="7" t="s">
        <v>1696</v>
      </c>
      <c r="K149" s="8">
        <v>0</v>
      </c>
      <c r="L149" s="8">
        <v>0</v>
      </c>
      <c r="M149" s="8">
        <v>4444.4160000000002</v>
      </c>
      <c r="N149" s="8">
        <v>0</v>
      </c>
      <c r="O149" s="8">
        <v>0</v>
      </c>
      <c r="P149" s="8">
        <v>0</v>
      </c>
      <c r="Q149" s="8">
        <v>0</v>
      </c>
      <c r="R149" s="8">
        <f t="shared" si="30"/>
        <v>4444.4160000000002</v>
      </c>
      <c r="S149" s="8">
        <v>0</v>
      </c>
      <c r="T149" s="8">
        <v>0</v>
      </c>
      <c r="U149" s="8">
        <v>4444.4160000000002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7">
        <v>0.32876699999999998</v>
      </c>
      <c r="AB149" s="8">
        <v>1477.695708</v>
      </c>
      <c r="AC149" s="7">
        <v>2.0449999999999999</v>
      </c>
      <c r="AD149" s="7" t="s">
        <v>1226</v>
      </c>
      <c r="AE149" s="8">
        <v>1481.472</v>
      </c>
      <c r="AF149" s="8">
        <v>0</v>
      </c>
      <c r="AG149" s="8">
        <v>1481.472</v>
      </c>
      <c r="AH149" s="8">
        <v>0</v>
      </c>
      <c r="AI149" s="7" t="s">
        <v>1736</v>
      </c>
      <c r="AJ149" s="7">
        <f t="shared" ca="1" si="31"/>
        <v>1</v>
      </c>
      <c r="AL149" s="96">
        <f t="shared" si="34"/>
        <v>8.7612695584136945E-6</v>
      </c>
      <c r="AM149" s="97">
        <f t="shared" si="35"/>
        <v>5.2373306089186923E-5</v>
      </c>
    </row>
    <row r="150" spans="1:39" x14ac:dyDescent="0.3">
      <c r="A150" s="7" t="s">
        <v>1924</v>
      </c>
      <c r="B150" s="7" t="s">
        <v>1320</v>
      </c>
      <c r="C150" s="7" t="s">
        <v>1323</v>
      </c>
      <c r="D150" s="7" t="s">
        <v>1792</v>
      </c>
      <c r="E150" s="7" t="s">
        <v>1322</v>
      </c>
      <c r="F150" s="36">
        <v>43221</v>
      </c>
      <c r="G150" s="36">
        <v>44681</v>
      </c>
      <c r="H150" s="36">
        <v>44681</v>
      </c>
      <c r="I150" s="36">
        <v>44681</v>
      </c>
      <c r="J150" s="7" t="s">
        <v>1696</v>
      </c>
      <c r="K150" s="8">
        <v>0</v>
      </c>
      <c r="L150" s="8">
        <v>0</v>
      </c>
      <c r="M150" s="8">
        <v>4444.4160000000002</v>
      </c>
      <c r="N150" s="8">
        <v>0</v>
      </c>
      <c r="O150" s="8">
        <v>0</v>
      </c>
      <c r="P150" s="8">
        <v>0</v>
      </c>
      <c r="Q150" s="8">
        <v>0</v>
      </c>
      <c r="R150" s="8">
        <f t="shared" si="30"/>
        <v>4444.4160000000002</v>
      </c>
      <c r="S150" s="8">
        <v>0</v>
      </c>
      <c r="T150" s="8">
        <v>0</v>
      </c>
      <c r="U150" s="8">
        <v>4444.4160000000002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7">
        <v>0.32876699999999998</v>
      </c>
      <c r="AB150" s="8">
        <v>1477.695708</v>
      </c>
      <c r="AC150" s="7">
        <v>2.0449999999999999</v>
      </c>
      <c r="AD150" s="7" t="s">
        <v>1226</v>
      </c>
      <c r="AE150" s="8">
        <v>1481.472</v>
      </c>
      <c r="AF150" s="8">
        <v>0</v>
      </c>
      <c r="AG150" s="8">
        <v>1481.472</v>
      </c>
      <c r="AH150" s="8">
        <v>0</v>
      </c>
      <c r="AI150" s="7" t="s">
        <v>1736</v>
      </c>
      <c r="AJ150" s="7">
        <f t="shared" ca="1" si="31"/>
        <v>1</v>
      </c>
      <c r="AL150" s="96">
        <f t="shared" si="34"/>
        <v>8.7612695584136945E-6</v>
      </c>
      <c r="AM150" s="97">
        <f t="shared" si="35"/>
        <v>5.2373306089186923E-5</v>
      </c>
    </row>
    <row r="151" spans="1:39" x14ac:dyDescent="0.3">
      <c r="A151" s="7" t="s">
        <v>1925</v>
      </c>
      <c r="B151" s="7" t="s">
        <v>1320</v>
      </c>
      <c r="C151" s="7" t="s">
        <v>1323</v>
      </c>
      <c r="D151" s="7" t="s">
        <v>1792</v>
      </c>
      <c r="E151" s="7" t="s">
        <v>1322</v>
      </c>
      <c r="F151" s="36">
        <v>43221</v>
      </c>
      <c r="G151" s="36">
        <v>44681</v>
      </c>
      <c r="H151" s="36">
        <v>44681</v>
      </c>
      <c r="I151" s="36">
        <v>44681</v>
      </c>
      <c r="J151" s="7" t="s">
        <v>1696</v>
      </c>
      <c r="K151" s="8">
        <v>0</v>
      </c>
      <c r="L151" s="8">
        <v>0</v>
      </c>
      <c r="M151" s="8">
        <v>4444.4160000000002</v>
      </c>
      <c r="N151" s="8">
        <v>0</v>
      </c>
      <c r="O151" s="8">
        <v>0</v>
      </c>
      <c r="P151" s="8">
        <v>0</v>
      </c>
      <c r="Q151" s="8">
        <v>0</v>
      </c>
      <c r="R151" s="8">
        <f t="shared" si="30"/>
        <v>4444.4160000000002</v>
      </c>
      <c r="S151" s="8">
        <v>0</v>
      </c>
      <c r="T151" s="8">
        <v>0</v>
      </c>
      <c r="U151" s="8">
        <v>4444.4160000000002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7">
        <v>0.32876699999999998</v>
      </c>
      <c r="AB151" s="8">
        <v>1477.695708</v>
      </c>
      <c r="AC151" s="7">
        <v>2.0449999999999999</v>
      </c>
      <c r="AD151" s="7" t="s">
        <v>1226</v>
      </c>
      <c r="AE151" s="8">
        <v>1481.472</v>
      </c>
      <c r="AF151" s="8">
        <v>0</v>
      </c>
      <c r="AG151" s="8">
        <v>1481.472</v>
      </c>
      <c r="AH151" s="8">
        <v>0</v>
      </c>
      <c r="AI151" s="7" t="s">
        <v>1736</v>
      </c>
      <c r="AJ151" s="7">
        <f t="shared" ca="1" si="31"/>
        <v>1</v>
      </c>
      <c r="AL151" s="96">
        <f t="shared" si="34"/>
        <v>8.7612695584136945E-6</v>
      </c>
      <c r="AM151" s="97">
        <f t="shared" si="35"/>
        <v>5.2373306089186923E-5</v>
      </c>
    </row>
    <row r="152" spans="1:39" x14ac:dyDescent="0.3">
      <c r="A152" s="7" t="s">
        <v>1927</v>
      </c>
      <c r="B152" s="7" t="s">
        <v>1320</v>
      </c>
      <c r="C152" s="7" t="s">
        <v>1323</v>
      </c>
      <c r="D152" s="7" t="s">
        <v>1792</v>
      </c>
      <c r="E152" s="7" t="s">
        <v>1322</v>
      </c>
      <c r="F152" s="36">
        <v>43221</v>
      </c>
      <c r="G152" s="36">
        <v>44681</v>
      </c>
      <c r="H152" s="36">
        <v>44681</v>
      </c>
      <c r="I152" s="36">
        <v>44681</v>
      </c>
      <c r="J152" s="7" t="s">
        <v>1696</v>
      </c>
      <c r="K152" s="8">
        <v>0</v>
      </c>
      <c r="L152" s="8">
        <v>0</v>
      </c>
      <c r="M152" s="8">
        <v>4444.4160000000002</v>
      </c>
      <c r="N152" s="8">
        <v>0</v>
      </c>
      <c r="O152" s="8">
        <v>0</v>
      </c>
      <c r="P152" s="8">
        <v>0</v>
      </c>
      <c r="Q152" s="8">
        <v>0</v>
      </c>
      <c r="R152" s="8">
        <f t="shared" si="30"/>
        <v>4444.4160000000002</v>
      </c>
      <c r="S152" s="8">
        <v>0</v>
      </c>
      <c r="T152" s="8">
        <v>0</v>
      </c>
      <c r="U152" s="8">
        <v>4444.4160000000002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7">
        <v>0.32876699999999998</v>
      </c>
      <c r="AB152" s="8">
        <v>1477.695708</v>
      </c>
      <c r="AC152" s="7">
        <v>2.0449999999999999</v>
      </c>
      <c r="AD152" s="7" t="s">
        <v>1226</v>
      </c>
      <c r="AE152" s="8">
        <v>1481.472</v>
      </c>
      <c r="AF152" s="8">
        <v>0</v>
      </c>
      <c r="AG152" s="8">
        <v>1481.472</v>
      </c>
      <c r="AH152" s="8">
        <v>0</v>
      </c>
      <c r="AI152" s="7" t="s">
        <v>1736</v>
      </c>
      <c r="AJ152" s="7">
        <f t="shared" ca="1" si="31"/>
        <v>1</v>
      </c>
      <c r="AL152" s="96">
        <f t="shared" si="34"/>
        <v>8.7612695584136945E-6</v>
      </c>
      <c r="AM152" s="97">
        <f t="shared" si="35"/>
        <v>5.2373306089186923E-5</v>
      </c>
    </row>
    <row r="153" spans="1:39" x14ac:dyDescent="0.3">
      <c r="A153" s="7" t="s">
        <v>1928</v>
      </c>
      <c r="B153" s="7" t="s">
        <v>1320</v>
      </c>
      <c r="C153" s="7" t="s">
        <v>1323</v>
      </c>
      <c r="D153" s="7" t="s">
        <v>1792</v>
      </c>
      <c r="E153" s="7" t="s">
        <v>1322</v>
      </c>
      <c r="F153" s="36">
        <v>43221</v>
      </c>
      <c r="G153" s="36">
        <v>44681</v>
      </c>
      <c r="H153" s="36">
        <v>44681</v>
      </c>
      <c r="I153" s="36">
        <v>44681</v>
      </c>
      <c r="J153" s="7" t="s">
        <v>1696</v>
      </c>
      <c r="K153" s="8">
        <v>0</v>
      </c>
      <c r="L153" s="8">
        <v>0</v>
      </c>
      <c r="M153" s="8">
        <v>4444.4160000000002</v>
      </c>
      <c r="N153" s="8">
        <v>0</v>
      </c>
      <c r="O153" s="8">
        <v>0</v>
      </c>
      <c r="P153" s="8">
        <v>0</v>
      </c>
      <c r="Q153" s="8">
        <v>0</v>
      </c>
      <c r="R153" s="8">
        <f t="shared" si="30"/>
        <v>4444.4160000000002</v>
      </c>
      <c r="S153" s="8">
        <v>0</v>
      </c>
      <c r="T153" s="8">
        <v>0</v>
      </c>
      <c r="U153" s="8">
        <v>4444.4160000000002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7">
        <v>0.32876699999999998</v>
      </c>
      <c r="AB153" s="8">
        <v>1477.695708</v>
      </c>
      <c r="AC153" s="7">
        <v>2.0449999999999999</v>
      </c>
      <c r="AD153" s="7" t="s">
        <v>1226</v>
      </c>
      <c r="AE153" s="8">
        <v>1481.472</v>
      </c>
      <c r="AF153" s="8">
        <v>0</v>
      </c>
      <c r="AG153" s="8">
        <v>1481.472</v>
      </c>
      <c r="AH153" s="8">
        <v>0</v>
      </c>
      <c r="AI153" s="7" t="s">
        <v>1736</v>
      </c>
      <c r="AJ153" s="7">
        <f t="shared" ca="1" si="31"/>
        <v>1</v>
      </c>
      <c r="AL153" s="96">
        <f t="shared" si="34"/>
        <v>8.7612695584136945E-6</v>
      </c>
      <c r="AM153" s="97">
        <f t="shared" si="35"/>
        <v>5.2373306089186923E-5</v>
      </c>
    </row>
    <row r="154" spans="1:39" x14ac:dyDescent="0.3">
      <c r="A154" s="7" t="s">
        <v>1929</v>
      </c>
      <c r="B154" s="7" t="s">
        <v>1320</v>
      </c>
      <c r="C154" s="7" t="s">
        <v>1323</v>
      </c>
      <c r="D154" s="7" t="s">
        <v>1792</v>
      </c>
      <c r="E154" s="7" t="s">
        <v>1322</v>
      </c>
      <c r="F154" s="36">
        <v>43221</v>
      </c>
      <c r="G154" s="36">
        <v>44681</v>
      </c>
      <c r="H154" s="36">
        <v>44681</v>
      </c>
      <c r="I154" s="36">
        <v>44681</v>
      </c>
      <c r="J154" s="7" t="s">
        <v>1696</v>
      </c>
      <c r="K154" s="8">
        <v>0</v>
      </c>
      <c r="L154" s="8">
        <v>0</v>
      </c>
      <c r="M154" s="8">
        <v>4444.4160000000002</v>
      </c>
      <c r="N154" s="8">
        <v>0</v>
      </c>
      <c r="O154" s="8">
        <v>0</v>
      </c>
      <c r="P154" s="8">
        <v>0</v>
      </c>
      <c r="Q154" s="8">
        <v>0</v>
      </c>
      <c r="R154" s="8">
        <f t="shared" si="30"/>
        <v>4444.4160000000002</v>
      </c>
      <c r="S154" s="8">
        <v>0</v>
      </c>
      <c r="T154" s="8">
        <v>0</v>
      </c>
      <c r="U154" s="8">
        <v>4444.4160000000002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7">
        <v>0.32876699999999998</v>
      </c>
      <c r="AB154" s="8">
        <v>1477.695708</v>
      </c>
      <c r="AC154" s="7">
        <v>2.0449999999999999</v>
      </c>
      <c r="AD154" s="7" t="s">
        <v>1226</v>
      </c>
      <c r="AE154" s="8">
        <v>1481.472</v>
      </c>
      <c r="AF154" s="8">
        <v>0</v>
      </c>
      <c r="AG154" s="8">
        <v>1481.472</v>
      </c>
      <c r="AH154" s="8">
        <v>0</v>
      </c>
      <c r="AI154" s="7" t="s">
        <v>1736</v>
      </c>
      <c r="AJ154" s="7">
        <f t="shared" ca="1" si="31"/>
        <v>1</v>
      </c>
      <c r="AL154" s="96">
        <f t="shared" si="34"/>
        <v>8.7612695584136945E-6</v>
      </c>
      <c r="AM154" s="97">
        <f t="shared" si="35"/>
        <v>5.2373306089186923E-5</v>
      </c>
    </row>
    <row r="155" spans="1:39" x14ac:dyDescent="0.3">
      <c r="A155" s="7" t="s">
        <v>1930</v>
      </c>
      <c r="B155" s="7" t="s">
        <v>1320</v>
      </c>
      <c r="C155" s="7" t="s">
        <v>1323</v>
      </c>
      <c r="D155" s="7" t="s">
        <v>1792</v>
      </c>
      <c r="E155" s="7" t="s">
        <v>1322</v>
      </c>
      <c r="F155" s="36">
        <v>43221</v>
      </c>
      <c r="G155" s="36">
        <v>44681</v>
      </c>
      <c r="H155" s="36">
        <v>44681</v>
      </c>
      <c r="I155" s="36">
        <v>44681</v>
      </c>
      <c r="J155" s="7" t="s">
        <v>1696</v>
      </c>
      <c r="K155" s="8">
        <v>0</v>
      </c>
      <c r="L155" s="8">
        <v>0</v>
      </c>
      <c r="M155" s="8">
        <v>4444.4160000000002</v>
      </c>
      <c r="N155" s="8">
        <v>0</v>
      </c>
      <c r="O155" s="8">
        <v>0</v>
      </c>
      <c r="P155" s="8">
        <v>0</v>
      </c>
      <c r="Q155" s="8">
        <v>0</v>
      </c>
      <c r="R155" s="8">
        <f t="shared" si="30"/>
        <v>4444.4160000000002</v>
      </c>
      <c r="S155" s="8">
        <v>0</v>
      </c>
      <c r="T155" s="8">
        <v>0</v>
      </c>
      <c r="U155" s="8">
        <v>4444.4160000000002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7">
        <v>0.32876699999999998</v>
      </c>
      <c r="AB155" s="8">
        <v>1477.695708</v>
      </c>
      <c r="AC155" s="7">
        <v>2.0449999999999999</v>
      </c>
      <c r="AD155" s="7" t="s">
        <v>1226</v>
      </c>
      <c r="AE155" s="8">
        <v>1481.472</v>
      </c>
      <c r="AF155" s="8">
        <v>0</v>
      </c>
      <c r="AG155" s="8">
        <v>1481.472</v>
      </c>
      <c r="AH155" s="8">
        <v>0</v>
      </c>
      <c r="AI155" s="7" t="s">
        <v>1736</v>
      </c>
      <c r="AJ155" s="7">
        <f t="shared" ca="1" si="31"/>
        <v>1</v>
      </c>
      <c r="AL155" s="96">
        <f t="shared" si="34"/>
        <v>8.7612695584136945E-6</v>
      </c>
      <c r="AM155" s="97">
        <f t="shared" si="35"/>
        <v>5.2373306089186923E-5</v>
      </c>
    </row>
    <row r="156" spans="1:39" x14ac:dyDescent="0.3">
      <c r="A156" s="7" t="s">
        <v>1931</v>
      </c>
      <c r="B156" s="7" t="s">
        <v>1320</v>
      </c>
      <c r="C156" s="7" t="s">
        <v>1323</v>
      </c>
      <c r="D156" s="7" t="s">
        <v>1792</v>
      </c>
      <c r="E156" s="7" t="s">
        <v>1322</v>
      </c>
      <c r="F156" s="36">
        <v>43221</v>
      </c>
      <c r="G156" s="36">
        <v>44681</v>
      </c>
      <c r="H156" s="36">
        <v>44681</v>
      </c>
      <c r="I156" s="36">
        <v>44681</v>
      </c>
      <c r="J156" s="7" t="s">
        <v>1696</v>
      </c>
      <c r="K156" s="8">
        <v>0</v>
      </c>
      <c r="L156" s="8">
        <v>0</v>
      </c>
      <c r="M156" s="8">
        <v>4444.4160000000002</v>
      </c>
      <c r="N156" s="8">
        <v>0</v>
      </c>
      <c r="O156" s="8">
        <v>0</v>
      </c>
      <c r="P156" s="8">
        <v>0</v>
      </c>
      <c r="Q156" s="8">
        <v>0</v>
      </c>
      <c r="R156" s="8">
        <f t="shared" si="30"/>
        <v>4444.4160000000002</v>
      </c>
      <c r="S156" s="8">
        <v>0</v>
      </c>
      <c r="T156" s="8">
        <v>0</v>
      </c>
      <c r="U156" s="8">
        <v>4444.4160000000002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7">
        <v>0.32876699999999998</v>
      </c>
      <c r="AB156" s="8">
        <v>1477.695708</v>
      </c>
      <c r="AC156" s="7">
        <v>2.0449999999999999</v>
      </c>
      <c r="AD156" s="7" t="s">
        <v>1226</v>
      </c>
      <c r="AE156" s="8">
        <v>1481.472</v>
      </c>
      <c r="AF156" s="8">
        <v>0</v>
      </c>
      <c r="AG156" s="8">
        <v>1481.472</v>
      </c>
      <c r="AH156" s="8">
        <v>0</v>
      </c>
      <c r="AI156" s="7" t="s">
        <v>1736</v>
      </c>
      <c r="AJ156" s="7">
        <f t="shared" ca="1" si="31"/>
        <v>1</v>
      </c>
      <c r="AL156" s="96">
        <f t="shared" si="34"/>
        <v>8.7612695584136945E-6</v>
      </c>
      <c r="AM156" s="97">
        <f t="shared" si="35"/>
        <v>5.2373306089186923E-5</v>
      </c>
    </row>
    <row r="157" spans="1:39" x14ac:dyDescent="0.3">
      <c r="A157" s="7" t="s">
        <v>1932</v>
      </c>
      <c r="B157" s="7" t="s">
        <v>194</v>
      </c>
      <c r="C157" s="7" t="s">
        <v>1323</v>
      </c>
      <c r="D157" s="7" t="s">
        <v>1852</v>
      </c>
      <c r="E157" s="7" t="s">
        <v>1322</v>
      </c>
      <c r="F157" s="36">
        <v>44287</v>
      </c>
      <c r="G157" s="36">
        <v>45382</v>
      </c>
      <c r="H157" s="36">
        <v>45382</v>
      </c>
      <c r="I157" s="36">
        <v>45382</v>
      </c>
      <c r="J157" s="7" t="s">
        <v>1239</v>
      </c>
      <c r="K157" s="8">
        <v>407192.318676</v>
      </c>
      <c r="L157" s="8">
        <v>74201.760240999996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f t="shared" si="30"/>
        <v>481394.07891699998</v>
      </c>
      <c r="S157" s="8">
        <v>0</v>
      </c>
      <c r="T157" s="8">
        <v>66935.151089999999</v>
      </c>
      <c r="U157" s="8">
        <v>0</v>
      </c>
      <c r="V157" s="8">
        <v>383064.84891</v>
      </c>
      <c r="W157" s="8">
        <v>0</v>
      </c>
      <c r="X157" s="8">
        <v>1628769.274713</v>
      </c>
      <c r="Y157" s="8">
        <v>0</v>
      </c>
      <c r="Z157" s="8">
        <v>0</v>
      </c>
      <c r="AA157" s="7">
        <v>2.2493150000000002</v>
      </c>
      <c r="AB157" s="8">
        <v>1245704.4258030001</v>
      </c>
      <c r="AC157" s="7">
        <v>7</v>
      </c>
      <c r="AD157" s="7" t="s">
        <v>1226</v>
      </c>
      <c r="AE157" s="8">
        <v>1350000</v>
      </c>
      <c r="AF157" s="8">
        <v>0</v>
      </c>
      <c r="AG157" s="8">
        <v>1350000</v>
      </c>
      <c r="AH157" s="8">
        <v>0</v>
      </c>
      <c r="AI157" s="7" t="s">
        <v>1781</v>
      </c>
      <c r="AJ157" s="7">
        <f t="shared" ca="1" si="31"/>
        <v>1</v>
      </c>
      <c r="AL157" s="96">
        <f t="shared" si="32"/>
        <v>1.6799833669773123E-2</v>
      </c>
      <c r="AM157" s="97">
        <f t="shared" si="33"/>
        <v>6.1502184605539294E-2</v>
      </c>
    </row>
    <row r="158" spans="1:39" x14ac:dyDescent="0.3">
      <c r="A158" s="7" t="s">
        <v>1933</v>
      </c>
      <c r="B158" s="7" t="s">
        <v>194</v>
      </c>
      <c r="C158" s="7" t="s">
        <v>1323</v>
      </c>
      <c r="D158" s="7" t="s">
        <v>1852</v>
      </c>
      <c r="E158" s="7" t="s">
        <v>1322</v>
      </c>
      <c r="F158" s="36">
        <v>44287</v>
      </c>
      <c r="G158" s="36">
        <v>45382</v>
      </c>
      <c r="H158" s="36">
        <v>45382</v>
      </c>
      <c r="I158" s="36">
        <v>45382</v>
      </c>
      <c r="J158" s="7" t="s">
        <v>1239</v>
      </c>
      <c r="K158" s="8">
        <v>407192.318676</v>
      </c>
      <c r="L158" s="8">
        <v>74201.760240999996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f t="shared" si="30"/>
        <v>481394.07891699998</v>
      </c>
      <c r="S158" s="8">
        <v>0</v>
      </c>
      <c r="T158" s="8">
        <v>66935.151089999999</v>
      </c>
      <c r="U158" s="8">
        <v>0</v>
      </c>
      <c r="V158" s="8">
        <v>383064.84891</v>
      </c>
      <c r="W158" s="8">
        <v>0</v>
      </c>
      <c r="X158" s="8">
        <v>1628769.274713</v>
      </c>
      <c r="Y158" s="8">
        <v>0</v>
      </c>
      <c r="Z158" s="8">
        <v>0</v>
      </c>
      <c r="AA158" s="7">
        <v>2.2493150000000002</v>
      </c>
      <c r="AB158" s="8">
        <v>1245704.4258030001</v>
      </c>
      <c r="AC158" s="7">
        <v>7</v>
      </c>
      <c r="AD158" s="7" t="s">
        <v>1226</v>
      </c>
      <c r="AE158" s="8">
        <v>1350000</v>
      </c>
      <c r="AF158" s="8">
        <v>0</v>
      </c>
      <c r="AG158" s="8">
        <v>1350000</v>
      </c>
      <c r="AH158" s="8">
        <v>0</v>
      </c>
      <c r="AI158" s="7" t="s">
        <v>1781</v>
      </c>
      <c r="AJ158" s="7">
        <f t="shared" ca="1" si="31"/>
        <v>1</v>
      </c>
      <c r="AL158" s="96">
        <f t="shared" si="32"/>
        <v>1.6799833669773123E-2</v>
      </c>
      <c r="AM158" s="97">
        <f t="shared" si="33"/>
        <v>6.1502184605539294E-2</v>
      </c>
    </row>
    <row r="159" spans="1:39" x14ac:dyDescent="0.3">
      <c r="A159" s="7" t="s">
        <v>1934</v>
      </c>
      <c r="B159" s="7" t="s">
        <v>194</v>
      </c>
      <c r="C159" s="7" t="s">
        <v>1432</v>
      </c>
      <c r="D159" s="7" t="s">
        <v>1324</v>
      </c>
      <c r="E159" s="7" t="s">
        <v>1750</v>
      </c>
      <c r="F159" s="36">
        <v>43466</v>
      </c>
      <c r="G159" s="36">
        <v>44561</v>
      </c>
      <c r="H159" s="36">
        <v>44742</v>
      </c>
      <c r="I159" s="36">
        <v>44742</v>
      </c>
      <c r="J159" s="7" t="s">
        <v>1239</v>
      </c>
      <c r="K159" s="8">
        <v>1317998.421963</v>
      </c>
      <c r="L159" s="8">
        <v>165226.836056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f t="shared" si="30"/>
        <v>1483225.2580190001</v>
      </c>
      <c r="S159" s="8">
        <v>0</v>
      </c>
      <c r="T159" s="8">
        <v>163300.79906799999</v>
      </c>
      <c r="U159" s="8">
        <v>0</v>
      </c>
      <c r="V159" s="8">
        <v>1296599.2009320001</v>
      </c>
      <c r="W159" s="8">
        <v>0</v>
      </c>
      <c r="X159" s="8">
        <v>1628769.2747</v>
      </c>
      <c r="Y159" s="8">
        <v>0</v>
      </c>
      <c r="Z159" s="8">
        <v>-301478.35313900001</v>
      </c>
      <c r="AA159" s="7">
        <v>0.49589</v>
      </c>
      <c r="AB159" s="8">
        <v>8361.5228279999992</v>
      </c>
      <c r="AC159" s="7">
        <v>1.5760000000000001</v>
      </c>
      <c r="AD159" s="7" t="s">
        <v>1697</v>
      </c>
      <c r="AE159" s="8">
        <v>8400</v>
      </c>
      <c r="AF159" s="8">
        <v>0</v>
      </c>
      <c r="AG159" s="8">
        <v>8400</v>
      </c>
      <c r="AH159" s="8">
        <v>0</v>
      </c>
      <c r="AI159" s="7" t="s">
        <v>1781</v>
      </c>
      <c r="AJ159" s="7">
        <f t="shared" ca="1" si="31"/>
        <v>1</v>
      </c>
      <c r="AL159" s="96">
        <f t="shared" si="32"/>
        <v>2.4860532417478604E-5</v>
      </c>
      <c r="AM159" s="97">
        <f t="shared" si="33"/>
        <v>8.6157727056293285E-5</v>
      </c>
    </row>
    <row r="160" spans="1:39" x14ac:dyDescent="0.3">
      <c r="A160" s="7" t="s">
        <v>1935</v>
      </c>
      <c r="B160" s="7" t="s">
        <v>194</v>
      </c>
      <c r="C160" s="7" t="s">
        <v>1432</v>
      </c>
      <c r="D160" s="7" t="s">
        <v>1324</v>
      </c>
      <c r="E160" s="7" t="s">
        <v>1322</v>
      </c>
      <c r="F160" s="36">
        <v>44252</v>
      </c>
      <c r="G160" s="36">
        <v>45346</v>
      </c>
      <c r="H160" s="36">
        <v>45346</v>
      </c>
      <c r="I160" s="36">
        <v>46501</v>
      </c>
      <c r="J160" s="7" t="s">
        <v>1696</v>
      </c>
      <c r="K160" s="8">
        <v>0</v>
      </c>
      <c r="L160" s="8">
        <v>0</v>
      </c>
      <c r="M160" s="8">
        <v>7607.1428550000001</v>
      </c>
      <c r="N160" s="8">
        <v>0</v>
      </c>
      <c r="O160" s="8">
        <v>0</v>
      </c>
      <c r="P160" s="8">
        <v>-461.29032000000001</v>
      </c>
      <c r="Q160" s="8">
        <v>0</v>
      </c>
      <c r="R160" s="8">
        <f t="shared" si="30"/>
        <v>7145.852535</v>
      </c>
      <c r="S160" s="8">
        <v>0</v>
      </c>
      <c r="T160" s="8">
        <v>0</v>
      </c>
      <c r="U160" s="8">
        <v>8250</v>
      </c>
      <c r="V160" s="8">
        <v>0</v>
      </c>
      <c r="W160" s="8">
        <v>-500.00000999999997</v>
      </c>
      <c r="X160" s="8">
        <v>0</v>
      </c>
      <c r="Y160" s="8">
        <v>51733.732104000002</v>
      </c>
      <c r="Z160" s="8">
        <v>0</v>
      </c>
      <c r="AA160" s="7">
        <v>5.3150680000000001</v>
      </c>
      <c r="AB160" s="8">
        <v>44440.546110000003</v>
      </c>
      <c r="AC160" s="7">
        <v>2.3411110000000002</v>
      </c>
      <c r="AD160" s="7" t="s">
        <v>1226</v>
      </c>
      <c r="AE160" s="8">
        <v>47250</v>
      </c>
      <c r="AF160" s="8">
        <v>0</v>
      </c>
      <c r="AG160" s="8">
        <v>47250</v>
      </c>
      <c r="AH160" s="8">
        <v>-3150.000063</v>
      </c>
      <c r="AI160" s="7" t="s">
        <v>1760</v>
      </c>
      <c r="AJ160" s="7">
        <f t="shared" ca="1" si="31"/>
        <v>1</v>
      </c>
      <c r="AL160" s="96">
        <f t="shared" ref="AL160:AL165" si="36">(+AA160*AB160)/$AB$612</f>
        <v>4.2597295259606434E-3</v>
      </c>
      <c r="AM160" s="97">
        <f t="shared" ref="AM160:AM165" si="37">AC160/$AE$612*AE160</f>
        <v>1.9122604732682638E-3</v>
      </c>
    </row>
    <row r="161" spans="1:39" x14ac:dyDescent="0.3">
      <c r="A161" s="7" t="s">
        <v>1936</v>
      </c>
      <c r="B161" s="7" t="s">
        <v>1320</v>
      </c>
      <c r="C161" s="7" t="s">
        <v>1323</v>
      </c>
      <c r="D161" s="7" t="s">
        <v>1792</v>
      </c>
      <c r="E161" s="7" t="s">
        <v>1322</v>
      </c>
      <c r="F161" s="36">
        <v>43221</v>
      </c>
      <c r="G161" s="36">
        <v>44681</v>
      </c>
      <c r="H161" s="36">
        <v>44681</v>
      </c>
      <c r="I161" s="36">
        <v>44681</v>
      </c>
      <c r="J161" s="7" t="s">
        <v>1696</v>
      </c>
      <c r="K161" s="8">
        <v>0</v>
      </c>
      <c r="L161" s="8">
        <v>0</v>
      </c>
      <c r="M161" s="8">
        <v>4444.4160000000002</v>
      </c>
      <c r="N161" s="8">
        <v>0</v>
      </c>
      <c r="O161" s="8">
        <v>0</v>
      </c>
      <c r="P161" s="8">
        <v>0</v>
      </c>
      <c r="Q161" s="8">
        <v>0</v>
      </c>
      <c r="R161" s="8">
        <f t="shared" si="30"/>
        <v>4444.4160000000002</v>
      </c>
      <c r="S161" s="8">
        <v>0</v>
      </c>
      <c r="T161" s="8">
        <v>0</v>
      </c>
      <c r="U161" s="8">
        <v>4444.4160000000002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7">
        <v>0.32876699999999998</v>
      </c>
      <c r="AB161" s="8">
        <v>1477.695708</v>
      </c>
      <c r="AC161" s="7">
        <v>2.0449999999999999</v>
      </c>
      <c r="AD161" s="7" t="s">
        <v>1226</v>
      </c>
      <c r="AE161" s="8">
        <v>1481.472</v>
      </c>
      <c r="AF161" s="8">
        <v>0</v>
      </c>
      <c r="AG161" s="8">
        <v>1481.472</v>
      </c>
      <c r="AH161" s="8">
        <v>0</v>
      </c>
      <c r="AI161" s="7" t="s">
        <v>1736</v>
      </c>
      <c r="AJ161" s="7">
        <f t="shared" ca="1" si="31"/>
        <v>1</v>
      </c>
      <c r="AL161" s="96">
        <f t="shared" si="36"/>
        <v>8.7612695584136945E-6</v>
      </c>
      <c r="AM161" s="97">
        <f t="shared" si="37"/>
        <v>5.2373306089186923E-5</v>
      </c>
    </row>
    <row r="162" spans="1:39" x14ac:dyDescent="0.3">
      <c r="A162" s="7" t="s">
        <v>1937</v>
      </c>
      <c r="B162" s="7" t="s">
        <v>1320</v>
      </c>
      <c r="C162" s="7" t="s">
        <v>1323</v>
      </c>
      <c r="D162" s="7" t="s">
        <v>1792</v>
      </c>
      <c r="E162" s="7" t="s">
        <v>1322</v>
      </c>
      <c r="F162" s="36">
        <v>44089</v>
      </c>
      <c r="G162" s="36">
        <v>44787</v>
      </c>
      <c r="H162" s="36">
        <v>44787</v>
      </c>
      <c r="I162" s="36">
        <v>44787</v>
      </c>
      <c r="J162" s="7" t="s">
        <v>1696</v>
      </c>
      <c r="K162" s="8">
        <v>0</v>
      </c>
      <c r="L162" s="8">
        <v>0</v>
      </c>
      <c r="M162" s="8">
        <v>2958.4528559999999</v>
      </c>
      <c r="N162" s="8">
        <v>0</v>
      </c>
      <c r="O162" s="8">
        <v>0</v>
      </c>
      <c r="P162" s="8">
        <v>0</v>
      </c>
      <c r="Q162" s="8">
        <v>0</v>
      </c>
      <c r="R162" s="8">
        <f t="shared" si="30"/>
        <v>2958.4528559999999</v>
      </c>
      <c r="S162" s="8">
        <v>0</v>
      </c>
      <c r="T162" s="8">
        <v>0</v>
      </c>
      <c r="U162" s="8">
        <v>2799.999996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7">
        <v>0.61917800000000001</v>
      </c>
      <c r="AB162" s="8">
        <v>1492.5565919999999</v>
      </c>
      <c r="AC162" s="7">
        <v>1.7840830000000001</v>
      </c>
      <c r="AD162" s="7" t="s">
        <v>1226</v>
      </c>
      <c r="AE162" s="8">
        <v>1500.0000030000001</v>
      </c>
      <c r="AF162" s="8">
        <v>0</v>
      </c>
      <c r="AG162" s="8">
        <v>1500.0000030000001</v>
      </c>
      <c r="AH162" s="8">
        <v>0</v>
      </c>
      <c r="AI162" s="7" t="s">
        <v>1736</v>
      </c>
      <c r="AJ162" s="7">
        <f t="shared" ca="1" si="31"/>
        <v>1</v>
      </c>
      <c r="AL162" s="96">
        <f t="shared" si="36"/>
        <v>1.6666336102247107E-5</v>
      </c>
      <c r="AM162" s="97">
        <f t="shared" si="37"/>
        <v>4.6262547571659678E-5</v>
      </c>
    </row>
    <row r="163" spans="1:39" x14ac:dyDescent="0.3">
      <c r="A163" s="7" t="s">
        <v>1938</v>
      </c>
      <c r="B163" s="7" t="s">
        <v>1320</v>
      </c>
      <c r="C163" s="7" t="s">
        <v>1323</v>
      </c>
      <c r="D163" s="7" t="s">
        <v>1792</v>
      </c>
      <c r="E163" s="7" t="s">
        <v>1322</v>
      </c>
      <c r="F163" s="36">
        <v>43221</v>
      </c>
      <c r="G163" s="36">
        <v>44681</v>
      </c>
      <c r="H163" s="36">
        <v>44681</v>
      </c>
      <c r="I163" s="36">
        <v>44681</v>
      </c>
      <c r="J163" s="7" t="s">
        <v>1696</v>
      </c>
      <c r="K163" s="8">
        <v>0</v>
      </c>
      <c r="L163" s="8">
        <v>0</v>
      </c>
      <c r="M163" s="8">
        <v>4444.4160000000002</v>
      </c>
      <c r="N163" s="8">
        <v>0</v>
      </c>
      <c r="O163" s="8">
        <v>0</v>
      </c>
      <c r="P163" s="8">
        <v>0</v>
      </c>
      <c r="Q163" s="8">
        <v>0</v>
      </c>
      <c r="R163" s="8">
        <f t="shared" si="30"/>
        <v>4444.4160000000002</v>
      </c>
      <c r="S163" s="8">
        <v>0</v>
      </c>
      <c r="T163" s="8">
        <v>0</v>
      </c>
      <c r="U163" s="8">
        <v>4444.4160000000002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7">
        <v>0.32876699999999998</v>
      </c>
      <c r="AB163" s="8">
        <v>1477.695708</v>
      </c>
      <c r="AC163" s="7">
        <v>2.0449999999999999</v>
      </c>
      <c r="AD163" s="7" t="s">
        <v>1226</v>
      </c>
      <c r="AE163" s="8">
        <v>1481.472</v>
      </c>
      <c r="AF163" s="8">
        <v>0</v>
      </c>
      <c r="AG163" s="8">
        <v>1481.472</v>
      </c>
      <c r="AH163" s="8">
        <v>0</v>
      </c>
      <c r="AI163" s="7" t="s">
        <v>1736</v>
      </c>
      <c r="AJ163" s="7">
        <f t="shared" ca="1" si="31"/>
        <v>1</v>
      </c>
      <c r="AL163" s="96">
        <f t="shared" si="36"/>
        <v>8.7612695584136945E-6</v>
      </c>
      <c r="AM163" s="97">
        <f t="shared" si="37"/>
        <v>5.2373306089186923E-5</v>
      </c>
    </row>
    <row r="164" spans="1:39" x14ac:dyDescent="0.3">
      <c r="A164" s="7" t="s">
        <v>1939</v>
      </c>
      <c r="B164" s="7" t="s">
        <v>1320</v>
      </c>
      <c r="C164" s="7" t="s">
        <v>1323</v>
      </c>
      <c r="D164" s="7" t="s">
        <v>1792</v>
      </c>
      <c r="E164" s="7" t="s">
        <v>1322</v>
      </c>
      <c r="F164" s="36">
        <v>43221</v>
      </c>
      <c r="G164" s="36">
        <v>44681</v>
      </c>
      <c r="H164" s="36">
        <v>44681</v>
      </c>
      <c r="I164" s="36">
        <v>44681</v>
      </c>
      <c r="J164" s="7" t="s">
        <v>1696</v>
      </c>
      <c r="K164" s="8">
        <v>0</v>
      </c>
      <c r="L164" s="8">
        <v>0</v>
      </c>
      <c r="M164" s="8">
        <v>4444.4160000000002</v>
      </c>
      <c r="N164" s="8">
        <v>0</v>
      </c>
      <c r="O164" s="8">
        <v>0</v>
      </c>
      <c r="P164" s="8">
        <v>0</v>
      </c>
      <c r="Q164" s="8">
        <v>0</v>
      </c>
      <c r="R164" s="8">
        <f t="shared" si="30"/>
        <v>4444.4160000000002</v>
      </c>
      <c r="S164" s="8">
        <v>0</v>
      </c>
      <c r="T164" s="8">
        <v>0</v>
      </c>
      <c r="U164" s="8">
        <v>4444.4160000000002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7">
        <v>0.32876699999999998</v>
      </c>
      <c r="AB164" s="8">
        <v>1477.695708</v>
      </c>
      <c r="AC164" s="7">
        <v>2.0449999999999999</v>
      </c>
      <c r="AD164" s="7" t="s">
        <v>1226</v>
      </c>
      <c r="AE164" s="8">
        <v>1481.472</v>
      </c>
      <c r="AF164" s="8">
        <v>0</v>
      </c>
      <c r="AG164" s="8">
        <v>1481.472</v>
      </c>
      <c r="AH164" s="8">
        <v>0</v>
      </c>
      <c r="AI164" s="7" t="s">
        <v>1736</v>
      </c>
      <c r="AJ164" s="7">
        <f t="shared" ca="1" si="31"/>
        <v>1</v>
      </c>
      <c r="AL164" s="96">
        <f t="shared" si="36"/>
        <v>8.7612695584136945E-6</v>
      </c>
      <c r="AM164" s="97">
        <f t="shared" si="37"/>
        <v>5.2373306089186923E-5</v>
      </c>
    </row>
    <row r="165" spans="1:39" x14ac:dyDescent="0.3">
      <c r="A165" s="7" t="s">
        <v>1940</v>
      </c>
      <c r="B165" s="7" t="s">
        <v>1320</v>
      </c>
      <c r="C165" s="7" t="s">
        <v>1323</v>
      </c>
      <c r="D165" s="7" t="s">
        <v>1792</v>
      </c>
      <c r="E165" s="7" t="s">
        <v>1322</v>
      </c>
      <c r="F165" s="36">
        <v>43221</v>
      </c>
      <c r="G165" s="36">
        <v>44681</v>
      </c>
      <c r="H165" s="36">
        <v>44681</v>
      </c>
      <c r="I165" s="36">
        <v>44681</v>
      </c>
      <c r="J165" s="7" t="s">
        <v>1696</v>
      </c>
      <c r="K165" s="8">
        <v>0</v>
      </c>
      <c r="L165" s="8">
        <v>0</v>
      </c>
      <c r="M165" s="8">
        <v>4444.4160000000002</v>
      </c>
      <c r="N165" s="8">
        <v>0</v>
      </c>
      <c r="O165" s="8">
        <v>0</v>
      </c>
      <c r="P165" s="8">
        <v>0</v>
      </c>
      <c r="Q165" s="8">
        <v>0</v>
      </c>
      <c r="R165" s="8">
        <f t="shared" si="30"/>
        <v>4444.4160000000002</v>
      </c>
      <c r="S165" s="8">
        <v>0</v>
      </c>
      <c r="T165" s="8">
        <v>0</v>
      </c>
      <c r="U165" s="8">
        <v>4444.4160000000002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7">
        <v>0.32876699999999998</v>
      </c>
      <c r="AB165" s="8">
        <v>1477.695708</v>
      </c>
      <c r="AC165" s="7">
        <v>2.0449999999999999</v>
      </c>
      <c r="AD165" s="7" t="s">
        <v>1226</v>
      </c>
      <c r="AE165" s="8">
        <v>1481.472</v>
      </c>
      <c r="AF165" s="8">
        <v>0</v>
      </c>
      <c r="AG165" s="8">
        <v>1481.472</v>
      </c>
      <c r="AH165" s="8">
        <v>0</v>
      </c>
      <c r="AI165" s="7" t="s">
        <v>1736</v>
      </c>
      <c r="AJ165" s="7">
        <f t="shared" ca="1" si="31"/>
        <v>1</v>
      </c>
      <c r="AL165" s="96">
        <f t="shared" si="36"/>
        <v>8.7612695584136945E-6</v>
      </c>
      <c r="AM165" s="97">
        <f t="shared" si="37"/>
        <v>5.2373306089186923E-5</v>
      </c>
    </row>
    <row r="166" spans="1:39" x14ac:dyDescent="0.3">
      <c r="A166" s="7" t="s">
        <v>1941</v>
      </c>
      <c r="B166" s="7" t="s">
        <v>1320</v>
      </c>
      <c r="C166" s="7" t="s">
        <v>1323</v>
      </c>
      <c r="D166" s="7" t="s">
        <v>1694</v>
      </c>
      <c r="E166" s="7" t="s">
        <v>1750</v>
      </c>
      <c r="F166" s="36">
        <v>43132</v>
      </c>
      <c r="G166" s="36">
        <v>44227</v>
      </c>
      <c r="H166" s="36">
        <v>44957</v>
      </c>
      <c r="I166" s="36">
        <v>44957</v>
      </c>
      <c r="J166" s="7" t="s">
        <v>1239</v>
      </c>
      <c r="K166" s="8">
        <v>287917.13343599997</v>
      </c>
      <c r="L166" s="8">
        <v>9724.9343379999991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f t="shared" si="30"/>
        <v>297642.067774</v>
      </c>
      <c r="S166" s="8">
        <v>0</v>
      </c>
      <c r="T166" s="8">
        <v>10317.174252999999</v>
      </c>
      <c r="U166" s="8">
        <v>0</v>
      </c>
      <c r="V166" s="8">
        <v>288194.60574700002</v>
      </c>
      <c r="W166" s="8">
        <v>0</v>
      </c>
      <c r="X166" s="8">
        <v>0</v>
      </c>
      <c r="Y166" s="8">
        <v>0</v>
      </c>
      <c r="Z166" s="8">
        <v>0</v>
      </c>
      <c r="AA166" s="7">
        <v>1.084932</v>
      </c>
      <c r="AB166" s="8">
        <v>274275.97372399998</v>
      </c>
      <c r="AC166" s="7">
        <v>2.4660000000000002</v>
      </c>
      <c r="AD166" s="7" t="s">
        <v>1697</v>
      </c>
      <c r="AE166" s="8">
        <v>278462.28999999998</v>
      </c>
      <c r="AF166" s="8">
        <v>0</v>
      </c>
      <c r="AG166" s="8">
        <v>278462.28999999998</v>
      </c>
      <c r="AH166" s="8">
        <v>0</v>
      </c>
      <c r="AI166" s="7" t="s">
        <v>1194</v>
      </c>
      <c r="AJ166" s="7">
        <f t="shared" ca="1" si="31"/>
        <v>1</v>
      </c>
      <c r="AL166" s="96">
        <f t="shared" si="32"/>
        <v>1.7841443109437955E-3</v>
      </c>
      <c r="AM166" s="97">
        <f t="shared" si="33"/>
        <v>4.4690806964586419E-3</v>
      </c>
    </row>
    <row r="167" spans="1:39" x14ac:dyDescent="0.3">
      <c r="A167" s="7" t="s">
        <v>1942</v>
      </c>
      <c r="B167" s="7" t="s">
        <v>1320</v>
      </c>
      <c r="C167" s="7" t="s">
        <v>1323</v>
      </c>
      <c r="D167" s="7" t="s">
        <v>1694</v>
      </c>
      <c r="E167" s="7" t="s">
        <v>1750</v>
      </c>
      <c r="F167" s="36">
        <v>43132</v>
      </c>
      <c r="G167" s="36">
        <v>44227</v>
      </c>
      <c r="H167" s="36">
        <v>45322</v>
      </c>
      <c r="I167" s="36">
        <v>45322</v>
      </c>
      <c r="J167" s="7" t="s">
        <v>1696</v>
      </c>
      <c r="K167" s="8">
        <v>0</v>
      </c>
      <c r="L167" s="8">
        <v>0</v>
      </c>
      <c r="M167" s="8">
        <v>29054.052910999999</v>
      </c>
      <c r="N167" s="8">
        <v>0</v>
      </c>
      <c r="O167" s="8">
        <v>0</v>
      </c>
      <c r="P167" s="8">
        <v>0</v>
      </c>
      <c r="Q167" s="8">
        <v>0</v>
      </c>
      <c r="R167" s="8">
        <f t="shared" si="30"/>
        <v>29054.052910999999</v>
      </c>
      <c r="S167" s="8">
        <v>0</v>
      </c>
      <c r="T167" s="8">
        <v>0</v>
      </c>
      <c r="U167" s="8">
        <v>50000</v>
      </c>
      <c r="V167" s="8">
        <v>0</v>
      </c>
      <c r="W167" s="8">
        <v>0</v>
      </c>
      <c r="X167" s="8">
        <v>0</v>
      </c>
      <c r="Y167" s="8">
        <v>0</v>
      </c>
      <c r="Z167" s="8">
        <v>-68839.265153</v>
      </c>
      <c r="AA167" s="7">
        <v>2.0849319999999998</v>
      </c>
      <c r="AB167" s="8">
        <v>49878.611379000002</v>
      </c>
      <c r="AC167" s="7">
        <v>7</v>
      </c>
      <c r="AD167" s="7" t="s">
        <v>1226</v>
      </c>
      <c r="AE167" s="8">
        <v>50000</v>
      </c>
      <c r="AF167" s="8">
        <v>0</v>
      </c>
      <c r="AG167" s="8">
        <v>50000</v>
      </c>
      <c r="AH167" s="8">
        <v>0</v>
      </c>
      <c r="AI167" s="7" t="s">
        <v>1194</v>
      </c>
      <c r="AJ167" s="7">
        <f t="shared" ca="1" si="31"/>
        <v>1</v>
      </c>
      <c r="AL167" s="96">
        <f t="shared" ref="AL167:AL168" si="38">(+AA167*AB167)/$AB$612</f>
        <v>1.8754265551256945E-3</v>
      </c>
      <c r="AM167" s="97">
        <f t="shared" ref="AM167:AM168" si="39">AC167/$AE$612*AE167</f>
        <v>6.0505001234797207E-3</v>
      </c>
    </row>
    <row r="168" spans="1:39" x14ac:dyDescent="0.3">
      <c r="A168" s="7" t="s">
        <v>1943</v>
      </c>
      <c r="B168" s="7" t="s">
        <v>1320</v>
      </c>
      <c r="C168" s="7" t="s">
        <v>1323</v>
      </c>
      <c r="D168" s="7" t="s">
        <v>1694</v>
      </c>
      <c r="E168" s="7" t="s">
        <v>1739</v>
      </c>
      <c r="F168" s="36">
        <v>43374</v>
      </c>
      <c r="G168" s="36">
        <v>44469</v>
      </c>
      <c r="J168" s="7" t="s">
        <v>1696</v>
      </c>
      <c r="K168" s="8">
        <v>0</v>
      </c>
      <c r="L168" s="8">
        <v>0</v>
      </c>
      <c r="M168" s="8">
        <v>521999.998899</v>
      </c>
      <c r="N168" s="8">
        <v>0</v>
      </c>
      <c r="O168" s="8">
        <v>0</v>
      </c>
      <c r="P168" s="8">
        <v>0</v>
      </c>
      <c r="Q168" s="8">
        <v>0</v>
      </c>
      <c r="R168" s="8">
        <f t="shared" si="30"/>
        <v>521999.998899</v>
      </c>
      <c r="S168" s="8">
        <v>0</v>
      </c>
      <c r="T168" s="8">
        <v>0</v>
      </c>
      <c r="U168" s="8">
        <v>522000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7">
        <v>0</v>
      </c>
      <c r="AB168" s="8">
        <v>0</v>
      </c>
      <c r="AC168" s="7">
        <v>2.0299999999999998</v>
      </c>
      <c r="AD168" s="7" t="s">
        <v>1226</v>
      </c>
      <c r="AE168" s="8">
        <v>0</v>
      </c>
      <c r="AF168" s="8">
        <v>0</v>
      </c>
      <c r="AG168" s="8">
        <v>0</v>
      </c>
      <c r="AH168" s="8">
        <v>0</v>
      </c>
      <c r="AI168" s="7" t="s">
        <v>1194</v>
      </c>
      <c r="AJ168" s="7">
        <f t="shared" ca="1" si="31"/>
        <v>1</v>
      </c>
      <c r="AL168" s="96">
        <f t="shared" si="38"/>
        <v>0</v>
      </c>
      <c r="AM168" s="97">
        <f t="shared" si="39"/>
        <v>0</v>
      </c>
    </row>
    <row r="169" spans="1:39" x14ac:dyDescent="0.3">
      <c r="A169" s="7" t="s">
        <v>1943</v>
      </c>
      <c r="B169" s="7" t="s">
        <v>1320</v>
      </c>
      <c r="C169" s="7" t="s">
        <v>1323</v>
      </c>
      <c r="D169" s="7" t="s">
        <v>1694</v>
      </c>
      <c r="E169" s="7" t="s">
        <v>1739</v>
      </c>
      <c r="F169" s="36">
        <v>43374</v>
      </c>
      <c r="G169" s="36">
        <v>44469</v>
      </c>
      <c r="J169" s="7" t="s">
        <v>1699</v>
      </c>
      <c r="K169" s="8">
        <v>0</v>
      </c>
      <c r="L169" s="8">
        <v>0</v>
      </c>
      <c r="M169" s="8">
        <v>0</v>
      </c>
      <c r="N169" s="8">
        <v>174000</v>
      </c>
      <c r="O169" s="8">
        <v>0</v>
      </c>
      <c r="P169" s="8">
        <v>0</v>
      </c>
      <c r="Q169" s="8">
        <v>0</v>
      </c>
      <c r="R169" s="8">
        <f t="shared" si="30"/>
        <v>174000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7">
        <v>0</v>
      </c>
      <c r="AB169" s="8">
        <v>0</v>
      </c>
      <c r="AC169" s="7">
        <v>2.0299999999999998</v>
      </c>
      <c r="AD169" s="7" t="s">
        <v>1226</v>
      </c>
      <c r="AE169" s="8">
        <v>58000</v>
      </c>
      <c r="AF169" s="8">
        <v>0</v>
      </c>
      <c r="AG169" s="8">
        <v>58000</v>
      </c>
      <c r="AH169" s="8">
        <v>0</v>
      </c>
      <c r="AI169" s="7" t="s">
        <v>1194</v>
      </c>
      <c r="AJ169" s="7">
        <f t="shared" ca="1" si="31"/>
        <v>2</v>
      </c>
      <c r="AL169" s="100">
        <f>(+AA169*AB169)/$AB$613</f>
        <v>0</v>
      </c>
      <c r="AM169" s="97">
        <f>AC169/$AE$613*AE169</f>
        <v>8.5996868845716598E-2</v>
      </c>
    </row>
    <row r="170" spans="1:39" x14ac:dyDescent="0.3">
      <c r="A170" s="7" t="s">
        <v>1944</v>
      </c>
      <c r="B170" s="7" t="s">
        <v>1320</v>
      </c>
      <c r="C170" s="7" t="s">
        <v>1323</v>
      </c>
      <c r="D170" s="7" t="s">
        <v>1792</v>
      </c>
      <c r="E170" s="7" t="s">
        <v>1322</v>
      </c>
      <c r="F170" s="36">
        <v>43221</v>
      </c>
      <c r="G170" s="36">
        <v>44681</v>
      </c>
      <c r="H170" s="36">
        <v>44681</v>
      </c>
      <c r="I170" s="36">
        <v>44681</v>
      </c>
      <c r="J170" s="7" t="s">
        <v>1696</v>
      </c>
      <c r="K170" s="8">
        <v>0</v>
      </c>
      <c r="L170" s="8">
        <v>0</v>
      </c>
      <c r="M170" s="8">
        <v>4444.4160000000002</v>
      </c>
      <c r="N170" s="8">
        <v>0</v>
      </c>
      <c r="O170" s="8">
        <v>0</v>
      </c>
      <c r="P170" s="8">
        <v>0</v>
      </c>
      <c r="Q170" s="8">
        <v>0</v>
      </c>
      <c r="R170" s="8">
        <f t="shared" si="30"/>
        <v>4444.4160000000002</v>
      </c>
      <c r="S170" s="8">
        <v>0</v>
      </c>
      <c r="T170" s="8">
        <v>0</v>
      </c>
      <c r="U170" s="8">
        <v>4444.4160000000002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7">
        <v>0.32876699999999998</v>
      </c>
      <c r="AB170" s="8">
        <v>1477.695708</v>
      </c>
      <c r="AC170" s="7">
        <v>2.0449999999999999</v>
      </c>
      <c r="AD170" s="7" t="s">
        <v>1226</v>
      </c>
      <c r="AE170" s="8">
        <v>1481.472</v>
      </c>
      <c r="AF170" s="8">
        <v>0</v>
      </c>
      <c r="AG170" s="8">
        <v>1481.472</v>
      </c>
      <c r="AH170" s="8">
        <v>0</v>
      </c>
      <c r="AI170" s="7" t="s">
        <v>1736</v>
      </c>
      <c r="AJ170" s="7">
        <f t="shared" ca="1" si="31"/>
        <v>1</v>
      </c>
      <c r="AL170" s="96">
        <f t="shared" ref="AL170:AL173" si="40">(+AA170*AB170)/$AB$612</f>
        <v>8.7612695584136945E-6</v>
      </c>
      <c r="AM170" s="97">
        <f t="shared" ref="AM170:AM173" si="41">AC170/$AE$612*AE170</f>
        <v>5.2373306089186923E-5</v>
      </c>
    </row>
    <row r="171" spans="1:39" x14ac:dyDescent="0.3">
      <c r="A171" s="7" t="s">
        <v>1945</v>
      </c>
      <c r="B171" s="7" t="s">
        <v>1320</v>
      </c>
      <c r="C171" s="7" t="s">
        <v>1323</v>
      </c>
      <c r="D171" s="7" t="s">
        <v>1792</v>
      </c>
      <c r="E171" s="7" t="s">
        <v>1322</v>
      </c>
      <c r="F171" s="36">
        <v>43221</v>
      </c>
      <c r="G171" s="36">
        <v>44681</v>
      </c>
      <c r="H171" s="36">
        <v>44681</v>
      </c>
      <c r="I171" s="36">
        <v>44681</v>
      </c>
      <c r="J171" s="7" t="s">
        <v>1696</v>
      </c>
      <c r="K171" s="8">
        <v>0</v>
      </c>
      <c r="L171" s="8">
        <v>0</v>
      </c>
      <c r="M171" s="8">
        <v>4444.4160000000002</v>
      </c>
      <c r="N171" s="8">
        <v>0</v>
      </c>
      <c r="O171" s="8">
        <v>0</v>
      </c>
      <c r="P171" s="8">
        <v>0</v>
      </c>
      <c r="Q171" s="8">
        <v>0</v>
      </c>
      <c r="R171" s="8">
        <f t="shared" si="30"/>
        <v>4444.4160000000002</v>
      </c>
      <c r="S171" s="8">
        <v>0</v>
      </c>
      <c r="T171" s="8">
        <v>0</v>
      </c>
      <c r="U171" s="8">
        <v>4444.4160000000002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7">
        <v>0.32876699999999998</v>
      </c>
      <c r="AB171" s="8">
        <v>1477.695708</v>
      </c>
      <c r="AC171" s="7">
        <v>2.0449999999999999</v>
      </c>
      <c r="AD171" s="7" t="s">
        <v>1226</v>
      </c>
      <c r="AE171" s="8">
        <v>1481.472</v>
      </c>
      <c r="AF171" s="8">
        <v>0</v>
      </c>
      <c r="AG171" s="8">
        <v>1481.472</v>
      </c>
      <c r="AH171" s="8">
        <v>0</v>
      </c>
      <c r="AI171" s="7" t="s">
        <v>1736</v>
      </c>
      <c r="AJ171" s="7">
        <f t="shared" ca="1" si="31"/>
        <v>1</v>
      </c>
      <c r="AL171" s="96">
        <f t="shared" si="40"/>
        <v>8.7612695584136945E-6</v>
      </c>
      <c r="AM171" s="97">
        <f t="shared" si="41"/>
        <v>5.2373306089186923E-5</v>
      </c>
    </row>
    <row r="172" spans="1:39" x14ac:dyDescent="0.3">
      <c r="A172" s="7" t="s">
        <v>1946</v>
      </c>
      <c r="B172" s="7" t="s">
        <v>1320</v>
      </c>
      <c r="C172" s="7" t="s">
        <v>1323</v>
      </c>
      <c r="D172" s="7" t="s">
        <v>1792</v>
      </c>
      <c r="E172" s="7" t="s">
        <v>1322</v>
      </c>
      <c r="F172" s="36">
        <v>43221</v>
      </c>
      <c r="G172" s="36">
        <v>44681</v>
      </c>
      <c r="H172" s="36">
        <v>44681</v>
      </c>
      <c r="I172" s="36">
        <v>44681</v>
      </c>
      <c r="J172" s="7" t="s">
        <v>1696</v>
      </c>
      <c r="K172" s="8">
        <v>0</v>
      </c>
      <c r="L172" s="8">
        <v>0</v>
      </c>
      <c r="M172" s="8">
        <v>4444.4160000000002</v>
      </c>
      <c r="N172" s="8">
        <v>0</v>
      </c>
      <c r="O172" s="8">
        <v>0</v>
      </c>
      <c r="P172" s="8">
        <v>0</v>
      </c>
      <c r="Q172" s="8">
        <v>0</v>
      </c>
      <c r="R172" s="8">
        <f t="shared" si="30"/>
        <v>4444.4160000000002</v>
      </c>
      <c r="S172" s="8">
        <v>0</v>
      </c>
      <c r="T172" s="8">
        <v>0</v>
      </c>
      <c r="U172" s="8">
        <v>4444.4160000000002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7">
        <v>0.32876699999999998</v>
      </c>
      <c r="AB172" s="8">
        <v>1477.695708</v>
      </c>
      <c r="AC172" s="7">
        <v>2.0449999999999999</v>
      </c>
      <c r="AD172" s="7" t="s">
        <v>1226</v>
      </c>
      <c r="AE172" s="8">
        <v>1481.472</v>
      </c>
      <c r="AF172" s="8">
        <v>0</v>
      </c>
      <c r="AG172" s="8">
        <v>1481.472</v>
      </c>
      <c r="AH172" s="8">
        <v>0</v>
      </c>
      <c r="AI172" s="7" t="s">
        <v>1736</v>
      </c>
      <c r="AJ172" s="7">
        <f t="shared" ca="1" si="31"/>
        <v>1</v>
      </c>
      <c r="AL172" s="96">
        <f t="shared" si="40"/>
        <v>8.7612695584136945E-6</v>
      </c>
      <c r="AM172" s="97">
        <f t="shared" si="41"/>
        <v>5.2373306089186923E-5</v>
      </c>
    </row>
    <row r="173" spans="1:39" x14ac:dyDescent="0.3">
      <c r="A173" s="7" t="s">
        <v>1947</v>
      </c>
      <c r="B173" s="7" t="s">
        <v>1320</v>
      </c>
      <c r="C173" s="7" t="s">
        <v>1323</v>
      </c>
      <c r="D173" s="7" t="s">
        <v>1694</v>
      </c>
      <c r="E173" s="7" t="s">
        <v>1739</v>
      </c>
      <c r="F173" s="36">
        <v>43146</v>
      </c>
      <c r="G173" s="36">
        <v>44241</v>
      </c>
      <c r="J173" s="7" t="s">
        <v>1696</v>
      </c>
      <c r="K173" s="8">
        <v>0</v>
      </c>
      <c r="L173" s="8">
        <v>0</v>
      </c>
      <c r="M173" s="8">
        <v>75000</v>
      </c>
      <c r="N173" s="8">
        <v>0</v>
      </c>
      <c r="O173" s="8">
        <v>0</v>
      </c>
      <c r="P173" s="8">
        <v>0</v>
      </c>
      <c r="Q173" s="8">
        <v>0</v>
      </c>
      <c r="R173" s="8">
        <f t="shared" si="30"/>
        <v>75000</v>
      </c>
      <c r="S173" s="8">
        <v>0</v>
      </c>
      <c r="T173" s="8">
        <v>0</v>
      </c>
      <c r="U173" s="8">
        <v>50000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7">
        <v>0</v>
      </c>
      <c r="AB173" s="8">
        <v>0</v>
      </c>
      <c r="AC173" s="7">
        <v>7</v>
      </c>
      <c r="AD173" s="7" t="s">
        <v>1226</v>
      </c>
      <c r="AE173" s="8">
        <v>0</v>
      </c>
      <c r="AF173" s="8">
        <v>0</v>
      </c>
      <c r="AG173" s="8">
        <v>0</v>
      </c>
      <c r="AH173" s="8">
        <v>0</v>
      </c>
      <c r="AI173" s="7" t="s">
        <v>1194</v>
      </c>
      <c r="AJ173" s="7">
        <f t="shared" ca="1" si="31"/>
        <v>1</v>
      </c>
      <c r="AL173" s="96">
        <f t="shared" si="40"/>
        <v>0</v>
      </c>
      <c r="AM173" s="97">
        <f t="shared" si="41"/>
        <v>0</v>
      </c>
    </row>
    <row r="174" spans="1:39" x14ac:dyDescent="0.3">
      <c r="A174" s="7" t="s">
        <v>1947</v>
      </c>
      <c r="B174" s="7" t="s">
        <v>1320</v>
      </c>
      <c r="C174" s="7" t="s">
        <v>1323</v>
      </c>
      <c r="D174" s="7" t="s">
        <v>1694</v>
      </c>
      <c r="E174" s="7" t="s">
        <v>1739</v>
      </c>
      <c r="F174" s="36">
        <v>43146</v>
      </c>
      <c r="G174" s="36">
        <v>44241</v>
      </c>
      <c r="J174" s="7" t="s">
        <v>1699</v>
      </c>
      <c r="K174" s="8">
        <v>0</v>
      </c>
      <c r="L174" s="8">
        <v>0</v>
      </c>
      <c r="M174" s="8">
        <v>0</v>
      </c>
      <c r="N174" s="8">
        <v>525000</v>
      </c>
      <c r="O174" s="8">
        <v>0</v>
      </c>
      <c r="P174" s="8">
        <v>0</v>
      </c>
      <c r="Q174" s="8">
        <v>0</v>
      </c>
      <c r="R174" s="8">
        <f t="shared" si="30"/>
        <v>525000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7">
        <v>0</v>
      </c>
      <c r="AB174" s="8">
        <v>0</v>
      </c>
      <c r="AC174" s="7">
        <v>7</v>
      </c>
      <c r="AD174" s="7" t="s">
        <v>1226</v>
      </c>
      <c r="AE174" s="8">
        <v>50000</v>
      </c>
      <c r="AF174" s="8">
        <v>0</v>
      </c>
      <c r="AG174" s="8">
        <v>50000</v>
      </c>
      <c r="AH174" s="8">
        <v>0</v>
      </c>
      <c r="AI174" s="7" t="s">
        <v>1194</v>
      </c>
      <c r="AJ174" s="7">
        <f t="shared" ca="1" si="31"/>
        <v>2</v>
      </c>
      <c r="AL174" s="100">
        <f>(+AA174*AB174)/$AB$613</f>
        <v>0</v>
      </c>
      <c r="AM174" s="97">
        <f>AC174/$AE$613*AE174</f>
        <v>0.2556387302191338</v>
      </c>
    </row>
    <row r="175" spans="1:39" x14ac:dyDescent="0.3">
      <c r="A175" s="7" t="s">
        <v>1948</v>
      </c>
      <c r="B175" s="7" t="s">
        <v>1320</v>
      </c>
      <c r="C175" s="7" t="s">
        <v>1323</v>
      </c>
      <c r="D175" s="7" t="s">
        <v>1792</v>
      </c>
      <c r="E175" s="7" t="s">
        <v>1322</v>
      </c>
      <c r="F175" s="36">
        <v>43221</v>
      </c>
      <c r="G175" s="36">
        <v>44681</v>
      </c>
      <c r="H175" s="36">
        <v>44681</v>
      </c>
      <c r="I175" s="36">
        <v>44681</v>
      </c>
      <c r="J175" s="7" t="s">
        <v>1696</v>
      </c>
      <c r="K175" s="8">
        <v>0</v>
      </c>
      <c r="L175" s="8">
        <v>0</v>
      </c>
      <c r="M175" s="8">
        <v>4444.4160000000002</v>
      </c>
      <c r="N175" s="8">
        <v>0</v>
      </c>
      <c r="O175" s="8">
        <v>0</v>
      </c>
      <c r="P175" s="8">
        <v>0</v>
      </c>
      <c r="Q175" s="8">
        <v>0</v>
      </c>
      <c r="R175" s="8">
        <f t="shared" si="30"/>
        <v>4444.4160000000002</v>
      </c>
      <c r="S175" s="8">
        <v>0</v>
      </c>
      <c r="T175" s="8">
        <v>0</v>
      </c>
      <c r="U175" s="8">
        <v>4444.4160000000002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7">
        <v>0.32876699999999998</v>
      </c>
      <c r="AB175" s="8">
        <v>1477.695708</v>
      </c>
      <c r="AC175" s="7">
        <v>2.0449999999999999</v>
      </c>
      <c r="AD175" s="7" t="s">
        <v>1226</v>
      </c>
      <c r="AE175" s="8">
        <v>1481.472</v>
      </c>
      <c r="AF175" s="8">
        <v>0</v>
      </c>
      <c r="AG175" s="8">
        <v>1481.472</v>
      </c>
      <c r="AH175" s="8">
        <v>0</v>
      </c>
      <c r="AI175" s="7" t="s">
        <v>1736</v>
      </c>
      <c r="AJ175" s="7">
        <f t="shared" ca="1" si="31"/>
        <v>1</v>
      </c>
      <c r="AL175" s="96">
        <f t="shared" ref="AL175:AL209" si="42">(+AA175*AB175)/$AB$612</f>
        <v>8.7612695584136945E-6</v>
      </c>
      <c r="AM175" s="97">
        <f t="shared" ref="AM175:AM209" si="43">AC175/$AE$612*AE175</f>
        <v>5.2373306089186923E-5</v>
      </c>
    </row>
    <row r="176" spans="1:39" x14ac:dyDescent="0.3">
      <c r="A176" s="7" t="s">
        <v>1949</v>
      </c>
      <c r="B176" s="7" t="s">
        <v>1320</v>
      </c>
      <c r="C176" s="7" t="s">
        <v>1323</v>
      </c>
      <c r="D176" s="7" t="s">
        <v>1792</v>
      </c>
      <c r="E176" s="7" t="s">
        <v>1322</v>
      </c>
      <c r="F176" s="36">
        <v>43221</v>
      </c>
      <c r="G176" s="36">
        <v>44681</v>
      </c>
      <c r="H176" s="36">
        <v>44681</v>
      </c>
      <c r="I176" s="36">
        <v>44681</v>
      </c>
      <c r="J176" s="7" t="s">
        <v>1696</v>
      </c>
      <c r="K176" s="8">
        <v>0</v>
      </c>
      <c r="L176" s="8">
        <v>0</v>
      </c>
      <c r="M176" s="8">
        <v>4444.4160000000002</v>
      </c>
      <c r="N176" s="8">
        <v>0</v>
      </c>
      <c r="O176" s="8">
        <v>0</v>
      </c>
      <c r="P176" s="8">
        <v>0</v>
      </c>
      <c r="Q176" s="8">
        <v>0</v>
      </c>
      <c r="R176" s="8">
        <f t="shared" si="30"/>
        <v>4444.4160000000002</v>
      </c>
      <c r="S176" s="8">
        <v>0</v>
      </c>
      <c r="T176" s="8">
        <v>0</v>
      </c>
      <c r="U176" s="8">
        <v>4444.4160000000002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7">
        <v>0.32876699999999998</v>
      </c>
      <c r="AB176" s="8">
        <v>1477.695708</v>
      </c>
      <c r="AC176" s="7">
        <v>2.0449999999999999</v>
      </c>
      <c r="AD176" s="7" t="s">
        <v>1226</v>
      </c>
      <c r="AE176" s="8">
        <v>1481.472</v>
      </c>
      <c r="AF176" s="8">
        <v>0</v>
      </c>
      <c r="AG176" s="8">
        <v>1481.472</v>
      </c>
      <c r="AH176" s="8">
        <v>0</v>
      </c>
      <c r="AI176" s="7" t="s">
        <v>1736</v>
      </c>
      <c r="AJ176" s="7">
        <f t="shared" ca="1" si="31"/>
        <v>1</v>
      </c>
      <c r="AL176" s="96">
        <f t="shared" si="42"/>
        <v>8.7612695584136945E-6</v>
      </c>
      <c r="AM176" s="97">
        <f t="shared" si="43"/>
        <v>5.2373306089186923E-5</v>
      </c>
    </row>
    <row r="177" spans="1:39" x14ac:dyDescent="0.3">
      <c r="A177" s="7" t="s">
        <v>1951</v>
      </c>
      <c r="B177" s="7" t="s">
        <v>1320</v>
      </c>
      <c r="C177" s="7" t="s">
        <v>1323</v>
      </c>
      <c r="D177" s="7" t="s">
        <v>1792</v>
      </c>
      <c r="E177" s="7" t="s">
        <v>1322</v>
      </c>
      <c r="F177" s="36">
        <v>43221</v>
      </c>
      <c r="G177" s="36">
        <v>44681</v>
      </c>
      <c r="H177" s="36">
        <v>44681</v>
      </c>
      <c r="I177" s="36">
        <v>44681</v>
      </c>
      <c r="J177" s="7" t="s">
        <v>1696</v>
      </c>
      <c r="K177" s="8">
        <v>0</v>
      </c>
      <c r="L177" s="8">
        <v>0</v>
      </c>
      <c r="M177" s="8">
        <v>4444.4160000000002</v>
      </c>
      <c r="N177" s="8">
        <v>0</v>
      </c>
      <c r="O177" s="8">
        <v>0</v>
      </c>
      <c r="P177" s="8">
        <v>0</v>
      </c>
      <c r="Q177" s="8">
        <v>0</v>
      </c>
      <c r="R177" s="8">
        <f t="shared" si="30"/>
        <v>4444.4160000000002</v>
      </c>
      <c r="S177" s="8">
        <v>0</v>
      </c>
      <c r="T177" s="8">
        <v>0</v>
      </c>
      <c r="U177" s="8">
        <v>4444.4160000000002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7">
        <v>0.32876699999999998</v>
      </c>
      <c r="AB177" s="8">
        <v>1477.695708</v>
      </c>
      <c r="AC177" s="7">
        <v>2.0449999999999999</v>
      </c>
      <c r="AD177" s="7" t="s">
        <v>1226</v>
      </c>
      <c r="AE177" s="8">
        <v>1481.472</v>
      </c>
      <c r="AF177" s="8">
        <v>0</v>
      </c>
      <c r="AG177" s="8">
        <v>1481.472</v>
      </c>
      <c r="AH177" s="8">
        <v>0</v>
      </c>
      <c r="AI177" s="7" t="s">
        <v>1736</v>
      </c>
      <c r="AJ177" s="7">
        <f t="shared" ca="1" si="31"/>
        <v>1</v>
      </c>
      <c r="AL177" s="96">
        <f t="shared" si="42"/>
        <v>8.7612695584136945E-6</v>
      </c>
      <c r="AM177" s="97">
        <f t="shared" si="43"/>
        <v>5.2373306089186923E-5</v>
      </c>
    </row>
    <row r="178" spans="1:39" x14ac:dyDescent="0.3">
      <c r="A178" s="7" t="s">
        <v>1952</v>
      </c>
      <c r="B178" s="7" t="s">
        <v>1320</v>
      </c>
      <c r="C178" s="7" t="s">
        <v>1323</v>
      </c>
      <c r="D178" s="7" t="s">
        <v>1792</v>
      </c>
      <c r="E178" s="7" t="s">
        <v>1322</v>
      </c>
      <c r="F178" s="36">
        <v>43221</v>
      </c>
      <c r="G178" s="36">
        <v>44681</v>
      </c>
      <c r="H178" s="36">
        <v>44681</v>
      </c>
      <c r="I178" s="36">
        <v>44681</v>
      </c>
      <c r="J178" s="7" t="s">
        <v>1696</v>
      </c>
      <c r="K178" s="8">
        <v>0</v>
      </c>
      <c r="L178" s="8">
        <v>0</v>
      </c>
      <c r="M178" s="8">
        <v>4444.4160000000002</v>
      </c>
      <c r="N178" s="8">
        <v>0</v>
      </c>
      <c r="O178" s="8">
        <v>0</v>
      </c>
      <c r="P178" s="8">
        <v>0</v>
      </c>
      <c r="Q178" s="8">
        <v>0</v>
      </c>
      <c r="R178" s="8">
        <f t="shared" si="30"/>
        <v>4444.4160000000002</v>
      </c>
      <c r="S178" s="8">
        <v>0</v>
      </c>
      <c r="T178" s="8">
        <v>0</v>
      </c>
      <c r="U178" s="8">
        <v>4444.4160000000002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7">
        <v>0.32876699999999998</v>
      </c>
      <c r="AB178" s="8">
        <v>1477.695708</v>
      </c>
      <c r="AC178" s="7">
        <v>2.0449999999999999</v>
      </c>
      <c r="AD178" s="7" t="s">
        <v>1226</v>
      </c>
      <c r="AE178" s="8">
        <v>1481.472</v>
      </c>
      <c r="AF178" s="8">
        <v>0</v>
      </c>
      <c r="AG178" s="8">
        <v>1481.472</v>
      </c>
      <c r="AH178" s="8">
        <v>0</v>
      </c>
      <c r="AI178" s="7" t="s">
        <v>1736</v>
      </c>
      <c r="AJ178" s="7">
        <f t="shared" ca="1" si="31"/>
        <v>1</v>
      </c>
      <c r="AL178" s="96">
        <f t="shared" si="42"/>
        <v>8.7612695584136945E-6</v>
      </c>
      <c r="AM178" s="97">
        <f t="shared" si="43"/>
        <v>5.2373306089186923E-5</v>
      </c>
    </row>
    <row r="179" spans="1:39" x14ac:dyDescent="0.3">
      <c r="A179" s="7" t="s">
        <v>1953</v>
      </c>
      <c r="B179" s="7" t="s">
        <v>1320</v>
      </c>
      <c r="C179" s="7" t="s">
        <v>1323</v>
      </c>
      <c r="D179" s="7" t="s">
        <v>1792</v>
      </c>
      <c r="E179" s="7" t="s">
        <v>1322</v>
      </c>
      <c r="F179" s="36">
        <v>43221</v>
      </c>
      <c r="G179" s="36">
        <v>44681</v>
      </c>
      <c r="H179" s="36">
        <v>44681</v>
      </c>
      <c r="I179" s="36">
        <v>44681</v>
      </c>
      <c r="J179" s="7" t="s">
        <v>1696</v>
      </c>
      <c r="K179" s="8">
        <v>0</v>
      </c>
      <c r="L179" s="8">
        <v>0</v>
      </c>
      <c r="M179" s="8">
        <v>4444.4160000000002</v>
      </c>
      <c r="N179" s="8">
        <v>0</v>
      </c>
      <c r="O179" s="8">
        <v>0</v>
      </c>
      <c r="P179" s="8">
        <v>0</v>
      </c>
      <c r="Q179" s="8">
        <v>0</v>
      </c>
      <c r="R179" s="8">
        <f t="shared" si="30"/>
        <v>4444.4160000000002</v>
      </c>
      <c r="S179" s="8">
        <v>0</v>
      </c>
      <c r="T179" s="8">
        <v>0</v>
      </c>
      <c r="U179" s="8">
        <v>4444.4160000000002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7">
        <v>0.32876699999999998</v>
      </c>
      <c r="AB179" s="8">
        <v>1477.695708</v>
      </c>
      <c r="AC179" s="7">
        <v>2.0449999999999999</v>
      </c>
      <c r="AD179" s="7" t="s">
        <v>1226</v>
      </c>
      <c r="AE179" s="8">
        <v>1481.472</v>
      </c>
      <c r="AF179" s="8">
        <v>0</v>
      </c>
      <c r="AG179" s="8">
        <v>1481.472</v>
      </c>
      <c r="AH179" s="8">
        <v>0</v>
      </c>
      <c r="AI179" s="7" t="s">
        <v>1736</v>
      </c>
      <c r="AJ179" s="7">
        <f t="shared" ca="1" si="31"/>
        <v>1</v>
      </c>
      <c r="AL179" s="96">
        <f t="shared" si="42"/>
        <v>8.7612695584136945E-6</v>
      </c>
      <c r="AM179" s="97">
        <f t="shared" si="43"/>
        <v>5.2373306089186923E-5</v>
      </c>
    </row>
    <row r="180" spans="1:39" x14ac:dyDescent="0.3">
      <c r="A180" s="7" t="s">
        <v>1954</v>
      </c>
      <c r="B180" s="7" t="s">
        <v>1320</v>
      </c>
      <c r="C180" s="7" t="s">
        <v>1323</v>
      </c>
      <c r="D180" s="7" t="s">
        <v>1792</v>
      </c>
      <c r="E180" s="7" t="s">
        <v>1322</v>
      </c>
      <c r="F180" s="36">
        <v>43221</v>
      </c>
      <c r="G180" s="36">
        <v>44681</v>
      </c>
      <c r="H180" s="36">
        <v>44681</v>
      </c>
      <c r="I180" s="36">
        <v>44681</v>
      </c>
      <c r="J180" s="7" t="s">
        <v>1696</v>
      </c>
      <c r="K180" s="8">
        <v>0</v>
      </c>
      <c r="L180" s="8">
        <v>0</v>
      </c>
      <c r="M180" s="8">
        <v>4444.4160000000002</v>
      </c>
      <c r="N180" s="8">
        <v>0</v>
      </c>
      <c r="O180" s="8">
        <v>0</v>
      </c>
      <c r="P180" s="8">
        <v>0</v>
      </c>
      <c r="Q180" s="8">
        <v>0</v>
      </c>
      <c r="R180" s="8">
        <f t="shared" si="30"/>
        <v>4444.4160000000002</v>
      </c>
      <c r="S180" s="8">
        <v>0</v>
      </c>
      <c r="T180" s="8">
        <v>0</v>
      </c>
      <c r="U180" s="8">
        <v>4444.4160000000002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7">
        <v>0.32876699999999998</v>
      </c>
      <c r="AB180" s="8">
        <v>1477.695708</v>
      </c>
      <c r="AC180" s="7">
        <v>2.0449999999999999</v>
      </c>
      <c r="AD180" s="7" t="s">
        <v>1226</v>
      </c>
      <c r="AE180" s="8">
        <v>1481.472</v>
      </c>
      <c r="AF180" s="8">
        <v>0</v>
      </c>
      <c r="AG180" s="8">
        <v>1481.472</v>
      </c>
      <c r="AH180" s="8">
        <v>0</v>
      </c>
      <c r="AI180" s="7" t="s">
        <v>1736</v>
      </c>
      <c r="AJ180" s="7">
        <f t="shared" ca="1" si="31"/>
        <v>1</v>
      </c>
      <c r="AL180" s="96">
        <f t="shared" si="42"/>
        <v>8.7612695584136945E-6</v>
      </c>
      <c r="AM180" s="97">
        <f t="shared" si="43"/>
        <v>5.2373306089186923E-5</v>
      </c>
    </row>
    <row r="181" spans="1:39" x14ac:dyDescent="0.3">
      <c r="A181" s="7" t="s">
        <v>1956</v>
      </c>
      <c r="B181" s="7" t="s">
        <v>1320</v>
      </c>
      <c r="C181" s="7" t="s">
        <v>1323</v>
      </c>
      <c r="D181" s="7" t="s">
        <v>1792</v>
      </c>
      <c r="E181" s="7" t="s">
        <v>1322</v>
      </c>
      <c r="F181" s="36">
        <v>43221</v>
      </c>
      <c r="G181" s="36">
        <v>44681</v>
      </c>
      <c r="H181" s="36">
        <v>44681</v>
      </c>
      <c r="I181" s="36">
        <v>44681</v>
      </c>
      <c r="J181" s="7" t="s">
        <v>1696</v>
      </c>
      <c r="K181" s="8">
        <v>0</v>
      </c>
      <c r="L181" s="8">
        <v>0</v>
      </c>
      <c r="M181" s="8">
        <v>4444.4160000000002</v>
      </c>
      <c r="N181" s="8">
        <v>0</v>
      </c>
      <c r="O181" s="8">
        <v>0</v>
      </c>
      <c r="P181" s="8">
        <v>0</v>
      </c>
      <c r="Q181" s="8">
        <v>0</v>
      </c>
      <c r="R181" s="8">
        <f t="shared" si="30"/>
        <v>4444.4160000000002</v>
      </c>
      <c r="S181" s="8">
        <v>0</v>
      </c>
      <c r="T181" s="8">
        <v>0</v>
      </c>
      <c r="U181" s="8">
        <v>4444.4160000000002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7">
        <v>0.32876699999999998</v>
      </c>
      <c r="AB181" s="8">
        <v>1477.695708</v>
      </c>
      <c r="AC181" s="7">
        <v>2.0449999999999999</v>
      </c>
      <c r="AD181" s="7" t="s">
        <v>1226</v>
      </c>
      <c r="AE181" s="8">
        <v>1481.472</v>
      </c>
      <c r="AF181" s="8">
        <v>0</v>
      </c>
      <c r="AG181" s="8">
        <v>1481.472</v>
      </c>
      <c r="AH181" s="8">
        <v>0</v>
      </c>
      <c r="AI181" s="7" t="s">
        <v>1736</v>
      </c>
      <c r="AJ181" s="7">
        <f t="shared" ca="1" si="31"/>
        <v>1</v>
      </c>
      <c r="AL181" s="96">
        <f t="shared" si="42"/>
        <v>8.7612695584136945E-6</v>
      </c>
      <c r="AM181" s="97">
        <f t="shared" si="43"/>
        <v>5.2373306089186923E-5</v>
      </c>
    </row>
    <row r="182" spans="1:39" x14ac:dyDescent="0.3">
      <c r="A182" s="7" t="s">
        <v>1957</v>
      </c>
      <c r="B182" s="7" t="s">
        <v>1320</v>
      </c>
      <c r="C182" s="7" t="s">
        <v>1323</v>
      </c>
      <c r="D182" s="7" t="s">
        <v>1792</v>
      </c>
      <c r="E182" s="7" t="s">
        <v>1322</v>
      </c>
      <c r="F182" s="36">
        <v>43221</v>
      </c>
      <c r="G182" s="36">
        <v>44681</v>
      </c>
      <c r="H182" s="36">
        <v>44681</v>
      </c>
      <c r="I182" s="36">
        <v>44681</v>
      </c>
      <c r="J182" s="7" t="s">
        <v>1696</v>
      </c>
      <c r="K182" s="8">
        <v>0</v>
      </c>
      <c r="L182" s="8">
        <v>0</v>
      </c>
      <c r="M182" s="8">
        <v>4444.4160000000002</v>
      </c>
      <c r="N182" s="8">
        <v>0</v>
      </c>
      <c r="O182" s="8">
        <v>0</v>
      </c>
      <c r="P182" s="8">
        <v>0</v>
      </c>
      <c r="Q182" s="8">
        <v>0</v>
      </c>
      <c r="R182" s="8">
        <f t="shared" si="30"/>
        <v>4444.4160000000002</v>
      </c>
      <c r="S182" s="8">
        <v>0</v>
      </c>
      <c r="T182" s="8">
        <v>0</v>
      </c>
      <c r="U182" s="8">
        <v>4444.4160000000002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7">
        <v>0.32876699999999998</v>
      </c>
      <c r="AB182" s="8">
        <v>1477.695708</v>
      </c>
      <c r="AC182" s="7">
        <v>2.0449999999999999</v>
      </c>
      <c r="AD182" s="7" t="s">
        <v>1226</v>
      </c>
      <c r="AE182" s="8">
        <v>1481.472</v>
      </c>
      <c r="AF182" s="8">
        <v>0</v>
      </c>
      <c r="AG182" s="8">
        <v>1481.472</v>
      </c>
      <c r="AH182" s="8">
        <v>0</v>
      </c>
      <c r="AI182" s="7" t="s">
        <v>1736</v>
      </c>
      <c r="AJ182" s="7">
        <f t="shared" ca="1" si="31"/>
        <v>1</v>
      </c>
      <c r="AL182" s="96">
        <f t="shared" si="42"/>
        <v>8.7612695584136945E-6</v>
      </c>
      <c r="AM182" s="97">
        <f t="shared" si="43"/>
        <v>5.2373306089186923E-5</v>
      </c>
    </row>
    <row r="183" spans="1:39" x14ac:dyDescent="0.3">
      <c r="A183" s="7" t="s">
        <v>1958</v>
      </c>
      <c r="B183" s="7" t="s">
        <v>1320</v>
      </c>
      <c r="C183" s="7" t="s">
        <v>1323</v>
      </c>
      <c r="D183" s="7" t="s">
        <v>1792</v>
      </c>
      <c r="E183" s="7" t="s">
        <v>1322</v>
      </c>
      <c r="F183" s="36">
        <v>43221</v>
      </c>
      <c r="G183" s="36">
        <v>44681</v>
      </c>
      <c r="H183" s="36">
        <v>44681</v>
      </c>
      <c r="I183" s="36">
        <v>44681</v>
      </c>
      <c r="J183" s="7" t="s">
        <v>1696</v>
      </c>
      <c r="K183" s="8">
        <v>0</v>
      </c>
      <c r="L183" s="8">
        <v>0</v>
      </c>
      <c r="M183" s="8">
        <v>4444.4160000000002</v>
      </c>
      <c r="N183" s="8">
        <v>0</v>
      </c>
      <c r="O183" s="8">
        <v>0</v>
      </c>
      <c r="P183" s="8">
        <v>0</v>
      </c>
      <c r="Q183" s="8">
        <v>0</v>
      </c>
      <c r="R183" s="8">
        <f t="shared" si="30"/>
        <v>4444.4160000000002</v>
      </c>
      <c r="S183" s="8">
        <v>0</v>
      </c>
      <c r="T183" s="8">
        <v>0</v>
      </c>
      <c r="U183" s="8">
        <v>4444.4160000000002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7">
        <v>0.32876699999999998</v>
      </c>
      <c r="AB183" s="8">
        <v>1477.695708</v>
      </c>
      <c r="AC183" s="7">
        <v>2.0449999999999999</v>
      </c>
      <c r="AD183" s="7" t="s">
        <v>1226</v>
      </c>
      <c r="AE183" s="8">
        <v>1481.472</v>
      </c>
      <c r="AF183" s="8">
        <v>0</v>
      </c>
      <c r="AG183" s="8">
        <v>1481.472</v>
      </c>
      <c r="AH183" s="8">
        <v>0</v>
      </c>
      <c r="AI183" s="7" t="s">
        <v>1736</v>
      </c>
      <c r="AJ183" s="7">
        <f t="shared" ca="1" si="31"/>
        <v>1</v>
      </c>
      <c r="AL183" s="96">
        <f t="shared" si="42"/>
        <v>8.7612695584136945E-6</v>
      </c>
      <c r="AM183" s="97">
        <f t="shared" si="43"/>
        <v>5.2373306089186923E-5</v>
      </c>
    </row>
    <row r="184" spans="1:39" x14ac:dyDescent="0.3">
      <c r="A184" s="7" t="s">
        <v>1959</v>
      </c>
      <c r="B184" s="7" t="s">
        <v>1320</v>
      </c>
      <c r="C184" s="7" t="s">
        <v>1323</v>
      </c>
      <c r="D184" s="7" t="s">
        <v>1792</v>
      </c>
      <c r="E184" s="7" t="s">
        <v>1322</v>
      </c>
      <c r="F184" s="36">
        <v>43221</v>
      </c>
      <c r="G184" s="36">
        <v>44681</v>
      </c>
      <c r="H184" s="36">
        <v>44681</v>
      </c>
      <c r="I184" s="36">
        <v>44681</v>
      </c>
      <c r="J184" s="7" t="s">
        <v>1696</v>
      </c>
      <c r="K184" s="8">
        <v>0</v>
      </c>
      <c r="L184" s="8">
        <v>0</v>
      </c>
      <c r="M184" s="8">
        <v>4444.4160000000002</v>
      </c>
      <c r="N184" s="8">
        <v>0</v>
      </c>
      <c r="O184" s="8">
        <v>0</v>
      </c>
      <c r="P184" s="8">
        <v>0</v>
      </c>
      <c r="Q184" s="8">
        <v>0</v>
      </c>
      <c r="R184" s="8">
        <f t="shared" si="30"/>
        <v>4444.4160000000002</v>
      </c>
      <c r="S184" s="8">
        <v>0</v>
      </c>
      <c r="T184" s="8">
        <v>0</v>
      </c>
      <c r="U184" s="8">
        <v>4444.4160000000002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7">
        <v>0.32876699999999998</v>
      </c>
      <c r="AB184" s="8">
        <v>1477.695708</v>
      </c>
      <c r="AC184" s="7">
        <v>2.0449999999999999</v>
      </c>
      <c r="AD184" s="7" t="s">
        <v>1226</v>
      </c>
      <c r="AE184" s="8">
        <v>1481.472</v>
      </c>
      <c r="AF184" s="8">
        <v>0</v>
      </c>
      <c r="AG184" s="8">
        <v>1481.472</v>
      </c>
      <c r="AH184" s="8">
        <v>0</v>
      </c>
      <c r="AI184" s="7" t="s">
        <v>1736</v>
      </c>
      <c r="AJ184" s="7">
        <f t="shared" ca="1" si="31"/>
        <v>1</v>
      </c>
      <c r="AL184" s="96">
        <f t="shared" si="42"/>
        <v>8.7612695584136945E-6</v>
      </c>
      <c r="AM184" s="97">
        <f t="shared" si="43"/>
        <v>5.2373306089186923E-5</v>
      </c>
    </row>
    <row r="185" spans="1:39" x14ac:dyDescent="0.3">
      <c r="A185" s="7" t="s">
        <v>1961</v>
      </c>
      <c r="B185" s="7" t="s">
        <v>1320</v>
      </c>
      <c r="C185" s="7" t="s">
        <v>1323</v>
      </c>
      <c r="D185" s="7" t="s">
        <v>1792</v>
      </c>
      <c r="E185" s="7" t="s">
        <v>1322</v>
      </c>
      <c r="F185" s="36">
        <v>43221</v>
      </c>
      <c r="G185" s="36">
        <v>44681</v>
      </c>
      <c r="H185" s="36">
        <v>44681</v>
      </c>
      <c r="I185" s="36">
        <v>44681</v>
      </c>
      <c r="J185" s="7" t="s">
        <v>1696</v>
      </c>
      <c r="K185" s="8">
        <v>0</v>
      </c>
      <c r="L185" s="8">
        <v>0</v>
      </c>
      <c r="M185" s="8">
        <v>4444.4160000000002</v>
      </c>
      <c r="N185" s="8">
        <v>0</v>
      </c>
      <c r="O185" s="8">
        <v>0</v>
      </c>
      <c r="P185" s="8">
        <v>0</v>
      </c>
      <c r="Q185" s="8">
        <v>0</v>
      </c>
      <c r="R185" s="8">
        <f t="shared" si="30"/>
        <v>4444.4160000000002</v>
      </c>
      <c r="S185" s="8">
        <v>0</v>
      </c>
      <c r="T185" s="8">
        <v>0</v>
      </c>
      <c r="U185" s="8">
        <v>4444.4160000000002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7">
        <v>0.32876699999999998</v>
      </c>
      <c r="AB185" s="8">
        <v>1477.695708</v>
      </c>
      <c r="AC185" s="7">
        <v>2.0449999999999999</v>
      </c>
      <c r="AD185" s="7" t="s">
        <v>1226</v>
      </c>
      <c r="AE185" s="8">
        <v>1481.472</v>
      </c>
      <c r="AF185" s="8">
        <v>0</v>
      </c>
      <c r="AG185" s="8">
        <v>1481.472</v>
      </c>
      <c r="AH185" s="8">
        <v>0</v>
      </c>
      <c r="AI185" s="7" t="s">
        <v>1736</v>
      </c>
      <c r="AJ185" s="7">
        <f t="shared" ca="1" si="31"/>
        <v>1</v>
      </c>
      <c r="AL185" s="96">
        <f t="shared" si="42"/>
        <v>8.7612695584136945E-6</v>
      </c>
      <c r="AM185" s="97">
        <f t="shared" si="43"/>
        <v>5.2373306089186923E-5</v>
      </c>
    </row>
    <row r="186" spans="1:39" x14ac:dyDescent="0.3">
      <c r="A186" s="7" t="s">
        <v>1962</v>
      </c>
      <c r="B186" s="7" t="s">
        <v>1320</v>
      </c>
      <c r="C186" s="7" t="s">
        <v>1323</v>
      </c>
      <c r="D186" s="7" t="s">
        <v>1792</v>
      </c>
      <c r="E186" s="7" t="s">
        <v>1322</v>
      </c>
      <c r="F186" s="36">
        <v>43221</v>
      </c>
      <c r="G186" s="36">
        <v>44681</v>
      </c>
      <c r="H186" s="36">
        <v>44681</v>
      </c>
      <c r="I186" s="36">
        <v>44681</v>
      </c>
      <c r="J186" s="7" t="s">
        <v>1696</v>
      </c>
      <c r="K186" s="8">
        <v>0</v>
      </c>
      <c r="L186" s="8">
        <v>0</v>
      </c>
      <c r="M186" s="8">
        <v>4444.4160000000002</v>
      </c>
      <c r="N186" s="8">
        <v>0</v>
      </c>
      <c r="O186" s="8">
        <v>0</v>
      </c>
      <c r="P186" s="8">
        <v>0</v>
      </c>
      <c r="Q186" s="8">
        <v>0</v>
      </c>
      <c r="R186" s="8">
        <f t="shared" si="30"/>
        <v>4444.4160000000002</v>
      </c>
      <c r="S186" s="8">
        <v>0</v>
      </c>
      <c r="T186" s="8">
        <v>0</v>
      </c>
      <c r="U186" s="8">
        <v>4444.4160000000002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7">
        <v>0.32876699999999998</v>
      </c>
      <c r="AB186" s="8">
        <v>1477.695708</v>
      </c>
      <c r="AC186" s="7">
        <v>2.0449999999999999</v>
      </c>
      <c r="AD186" s="7" t="s">
        <v>1226</v>
      </c>
      <c r="AE186" s="8">
        <v>1481.472</v>
      </c>
      <c r="AF186" s="8">
        <v>0</v>
      </c>
      <c r="AG186" s="8">
        <v>1481.472</v>
      </c>
      <c r="AH186" s="8">
        <v>0</v>
      </c>
      <c r="AI186" s="7" t="s">
        <v>1736</v>
      </c>
      <c r="AJ186" s="7">
        <f t="shared" ca="1" si="31"/>
        <v>1</v>
      </c>
      <c r="AL186" s="96">
        <f t="shared" si="42"/>
        <v>8.7612695584136945E-6</v>
      </c>
      <c r="AM186" s="97">
        <f t="shared" si="43"/>
        <v>5.2373306089186923E-5</v>
      </c>
    </row>
    <row r="187" spans="1:39" x14ac:dyDescent="0.3">
      <c r="A187" s="7" t="s">
        <v>1963</v>
      </c>
      <c r="B187" s="7" t="s">
        <v>1320</v>
      </c>
      <c r="C187" s="7" t="s">
        <v>1323</v>
      </c>
      <c r="D187" s="7" t="s">
        <v>1792</v>
      </c>
      <c r="E187" s="7" t="s">
        <v>1322</v>
      </c>
      <c r="F187" s="36">
        <v>43221</v>
      </c>
      <c r="G187" s="36">
        <v>44681</v>
      </c>
      <c r="H187" s="36">
        <v>44681</v>
      </c>
      <c r="I187" s="36">
        <v>44681</v>
      </c>
      <c r="J187" s="7" t="s">
        <v>1696</v>
      </c>
      <c r="K187" s="8">
        <v>0</v>
      </c>
      <c r="L187" s="8">
        <v>0</v>
      </c>
      <c r="M187" s="8">
        <v>4444.4160000000002</v>
      </c>
      <c r="N187" s="8">
        <v>0</v>
      </c>
      <c r="O187" s="8">
        <v>0</v>
      </c>
      <c r="P187" s="8">
        <v>0</v>
      </c>
      <c r="Q187" s="8">
        <v>0</v>
      </c>
      <c r="R187" s="8">
        <f t="shared" si="30"/>
        <v>4444.4160000000002</v>
      </c>
      <c r="S187" s="8">
        <v>0</v>
      </c>
      <c r="T187" s="8">
        <v>0</v>
      </c>
      <c r="U187" s="8">
        <v>4444.4160000000002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7">
        <v>0.32876699999999998</v>
      </c>
      <c r="AB187" s="8">
        <v>1477.695708</v>
      </c>
      <c r="AC187" s="7">
        <v>2.0449999999999999</v>
      </c>
      <c r="AD187" s="7" t="s">
        <v>1226</v>
      </c>
      <c r="AE187" s="8">
        <v>1481.472</v>
      </c>
      <c r="AF187" s="8">
        <v>0</v>
      </c>
      <c r="AG187" s="8">
        <v>1481.472</v>
      </c>
      <c r="AH187" s="8">
        <v>0</v>
      </c>
      <c r="AI187" s="7" t="s">
        <v>1736</v>
      </c>
      <c r="AJ187" s="7">
        <f t="shared" ca="1" si="31"/>
        <v>1</v>
      </c>
      <c r="AL187" s="96">
        <f t="shared" si="42"/>
        <v>8.7612695584136945E-6</v>
      </c>
      <c r="AM187" s="97">
        <f t="shared" si="43"/>
        <v>5.2373306089186923E-5</v>
      </c>
    </row>
    <row r="188" spans="1:39" x14ac:dyDescent="0.3">
      <c r="A188" s="7" t="s">
        <v>1964</v>
      </c>
      <c r="B188" s="7" t="s">
        <v>1320</v>
      </c>
      <c r="C188" s="7" t="s">
        <v>1323</v>
      </c>
      <c r="D188" s="7" t="s">
        <v>1792</v>
      </c>
      <c r="E188" s="7" t="s">
        <v>1322</v>
      </c>
      <c r="F188" s="36">
        <v>43221</v>
      </c>
      <c r="G188" s="36">
        <v>44681</v>
      </c>
      <c r="H188" s="36">
        <v>44681</v>
      </c>
      <c r="I188" s="36">
        <v>44681</v>
      </c>
      <c r="J188" s="7" t="s">
        <v>1696</v>
      </c>
      <c r="K188" s="8">
        <v>0</v>
      </c>
      <c r="L188" s="8">
        <v>0</v>
      </c>
      <c r="M188" s="8">
        <v>4444.4160000000002</v>
      </c>
      <c r="N188" s="8">
        <v>0</v>
      </c>
      <c r="O188" s="8">
        <v>0</v>
      </c>
      <c r="P188" s="8">
        <v>0</v>
      </c>
      <c r="Q188" s="8">
        <v>0</v>
      </c>
      <c r="R188" s="8">
        <f t="shared" si="30"/>
        <v>4444.4160000000002</v>
      </c>
      <c r="S188" s="8">
        <v>0</v>
      </c>
      <c r="T188" s="8">
        <v>0</v>
      </c>
      <c r="U188" s="8">
        <v>4444.4160000000002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7">
        <v>0.32876699999999998</v>
      </c>
      <c r="AB188" s="8">
        <v>1477.695708</v>
      </c>
      <c r="AC188" s="7">
        <v>2.0449999999999999</v>
      </c>
      <c r="AD188" s="7" t="s">
        <v>1226</v>
      </c>
      <c r="AE188" s="8">
        <v>1481.472</v>
      </c>
      <c r="AF188" s="8">
        <v>0</v>
      </c>
      <c r="AG188" s="8">
        <v>1481.472</v>
      </c>
      <c r="AH188" s="8">
        <v>0</v>
      </c>
      <c r="AI188" s="7" t="s">
        <v>1736</v>
      </c>
      <c r="AJ188" s="7">
        <f t="shared" ca="1" si="31"/>
        <v>1</v>
      </c>
      <c r="AL188" s="96">
        <f t="shared" si="42"/>
        <v>8.7612695584136945E-6</v>
      </c>
      <c r="AM188" s="97">
        <f t="shared" si="43"/>
        <v>5.2373306089186923E-5</v>
      </c>
    </row>
    <row r="189" spans="1:39" x14ac:dyDescent="0.3">
      <c r="A189" s="7" t="s">
        <v>1965</v>
      </c>
      <c r="B189" s="7" t="s">
        <v>1320</v>
      </c>
      <c r="C189" s="7" t="s">
        <v>1323</v>
      </c>
      <c r="D189" s="7" t="s">
        <v>1792</v>
      </c>
      <c r="E189" s="7" t="s">
        <v>1322</v>
      </c>
      <c r="F189" s="36">
        <v>43221</v>
      </c>
      <c r="G189" s="36">
        <v>44681</v>
      </c>
      <c r="H189" s="36">
        <v>44681</v>
      </c>
      <c r="I189" s="36">
        <v>44681</v>
      </c>
      <c r="J189" s="7" t="s">
        <v>1696</v>
      </c>
      <c r="K189" s="8">
        <v>0</v>
      </c>
      <c r="L189" s="8">
        <v>0</v>
      </c>
      <c r="M189" s="8">
        <v>4444.4160000000002</v>
      </c>
      <c r="N189" s="8">
        <v>0</v>
      </c>
      <c r="O189" s="8">
        <v>0</v>
      </c>
      <c r="P189" s="8">
        <v>0</v>
      </c>
      <c r="Q189" s="8">
        <v>0</v>
      </c>
      <c r="R189" s="8">
        <f t="shared" si="30"/>
        <v>4444.4160000000002</v>
      </c>
      <c r="S189" s="8">
        <v>0</v>
      </c>
      <c r="T189" s="8">
        <v>0</v>
      </c>
      <c r="U189" s="8">
        <v>4444.4160000000002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7">
        <v>0.32876699999999998</v>
      </c>
      <c r="AB189" s="8">
        <v>1477.695708</v>
      </c>
      <c r="AC189" s="7">
        <v>2.0449999999999999</v>
      </c>
      <c r="AD189" s="7" t="s">
        <v>1226</v>
      </c>
      <c r="AE189" s="8">
        <v>1481.472</v>
      </c>
      <c r="AF189" s="8">
        <v>0</v>
      </c>
      <c r="AG189" s="8">
        <v>1481.472</v>
      </c>
      <c r="AH189" s="8">
        <v>0</v>
      </c>
      <c r="AI189" s="7" t="s">
        <v>1736</v>
      </c>
      <c r="AJ189" s="7">
        <f t="shared" ca="1" si="31"/>
        <v>1</v>
      </c>
      <c r="AL189" s="96">
        <f t="shared" si="42"/>
        <v>8.7612695584136945E-6</v>
      </c>
      <c r="AM189" s="97">
        <f t="shared" si="43"/>
        <v>5.2373306089186923E-5</v>
      </c>
    </row>
    <row r="190" spans="1:39" x14ac:dyDescent="0.3">
      <c r="A190" s="7" t="s">
        <v>1966</v>
      </c>
      <c r="B190" s="7" t="s">
        <v>1320</v>
      </c>
      <c r="C190" s="7" t="s">
        <v>1323</v>
      </c>
      <c r="D190" s="7" t="s">
        <v>1792</v>
      </c>
      <c r="E190" s="7" t="s">
        <v>1322</v>
      </c>
      <c r="F190" s="36">
        <v>43221</v>
      </c>
      <c r="G190" s="36">
        <v>44681</v>
      </c>
      <c r="H190" s="36">
        <v>44681</v>
      </c>
      <c r="I190" s="36">
        <v>44681</v>
      </c>
      <c r="J190" s="7" t="s">
        <v>1696</v>
      </c>
      <c r="K190" s="8">
        <v>0</v>
      </c>
      <c r="L190" s="8">
        <v>0</v>
      </c>
      <c r="M190" s="8">
        <v>4444.4160000000002</v>
      </c>
      <c r="N190" s="8">
        <v>0</v>
      </c>
      <c r="O190" s="8">
        <v>0</v>
      </c>
      <c r="P190" s="8">
        <v>0</v>
      </c>
      <c r="Q190" s="8">
        <v>0</v>
      </c>
      <c r="R190" s="8">
        <f t="shared" si="30"/>
        <v>4444.4160000000002</v>
      </c>
      <c r="S190" s="8">
        <v>0</v>
      </c>
      <c r="T190" s="8">
        <v>0</v>
      </c>
      <c r="U190" s="8">
        <v>4444.4160000000002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7">
        <v>0.32876699999999998</v>
      </c>
      <c r="AB190" s="8">
        <v>1477.695708</v>
      </c>
      <c r="AC190" s="7">
        <v>2.0449999999999999</v>
      </c>
      <c r="AD190" s="7" t="s">
        <v>1226</v>
      </c>
      <c r="AE190" s="8">
        <v>1481.472</v>
      </c>
      <c r="AF190" s="8">
        <v>0</v>
      </c>
      <c r="AG190" s="8">
        <v>1481.472</v>
      </c>
      <c r="AH190" s="8">
        <v>0</v>
      </c>
      <c r="AI190" s="7" t="s">
        <v>1736</v>
      </c>
      <c r="AJ190" s="7">
        <f t="shared" ca="1" si="31"/>
        <v>1</v>
      </c>
      <c r="AL190" s="96">
        <f t="shared" si="42"/>
        <v>8.7612695584136945E-6</v>
      </c>
      <c r="AM190" s="97">
        <f t="shared" si="43"/>
        <v>5.2373306089186923E-5</v>
      </c>
    </row>
    <row r="191" spans="1:39" x14ac:dyDescent="0.3">
      <c r="A191" s="7" t="s">
        <v>1967</v>
      </c>
      <c r="B191" s="7" t="s">
        <v>1320</v>
      </c>
      <c r="C191" s="7" t="s">
        <v>1323</v>
      </c>
      <c r="D191" s="7" t="s">
        <v>1792</v>
      </c>
      <c r="E191" s="7" t="s">
        <v>1322</v>
      </c>
      <c r="F191" s="36">
        <v>43221</v>
      </c>
      <c r="G191" s="36">
        <v>44681</v>
      </c>
      <c r="H191" s="36">
        <v>44681</v>
      </c>
      <c r="I191" s="36">
        <v>44681</v>
      </c>
      <c r="J191" s="7" t="s">
        <v>1696</v>
      </c>
      <c r="K191" s="8">
        <v>0</v>
      </c>
      <c r="L191" s="8">
        <v>0</v>
      </c>
      <c r="M191" s="8">
        <v>4444.4160000000002</v>
      </c>
      <c r="N191" s="8">
        <v>0</v>
      </c>
      <c r="O191" s="8">
        <v>0</v>
      </c>
      <c r="P191" s="8">
        <v>0</v>
      </c>
      <c r="Q191" s="8">
        <v>0</v>
      </c>
      <c r="R191" s="8">
        <f t="shared" si="30"/>
        <v>4444.4160000000002</v>
      </c>
      <c r="S191" s="8">
        <v>0</v>
      </c>
      <c r="T191" s="8">
        <v>0</v>
      </c>
      <c r="U191" s="8">
        <v>4444.4160000000002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7">
        <v>0.32876699999999998</v>
      </c>
      <c r="AB191" s="8">
        <v>1477.695708</v>
      </c>
      <c r="AC191" s="7">
        <v>2.0449999999999999</v>
      </c>
      <c r="AD191" s="7" t="s">
        <v>1226</v>
      </c>
      <c r="AE191" s="8">
        <v>1481.472</v>
      </c>
      <c r="AF191" s="8">
        <v>0</v>
      </c>
      <c r="AG191" s="8">
        <v>1481.472</v>
      </c>
      <c r="AH191" s="8">
        <v>0</v>
      </c>
      <c r="AI191" s="7" t="s">
        <v>1736</v>
      </c>
      <c r="AJ191" s="7">
        <f t="shared" ca="1" si="31"/>
        <v>1</v>
      </c>
      <c r="AL191" s="96">
        <f t="shared" si="42"/>
        <v>8.7612695584136945E-6</v>
      </c>
      <c r="AM191" s="97">
        <f t="shared" si="43"/>
        <v>5.2373306089186923E-5</v>
      </c>
    </row>
    <row r="192" spans="1:39" x14ac:dyDescent="0.3">
      <c r="A192" s="7" t="s">
        <v>1968</v>
      </c>
      <c r="B192" s="7" t="s">
        <v>1320</v>
      </c>
      <c r="C192" s="7" t="s">
        <v>1323</v>
      </c>
      <c r="D192" s="7" t="s">
        <v>1792</v>
      </c>
      <c r="E192" s="7" t="s">
        <v>1322</v>
      </c>
      <c r="F192" s="36">
        <v>43221</v>
      </c>
      <c r="G192" s="36">
        <v>44681</v>
      </c>
      <c r="H192" s="36">
        <v>44681</v>
      </c>
      <c r="I192" s="36">
        <v>44681</v>
      </c>
      <c r="J192" s="7" t="s">
        <v>1696</v>
      </c>
      <c r="K192" s="8">
        <v>0</v>
      </c>
      <c r="L192" s="8">
        <v>0</v>
      </c>
      <c r="M192" s="8">
        <v>4444.4160000000002</v>
      </c>
      <c r="N192" s="8">
        <v>0</v>
      </c>
      <c r="O192" s="8">
        <v>0</v>
      </c>
      <c r="P192" s="8">
        <v>0</v>
      </c>
      <c r="Q192" s="8">
        <v>0</v>
      </c>
      <c r="R192" s="8">
        <f t="shared" si="30"/>
        <v>4444.4160000000002</v>
      </c>
      <c r="S192" s="8">
        <v>0</v>
      </c>
      <c r="T192" s="8">
        <v>0</v>
      </c>
      <c r="U192" s="8">
        <v>4444.4160000000002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7">
        <v>0.32876699999999998</v>
      </c>
      <c r="AB192" s="8">
        <v>1477.695708</v>
      </c>
      <c r="AC192" s="7">
        <v>2.0449999999999999</v>
      </c>
      <c r="AD192" s="7" t="s">
        <v>1226</v>
      </c>
      <c r="AE192" s="8">
        <v>1481.472</v>
      </c>
      <c r="AF192" s="8">
        <v>0</v>
      </c>
      <c r="AG192" s="8">
        <v>1481.472</v>
      </c>
      <c r="AH192" s="8">
        <v>0</v>
      </c>
      <c r="AI192" s="7" t="s">
        <v>1736</v>
      </c>
      <c r="AJ192" s="7">
        <f t="shared" ca="1" si="31"/>
        <v>1</v>
      </c>
      <c r="AL192" s="96">
        <f t="shared" si="42"/>
        <v>8.7612695584136945E-6</v>
      </c>
      <c r="AM192" s="97">
        <f t="shared" si="43"/>
        <v>5.2373306089186923E-5</v>
      </c>
    </row>
    <row r="193" spans="1:39" x14ac:dyDescent="0.3">
      <c r="A193" s="7" t="s">
        <v>1970</v>
      </c>
      <c r="B193" s="7" t="s">
        <v>1320</v>
      </c>
      <c r="C193" s="7" t="s">
        <v>1323</v>
      </c>
      <c r="D193" s="7" t="s">
        <v>1792</v>
      </c>
      <c r="E193" s="7" t="s">
        <v>1322</v>
      </c>
      <c r="F193" s="36">
        <v>43221</v>
      </c>
      <c r="G193" s="36">
        <v>44681</v>
      </c>
      <c r="H193" s="36">
        <v>44681</v>
      </c>
      <c r="I193" s="36">
        <v>44681</v>
      </c>
      <c r="J193" s="7" t="s">
        <v>1696</v>
      </c>
      <c r="K193" s="8">
        <v>0</v>
      </c>
      <c r="L193" s="8">
        <v>0</v>
      </c>
      <c r="M193" s="8">
        <v>4444.4160000000002</v>
      </c>
      <c r="N193" s="8">
        <v>0</v>
      </c>
      <c r="O193" s="8">
        <v>0</v>
      </c>
      <c r="P193" s="8">
        <v>0</v>
      </c>
      <c r="Q193" s="8">
        <v>0</v>
      </c>
      <c r="R193" s="8">
        <f t="shared" si="30"/>
        <v>4444.4160000000002</v>
      </c>
      <c r="S193" s="8">
        <v>0</v>
      </c>
      <c r="T193" s="8">
        <v>0</v>
      </c>
      <c r="U193" s="8">
        <v>4444.4160000000002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7">
        <v>0.32876699999999998</v>
      </c>
      <c r="AB193" s="8">
        <v>1477.695708</v>
      </c>
      <c r="AC193" s="7">
        <v>2.0449999999999999</v>
      </c>
      <c r="AD193" s="7" t="s">
        <v>1226</v>
      </c>
      <c r="AE193" s="8">
        <v>1481.472</v>
      </c>
      <c r="AF193" s="8">
        <v>0</v>
      </c>
      <c r="AG193" s="8">
        <v>1481.472</v>
      </c>
      <c r="AH193" s="8">
        <v>0</v>
      </c>
      <c r="AI193" s="7" t="s">
        <v>1736</v>
      </c>
      <c r="AJ193" s="7">
        <f t="shared" ca="1" si="31"/>
        <v>1</v>
      </c>
      <c r="AL193" s="96">
        <f t="shared" si="42"/>
        <v>8.7612695584136945E-6</v>
      </c>
      <c r="AM193" s="97">
        <f t="shared" si="43"/>
        <v>5.2373306089186923E-5</v>
      </c>
    </row>
    <row r="194" spans="1:39" x14ac:dyDescent="0.3">
      <c r="A194" s="7" t="s">
        <v>1971</v>
      </c>
      <c r="B194" s="7" t="s">
        <v>1320</v>
      </c>
      <c r="C194" s="7" t="s">
        <v>1323</v>
      </c>
      <c r="D194" s="7" t="s">
        <v>1792</v>
      </c>
      <c r="E194" s="7" t="s">
        <v>1322</v>
      </c>
      <c r="F194" s="36">
        <v>43221</v>
      </c>
      <c r="G194" s="36">
        <v>44681</v>
      </c>
      <c r="H194" s="36">
        <v>44681</v>
      </c>
      <c r="I194" s="36">
        <v>44681</v>
      </c>
      <c r="J194" s="7" t="s">
        <v>1696</v>
      </c>
      <c r="K194" s="8">
        <v>0</v>
      </c>
      <c r="L194" s="8">
        <v>0</v>
      </c>
      <c r="M194" s="8">
        <v>4444.4160000000002</v>
      </c>
      <c r="N194" s="8">
        <v>0</v>
      </c>
      <c r="O194" s="8">
        <v>0</v>
      </c>
      <c r="P194" s="8">
        <v>0</v>
      </c>
      <c r="Q194" s="8">
        <v>0</v>
      </c>
      <c r="R194" s="8">
        <f t="shared" si="30"/>
        <v>4444.4160000000002</v>
      </c>
      <c r="S194" s="8">
        <v>0</v>
      </c>
      <c r="T194" s="8">
        <v>0</v>
      </c>
      <c r="U194" s="8">
        <v>4444.4160000000002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7">
        <v>0.32876699999999998</v>
      </c>
      <c r="AB194" s="8">
        <v>1477.695708</v>
      </c>
      <c r="AC194" s="7">
        <v>2.0449999999999999</v>
      </c>
      <c r="AD194" s="7" t="s">
        <v>1226</v>
      </c>
      <c r="AE194" s="8">
        <v>1481.472</v>
      </c>
      <c r="AF194" s="8">
        <v>0</v>
      </c>
      <c r="AG194" s="8">
        <v>1481.472</v>
      </c>
      <c r="AH194" s="8">
        <v>0</v>
      </c>
      <c r="AI194" s="7" t="s">
        <v>1736</v>
      </c>
      <c r="AJ194" s="7">
        <f t="shared" ca="1" si="31"/>
        <v>1</v>
      </c>
      <c r="AL194" s="96">
        <f t="shared" si="42"/>
        <v>8.7612695584136945E-6</v>
      </c>
      <c r="AM194" s="97">
        <f t="shared" si="43"/>
        <v>5.2373306089186923E-5</v>
      </c>
    </row>
    <row r="195" spans="1:39" x14ac:dyDescent="0.3">
      <c r="A195" s="7" t="s">
        <v>1972</v>
      </c>
      <c r="B195" s="7" t="s">
        <v>1320</v>
      </c>
      <c r="C195" s="7" t="s">
        <v>1323</v>
      </c>
      <c r="D195" s="7" t="s">
        <v>1792</v>
      </c>
      <c r="E195" s="7" t="s">
        <v>1322</v>
      </c>
      <c r="F195" s="36">
        <v>44013</v>
      </c>
      <c r="G195" s="36">
        <v>44681</v>
      </c>
      <c r="H195" s="36">
        <v>44681</v>
      </c>
      <c r="I195" s="36">
        <v>44681</v>
      </c>
      <c r="J195" s="7" t="s">
        <v>1696</v>
      </c>
      <c r="K195" s="8">
        <v>0</v>
      </c>
      <c r="L195" s="8">
        <v>0</v>
      </c>
      <c r="M195" s="8">
        <v>5262.5933999999997</v>
      </c>
      <c r="N195" s="8">
        <v>0</v>
      </c>
      <c r="O195" s="8">
        <v>0</v>
      </c>
      <c r="P195" s="8">
        <v>0</v>
      </c>
      <c r="Q195" s="8">
        <v>0</v>
      </c>
      <c r="R195" s="8">
        <f t="shared" ref="R195:R258" si="44">K195+L195+M195+N195+O195+P195+Q195</f>
        <v>5262.5933999999997</v>
      </c>
      <c r="S195" s="8">
        <v>0</v>
      </c>
      <c r="T195" s="8">
        <v>0</v>
      </c>
      <c r="U195" s="8">
        <v>4444.4160000000002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7">
        <v>0.32876699999999998</v>
      </c>
      <c r="AB195" s="8">
        <v>2969.4096690000001</v>
      </c>
      <c r="AC195" s="7">
        <v>1.7651669999999999</v>
      </c>
      <c r="AD195" s="7" t="s">
        <v>1226</v>
      </c>
      <c r="AE195" s="8">
        <v>1481.472</v>
      </c>
      <c r="AF195" s="8">
        <v>1499.9919</v>
      </c>
      <c r="AG195" s="8">
        <v>2981.4639000000002</v>
      </c>
      <c r="AH195" s="8">
        <v>0</v>
      </c>
      <c r="AI195" s="7" t="s">
        <v>1736</v>
      </c>
      <c r="AJ195" s="7">
        <f t="shared" ref="AJ195:AJ258" ca="1" si="45">IF(A195=OFFSET(A195,-1,0),OFFSET(AJ195,-1,0)+1,1)</f>
        <v>1</v>
      </c>
      <c r="AL195" s="96">
        <f t="shared" si="42"/>
        <v>1.7605653449911075E-5</v>
      </c>
      <c r="AM195" s="97">
        <f t="shared" si="43"/>
        <v>4.5206665813951987E-5</v>
      </c>
    </row>
    <row r="196" spans="1:39" x14ac:dyDescent="0.3">
      <c r="A196" s="7" t="s">
        <v>1973</v>
      </c>
      <c r="B196" s="7" t="s">
        <v>1320</v>
      </c>
      <c r="C196" s="7" t="s">
        <v>1323</v>
      </c>
      <c r="D196" s="7" t="s">
        <v>1792</v>
      </c>
      <c r="E196" s="7" t="s">
        <v>1322</v>
      </c>
      <c r="F196" s="36">
        <v>43221</v>
      </c>
      <c r="G196" s="36">
        <v>44681</v>
      </c>
      <c r="H196" s="36">
        <v>44681</v>
      </c>
      <c r="I196" s="36">
        <v>44681</v>
      </c>
      <c r="J196" s="7" t="s">
        <v>1696</v>
      </c>
      <c r="K196" s="8">
        <v>0</v>
      </c>
      <c r="L196" s="8">
        <v>0</v>
      </c>
      <c r="M196" s="8">
        <v>2962.944</v>
      </c>
      <c r="N196" s="8">
        <v>0</v>
      </c>
      <c r="O196" s="8">
        <v>0</v>
      </c>
      <c r="P196" s="8">
        <v>0</v>
      </c>
      <c r="Q196" s="8">
        <v>0</v>
      </c>
      <c r="R196" s="8">
        <f t="shared" si="44"/>
        <v>2962.944</v>
      </c>
      <c r="S196" s="8">
        <v>0</v>
      </c>
      <c r="T196" s="8">
        <v>0</v>
      </c>
      <c r="U196" s="8">
        <v>2962.944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7">
        <v>0.32876699999999998</v>
      </c>
      <c r="AB196" s="8">
        <v>985.13047200000005</v>
      </c>
      <c r="AC196" s="7">
        <v>2.0449999999999999</v>
      </c>
      <c r="AD196" s="7" t="s">
        <v>1226</v>
      </c>
      <c r="AE196" s="8">
        <v>987.64800000000002</v>
      </c>
      <c r="AF196" s="8">
        <v>0</v>
      </c>
      <c r="AG196" s="8">
        <v>987.64800000000002</v>
      </c>
      <c r="AH196" s="8">
        <v>0</v>
      </c>
      <c r="AI196" s="7" t="s">
        <v>1736</v>
      </c>
      <c r="AJ196" s="7">
        <f t="shared" ca="1" si="45"/>
        <v>1</v>
      </c>
      <c r="AL196" s="96">
        <f t="shared" si="42"/>
        <v>5.8408463722757966E-6</v>
      </c>
      <c r="AM196" s="97">
        <f t="shared" si="43"/>
        <v>3.4915537392791284E-5</v>
      </c>
    </row>
    <row r="197" spans="1:39" x14ac:dyDescent="0.3">
      <c r="A197" s="7" t="s">
        <v>1974</v>
      </c>
      <c r="B197" s="7" t="s">
        <v>1320</v>
      </c>
      <c r="C197" s="7" t="s">
        <v>1323</v>
      </c>
      <c r="D197" s="7" t="s">
        <v>1792</v>
      </c>
      <c r="E197" s="7" t="s">
        <v>1322</v>
      </c>
      <c r="F197" s="36">
        <v>43221</v>
      </c>
      <c r="G197" s="36">
        <v>44681</v>
      </c>
      <c r="H197" s="36">
        <v>44681</v>
      </c>
      <c r="I197" s="36">
        <v>44681</v>
      </c>
      <c r="J197" s="7" t="s">
        <v>1696</v>
      </c>
      <c r="K197" s="8">
        <v>0</v>
      </c>
      <c r="L197" s="8">
        <v>0</v>
      </c>
      <c r="M197" s="8">
        <v>4444.4160000000002</v>
      </c>
      <c r="N197" s="8">
        <v>0</v>
      </c>
      <c r="O197" s="8">
        <v>0</v>
      </c>
      <c r="P197" s="8">
        <v>0</v>
      </c>
      <c r="Q197" s="8">
        <v>0</v>
      </c>
      <c r="R197" s="8">
        <f t="shared" si="44"/>
        <v>4444.4160000000002</v>
      </c>
      <c r="S197" s="8">
        <v>0</v>
      </c>
      <c r="T197" s="8">
        <v>0</v>
      </c>
      <c r="U197" s="8">
        <v>4444.4160000000002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7">
        <v>0.32876699999999998</v>
      </c>
      <c r="AB197" s="8">
        <v>1477.695708</v>
      </c>
      <c r="AC197" s="7">
        <v>2.0449999999999999</v>
      </c>
      <c r="AD197" s="7" t="s">
        <v>1226</v>
      </c>
      <c r="AE197" s="8">
        <v>1481.472</v>
      </c>
      <c r="AF197" s="8">
        <v>0</v>
      </c>
      <c r="AG197" s="8">
        <v>1481.472</v>
      </c>
      <c r="AH197" s="8">
        <v>0</v>
      </c>
      <c r="AI197" s="7" t="s">
        <v>1736</v>
      </c>
      <c r="AJ197" s="7">
        <f t="shared" ca="1" si="45"/>
        <v>1</v>
      </c>
      <c r="AL197" s="96">
        <f t="shared" si="42"/>
        <v>8.7612695584136945E-6</v>
      </c>
      <c r="AM197" s="97">
        <f t="shared" si="43"/>
        <v>5.2373306089186923E-5</v>
      </c>
    </row>
    <row r="198" spans="1:39" x14ac:dyDescent="0.3">
      <c r="A198" s="7" t="s">
        <v>1977</v>
      </c>
      <c r="B198" s="7" t="s">
        <v>1320</v>
      </c>
      <c r="C198" s="7" t="s">
        <v>1323</v>
      </c>
      <c r="D198" s="7" t="s">
        <v>1792</v>
      </c>
      <c r="E198" s="7" t="s">
        <v>1322</v>
      </c>
      <c r="F198" s="36">
        <v>43221</v>
      </c>
      <c r="G198" s="36">
        <v>44681</v>
      </c>
      <c r="H198" s="36">
        <v>44681</v>
      </c>
      <c r="I198" s="36">
        <v>44681</v>
      </c>
      <c r="J198" s="7" t="s">
        <v>1696</v>
      </c>
      <c r="K198" s="8">
        <v>0</v>
      </c>
      <c r="L198" s="8">
        <v>0</v>
      </c>
      <c r="M198" s="8">
        <v>4444.4160000000002</v>
      </c>
      <c r="N198" s="8">
        <v>0</v>
      </c>
      <c r="O198" s="8">
        <v>0</v>
      </c>
      <c r="P198" s="8">
        <v>0</v>
      </c>
      <c r="Q198" s="8">
        <v>0</v>
      </c>
      <c r="R198" s="8">
        <f t="shared" si="44"/>
        <v>4444.4160000000002</v>
      </c>
      <c r="S198" s="8">
        <v>0</v>
      </c>
      <c r="T198" s="8">
        <v>0</v>
      </c>
      <c r="U198" s="8">
        <v>4444.4160000000002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7">
        <v>0.32876699999999998</v>
      </c>
      <c r="AB198" s="8">
        <v>1477.695708</v>
      </c>
      <c r="AC198" s="7">
        <v>2.0449999999999999</v>
      </c>
      <c r="AD198" s="7" t="s">
        <v>1226</v>
      </c>
      <c r="AE198" s="8">
        <v>1481.472</v>
      </c>
      <c r="AF198" s="8">
        <v>0</v>
      </c>
      <c r="AG198" s="8">
        <v>1481.472</v>
      </c>
      <c r="AH198" s="8">
        <v>0</v>
      </c>
      <c r="AI198" s="7" t="s">
        <v>1736</v>
      </c>
      <c r="AJ198" s="7">
        <f t="shared" ca="1" si="45"/>
        <v>1</v>
      </c>
      <c r="AL198" s="96">
        <f t="shared" si="42"/>
        <v>8.7612695584136945E-6</v>
      </c>
      <c r="AM198" s="97">
        <f t="shared" si="43"/>
        <v>5.2373306089186923E-5</v>
      </c>
    </row>
    <row r="199" spans="1:39" x14ac:dyDescent="0.3">
      <c r="A199" s="7" t="s">
        <v>1978</v>
      </c>
      <c r="B199" s="7" t="s">
        <v>1320</v>
      </c>
      <c r="C199" s="7" t="s">
        <v>1323</v>
      </c>
      <c r="D199" s="7" t="s">
        <v>1792</v>
      </c>
      <c r="E199" s="7" t="s">
        <v>1322</v>
      </c>
      <c r="F199" s="36">
        <v>43221</v>
      </c>
      <c r="G199" s="36">
        <v>44681</v>
      </c>
      <c r="H199" s="36">
        <v>44681</v>
      </c>
      <c r="I199" s="36">
        <v>44681</v>
      </c>
      <c r="J199" s="7" t="s">
        <v>1696</v>
      </c>
      <c r="K199" s="8">
        <v>0</v>
      </c>
      <c r="L199" s="8">
        <v>0</v>
      </c>
      <c r="M199" s="8">
        <v>4444.4160000000002</v>
      </c>
      <c r="N199" s="8">
        <v>0</v>
      </c>
      <c r="O199" s="8">
        <v>0</v>
      </c>
      <c r="P199" s="8">
        <v>0</v>
      </c>
      <c r="Q199" s="8">
        <v>0</v>
      </c>
      <c r="R199" s="8">
        <f t="shared" si="44"/>
        <v>4444.4160000000002</v>
      </c>
      <c r="S199" s="8">
        <v>0</v>
      </c>
      <c r="T199" s="8">
        <v>0</v>
      </c>
      <c r="U199" s="8">
        <v>4444.4160000000002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7">
        <v>0.32876699999999998</v>
      </c>
      <c r="AB199" s="8">
        <v>1477.695708</v>
      </c>
      <c r="AC199" s="7">
        <v>2.0449999999999999</v>
      </c>
      <c r="AD199" s="7" t="s">
        <v>1226</v>
      </c>
      <c r="AE199" s="8">
        <v>1481.472</v>
      </c>
      <c r="AF199" s="8">
        <v>0</v>
      </c>
      <c r="AG199" s="8">
        <v>1481.472</v>
      </c>
      <c r="AH199" s="8">
        <v>0</v>
      </c>
      <c r="AI199" s="7" t="s">
        <v>1736</v>
      </c>
      <c r="AJ199" s="7">
        <f t="shared" ca="1" si="45"/>
        <v>1</v>
      </c>
      <c r="AL199" s="96">
        <f t="shared" si="42"/>
        <v>8.7612695584136945E-6</v>
      </c>
      <c r="AM199" s="97">
        <f t="shared" si="43"/>
        <v>5.2373306089186923E-5</v>
      </c>
    </row>
    <row r="200" spans="1:39" x14ac:dyDescent="0.3">
      <c r="A200" s="7" t="s">
        <v>1979</v>
      </c>
      <c r="B200" s="7" t="s">
        <v>1320</v>
      </c>
      <c r="C200" s="7" t="s">
        <v>1323</v>
      </c>
      <c r="D200" s="7" t="s">
        <v>1792</v>
      </c>
      <c r="E200" s="7" t="s">
        <v>1322</v>
      </c>
      <c r="F200" s="36">
        <v>43221</v>
      </c>
      <c r="G200" s="36">
        <v>44681</v>
      </c>
      <c r="H200" s="36">
        <v>44681</v>
      </c>
      <c r="I200" s="36">
        <v>44681</v>
      </c>
      <c r="J200" s="7" t="s">
        <v>1696</v>
      </c>
      <c r="K200" s="8">
        <v>0</v>
      </c>
      <c r="L200" s="8">
        <v>0</v>
      </c>
      <c r="M200" s="8">
        <v>4444.4160000000002</v>
      </c>
      <c r="N200" s="8">
        <v>0</v>
      </c>
      <c r="O200" s="8">
        <v>0</v>
      </c>
      <c r="P200" s="8">
        <v>0</v>
      </c>
      <c r="Q200" s="8">
        <v>0</v>
      </c>
      <c r="R200" s="8">
        <f t="shared" si="44"/>
        <v>4444.4160000000002</v>
      </c>
      <c r="S200" s="8">
        <v>0</v>
      </c>
      <c r="T200" s="8">
        <v>0</v>
      </c>
      <c r="U200" s="8">
        <v>4444.4160000000002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7">
        <v>0.32876699999999998</v>
      </c>
      <c r="AB200" s="8">
        <v>1477.695708</v>
      </c>
      <c r="AC200" s="7">
        <v>2.0449999999999999</v>
      </c>
      <c r="AD200" s="7" t="s">
        <v>1226</v>
      </c>
      <c r="AE200" s="8">
        <v>1481.472</v>
      </c>
      <c r="AF200" s="8">
        <v>0</v>
      </c>
      <c r="AG200" s="8">
        <v>1481.472</v>
      </c>
      <c r="AH200" s="8">
        <v>0</v>
      </c>
      <c r="AI200" s="7" t="s">
        <v>1736</v>
      </c>
      <c r="AJ200" s="7">
        <f t="shared" ca="1" si="45"/>
        <v>1</v>
      </c>
      <c r="AL200" s="96">
        <f t="shared" si="42"/>
        <v>8.7612695584136945E-6</v>
      </c>
      <c r="AM200" s="97">
        <f t="shared" si="43"/>
        <v>5.2373306089186923E-5</v>
      </c>
    </row>
    <row r="201" spans="1:39" x14ac:dyDescent="0.3">
      <c r="A201" s="7" t="s">
        <v>1980</v>
      </c>
      <c r="B201" s="7" t="s">
        <v>1320</v>
      </c>
      <c r="C201" s="7" t="s">
        <v>1323</v>
      </c>
      <c r="D201" s="7" t="s">
        <v>1792</v>
      </c>
      <c r="E201" s="7" t="s">
        <v>1322</v>
      </c>
      <c r="F201" s="36">
        <v>43221</v>
      </c>
      <c r="G201" s="36">
        <v>44681</v>
      </c>
      <c r="H201" s="36">
        <v>44681</v>
      </c>
      <c r="I201" s="36">
        <v>44681</v>
      </c>
      <c r="J201" s="7" t="s">
        <v>1696</v>
      </c>
      <c r="K201" s="8">
        <v>0</v>
      </c>
      <c r="L201" s="8">
        <v>0</v>
      </c>
      <c r="M201" s="8">
        <v>4444.4160000000002</v>
      </c>
      <c r="N201" s="8">
        <v>0</v>
      </c>
      <c r="O201" s="8">
        <v>0</v>
      </c>
      <c r="P201" s="8">
        <v>0</v>
      </c>
      <c r="Q201" s="8">
        <v>0</v>
      </c>
      <c r="R201" s="8">
        <f t="shared" si="44"/>
        <v>4444.4160000000002</v>
      </c>
      <c r="S201" s="8">
        <v>0</v>
      </c>
      <c r="T201" s="8">
        <v>0</v>
      </c>
      <c r="U201" s="8">
        <v>4444.4160000000002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7">
        <v>0.32876699999999998</v>
      </c>
      <c r="AB201" s="8">
        <v>1477.695708</v>
      </c>
      <c r="AC201" s="7">
        <v>2.0449999999999999</v>
      </c>
      <c r="AD201" s="7" t="s">
        <v>1226</v>
      </c>
      <c r="AE201" s="8">
        <v>1481.472</v>
      </c>
      <c r="AF201" s="8">
        <v>0</v>
      </c>
      <c r="AG201" s="8">
        <v>1481.472</v>
      </c>
      <c r="AH201" s="8">
        <v>0</v>
      </c>
      <c r="AI201" s="7" t="s">
        <v>1736</v>
      </c>
      <c r="AJ201" s="7">
        <f t="shared" ca="1" si="45"/>
        <v>1</v>
      </c>
      <c r="AL201" s="96">
        <f t="shared" si="42"/>
        <v>8.7612695584136945E-6</v>
      </c>
      <c r="AM201" s="97">
        <f t="shared" si="43"/>
        <v>5.2373306089186923E-5</v>
      </c>
    </row>
    <row r="202" spans="1:39" x14ac:dyDescent="0.3">
      <c r="A202" s="7" t="s">
        <v>1982</v>
      </c>
      <c r="B202" s="7" t="s">
        <v>1320</v>
      </c>
      <c r="C202" s="7" t="s">
        <v>1323</v>
      </c>
      <c r="D202" s="7" t="s">
        <v>1792</v>
      </c>
      <c r="E202" s="7" t="s">
        <v>1322</v>
      </c>
      <c r="F202" s="36">
        <v>43221</v>
      </c>
      <c r="G202" s="36">
        <v>44681</v>
      </c>
      <c r="H202" s="36">
        <v>44681</v>
      </c>
      <c r="I202" s="36">
        <v>44681</v>
      </c>
      <c r="J202" s="7" t="s">
        <v>1696</v>
      </c>
      <c r="K202" s="8">
        <v>0</v>
      </c>
      <c r="L202" s="8">
        <v>0</v>
      </c>
      <c r="M202" s="8">
        <v>4444.4160000000002</v>
      </c>
      <c r="N202" s="8">
        <v>0</v>
      </c>
      <c r="O202" s="8">
        <v>0</v>
      </c>
      <c r="P202" s="8">
        <v>0</v>
      </c>
      <c r="Q202" s="8">
        <v>0</v>
      </c>
      <c r="R202" s="8">
        <f t="shared" si="44"/>
        <v>4444.4160000000002</v>
      </c>
      <c r="S202" s="8">
        <v>0</v>
      </c>
      <c r="T202" s="8">
        <v>0</v>
      </c>
      <c r="U202" s="8">
        <v>4444.4160000000002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7">
        <v>0.32876699999999998</v>
      </c>
      <c r="AB202" s="8">
        <v>1477.695708</v>
      </c>
      <c r="AC202" s="7">
        <v>2.0449999999999999</v>
      </c>
      <c r="AD202" s="7" t="s">
        <v>1226</v>
      </c>
      <c r="AE202" s="8">
        <v>1481.472</v>
      </c>
      <c r="AF202" s="8">
        <v>0</v>
      </c>
      <c r="AG202" s="8">
        <v>1481.472</v>
      </c>
      <c r="AH202" s="8">
        <v>0</v>
      </c>
      <c r="AI202" s="7" t="s">
        <v>1736</v>
      </c>
      <c r="AJ202" s="7">
        <f t="shared" ca="1" si="45"/>
        <v>1</v>
      </c>
      <c r="AL202" s="96">
        <f t="shared" si="42"/>
        <v>8.7612695584136945E-6</v>
      </c>
      <c r="AM202" s="97">
        <f t="shared" si="43"/>
        <v>5.2373306089186923E-5</v>
      </c>
    </row>
    <row r="203" spans="1:39" x14ac:dyDescent="0.3">
      <c r="A203" s="7" t="s">
        <v>1983</v>
      </c>
      <c r="B203" s="7" t="s">
        <v>1320</v>
      </c>
      <c r="C203" s="7" t="s">
        <v>1323</v>
      </c>
      <c r="D203" s="7" t="s">
        <v>1792</v>
      </c>
      <c r="E203" s="7" t="s">
        <v>1322</v>
      </c>
      <c r="F203" s="36">
        <v>43221</v>
      </c>
      <c r="G203" s="36">
        <v>44681</v>
      </c>
      <c r="H203" s="36">
        <v>44681</v>
      </c>
      <c r="I203" s="36">
        <v>44681</v>
      </c>
      <c r="J203" s="7" t="s">
        <v>1696</v>
      </c>
      <c r="K203" s="8">
        <v>0</v>
      </c>
      <c r="L203" s="8">
        <v>0</v>
      </c>
      <c r="M203" s="8">
        <v>4444.4160000000002</v>
      </c>
      <c r="N203" s="8">
        <v>0</v>
      </c>
      <c r="O203" s="8">
        <v>0</v>
      </c>
      <c r="P203" s="8">
        <v>0</v>
      </c>
      <c r="Q203" s="8">
        <v>0</v>
      </c>
      <c r="R203" s="8">
        <f t="shared" si="44"/>
        <v>4444.4160000000002</v>
      </c>
      <c r="S203" s="8">
        <v>0</v>
      </c>
      <c r="T203" s="8">
        <v>0</v>
      </c>
      <c r="U203" s="8">
        <v>4444.4160000000002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7">
        <v>0.32876699999999998</v>
      </c>
      <c r="AB203" s="8">
        <v>1477.695708</v>
      </c>
      <c r="AC203" s="7">
        <v>2.0449999999999999</v>
      </c>
      <c r="AD203" s="7" t="s">
        <v>1226</v>
      </c>
      <c r="AE203" s="8">
        <v>1481.472</v>
      </c>
      <c r="AF203" s="8">
        <v>0</v>
      </c>
      <c r="AG203" s="8">
        <v>1481.472</v>
      </c>
      <c r="AH203" s="8">
        <v>0</v>
      </c>
      <c r="AI203" s="7" t="s">
        <v>1736</v>
      </c>
      <c r="AJ203" s="7">
        <f t="shared" ca="1" si="45"/>
        <v>1</v>
      </c>
      <c r="AL203" s="96">
        <f t="shared" si="42"/>
        <v>8.7612695584136945E-6</v>
      </c>
      <c r="AM203" s="97">
        <f t="shared" si="43"/>
        <v>5.2373306089186923E-5</v>
      </c>
    </row>
    <row r="204" spans="1:39" x14ac:dyDescent="0.3">
      <c r="A204" s="7" t="s">
        <v>1984</v>
      </c>
      <c r="B204" s="7" t="s">
        <v>1320</v>
      </c>
      <c r="C204" s="7" t="s">
        <v>1323</v>
      </c>
      <c r="D204" s="7" t="s">
        <v>1792</v>
      </c>
      <c r="E204" s="7" t="s">
        <v>1322</v>
      </c>
      <c r="F204" s="36">
        <v>44087</v>
      </c>
      <c r="G204" s="36">
        <v>44693</v>
      </c>
      <c r="H204" s="36">
        <v>44693</v>
      </c>
      <c r="I204" s="36">
        <v>44724</v>
      </c>
      <c r="J204" s="7" t="s">
        <v>1696</v>
      </c>
      <c r="K204" s="8">
        <v>0</v>
      </c>
      <c r="L204" s="8">
        <v>0</v>
      </c>
      <c r="M204" s="8">
        <v>3097.6232639999998</v>
      </c>
      <c r="N204" s="8">
        <v>0</v>
      </c>
      <c r="O204" s="8">
        <v>0</v>
      </c>
      <c r="P204" s="8">
        <v>0</v>
      </c>
      <c r="Q204" s="8">
        <v>0</v>
      </c>
      <c r="R204" s="8">
        <f t="shared" si="44"/>
        <v>3097.6232639999998</v>
      </c>
      <c r="S204" s="8">
        <v>0</v>
      </c>
      <c r="T204" s="8">
        <v>0</v>
      </c>
      <c r="U204" s="8">
        <v>2962.944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7">
        <v>0.446575</v>
      </c>
      <c r="AB204" s="8">
        <v>1230.3311080000001</v>
      </c>
      <c r="AC204" s="7">
        <v>1.727333</v>
      </c>
      <c r="AD204" s="7" t="s">
        <v>1226</v>
      </c>
      <c r="AE204" s="8">
        <v>1234.56</v>
      </c>
      <c r="AF204" s="8">
        <v>0</v>
      </c>
      <c r="AG204" s="8">
        <v>1234.56</v>
      </c>
      <c r="AH204" s="8">
        <v>0</v>
      </c>
      <c r="AI204" s="7" t="s">
        <v>1736</v>
      </c>
      <c r="AJ204" s="7">
        <f t="shared" ca="1" si="45"/>
        <v>1</v>
      </c>
      <c r="AL204" s="96">
        <f t="shared" si="42"/>
        <v>9.9085527032526423E-6</v>
      </c>
      <c r="AM204" s="97">
        <f t="shared" si="43"/>
        <v>3.6864767696395073E-5</v>
      </c>
    </row>
    <row r="205" spans="1:39" x14ac:dyDescent="0.3">
      <c r="A205" s="7" t="s">
        <v>1985</v>
      </c>
      <c r="B205" s="7" t="s">
        <v>1320</v>
      </c>
      <c r="C205" s="7" t="s">
        <v>1323</v>
      </c>
      <c r="D205" s="7" t="s">
        <v>1792</v>
      </c>
      <c r="E205" s="7" t="s">
        <v>1322</v>
      </c>
      <c r="F205" s="36">
        <v>43221</v>
      </c>
      <c r="G205" s="36">
        <v>44681</v>
      </c>
      <c r="H205" s="36">
        <v>44681</v>
      </c>
      <c r="I205" s="36">
        <v>44681</v>
      </c>
      <c r="J205" s="7" t="s">
        <v>1696</v>
      </c>
      <c r="K205" s="8">
        <v>0</v>
      </c>
      <c r="L205" s="8">
        <v>0</v>
      </c>
      <c r="M205" s="8">
        <v>4444.4160000000002</v>
      </c>
      <c r="N205" s="8">
        <v>0</v>
      </c>
      <c r="O205" s="8">
        <v>0</v>
      </c>
      <c r="P205" s="8">
        <v>0</v>
      </c>
      <c r="Q205" s="8">
        <v>0</v>
      </c>
      <c r="R205" s="8">
        <f t="shared" si="44"/>
        <v>4444.4160000000002</v>
      </c>
      <c r="S205" s="8">
        <v>0</v>
      </c>
      <c r="T205" s="8">
        <v>0</v>
      </c>
      <c r="U205" s="8">
        <v>4444.4160000000002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7">
        <v>0.32876699999999998</v>
      </c>
      <c r="AB205" s="8">
        <v>1477.695708</v>
      </c>
      <c r="AC205" s="7">
        <v>2.0449999999999999</v>
      </c>
      <c r="AD205" s="7" t="s">
        <v>1226</v>
      </c>
      <c r="AE205" s="8">
        <v>1481.472</v>
      </c>
      <c r="AF205" s="8">
        <v>0</v>
      </c>
      <c r="AG205" s="8">
        <v>1481.472</v>
      </c>
      <c r="AH205" s="8">
        <v>0</v>
      </c>
      <c r="AI205" s="7" t="s">
        <v>1736</v>
      </c>
      <c r="AJ205" s="7">
        <f t="shared" ca="1" si="45"/>
        <v>1</v>
      </c>
      <c r="AL205" s="96">
        <f t="shared" si="42"/>
        <v>8.7612695584136945E-6</v>
      </c>
      <c r="AM205" s="97">
        <f t="shared" si="43"/>
        <v>5.2373306089186923E-5</v>
      </c>
    </row>
    <row r="206" spans="1:39" x14ac:dyDescent="0.3">
      <c r="A206" s="7" t="s">
        <v>1986</v>
      </c>
      <c r="B206" s="7" t="s">
        <v>1320</v>
      </c>
      <c r="C206" s="7" t="s">
        <v>1323</v>
      </c>
      <c r="D206" s="7" t="s">
        <v>1792</v>
      </c>
      <c r="E206" s="7" t="s">
        <v>1322</v>
      </c>
      <c r="F206" s="36">
        <v>43221</v>
      </c>
      <c r="G206" s="36">
        <v>44681</v>
      </c>
      <c r="H206" s="36">
        <v>44681</v>
      </c>
      <c r="I206" s="36">
        <v>44681</v>
      </c>
      <c r="J206" s="7" t="s">
        <v>1696</v>
      </c>
      <c r="K206" s="8">
        <v>0</v>
      </c>
      <c r="L206" s="8">
        <v>0</v>
      </c>
      <c r="M206" s="8">
        <v>4444.4160000000002</v>
      </c>
      <c r="N206" s="8">
        <v>0</v>
      </c>
      <c r="O206" s="8">
        <v>0</v>
      </c>
      <c r="P206" s="8">
        <v>0</v>
      </c>
      <c r="Q206" s="8">
        <v>0</v>
      </c>
      <c r="R206" s="8">
        <f t="shared" si="44"/>
        <v>4444.4160000000002</v>
      </c>
      <c r="S206" s="8">
        <v>0</v>
      </c>
      <c r="T206" s="8">
        <v>0</v>
      </c>
      <c r="U206" s="8">
        <v>4444.4160000000002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7">
        <v>0.32876699999999998</v>
      </c>
      <c r="AB206" s="8">
        <v>1477.695708</v>
      </c>
      <c r="AC206" s="7">
        <v>2.0449999999999999</v>
      </c>
      <c r="AD206" s="7" t="s">
        <v>1226</v>
      </c>
      <c r="AE206" s="8">
        <v>1481.472</v>
      </c>
      <c r="AF206" s="8">
        <v>0</v>
      </c>
      <c r="AG206" s="8">
        <v>1481.472</v>
      </c>
      <c r="AH206" s="8">
        <v>0</v>
      </c>
      <c r="AI206" s="7" t="s">
        <v>1736</v>
      </c>
      <c r="AJ206" s="7">
        <f t="shared" ca="1" si="45"/>
        <v>1</v>
      </c>
      <c r="AL206" s="96">
        <f t="shared" si="42"/>
        <v>8.7612695584136945E-6</v>
      </c>
      <c r="AM206" s="97">
        <f t="shared" si="43"/>
        <v>5.2373306089186923E-5</v>
      </c>
    </row>
    <row r="207" spans="1:39" x14ac:dyDescent="0.3">
      <c r="A207" s="7" t="s">
        <v>1987</v>
      </c>
      <c r="B207" s="7" t="s">
        <v>1320</v>
      </c>
      <c r="C207" s="7" t="s">
        <v>1323</v>
      </c>
      <c r="D207" s="7" t="s">
        <v>1792</v>
      </c>
      <c r="E207" s="7" t="s">
        <v>1322</v>
      </c>
      <c r="F207" s="36">
        <v>43221</v>
      </c>
      <c r="G207" s="36">
        <v>44681</v>
      </c>
      <c r="H207" s="36">
        <v>44681</v>
      </c>
      <c r="I207" s="36">
        <v>44681</v>
      </c>
      <c r="J207" s="7" t="s">
        <v>1696</v>
      </c>
      <c r="K207" s="8">
        <v>0</v>
      </c>
      <c r="L207" s="8">
        <v>0</v>
      </c>
      <c r="M207" s="8">
        <v>4444.4160000000002</v>
      </c>
      <c r="N207" s="8">
        <v>0</v>
      </c>
      <c r="O207" s="8">
        <v>0</v>
      </c>
      <c r="P207" s="8">
        <v>0</v>
      </c>
      <c r="Q207" s="8">
        <v>0</v>
      </c>
      <c r="R207" s="8">
        <f t="shared" si="44"/>
        <v>4444.4160000000002</v>
      </c>
      <c r="S207" s="8">
        <v>0</v>
      </c>
      <c r="T207" s="8">
        <v>0</v>
      </c>
      <c r="U207" s="8">
        <v>4444.4160000000002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7">
        <v>0.32876699999999998</v>
      </c>
      <c r="AB207" s="8">
        <v>1477.695708</v>
      </c>
      <c r="AC207" s="7">
        <v>2.0449999999999999</v>
      </c>
      <c r="AD207" s="7" t="s">
        <v>1226</v>
      </c>
      <c r="AE207" s="8">
        <v>1481.472</v>
      </c>
      <c r="AF207" s="8">
        <v>0</v>
      </c>
      <c r="AG207" s="8">
        <v>1481.472</v>
      </c>
      <c r="AH207" s="8">
        <v>0</v>
      </c>
      <c r="AI207" s="7" t="s">
        <v>1736</v>
      </c>
      <c r="AJ207" s="7">
        <f t="shared" ca="1" si="45"/>
        <v>1</v>
      </c>
      <c r="AL207" s="96">
        <f t="shared" si="42"/>
        <v>8.7612695584136945E-6</v>
      </c>
      <c r="AM207" s="97">
        <f t="shared" si="43"/>
        <v>5.2373306089186923E-5</v>
      </c>
    </row>
    <row r="208" spans="1:39" x14ac:dyDescent="0.3">
      <c r="A208" s="7" t="s">
        <v>1988</v>
      </c>
      <c r="B208" s="7" t="s">
        <v>1320</v>
      </c>
      <c r="C208" s="7" t="s">
        <v>1323</v>
      </c>
      <c r="D208" s="7" t="s">
        <v>1792</v>
      </c>
      <c r="E208" s="7" t="s">
        <v>1322</v>
      </c>
      <c r="F208" s="36">
        <v>43221</v>
      </c>
      <c r="G208" s="36">
        <v>44681</v>
      </c>
      <c r="H208" s="36">
        <v>44681</v>
      </c>
      <c r="I208" s="36">
        <v>44681</v>
      </c>
      <c r="J208" s="7" t="s">
        <v>1696</v>
      </c>
      <c r="K208" s="8">
        <v>0</v>
      </c>
      <c r="L208" s="8">
        <v>0</v>
      </c>
      <c r="M208" s="8">
        <v>4444.4160000000002</v>
      </c>
      <c r="N208" s="8">
        <v>0</v>
      </c>
      <c r="O208" s="8">
        <v>0</v>
      </c>
      <c r="P208" s="8">
        <v>0</v>
      </c>
      <c r="Q208" s="8">
        <v>0</v>
      </c>
      <c r="R208" s="8">
        <f t="shared" si="44"/>
        <v>4444.4160000000002</v>
      </c>
      <c r="S208" s="8">
        <v>0</v>
      </c>
      <c r="T208" s="8">
        <v>0</v>
      </c>
      <c r="U208" s="8">
        <v>4444.4160000000002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7">
        <v>0.32876699999999998</v>
      </c>
      <c r="AB208" s="8">
        <v>1477.695708</v>
      </c>
      <c r="AC208" s="7">
        <v>2.0449999999999999</v>
      </c>
      <c r="AD208" s="7" t="s">
        <v>1226</v>
      </c>
      <c r="AE208" s="8">
        <v>1481.472</v>
      </c>
      <c r="AF208" s="8">
        <v>0</v>
      </c>
      <c r="AG208" s="8">
        <v>1481.472</v>
      </c>
      <c r="AH208" s="8">
        <v>0</v>
      </c>
      <c r="AI208" s="7" t="s">
        <v>1736</v>
      </c>
      <c r="AJ208" s="7">
        <f t="shared" ca="1" si="45"/>
        <v>1</v>
      </c>
      <c r="AL208" s="96">
        <f t="shared" si="42"/>
        <v>8.7612695584136945E-6</v>
      </c>
      <c r="AM208" s="97">
        <f t="shared" si="43"/>
        <v>5.2373306089186923E-5</v>
      </c>
    </row>
    <row r="209" spans="1:39" x14ac:dyDescent="0.3">
      <c r="A209" s="7" t="s">
        <v>1990</v>
      </c>
      <c r="B209" s="7" t="s">
        <v>1320</v>
      </c>
      <c r="C209" s="7" t="s">
        <v>1323</v>
      </c>
      <c r="D209" s="7" t="s">
        <v>1792</v>
      </c>
      <c r="E209" s="7" t="s">
        <v>1322</v>
      </c>
      <c r="F209" s="36">
        <v>44084</v>
      </c>
      <c r="G209" s="36">
        <v>44690</v>
      </c>
      <c r="H209" s="36">
        <v>44690</v>
      </c>
      <c r="I209" s="36">
        <v>44721</v>
      </c>
      <c r="J209" s="7" t="s">
        <v>1696</v>
      </c>
      <c r="K209" s="8">
        <v>0</v>
      </c>
      <c r="L209" s="8">
        <v>0</v>
      </c>
      <c r="M209" s="8">
        <v>3104.036568</v>
      </c>
      <c r="N209" s="8">
        <v>0</v>
      </c>
      <c r="O209" s="8">
        <v>0</v>
      </c>
      <c r="P209" s="8">
        <v>0</v>
      </c>
      <c r="Q209" s="8">
        <v>0</v>
      </c>
      <c r="R209" s="8">
        <f t="shared" si="44"/>
        <v>3104.036568</v>
      </c>
      <c r="S209" s="8">
        <v>0</v>
      </c>
      <c r="T209" s="8">
        <v>0</v>
      </c>
      <c r="U209" s="8">
        <v>2962.944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7">
        <v>0.43835600000000002</v>
      </c>
      <c r="AB209" s="8">
        <v>1230.502338</v>
      </c>
      <c r="AC209" s="7">
        <v>1.727333</v>
      </c>
      <c r="AD209" s="7" t="s">
        <v>1226</v>
      </c>
      <c r="AE209" s="8">
        <v>1234.56</v>
      </c>
      <c r="AF209" s="8">
        <v>0</v>
      </c>
      <c r="AG209" s="8">
        <v>1234.56</v>
      </c>
      <c r="AH209" s="8">
        <v>0</v>
      </c>
      <c r="AI209" s="7" t="s">
        <v>1736</v>
      </c>
      <c r="AJ209" s="7">
        <f t="shared" ca="1" si="45"/>
        <v>1</v>
      </c>
      <c r="AL209" s="96">
        <f t="shared" si="42"/>
        <v>9.7275441460295372E-6</v>
      </c>
      <c r="AM209" s="97">
        <f t="shared" si="43"/>
        <v>3.6864767696395073E-5</v>
      </c>
    </row>
    <row r="210" spans="1:39" x14ac:dyDescent="0.3">
      <c r="A210" s="7" t="s">
        <v>1991</v>
      </c>
      <c r="B210" s="7" t="s">
        <v>194</v>
      </c>
      <c r="C210" s="7" t="s">
        <v>1432</v>
      </c>
      <c r="D210" s="7" t="s">
        <v>1852</v>
      </c>
      <c r="E210" s="7" t="s">
        <v>1322</v>
      </c>
      <c r="F210" s="36">
        <v>44287</v>
      </c>
      <c r="G210" s="36">
        <v>45382</v>
      </c>
      <c r="H210" s="36">
        <v>45382</v>
      </c>
      <c r="I210" s="36">
        <v>45382</v>
      </c>
      <c r="J210" s="7" t="s">
        <v>1239</v>
      </c>
      <c r="K210" s="8">
        <v>407192.31900000002</v>
      </c>
      <c r="L210" s="8">
        <v>74201.7601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f t="shared" si="44"/>
        <v>481394.07910000003</v>
      </c>
      <c r="S210" s="8">
        <v>0</v>
      </c>
      <c r="T210" s="8">
        <v>66935.150999999998</v>
      </c>
      <c r="U210" s="8">
        <v>0</v>
      </c>
      <c r="V210" s="8">
        <v>383064.84899999999</v>
      </c>
      <c r="W210" s="8">
        <v>0</v>
      </c>
      <c r="X210" s="8">
        <v>1628769.2747</v>
      </c>
      <c r="Y210" s="8">
        <v>0</v>
      </c>
      <c r="Z210" s="8">
        <v>0</v>
      </c>
      <c r="AA210" s="7">
        <v>2.2493150000000002</v>
      </c>
      <c r="AB210" s="8">
        <v>1245704.4257</v>
      </c>
      <c r="AC210" s="7">
        <v>7</v>
      </c>
      <c r="AD210" s="7" t="s">
        <v>1226</v>
      </c>
      <c r="AE210" s="8">
        <v>1350000</v>
      </c>
      <c r="AF210" s="8">
        <v>0</v>
      </c>
      <c r="AG210" s="8">
        <v>1350000</v>
      </c>
      <c r="AH210" s="8">
        <v>0</v>
      </c>
      <c r="AI210" s="7" t="s">
        <v>1781</v>
      </c>
      <c r="AJ210" s="7">
        <f t="shared" ca="1" si="45"/>
        <v>1</v>
      </c>
      <c r="AL210" s="96">
        <f t="shared" ref="AL210:AL256" si="46">(+AA210*AB210)/$AB$611</f>
        <v>1.6799833668384043E-2</v>
      </c>
      <c r="AM210" s="97">
        <f t="shared" ref="AM210:AM256" si="47">AC210/$AE$611*AE210</f>
        <v>6.1502184605539294E-2</v>
      </c>
    </row>
    <row r="211" spans="1:39" x14ac:dyDescent="0.3">
      <c r="A211" s="7" t="s">
        <v>2592</v>
      </c>
      <c r="B211" s="7" t="s">
        <v>194</v>
      </c>
      <c r="C211" s="7" t="s">
        <v>1323</v>
      </c>
      <c r="D211" s="7" t="s">
        <v>1324</v>
      </c>
      <c r="E211" s="7" t="s">
        <v>1322</v>
      </c>
      <c r="F211" s="36">
        <v>43466</v>
      </c>
      <c r="G211" s="36">
        <v>44561</v>
      </c>
      <c r="H211" s="36">
        <v>44561</v>
      </c>
      <c r="I211" s="36">
        <v>44561</v>
      </c>
      <c r="J211" s="7" t="s">
        <v>1239</v>
      </c>
      <c r="K211" s="8">
        <v>1784073.509424</v>
      </c>
      <c r="L211" s="8">
        <v>195926.49059</v>
      </c>
      <c r="M211" s="8">
        <v>0</v>
      </c>
      <c r="N211" s="8">
        <v>0</v>
      </c>
      <c r="O211" s="8">
        <v>0</v>
      </c>
      <c r="P211" s="8">
        <v>83999.978184000007</v>
      </c>
      <c r="Q211" s="8">
        <v>0</v>
      </c>
      <c r="R211" s="8">
        <f t="shared" si="44"/>
        <v>2063999.9781980002</v>
      </c>
      <c r="S211" s="8">
        <v>0</v>
      </c>
      <c r="T211" s="8">
        <v>195926.49059</v>
      </c>
      <c r="U211" s="8">
        <v>0</v>
      </c>
      <c r="V211" s="8">
        <v>1784073.5094099999</v>
      </c>
      <c r="W211" s="8">
        <v>83999.978184000007</v>
      </c>
      <c r="X211" s="8">
        <v>1784073.5094089999</v>
      </c>
      <c r="Y211" s="8">
        <v>0</v>
      </c>
      <c r="Z211" s="8">
        <v>0</v>
      </c>
      <c r="AA211" s="7">
        <v>0</v>
      </c>
      <c r="AB211" s="8">
        <v>0</v>
      </c>
      <c r="AC211" s="7">
        <v>7</v>
      </c>
      <c r="AD211" s="7" t="s">
        <v>1226</v>
      </c>
      <c r="AE211" s="8">
        <v>0</v>
      </c>
      <c r="AF211" s="8">
        <v>0</v>
      </c>
      <c r="AG211" s="8">
        <v>0</v>
      </c>
      <c r="AH211" s="8">
        <v>0</v>
      </c>
      <c r="AI211" s="7" t="s">
        <v>1758</v>
      </c>
      <c r="AJ211" s="7">
        <f t="shared" ca="1" si="45"/>
        <v>1</v>
      </c>
      <c r="AL211" s="96">
        <f t="shared" si="46"/>
        <v>0</v>
      </c>
      <c r="AM211" s="97">
        <f t="shared" si="47"/>
        <v>0</v>
      </c>
    </row>
    <row r="212" spans="1:39" x14ac:dyDescent="0.3">
      <c r="A212" s="7" t="s">
        <v>1992</v>
      </c>
      <c r="B212" s="7" t="s">
        <v>194</v>
      </c>
      <c r="C212" s="7" t="s">
        <v>1805</v>
      </c>
      <c r="D212" s="7" t="s">
        <v>1324</v>
      </c>
      <c r="E212" s="7" t="s">
        <v>1322</v>
      </c>
      <c r="F212" s="36">
        <v>44263</v>
      </c>
      <c r="G212" s="36">
        <v>45358</v>
      </c>
      <c r="H212" s="36">
        <v>45358</v>
      </c>
      <c r="I212" s="36">
        <v>45389</v>
      </c>
      <c r="J212" s="7" t="s">
        <v>1696</v>
      </c>
      <c r="K212" s="8">
        <v>0</v>
      </c>
      <c r="L212" s="8">
        <v>0</v>
      </c>
      <c r="M212" s="8">
        <v>6134.2310420000003</v>
      </c>
      <c r="N212" s="8">
        <v>0</v>
      </c>
      <c r="O212" s="8">
        <v>0</v>
      </c>
      <c r="P212" s="8">
        <v>0</v>
      </c>
      <c r="Q212" s="8">
        <v>0</v>
      </c>
      <c r="R212" s="8">
        <f t="shared" si="44"/>
        <v>6134.2310420000003</v>
      </c>
      <c r="S212" s="8">
        <v>0</v>
      </c>
      <c r="T212" s="8">
        <v>0</v>
      </c>
      <c r="U212" s="8">
        <v>6172.5</v>
      </c>
      <c r="V212" s="8">
        <v>0</v>
      </c>
      <c r="W212" s="8">
        <v>0</v>
      </c>
      <c r="X212" s="8">
        <v>0</v>
      </c>
      <c r="Y212" s="8">
        <v>22698.345645000001</v>
      </c>
      <c r="Z212" s="8">
        <v>0</v>
      </c>
      <c r="AA212" s="7">
        <v>2.2684929999999999</v>
      </c>
      <c r="AB212" s="8">
        <v>16763.853644999999</v>
      </c>
      <c r="AC212" s="7">
        <v>1.5</v>
      </c>
      <c r="AD212" s="7" t="s">
        <v>1226</v>
      </c>
      <c r="AE212" s="8">
        <v>17048.5</v>
      </c>
      <c r="AF212" s="8">
        <v>0</v>
      </c>
      <c r="AG212" s="8">
        <v>17048.5</v>
      </c>
      <c r="AH212" s="8">
        <v>0</v>
      </c>
      <c r="AI212" s="7" t="s">
        <v>1993</v>
      </c>
      <c r="AJ212" s="7">
        <f t="shared" ca="1" si="45"/>
        <v>1</v>
      </c>
      <c r="AL212" s="96">
        <f t="shared" ref="AL212:AL213" si="48">(+AA212*AB212)/$AB$612</f>
        <v>6.8581205692029427E-4</v>
      </c>
      <c r="AM212" s="97">
        <f t="shared" ref="AM212:AM213" si="49">AC212/$AE$612*AE212</f>
        <v>4.4207979152204572E-4</v>
      </c>
    </row>
    <row r="213" spans="1:39" x14ac:dyDescent="0.3">
      <c r="A213" s="7" t="s">
        <v>1994</v>
      </c>
      <c r="B213" s="7" t="s">
        <v>1320</v>
      </c>
      <c r="C213" s="7" t="s">
        <v>1323</v>
      </c>
      <c r="D213" s="7" t="s">
        <v>1792</v>
      </c>
      <c r="E213" s="7" t="s">
        <v>1322</v>
      </c>
      <c r="F213" s="36">
        <v>43221</v>
      </c>
      <c r="G213" s="36">
        <v>44681</v>
      </c>
      <c r="H213" s="36">
        <v>44681</v>
      </c>
      <c r="I213" s="36">
        <v>44681</v>
      </c>
      <c r="J213" s="7" t="s">
        <v>1696</v>
      </c>
      <c r="K213" s="8">
        <v>0</v>
      </c>
      <c r="L213" s="8">
        <v>0</v>
      </c>
      <c r="M213" s="8">
        <v>4444.4160000000002</v>
      </c>
      <c r="N213" s="8">
        <v>0</v>
      </c>
      <c r="O213" s="8">
        <v>0</v>
      </c>
      <c r="P213" s="8">
        <v>0</v>
      </c>
      <c r="Q213" s="8">
        <v>0</v>
      </c>
      <c r="R213" s="8">
        <f t="shared" si="44"/>
        <v>4444.4160000000002</v>
      </c>
      <c r="S213" s="8">
        <v>0</v>
      </c>
      <c r="T213" s="8">
        <v>0</v>
      </c>
      <c r="U213" s="8">
        <v>4444.4160000000002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7">
        <v>0.32876699999999998</v>
      </c>
      <c r="AB213" s="8">
        <v>1477.695708</v>
      </c>
      <c r="AC213" s="7">
        <v>2.0449999999999999</v>
      </c>
      <c r="AD213" s="7" t="s">
        <v>1226</v>
      </c>
      <c r="AE213" s="8">
        <v>1481.472</v>
      </c>
      <c r="AF213" s="8">
        <v>0</v>
      </c>
      <c r="AG213" s="8">
        <v>1481.472</v>
      </c>
      <c r="AH213" s="8">
        <v>0</v>
      </c>
      <c r="AI213" s="7" t="s">
        <v>1736</v>
      </c>
      <c r="AJ213" s="7">
        <f t="shared" ca="1" si="45"/>
        <v>1</v>
      </c>
      <c r="AL213" s="96">
        <f t="shared" si="48"/>
        <v>8.7612695584136945E-6</v>
      </c>
      <c r="AM213" s="97">
        <f t="shared" si="49"/>
        <v>5.2373306089186923E-5</v>
      </c>
    </row>
    <row r="214" spans="1:39" x14ac:dyDescent="0.3">
      <c r="A214" s="7" t="s">
        <v>1995</v>
      </c>
      <c r="B214" s="7" t="s">
        <v>1320</v>
      </c>
      <c r="C214" s="7" t="s">
        <v>1323</v>
      </c>
      <c r="D214" s="7" t="s">
        <v>1792</v>
      </c>
      <c r="E214" s="7" t="s">
        <v>1739</v>
      </c>
      <c r="F214" s="36">
        <v>44089</v>
      </c>
      <c r="G214" s="36">
        <v>44422</v>
      </c>
      <c r="J214" s="7" t="s">
        <v>1699</v>
      </c>
      <c r="K214" s="8">
        <v>0</v>
      </c>
      <c r="L214" s="8">
        <v>0</v>
      </c>
      <c r="M214" s="8">
        <v>0</v>
      </c>
      <c r="N214" s="8">
        <v>3600</v>
      </c>
      <c r="O214" s="8">
        <v>0</v>
      </c>
      <c r="P214" s="8">
        <v>0</v>
      </c>
      <c r="Q214" s="8">
        <v>0</v>
      </c>
      <c r="R214" s="8">
        <f t="shared" si="44"/>
        <v>3600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7">
        <v>0</v>
      </c>
      <c r="AB214" s="8">
        <v>0</v>
      </c>
      <c r="AC214" s="7">
        <v>1.533636</v>
      </c>
      <c r="AD214" s="7" t="s">
        <v>1226</v>
      </c>
      <c r="AE214" s="8">
        <v>300</v>
      </c>
      <c r="AF214" s="8">
        <v>0</v>
      </c>
      <c r="AG214" s="8">
        <v>300</v>
      </c>
      <c r="AH214" s="8">
        <v>0</v>
      </c>
      <c r="AI214" s="7" t="s">
        <v>1736</v>
      </c>
      <c r="AJ214" s="7">
        <f t="shared" ca="1" si="45"/>
        <v>1</v>
      </c>
      <c r="AL214" s="100">
        <f>(+AA214*AB214)/$AB$613</f>
        <v>0</v>
      </c>
      <c r="AM214" s="97">
        <f>AC214/$AE$613*AE214</f>
        <v>3.3604865113572984E-4</v>
      </c>
    </row>
    <row r="215" spans="1:39" x14ac:dyDescent="0.3">
      <c r="A215" s="7" t="s">
        <v>1996</v>
      </c>
      <c r="B215" s="7" t="s">
        <v>1320</v>
      </c>
      <c r="C215" s="7" t="s">
        <v>1323</v>
      </c>
      <c r="D215" s="7" t="s">
        <v>1792</v>
      </c>
      <c r="E215" s="7" t="s">
        <v>1322</v>
      </c>
      <c r="F215" s="36">
        <v>43221</v>
      </c>
      <c r="G215" s="36">
        <v>44681</v>
      </c>
      <c r="H215" s="36">
        <v>44681</v>
      </c>
      <c r="I215" s="36">
        <v>44681</v>
      </c>
      <c r="J215" s="7" t="s">
        <v>1696</v>
      </c>
      <c r="K215" s="8">
        <v>0</v>
      </c>
      <c r="L215" s="8">
        <v>0</v>
      </c>
      <c r="M215" s="8">
        <v>4444.4160000000002</v>
      </c>
      <c r="N215" s="8">
        <v>0</v>
      </c>
      <c r="O215" s="8">
        <v>0</v>
      </c>
      <c r="P215" s="8">
        <v>0</v>
      </c>
      <c r="Q215" s="8">
        <v>0</v>
      </c>
      <c r="R215" s="8">
        <f t="shared" si="44"/>
        <v>4444.4160000000002</v>
      </c>
      <c r="S215" s="8">
        <v>0</v>
      </c>
      <c r="T215" s="8">
        <v>0</v>
      </c>
      <c r="U215" s="8">
        <v>4444.4160000000002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7">
        <v>0.32876699999999998</v>
      </c>
      <c r="AB215" s="8">
        <v>1477.695708</v>
      </c>
      <c r="AC215" s="7">
        <v>2.0449999999999999</v>
      </c>
      <c r="AD215" s="7" t="s">
        <v>1226</v>
      </c>
      <c r="AE215" s="8">
        <v>1481.472</v>
      </c>
      <c r="AF215" s="8">
        <v>0</v>
      </c>
      <c r="AG215" s="8">
        <v>1481.472</v>
      </c>
      <c r="AH215" s="8">
        <v>0</v>
      </c>
      <c r="AI215" s="7" t="s">
        <v>1736</v>
      </c>
      <c r="AJ215" s="7">
        <f t="shared" ca="1" si="45"/>
        <v>1</v>
      </c>
      <c r="AL215" s="96">
        <f t="shared" ref="AL215:AL220" si="50">(+AA215*AB215)/$AB$612</f>
        <v>8.7612695584136945E-6</v>
      </c>
      <c r="AM215" s="97">
        <f t="shared" ref="AM215:AM220" si="51">AC215/$AE$612*AE215</f>
        <v>5.2373306089186923E-5</v>
      </c>
    </row>
    <row r="216" spans="1:39" x14ac:dyDescent="0.3">
      <c r="A216" s="7" t="s">
        <v>1997</v>
      </c>
      <c r="B216" s="7" t="s">
        <v>1320</v>
      </c>
      <c r="C216" s="7" t="s">
        <v>1323</v>
      </c>
      <c r="D216" s="7" t="s">
        <v>1792</v>
      </c>
      <c r="E216" s="7" t="s">
        <v>1322</v>
      </c>
      <c r="F216" s="36">
        <v>43221</v>
      </c>
      <c r="G216" s="36">
        <v>44681</v>
      </c>
      <c r="H216" s="36">
        <v>44681</v>
      </c>
      <c r="I216" s="36">
        <v>44681</v>
      </c>
      <c r="J216" s="7" t="s">
        <v>1696</v>
      </c>
      <c r="K216" s="8">
        <v>0</v>
      </c>
      <c r="L216" s="8">
        <v>0</v>
      </c>
      <c r="M216" s="8">
        <v>4444.4160000000002</v>
      </c>
      <c r="N216" s="8">
        <v>0</v>
      </c>
      <c r="O216" s="8">
        <v>0</v>
      </c>
      <c r="P216" s="8">
        <v>0</v>
      </c>
      <c r="Q216" s="8">
        <v>0</v>
      </c>
      <c r="R216" s="8">
        <f t="shared" si="44"/>
        <v>4444.4160000000002</v>
      </c>
      <c r="S216" s="8">
        <v>0</v>
      </c>
      <c r="T216" s="8">
        <v>0</v>
      </c>
      <c r="U216" s="8">
        <v>4444.4160000000002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7">
        <v>0.32876699999999998</v>
      </c>
      <c r="AB216" s="8">
        <v>1477.695708</v>
      </c>
      <c r="AC216" s="7">
        <v>2.0449999999999999</v>
      </c>
      <c r="AD216" s="7" t="s">
        <v>1226</v>
      </c>
      <c r="AE216" s="8">
        <v>1481.472</v>
      </c>
      <c r="AF216" s="8">
        <v>0</v>
      </c>
      <c r="AG216" s="8">
        <v>1481.472</v>
      </c>
      <c r="AH216" s="8">
        <v>0</v>
      </c>
      <c r="AI216" s="7" t="s">
        <v>1736</v>
      </c>
      <c r="AJ216" s="7">
        <f t="shared" ca="1" si="45"/>
        <v>1</v>
      </c>
      <c r="AL216" s="96">
        <f t="shared" si="50"/>
        <v>8.7612695584136945E-6</v>
      </c>
      <c r="AM216" s="97">
        <f t="shared" si="51"/>
        <v>5.2373306089186923E-5</v>
      </c>
    </row>
    <row r="217" spans="1:39" x14ac:dyDescent="0.3">
      <c r="A217" s="7" t="s">
        <v>1998</v>
      </c>
      <c r="B217" s="7" t="s">
        <v>1320</v>
      </c>
      <c r="C217" s="7" t="s">
        <v>1323</v>
      </c>
      <c r="D217" s="7" t="s">
        <v>1792</v>
      </c>
      <c r="E217" s="7" t="s">
        <v>1322</v>
      </c>
      <c r="F217" s="36">
        <v>43221</v>
      </c>
      <c r="G217" s="36">
        <v>44681</v>
      </c>
      <c r="H217" s="36">
        <v>44681</v>
      </c>
      <c r="I217" s="36">
        <v>44681</v>
      </c>
      <c r="J217" s="7" t="s">
        <v>1696</v>
      </c>
      <c r="K217" s="8">
        <v>0</v>
      </c>
      <c r="L217" s="8">
        <v>0</v>
      </c>
      <c r="M217" s="8">
        <v>4444.4160000000002</v>
      </c>
      <c r="N217" s="8">
        <v>0</v>
      </c>
      <c r="O217" s="8">
        <v>0</v>
      </c>
      <c r="P217" s="8">
        <v>0</v>
      </c>
      <c r="Q217" s="8">
        <v>0</v>
      </c>
      <c r="R217" s="8">
        <f t="shared" si="44"/>
        <v>4444.4160000000002</v>
      </c>
      <c r="S217" s="8">
        <v>0</v>
      </c>
      <c r="T217" s="8">
        <v>0</v>
      </c>
      <c r="U217" s="8">
        <v>4444.4160000000002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7">
        <v>0.32876699999999998</v>
      </c>
      <c r="AB217" s="8">
        <v>1477.695708</v>
      </c>
      <c r="AC217" s="7">
        <v>2.0449999999999999</v>
      </c>
      <c r="AD217" s="7" t="s">
        <v>1226</v>
      </c>
      <c r="AE217" s="8">
        <v>1481.472</v>
      </c>
      <c r="AF217" s="8">
        <v>0</v>
      </c>
      <c r="AG217" s="8">
        <v>1481.472</v>
      </c>
      <c r="AH217" s="8">
        <v>0</v>
      </c>
      <c r="AI217" s="7" t="s">
        <v>1736</v>
      </c>
      <c r="AJ217" s="7">
        <f t="shared" ca="1" si="45"/>
        <v>1</v>
      </c>
      <c r="AL217" s="96">
        <f t="shared" si="50"/>
        <v>8.7612695584136945E-6</v>
      </c>
      <c r="AM217" s="97">
        <f t="shared" si="51"/>
        <v>5.2373306089186923E-5</v>
      </c>
    </row>
    <row r="218" spans="1:39" x14ac:dyDescent="0.3">
      <c r="A218" s="7" t="s">
        <v>1999</v>
      </c>
      <c r="B218" s="7" t="s">
        <v>1320</v>
      </c>
      <c r="C218" s="7" t="s">
        <v>1323</v>
      </c>
      <c r="D218" s="7" t="s">
        <v>1792</v>
      </c>
      <c r="E218" s="7" t="s">
        <v>1322</v>
      </c>
      <c r="F218" s="36">
        <v>43221</v>
      </c>
      <c r="G218" s="36">
        <v>44681</v>
      </c>
      <c r="H218" s="36">
        <v>44681</v>
      </c>
      <c r="I218" s="36">
        <v>44681</v>
      </c>
      <c r="J218" s="7" t="s">
        <v>1696</v>
      </c>
      <c r="K218" s="8">
        <v>0</v>
      </c>
      <c r="L218" s="8">
        <v>0</v>
      </c>
      <c r="M218" s="8">
        <v>4444.4160000000002</v>
      </c>
      <c r="N218" s="8">
        <v>0</v>
      </c>
      <c r="O218" s="8">
        <v>0</v>
      </c>
      <c r="P218" s="8">
        <v>0</v>
      </c>
      <c r="Q218" s="8">
        <v>0</v>
      </c>
      <c r="R218" s="8">
        <f t="shared" si="44"/>
        <v>4444.4160000000002</v>
      </c>
      <c r="S218" s="8">
        <v>0</v>
      </c>
      <c r="T218" s="8">
        <v>0</v>
      </c>
      <c r="U218" s="8">
        <v>4444.4160000000002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7">
        <v>0.32876699999999998</v>
      </c>
      <c r="AB218" s="8">
        <v>1477.695708</v>
      </c>
      <c r="AC218" s="7">
        <v>2.0449999999999999</v>
      </c>
      <c r="AD218" s="7" t="s">
        <v>1226</v>
      </c>
      <c r="AE218" s="8">
        <v>1481.472</v>
      </c>
      <c r="AF218" s="8">
        <v>0</v>
      </c>
      <c r="AG218" s="8">
        <v>1481.472</v>
      </c>
      <c r="AH218" s="8">
        <v>0</v>
      </c>
      <c r="AI218" s="7" t="s">
        <v>1736</v>
      </c>
      <c r="AJ218" s="7">
        <f t="shared" ca="1" si="45"/>
        <v>1</v>
      </c>
      <c r="AL218" s="96">
        <f t="shared" si="50"/>
        <v>8.7612695584136945E-6</v>
      </c>
      <c r="AM218" s="97">
        <f t="shared" si="51"/>
        <v>5.2373306089186923E-5</v>
      </c>
    </row>
    <row r="219" spans="1:39" x14ac:dyDescent="0.3">
      <c r="A219" s="7" t="s">
        <v>2000</v>
      </c>
      <c r="B219" s="7" t="s">
        <v>1320</v>
      </c>
      <c r="C219" s="7" t="s">
        <v>1323</v>
      </c>
      <c r="D219" s="7" t="s">
        <v>1792</v>
      </c>
      <c r="E219" s="7" t="s">
        <v>1322</v>
      </c>
      <c r="F219" s="36">
        <v>43983</v>
      </c>
      <c r="G219" s="36">
        <v>44681</v>
      </c>
      <c r="H219" s="36">
        <v>44681</v>
      </c>
      <c r="I219" s="36">
        <v>44681</v>
      </c>
      <c r="J219" s="7" t="s">
        <v>1696</v>
      </c>
      <c r="K219" s="8">
        <v>0</v>
      </c>
      <c r="L219" s="8">
        <v>0</v>
      </c>
      <c r="M219" s="8">
        <v>4444.4160000000002</v>
      </c>
      <c r="N219" s="8">
        <v>0</v>
      </c>
      <c r="O219" s="8">
        <v>0</v>
      </c>
      <c r="P219" s="8">
        <v>0</v>
      </c>
      <c r="Q219" s="8">
        <v>0</v>
      </c>
      <c r="R219" s="8">
        <f t="shared" si="44"/>
        <v>4444.4160000000002</v>
      </c>
      <c r="S219" s="8">
        <v>0</v>
      </c>
      <c r="T219" s="8">
        <v>0</v>
      </c>
      <c r="U219" s="8">
        <v>4444.4160000000002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7">
        <v>0.32876699999999998</v>
      </c>
      <c r="AB219" s="8">
        <v>1478.1763350000001</v>
      </c>
      <c r="AC219" s="7">
        <v>1.7840830000000001</v>
      </c>
      <c r="AD219" s="7" t="s">
        <v>1226</v>
      </c>
      <c r="AE219" s="8">
        <v>1481.472</v>
      </c>
      <c r="AF219" s="8">
        <v>0</v>
      </c>
      <c r="AG219" s="8">
        <v>1481.472</v>
      </c>
      <c r="AH219" s="8">
        <v>0</v>
      </c>
      <c r="AI219" s="7" t="s">
        <v>1736</v>
      </c>
      <c r="AJ219" s="7">
        <f t="shared" ca="1" si="45"/>
        <v>1</v>
      </c>
      <c r="AL219" s="96">
        <f t="shared" si="50"/>
        <v>8.7641191997040194E-6</v>
      </c>
      <c r="AM219" s="97">
        <f t="shared" si="51"/>
        <v>4.5691112492672309E-5</v>
      </c>
    </row>
    <row r="220" spans="1:39" x14ac:dyDescent="0.3">
      <c r="A220" s="7" t="s">
        <v>2001</v>
      </c>
      <c r="B220" s="7" t="s">
        <v>1320</v>
      </c>
      <c r="C220" s="7" t="s">
        <v>1323</v>
      </c>
      <c r="D220" s="7" t="s">
        <v>1694</v>
      </c>
      <c r="E220" s="7" t="s">
        <v>1322</v>
      </c>
      <c r="F220" s="36">
        <v>43868</v>
      </c>
      <c r="G220" s="36">
        <v>44963</v>
      </c>
      <c r="H220" s="36">
        <v>44963</v>
      </c>
      <c r="I220" s="36">
        <v>44963</v>
      </c>
      <c r="J220" s="7" t="s">
        <v>1696</v>
      </c>
      <c r="K220" s="8">
        <v>0</v>
      </c>
      <c r="L220" s="8">
        <v>0</v>
      </c>
      <c r="M220" s="8">
        <v>599999.98800000001</v>
      </c>
      <c r="N220" s="8">
        <v>0</v>
      </c>
      <c r="O220" s="8">
        <v>0</v>
      </c>
      <c r="P220" s="8">
        <v>0</v>
      </c>
      <c r="Q220" s="8">
        <v>0</v>
      </c>
      <c r="R220" s="8">
        <f t="shared" si="44"/>
        <v>599999.98800000001</v>
      </c>
      <c r="S220" s="8">
        <v>0</v>
      </c>
      <c r="T220" s="8">
        <v>0</v>
      </c>
      <c r="U220" s="8">
        <v>599999.98800000001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7">
        <v>1.10137</v>
      </c>
      <c r="AB220" s="8">
        <v>643243.918527</v>
      </c>
      <c r="AC220" s="7">
        <v>2.0299999999999998</v>
      </c>
      <c r="AD220" s="7" t="s">
        <v>1226</v>
      </c>
      <c r="AE220" s="8">
        <v>649999.98699999996</v>
      </c>
      <c r="AF220" s="8">
        <v>0</v>
      </c>
      <c r="AG220" s="8">
        <v>649999.98699999996</v>
      </c>
      <c r="AH220" s="8">
        <v>0</v>
      </c>
      <c r="AI220" s="7" t="s">
        <v>1194</v>
      </c>
      <c r="AJ220" s="7">
        <f t="shared" ca="1" si="45"/>
        <v>1</v>
      </c>
      <c r="AL220" s="96">
        <f t="shared" si="50"/>
        <v>1.2776230646488022E-2</v>
      </c>
      <c r="AM220" s="97">
        <f t="shared" si="51"/>
        <v>2.2810385009310832E-2</v>
      </c>
    </row>
    <row r="221" spans="1:39" x14ac:dyDescent="0.3">
      <c r="A221" s="7" t="s">
        <v>2002</v>
      </c>
      <c r="B221" s="7" t="s">
        <v>194</v>
      </c>
      <c r="C221" s="7" t="s">
        <v>1323</v>
      </c>
      <c r="D221" s="7" t="s">
        <v>1324</v>
      </c>
      <c r="E221" s="7" t="s">
        <v>1322</v>
      </c>
      <c r="F221" s="36">
        <v>44287</v>
      </c>
      <c r="G221" s="36">
        <v>45382</v>
      </c>
      <c r="H221" s="36">
        <v>45382</v>
      </c>
      <c r="I221" s="36">
        <v>45382</v>
      </c>
      <c r="J221" s="7" t="s">
        <v>1239</v>
      </c>
      <c r="K221" s="8">
        <v>446018.37735600001</v>
      </c>
      <c r="L221" s="8">
        <v>82548.092522000006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f t="shared" si="44"/>
        <v>528566.46987799997</v>
      </c>
      <c r="S221" s="8">
        <v>0</v>
      </c>
      <c r="T221" s="8">
        <v>74332.391434000005</v>
      </c>
      <c r="U221" s="8">
        <v>0</v>
      </c>
      <c r="V221" s="8">
        <v>375667.60856600001</v>
      </c>
      <c r="W221" s="8">
        <v>0</v>
      </c>
      <c r="X221" s="8">
        <v>1784073.5094089999</v>
      </c>
      <c r="Y221" s="8">
        <v>0</v>
      </c>
      <c r="Z221" s="8">
        <v>0</v>
      </c>
      <c r="AA221" s="7">
        <v>2.2493150000000002</v>
      </c>
      <c r="AB221" s="8">
        <v>1408405.900843</v>
      </c>
      <c r="AC221" s="7">
        <v>7</v>
      </c>
      <c r="AD221" s="7" t="s">
        <v>1226</v>
      </c>
      <c r="AE221" s="8">
        <v>1530000</v>
      </c>
      <c r="AF221" s="8">
        <v>0</v>
      </c>
      <c r="AG221" s="8">
        <v>1530000</v>
      </c>
      <c r="AH221" s="8">
        <v>0</v>
      </c>
      <c r="AI221" s="7" t="s">
        <v>1758</v>
      </c>
      <c r="AJ221" s="7">
        <f t="shared" ca="1" si="45"/>
        <v>1</v>
      </c>
      <c r="AL221" s="96">
        <f t="shared" si="46"/>
        <v>1.899406021491587E-2</v>
      </c>
      <c r="AM221" s="97">
        <f t="shared" si="47"/>
        <v>6.970247588627787E-2</v>
      </c>
    </row>
    <row r="222" spans="1:39" x14ac:dyDescent="0.3">
      <c r="A222" s="7" t="s">
        <v>2005</v>
      </c>
      <c r="B222" s="7" t="s">
        <v>194</v>
      </c>
      <c r="C222" s="7" t="s">
        <v>1769</v>
      </c>
      <c r="D222" s="7" t="s">
        <v>1324</v>
      </c>
      <c r="E222" s="7" t="s">
        <v>1695</v>
      </c>
      <c r="F222" s="36">
        <v>44278</v>
      </c>
      <c r="G222" s="36">
        <v>45373</v>
      </c>
      <c r="H222" s="36">
        <v>44378</v>
      </c>
      <c r="I222" s="36">
        <v>44378</v>
      </c>
      <c r="J222" s="7" t="s">
        <v>1696</v>
      </c>
      <c r="K222" s="8">
        <v>0</v>
      </c>
      <c r="L222" s="8">
        <v>0</v>
      </c>
      <c r="M222" s="8">
        <v>5734.7303199999997</v>
      </c>
      <c r="N222" s="8">
        <v>0</v>
      </c>
      <c r="O222" s="8">
        <v>0</v>
      </c>
      <c r="P222" s="8">
        <v>0</v>
      </c>
      <c r="Q222" s="8">
        <v>0</v>
      </c>
      <c r="R222" s="8">
        <f t="shared" si="44"/>
        <v>5734.7303199999997</v>
      </c>
      <c r="S222" s="8">
        <v>0</v>
      </c>
      <c r="T222" s="8">
        <v>0</v>
      </c>
      <c r="U222" s="8">
        <v>6172.8</v>
      </c>
      <c r="V222" s="8">
        <v>0</v>
      </c>
      <c r="W222" s="8">
        <v>0</v>
      </c>
      <c r="X222" s="8">
        <v>0</v>
      </c>
      <c r="Y222" s="8">
        <v>21279.142370000001</v>
      </c>
      <c r="Z222" s="8">
        <v>0</v>
      </c>
      <c r="AA222" s="7">
        <v>0</v>
      </c>
      <c r="AB222" s="8">
        <v>15531.294470000001</v>
      </c>
      <c r="AC222" s="7">
        <v>3</v>
      </c>
      <c r="AD222" s="7" t="s">
        <v>1226</v>
      </c>
      <c r="AE222" s="8">
        <v>16049.28</v>
      </c>
      <c r="AF222" s="8">
        <v>0</v>
      </c>
      <c r="AG222" s="8">
        <v>16049.28</v>
      </c>
      <c r="AH222" s="8">
        <v>0</v>
      </c>
      <c r="AI222" s="7" t="s">
        <v>1760</v>
      </c>
      <c r="AJ222" s="7">
        <f t="shared" ca="1" si="45"/>
        <v>1</v>
      </c>
      <c r="AL222" s="96">
        <f>(+AA222*AB222)/$AB$612</f>
        <v>0</v>
      </c>
      <c r="AM222" s="97">
        <f>AC222/$AE$612*AE222</f>
        <v>8.3233860532937653E-4</v>
      </c>
    </row>
    <row r="223" spans="1:39" x14ac:dyDescent="0.3">
      <c r="A223" s="7" t="s">
        <v>2006</v>
      </c>
      <c r="B223" s="7" t="s">
        <v>1320</v>
      </c>
      <c r="C223" s="7" t="s">
        <v>1769</v>
      </c>
      <c r="D223" s="7" t="s">
        <v>1324</v>
      </c>
      <c r="E223" s="7" t="s">
        <v>1322</v>
      </c>
      <c r="F223" s="36">
        <v>44378</v>
      </c>
      <c r="G223" s="36">
        <v>45351</v>
      </c>
      <c r="H223" s="36">
        <v>45351</v>
      </c>
      <c r="I223" s="36">
        <v>45351</v>
      </c>
      <c r="J223" s="7" t="s">
        <v>1239</v>
      </c>
      <c r="K223" s="8">
        <v>35697.002328000002</v>
      </c>
      <c r="L223" s="8">
        <v>5309.1191170000002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f t="shared" si="44"/>
        <v>41006.121445000004</v>
      </c>
      <c r="S223" s="8">
        <v>0</v>
      </c>
      <c r="T223" s="8">
        <v>4456.1324219999997</v>
      </c>
      <c r="U223" s="8">
        <v>0</v>
      </c>
      <c r="V223" s="8">
        <v>34060.267577999999</v>
      </c>
      <c r="W223" s="8">
        <v>0</v>
      </c>
      <c r="X223" s="8">
        <v>0</v>
      </c>
      <c r="Y223" s="8">
        <v>0</v>
      </c>
      <c r="Z223" s="8">
        <v>404566.02649399999</v>
      </c>
      <c r="AA223" s="7">
        <v>2.1643840000000001</v>
      </c>
      <c r="AB223" s="8">
        <v>370505.75891600002</v>
      </c>
      <c r="AC223" s="7">
        <v>2.762667</v>
      </c>
      <c r="AD223" s="7" t="s">
        <v>1226</v>
      </c>
      <c r="AE223" s="8">
        <v>398002.8</v>
      </c>
      <c r="AF223" s="8">
        <v>0</v>
      </c>
      <c r="AG223" s="8">
        <v>398002.8</v>
      </c>
      <c r="AH223" s="8">
        <v>0</v>
      </c>
      <c r="AI223" s="7" t="s">
        <v>1760</v>
      </c>
      <c r="AJ223" s="7">
        <f t="shared" ca="1" si="45"/>
        <v>1</v>
      </c>
      <c r="AL223" s="96">
        <f t="shared" si="46"/>
        <v>4.8080499698410139E-3</v>
      </c>
      <c r="AM223" s="97">
        <f t="shared" si="47"/>
        <v>7.1560505789982701E-3</v>
      </c>
    </row>
    <row r="224" spans="1:39" x14ac:dyDescent="0.3">
      <c r="A224" s="7" t="s">
        <v>2007</v>
      </c>
      <c r="B224" s="7" t="s">
        <v>1320</v>
      </c>
      <c r="C224" s="7" t="s">
        <v>1323</v>
      </c>
      <c r="D224" s="7" t="s">
        <v>1792</v>
      </c>
      <c r="E224" s="7" t="s">
        <v>1322</v>
      </c>
      <c r="F224" s="36">
        <v>43983</v>
      </c>
      <c r="G224" s="36">
        <v>44681</v>
      </c>
      <c r="H224" s="36">
        <v>44681</v>
      </c>
      <c r="I224" s="36">
        <v>44681</v>
      </c>
      <c r="J224" s="7" t="s">
        <v>1696</v>
      </c>
      <c r="K224" s="8">
        <v>0</v>
      </c>
      <c r="L224" s="8">
        <v>0</v>
      </c>
      <c r="M224" s="8">
        <v>7244.58</v>
      </c>
      <c r="N224" s="8">
        <v>0</v>
      </c>
      <c r="O224" s="8">
        <v>0</v>
      </c>
      <c r="P224" s="8">
        <v>0</v>
      </c>
      <c r="Q224" s="8">
        <v>0</v>
      </c>
      <c r="R224" s="8">
        <f t="shared" si="44"/>
        <v>7244.58</v>
      </c>
      <c r="S224" s="8">
        <v>0</v>
      </c>
      <c r="T224" s="8">
        <v>0</v>
      </c>
      <c r="U224" s="8">
        <v>7244.58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7">
        <v>0.32876699999999998</v>
      </c>
      <c r="AB224" s="8">
        <v>2409.4879249999999</v>
      </c>
      <c r="AC224" s="7">
        <v>1.7840830000000001</v>
      </c>
      <c r="AD224" s="7" t="s">
        <v>1226</v>
      </c>
      <c r="AE224" s="8">
        <v>2414.86</v>
      </c>
      <c r="AF224" s="8">
        <v>0</v>
      </c>
      <c r="AG224" s="8">
        <v>2414.86</v>
      </c>
      <c r="AH224" s="8">
        <v>0</v>
      </c>
      <c r="AI224" s="7" t="s">
        <v>1736</v>
      </c>
      <c r="AJ224" s="7">
        <f t="shared" ca="1" si="45"/>
        <v>1</v>
      </c>
      <c r="AL224" s="96">
        <f t="shared" ref="AL224:AL230" si="52">(+AA224*AB224)/$AB$612</f>
        <v>1.4285872994271348E-5</v>
      </c>
      <c r="AM224" s="97">
        <f t="shared" ref="AM224:AM230" si="53">AC224/$AE$612*AE224</f>
        <v>7.4478383603641962E-5</v>
      </c>
    </row>
    <row r="225" spans="1:39" x14ac:dyDescent="0.3">
      <c r="A225" s="7" t="s">
        <v>2008</v>
      </c>
      <c r="B225" s="7" t="s">
        <v>1320</v>
      </c>
      <c r="C225" s="7" t="s">
        <v>1323</v>
      </c>
      <c r="D225" s="7" t="s">
        <v>1792</v>
      </c>
      <c r="E225" s="7" t="s">
        <v>1322</v>
      </c>
      <c r="F225" s="36">
        <v>43983</v>
      </c>
      <c r="G225" s="36">
        <v>44681</v>
      </c>
      <c r="H225" s="36">
        <v>44681</v>
      </c>
      <c r="I225" s="36">
        <v>44681</v>
      </c>
      <c r="J225" s="7" t="s">
        <v>1696</v>
      </c>
      <c r="K225" s="8">
        <v>0</v>
      </c>
      <c r="L225" s="8">
        <v>0</v>
      </c>
      <c r="M225" s="8">
        <v>3600</v>
      </c>
      <c r="N225" s="8">
        <v>0</v>
      </c>
      <c r="O225" s="8">
        <v>0</v>
      </c>
      <c r="P225" s="8">
        <v>0</v>
      </c>
      <c r="Q225" s="8">
        <v>0</v>
      </c>
      <c r="R225" s="8">
        <f t="shared" si="44"/>
        <v>3600</v>
      </c>
      <c r="S225" s="8">
        <v>0</v>
      </c>
      <c r="T225" s="8">
        <v>0</v>
      </c>
      <c r="U225" s="8">
        <v>3600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7">
        <v>0.32876699999999998</v>
      </c>
      <c r="AB225" s="8">
        <v>1197.3304949999999</v>
      </c>
      <c r="AC225" s="7">
        <v>1.7840830000000001</v>
      </c>
      <c r="AD225" s="7" t="s">
        <v>1226</v>
      </c>
      <c r="AE225" s="8">
        <v>1200</v>
      </c>
      <c r="AF225" s="8">
        <v>0</v>
      </c>
      <c r="AG225" s="8">
        <v>1200</v>
      </c>
      <c r="AH225" s="8">
        <v>0</v>
      </c>
      <c r="AI225" s="7" t="s">
        <v>1736</v>
      </c>
      <c r="AJ225" s="7">
        <f t="shared" ca="1" si="45"/>
        <v>1</v>
      </c>
      <c r="AL225" s="96">
        <f t="shared" si="52"/>
        <v>7.0989819896018126E-6</v>
      </c>
      <c r="AM225" s="97">
        <f t="shared" si="53"/>
        <v>3.7010037983307668E-5</v>
      </c>
    </row>
    <row r="226" spans="1:39" x14ac:dyDescent="0.3">
      <c r="A226" s="7" t="s">
        <v>2009</v>
      </c>
      <c r="B226" s="7" t="s">
        <v>1320</v>
      </c>
      <c r="C226" s="7" t="s">
        <v>1323</v>
      </c>
      <c r="D226" s="7" t="s">
        <v>1792</v>
      </c>
      <c r="E226" s="7" t="s">
        <v>1322</v>
      </c>
      <c r="F226" s="36">
        <v>44090</v>
      </c>
      <c r="G226" s="36">
        <v>44666</v>
      </c>
      <c r="H226" s="36">
        <v>44666</v>
      </c>
      <c r="I226" s="36">
        <v>44788</v>
      </c>
      <c r="J226" s="7" t="s">
        <v>1696</v>
      </c>
      <c r="K226" s="8">
        <v>0</v>
      </c>
      <c r="L226" s="8">
        <v>0</v>
      </c>
      <c r="M226" s="8">
        <v>4393.235232</v>
      </c>
      <c r="N226" s="8">
        <v>0</v>
      </c>
      <c r="O226" s="8">
        <v>0</v>
      </c>
      <c r="P226" s="8">
        <v>0</v>
      </c>
      <c r="Q226" s="8">
        <v>0</v>
      </c>
      <c r="R226" s="8">
        <f t="shared" si="44"/>
        <v>4393.235232</v>
      </c>
      <c r="S226" s="8">
        <v>0</v>
      </c>
      <c r="T226" s="8">
        <v>0</v>
      </c>
      <c r="U226" s="8">
        <v>4199.9997599999997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7">
        <v>0.62191799999999997</v>
      </c>
      <c r="AB226" s="8">
        <v>2437.897215</v>
      </c>
      <c r="AC226" s="7">
        <v>1.7084170000000001</v>
      </c>
      <c r="AD226" s="7" t="s">
        <v>1226</v>
      </c>
      <c r="AE226" s="8">
        <v>2449.9998599999999</v>
      </c>
      <c r="AF226" s="8">
        <v>0</v>
      </c>
      <c r="AG226" s="8">
        <v>2449.9998599999999</v>
      </c>
      <c r="AH226" s="8">
        <v>0</v>
      </c>
      <c r="AI226" s="7" t="s">
        <v>1736</v>
      </c>
      <c r="AJ226" s="7">
        <f t="shared" ca="1" si="45"/>
        <v>1</v>
      </c>
      <c r="AL226" s="96">
        <f t="shared" si="52"/>
        <v>2.7342758695534786E-5</v>
      </c>
      <c r="AM226" s="97">
        <f t="shared" si="53"/>
        <v>7.2357436751473067E-5</v>
      </c>
    </row>
    <row r="227" spans="1:39" x14ac:dyDescent="0.3">
      <c r="A227" s="7" t="s">
        <v>2010</v>
      </c>
      <c r="B227" s="7" t="s">
        <v>1320</v>
      </c>
      <c r="C227" s="7" t="s">
        <v>1323</v>
      </c>
      <c r="D227" s="7" t="s">
        <v>1694</v>
      </c>
      <c r="E227" s="7" t="s">
        <v>1750</v>
      </c>
      <c r="F227" s="36">
        <v>42742</v>
      </c>
      <c r="G227" s="36">
        <v>43836</v>
      </c>
      <c r="H227" s="36">
        <v>44932</v>
      </c>
      <c r="I227" s="36">
        <v>44932</v>
      </c>
      <c r="J227" s="7" t="s">
        <v>1696</v>
      </c>
      <c r="K227" s="8">
        <v>0</v>
      </c>
      <c r="L227" s="8">
        <v>0</v>
      </c>
      <c r="M227" s="8">
        <v>450000</v>
      </c>
      <c r="N227" s="8">
        <v>0</v>
      </c>
      <c r="O227" s="8">
        <v>0</v>
      </c>
      <c r="P227" s="8">
        <v>0</v>
      </c>
      <c r="Q227" s="8">
        <v>0</v>
      </c>
      <c r="R227" s="8">
        <f t="shared" si="44"/>
        <v>450000</v>
      </c>
      <c r="S227" s="8">
        <v>0</v>
      </c>
      <c r="T227" s="8">
        <v>0</v>
      </c>
      <c r="U227" s="8">
        <v>300000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7">
        <v>1.016438</v>
      </c>
      <c r="AB227" s="8">
        <v>290287.20782200003</v>
      </c>
      <c r="AC227" s="7">
        <v>7</v>
      </c>
      <c r="AD227" s="7" t="s">
        <v>1226</v>
      </c>
      <c r="AE227" s="8">
        <v>300000</v>
      </c>
      <c r="AF227" s="8">
        <v>0</v>
      </c>
      <c r="AG227" s="8">
        <v>300000</v>
      </c>
      <c r="AH227" s="8">
        <v>0</v>
      </c>
      <c r="AI227" s="7" t="s">
        <v>1194</v>
      </c>
      <c r="AJ227" s="7">
        <f t="shared" ca="1" si="45"/>
        <v>1</v>
      </c>
      <c r="AL227" s="96">
        <f t="shared" si="52"/>
        <v>5.32111448418633E-3</v>
      </c>
      <c r="AM227" s="97">
        <f t="shared" si="53"/>
        <v>3.6303000740878319E-2</v>
      </c>
    </row>
    <row r="228" spans="1:39" x14ac:dyDescent="0.3">
      <c r="A228" s="7" t="s">
        <v>2011</v>
      </c>
      <c r="B228" s="7" t="s">
        <v>1320</v>
      </c>
      <c r="C228" s="7" t="s">
        <v>1323</v>
      </c>
      <c r="D228" s="7" t="s">
        <v>1694</v>
      </c>
      <c r="E228" s="7" t="s">
        <v>1750</v>
      </c>
      <c r="F228" s="36">
        <v>42742</v>
      </c>
      <c r="G228" s="36">
        <v>43836</v>
      </c>
      <c r="H228" s="36">
        <v>44932</v>
      </c>
      <c r="I228" s="36">
        <v>44932</v>
      </c>
      <c r="J228" s="7" t="s">
        <v>1696</v>
      </c>
      <c r="K228" s="8">
        <v>0</v>
      </c>
      <c r="L228" s="8">
        <v>0</v>
      </c>
      <c r="M228" s="8">
        <v>249999.999996</v>
      </c>
      <c r="N228" s="8">
        <v>0</v>
      </c>
      <c r="O228" s="8">
        <v>0</v>
      </c>
      <c r="P228" s="8">
        <v>0</v>
      </c>
      <c r="Q228" s="8">
        <v>0</v>
      </c>
      <c r="R228" s="8">
        <f t="shared" si="44"/>
        <v>249999.999996</v>
      </c>
      <c r="S228" s="8">
        <v>0</v>
      </c>
      <c r="T228" s="8">
        <v>0</v>
      </c>
      <c r="U228" s="8">
        <v>300000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7">
        <v>1.016438</v>
      </c>
      <c r="AB228" s="8">
        <v>291977.257293</v>
      </c>
      <c r="AC228" s="7">
        <v>7</v>
      </c>
      <c r="AD228" s="7" t="s">
        <v>1226</v>
      </c>
      <c r="AE228" s="8">
        <v>300000</v>
      </c>
      <c r="AF228" s="8">
        <v>0</v>
      </c>
      <c r="AG228" s="8">
        <v>300000</v>
      </c>
      <c r="AH228" s="8">
        <v>0</v>
      </c>
      <c r="AI228" s="7" t="s">
        <v>1194</v>
      </c>
      <c r="AJ228" s="7">
        <f t="shared" ca="1" si="45"/>
        <v>1</v>
      </c>
      <c r="AL228" s="96">
        <f t="shared" si="52"/>
        <v>5.3520939640835071E-3</v>
      </c>
      <c r="AM228" s="97">
        <f t="shared" si="53"/>
        <v>3.6303000740878319E-2</v>
      </c>
    </row>
    <row r="229" spans="1:39" x14ac:dyDescent="0.3">
      <c r="A229" s="7" t="s">
        <v>2012</v>
      </c>
      <c r="B229" s="7" t="s">
        <v>1320</v>
      </c>
      <c r="C229" s="7" t="s">
        <v>1323</v>
      </c>
      <c r="D229" s="7" t="s">
        <v>1694</v>
      </c>
      <c r="E229" s="7" t="s">
        <v>1750</v>
      </c>
      <c r="F229" s="36">
        <v>42742</v>
      </c>
      <c r="G229" s="36">
        <v>43836</v>
      </c>
      <c r="H229" s="36">
        <v>44932</v>
      </c>
      <c r="I229" s="36">
        <v>44932</v>
      </c>
      <c r="J229" s="7" t="s">
        <v>1696</v>
      </c>
      <c r="K229" s="8">
        <v>0</v>
      </c>
      <c r="L229" s="8">
        <v>0</v>
      </c>
      <c r="M229" s="8">
        <v>54999.999995999999</v>
      </c>
      <c r="N229" s="8">
        <v>0</v>
      </c>
      <c r="O229" s="8">
        <v>0</v>
      </c>
      <c r="P229" s="8">
        <v>0</v>
      </c>
      <c r="Q229" s="8">
        <v>0</v>
      </c>
      <c r="R229" s="8">
        <f t="shared" si="44"/>
        <v>54999.999995999999</v>
      </c>
      <c r="S229" s="8">
        <v>0</v>
      </c>
      <c r="T229" s="8">
        <v>0</v>
      </c>
      <c r="U229" s="8">
        <v>60000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7">
        <v>1.016438</v>
      </c>
      <c r="AB229" s="8">
        <v>59932.650932999997</v>
      </c>
      <c r="AC229" s="7">
        <v>7</v>
      </c>
      <c r="AD229" s="7" t="s">
        <v>1226</v>
      </c>
      <c r="AE229" s="8">
        <v>60000</v>
      </c>
      <c r="AF229" s="8">
        <v>0</v>
      </c>
      <c r="AG229" s="8">
        <v>60000</v>
      </c>
      <c r="AH229" s="8">
        <v>0</v>
      </c>
      <c r="AI229" s="7" t="s">
        <v>1194</v>
      </c>
      <c r="AJ229" s="7">
        <f t="shared" ca="1" si="45"/>
        <v>1</v>
      </c>
      <c r="AL229" s="96">
        <f t="shared" si="52"/>
        <v>1.0985964533126095E-3</v>
      </c>
      <c r="AM229" s="97">
        <f t="shared" si="53"/>
        <v>7.2606001481756643E-3</v>
      </c>
    </row>
    <row r="230" spans="1:39" x14ac:dyDescent="0.3">
      <c r="A230" s="7" t="s">
        <v>2013</v>
      </c>
      <c r="B230" s="7" t="s">
        <v>1320</v>
      </c>
      <c r="C230" s="7" t="s">
        <v>1323</v>
      </c>
      <c r="D230" s="7" t="s">
        <v>1694</v>
      </c>
      <c r="E230" s="7" t="s">
        <v>1695</v>
      </c>
      <c r="F230" s="36">
        <v>42742</v>
      </c>
      <c r="G230" s="36">
        <v>43836</v>
      </c>
      <c r="H230" s="36">
        <v>44440</v>
      </c>
      <c r="I230" s="36">
        <v>44440</v>
      </c>
      <c r="J230" s="7" t="s">
        <v>1696</v>
      </c>
      <c r="K230" s="8">
        <v>0</v>
      </c>
      <c r="L230" s="8">
        <v>0</v>
      </c>
      <c r="M230" s="8">
        <v>-960251.15546599997</v>
      </c>
      <c r="N230" s="8">
        <v>0</v>
      </c>
      <c r="O230" s="8">
        <v>0</v>
      </c>
      <c r="P230" s="8">
        <v>0</v>
      </c>
      <c r="Q230" s="8">
        <v>0</v>
      </c>
      <c r="R230" s="8">
        <f t="shared" si="44"/>
        <v>-960251.15546599997</v>
      </c>
      <c r="S230" s="8">
        <v>0</v>
      </c>
      <c r="T230" s="8">
        <v>0</v>
      </c>
      <c r="U230" s="8">
        <v>-956000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7">
        <v>0</v>
      </c>
      <c r="AB230" s="8">
        <v>1254378.5435329999</v>
      </c>
      <c r="AC230" s="7">
        <v>2.0299999999999998</v>
      </c>
      <c r="AD230" s="7" t="s">
        <v>1697</v>
      </c>
      <c r="AE230" s="8">
        <v>156000</v>
      </c>
      <c r="AF230" s="8">
        <v>0</v>
      </c>
      <c r="AG230" s="8">
        <v>156000</v>
      </c>
      <c r="AH230" s="8">
        <v>0</v>
      </c>
      <c r="AI230" s="7" t="s">
        <v>1194</v>
      </c>
      <c r="AJ230" s="7">
        <f t="shared" ca="1" si="45"/>
        <v>1</v>
      </c>
      <c r="AL230" s="96">
        <f t="shared" si="52"/>
        <v>0</v>
      </c>
      <c r="AM230" s="97">
        <f t="shared" si="53"/>
        <v>5.4744925117244502E-3</v>
      </c>
    </row>
    <row r="231" spans="1:39" x14ac:dyDescent="0.3">
      <c r="A231" s="7" t="s">
        <v>2014</v>
      </c>
      <c r="B231" s="7" t="s">
        <v>1320</v>
      </c>
      <c r="C231" s="7" t="s">
        <v>1323</v>
      </c>
      <c r="D231" s="7" t="s">
        <v>1694</v>
      </c>
      <c r="E231" s="7" t="s">
        <v>1322</v>
      </c>
      <c r="F231" s="36">
        <v>44440</v>
      </c>
      <c r="G231" s="36">
        <v>44895</v>
      </c>
      <c r="H231" s="36">
        <v>44895</v>
      </c>
      <c r="I231" s="36">
        <v>44895</v>
      </c>
      <c r="J231" s="7" t="s">
        <v>1239</v>
      </c>
      <c r="K231" s="8">
        <v>197969.52039200001</v>
      </c>
      <c r="L231" s="8">
        <v>3618.105168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f t="shared" si="44"/>
        <v>201587.62556000001</v>
      </c>
      <c r="S231" s="8">
        <v>0</v>
      </c>
      <c r="T231" s="8">
        <v>2821.194422</v>
      </c>
      <c r="U231" s="8">
        <v>0</v>
      </c>
      <c r="V231" s="8">
        <v>197178.805578</v>
      </c>
      <c r="W231" s="8">
        <v>0</v>
      </c>
      <c r="X231" s="8">
        <v>0</v>
      </c>
      <c r="Y231" s="8">
        <v>0</v>
      </c>
      <c r="Z231" s="8">
        <v>742385.70147700002</v>
      </c>
      <c r="AA231" s="7">
        <v>0.91506799999999999</v>
      </c>
      <c r="AB231" s="8">
        <v>545206.895899</v>
      </c>
      <c r="AC231" s="7">
        <v>1.754</v>
      </c>
      <c r="AD231" s="7" t="s">
        <v>1226</v>
      </c>
      <c r="AE231" s="8">
        <v>550000</v>
      </c>
      <c r="AF231" s="8">
        <v>0</v>
      </c>
      <c r="AG231" s="8">
        <v>550000</v>
      </c>
      <c r="AH231" s="8">
        <v>0</v>
      </c>
      <c r="AI231" s="7" t="s">
        <v>1194</v>
      </c>
      <c r="AJ231" s="7">
        <f t="shared" ca="1" si="45"/>
        <v>1</v>
      </c>
      <c r="AL231" s="96">
        <f t="shared" si="46"/>
        <v>2.9912616537536231E-3</v>
      </c>
      <c r="AM231" s="97">
        <f t="shared" si="47"/>
        <v>6.2784293639115089E-3</v>
      </c>
    </row>
    <row r="232" spans="1:39" x14ac:dyDescent="0.3">
      <c r="A232" s="7" t="s">
        <v>2015</v>
      </c>
      <c r="B232" s="7" t="s">
        <v>1320</v>
      </c>
      <c r="C232" s="7" t="s">
        <v>1323</v>
      </c>
      <c r="D232" s="7" t="s">
        <v>1694</v>
      </c>
      <c r="E232" s="7" t="s">
        <v>1750</v>
      </c>
      <c r="F232" s="36">
        <v>42742</v>
      </c>
      <c r="G232" s="36">
        <v>42984</v>
      </c>
      <c r="H232" s="36">
        <v>44932</v>
      </c>
      <c r="I232" s="36">
        <v>44932</v>
      </c>
      <c r="J232" s="7" t="s">
        <v>1696</v>
      </c>
      <c r="K232" s="8">
        <v>0</v>
      </c>
      <c r="L232" s="8">
        <v>0</v>
      </c>
      <c r="M232" s="8">
        <v>180000</v>
      </c>
      <c r="N232" s="8">
        <v>0</v>
      </c>
      <c r="O232" s="8">
        <v>0</v>
      </c>
      <c r="P232" s="8">
        <v>0</v>
      </c>
      <c r="Q232" s="8">
        <v>0</v>
      </c>
      <c r="R232" s="8">
        <f t="shared" si="44"/>
        <v>180000</v>
      </c>
      <c r="S232" s="8">
        <v>0</v>
      </c>
      <c r="T232" s="8">
        <v>0</v>
      </c>
      <c r="U232" s="8">
        <v>180000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7">
        <v>1.016438</v>
      </c>
      <c r="AB232" s="8">
        <v>178279.162002</v>
      </c>
      <c r="AC232" s="7">
        <v>3</v>
      </c>
      <c r="AD232" s="7" t="s">
        <v>1697</v>
      </c>
      <c r="AE232" s="8">
        <v>180000</v>
      </c>
      <c r="AF232" s="8">
        <v>0</v>
      </c>
      <c r="AG232" s="8">
        <v>180000</v>
      </c>
      <c r="AH232" s="8">
        <v>0</v>
      </c>
      <c r="AI232" s="7" t="s">
        <v>1194</v>
      </c>
      <c r="AJ232" s="7">
        <f t="shared" ca="1" si="45"/>
        <v>1</v>
      </c>
      <c r="AL232" s="96">
        <f t="shared" ref="AL232:AL233" si="54">(+AA232*AB232)/$AB$612</f>
        <v>3.2679491400087399E-3</v>
      </c>
      <c r="AM232" s="97">
        <f t="shared" ref="AM232:AM233" si="55">AC232/$AE$612*AE232</f>
        <v>9.3350573333687101E-3</v>
      </c>
    </row>
    <row r="233" spans="1:39" x14ac:dyDescent="0.3">
      <c r="A233" s="7" t="s">
        <v>2016</v>
      </c>
      <c r="B233" s="7" t="s">
        <v>1320</v>
      </c>
      <c r="C233" s="7" t="s">
        <v>1323</v>
      </c>
      <c r="D233" s="7" t="s">
        <v>1694</v>
      </c>
      <c r="E233" s="7" t="s">
        <v>1739</v>
      </c>
      <c r="F233" s="36">
        <v>42742</v>
      </c>
      <c r="G233" s="36">
        <v>43836</v>
      </c>
      <c r="J233" s="7" t="s">
        <v>1696</v>
      </c>
      <c r="K233" s="8">
        <v>0</v>
      </c>
      <c r="L233" s="8">
        <v>0</v>
      </c>
      <c r="M233" s="8">
        <v>154838.710246</v>
      </c>
      <c r="N233" s="8">
        <v>0</v>
      </c>
      <c r="O233" s="8">
        <v>0</v>
      </c>
      <c r="P233" s="8">
        <v>0</v>
      </c>
      <c r="Q233" s="8">
        <v>0</v>
      </c>
      <c r="R233" s="8">
        <f t="shared" si="44"/>
        <v>154838.710246</v>
      </c>
      <c r="S233" s="8">
        <v>0</v>
      </c>
      <c r="T233" s="8">
        <v>0</v>
      </c>
      <c r="U233" s="8">
        <v>150000</v>
      </c>
      <c r="V233" s="8">
        <v>0</v>
      </c>
      <c r="W233" s="8">
        <v>0</v>
      </c>
      <c r="X233" s="8">
        <v>0</v>
      </c>
      <c r="Y233" s="8">
        <v>0</v>
      </c>
      <c r="Z233" s="8">
        <v>-896.64381100000003</v>
      </c>
      <c r="AA233" s="7">
        <v>0</v>
      </c>
      <c r="AB233" s="8">
        <v>0</v>
      </c>
      <c r="AC233" s="7">
        <v>1.9319999999999999</v>
      </c>
      <c r="AD233" s="7" t="s">
        <v>1697</v>
      </c>
      <c r="AE233" s="8">
        <v>0</v>
      </c>
      <c r="AF233" s="8">
        <v>0</v>
      </c>
      <c r="AG233" s="8">
        <v>0</v>
      </c>
      <c r="AH233" s="8">
        <v>0</v>
      </c>
      <c r="AI233" s="7" t="s">
        <v>1194</v>
      </c>
      <c r="AJ233" s="7">
        <f t="shared" ca="1" si="45"/>
        <v>1</v>
      </c>
      <c r="AL233" s="96">
        <f t="shared" si="54"/>
        <v>0</v>
      </c>
      <c r="AM233" s="97">
        <f t="shared" si="55"/>
        <v>0</v>
      </c>
    </row>
    <row r="234" spans="1:39" x14ac:dyDescent="0.3">
      <c r="A234" s="7" t="s">
        <v>2016</v>
      </c>
      <c r="B234" s="7" t="s">
        <v>1320</v>
      </c>
      <c r="C234" s="7" t="s">
        <v>1323</v>
      </c>
      <c r="D234" s="7" t="s">
        <v>1694</v>
      </c>
      <c r="E234" s="7" t="s">
        <v>1739</v>
      </c>
      <c r="F234" s="36">
        <v>42742</v>
      </c>
      <c r="G234" s="36">
        <v>43836</v>
      </c>
      <c r="J234" s="7" t="s">
        <v>1699</v>
      </c>
      <c r="K234" s="8">
        <v>0</v>
      </c>
      <c r="L234" s="8">
        <v>0</v>
      </c>
      <c r="M234" s="8">
        <v>0</v>
      </c>
      <c r="N234" s="8">
        <v>145161.29024999999</v>
      </c>
      <c r="O234" s="8">
        <v>0</v>
      </c>
      <c r="P234" s="8">
        <v>0</v>
      </c>
      <c r="Q234" s="8">
        <v>0</v>
      </c>
      <c r="R234" s="8">
        <f t="shared" si="44"/>
        <v>145161.29024999999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7">
        <v>0</v>
      </c>
      <c r="AB234" s="8">
        <v>0</v>
      </c>
      <c r="AC234" s="7">
        <v>1.9319999999999999</v>
      </c>
      <c r="AD234" s="7" t="s">
        <v>1697</v>
      </c>
      <c r="AE234" s="8">
        <v>25000</v>
      </c>
      <c r="AF234" s="8">
        <v>0</v>
      </c>
      <c r="AG234" s="8">
        <v>25000</v>
      </c>
      <c r="AH234" s="8">
        <v>0</v>
      </c>
      <c r="AI234" s="7" t="s">
        <v>1194</v>
      </c>
      <c r="AJ234" s="7">
        <f t="shared" ca="1" si="45"/>
        <v>2</v>
      </c>
      <c r="AL234" s="100">
        <f>(+AA234*AB234)/$AB$613</f>
        <v>0</v>
      </c>
      <c r="AM234" s="97">
        <f>AC234/$AE$613*AE234</f>
        <v>3.5278144770240466E-2</v>
      </c>
    </row>
    <row r="235" spans="1:39" x14ac:dyDescent="0.3">
      <c r="A235" s="7" t="s">
        <v>2017</v>
      </c>
      <c r="B235" s="7" t="s">
        <v>1320</v>
      </c>
      <c r="C235" s="7" t="s">
        <v>1323</v>
      </c>
      <c r="D235" s="7" t="s">
        <v>1694</v>
      </c>
      <c r="E235" s="7" t="s">
        <v>1739</v>
      </c>
      <c r="F235" s="36">
        <v>42742</v>
      </c>
      <c r="G235" s="36">
        <v>43836</v>
      </c>
      <c r="I235" s="36">
        <v>44567</v>
      </c>
      <c r="J235" s="7" t="s">
        <v>1696</v>
      </c>
      <c r="K235" s="8">
        <v>0</v>
      </c>
      <c r="L235" s="8">
        <v>0</v>
      </c>
      <c r="M235" s="8">
        <v>186355.16650989215</v>
      </c>
      <c r="N235" s="8">
        <v>0</v>
      </c>
      <c r="O235" s="8">
        <v>0</v>
      </c>
      <c r="P235" s="8">
        <v>0</v>
      </c>
      <c r="Q235" s="8">
        <v>0</v>
      </c>
      <c r="R235" s="8">
        <f t="shared" si="44"/>
        <v>186355.16650989215</v>
      </c>
      <c r="S235" s="8">
        <v>0</v>
      </c>
      <c r="T235" s="8">
        <v>0</v>
      </c>
      <c r="U235" s="8">
        <v>221193.53247599999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7">
        <v>1.6438000000000001E-2</v>
      </c>
      <c r="AB235" s="8">
        <v>18803.512287510817</v>
      </c>
      <c r="AC235" s="7">
        <v>2.2879999999999998</v>
      </c>
      <c r="AD235" s="7" t="s">
        <v>1697</v>
      </c>
      <c r="AE235" s="8">
        <v>0</v>
      </c>
      <c r="AF235" s="8">
        <v>37617.947699999997</v>
      </c>
      <c r="AG235" s="8">
        <v>37617.947699999997</v>
      </c>
      <c r="AH235" s="8">
        <v>0</v>
      </c>
      <c r="AI235" s="7" t="s">
        <v>1194</v>
      </c>
      <c r="AJ235" s="7">
        <f t="shared" ca="1" si="45"/>
        <v>1</v>
      </c>
      <c r="AL235" s="96">
        <f>(+AA235*AB235)/$AB$612</f>
        <v>5.5741899789404655E-6</v>
      </c>
      <c r="AM235" s="97">
        <f>AC235/$AE$612*AE235</f>
        <v>0</v>
      </c>
    </row>
    <row r="236" spans="1:39" x14ac:dyDescent="0.3">
      <c r="A236" s="7" t="s">
        <v>2018</v>
      </c>
      <c r="B236" s="7" t="s">
        <v>194</v>
      </c>
      <c r="C236" s="7" t="s">
        <v>1769</v>
      </c>
      <c r="D236" s="7" t="s">
        <v>1324</v>
      </c>
      <c r="E236" s="7" t="s">
        <v>1322</v>
      </c>
      <c r="F236" s="36">
        <v>44287</v>
      </c>
      <c r="G236" s="36">
        <v>45382</v>
      </c>
      <c r="H236" s="36">
        <v>45382</v>
      </c>
      <c r="I236" s="36">
        <v>46477</v>
      </c>
      <c r="J236" s="7" t="s">
        <v>1239</v>
      </c>
      <c r="K236" s="8">
        <v>286162.43966099998</v>
      </c>
      <c r="L236" s="8">
        <v>109699.857879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f t="shared" si="44"/>
        <v>395862.29754</v>
      </c>
      <c r="S236" s="8">
        <v>0</v>
      </c>
      <c r="T236" s="8">
        <v>98396.630351</v>
      </c>
      <c r="U236" s="8">
        <v>0</v>
      </c>
      <c r="V236" s="8">
        <v>351603.369649</v>
      </c>
      <c r="W236" s="8">
        <v>0</v>
      </c>
      <c r="X236" s="8">
        <v>2289299.517275</v>
      </c>
      <c r="Y236" s="8">
        <v>0</v>
      </c>
      <c r="Z236" s="8">
        <v>0</v>
      </c>
      <c r="AA236" s="7">
        <v>5.2493150000000002</v>
      </c>
      <c r="AB236" s="8">
        <v>1937696.147626</v>
      </c>
      <c r="AC236" s="7">
        <v>7</v>
      </c>
      <c r="AD236" s="7" t="s">
        <v>1226</v>
      </c>
      <c r="AE236" s="8">
        <v>2250000</v>
      </c>
      <c r="AF236" s="8">
        <v>0</v>
      </c>
      <c r="AG236" s="8">
        <v>2250000</v>
      </c>
      <c r="AH236" s="8">
        <v>0</v>
      </c>
      <c r="AI236" s="7" t="s">
        <v>1758</v>
      </c>
      <c r="AJ236" s="7">
        <f t="shared" ca="1" si="45"/>
        <v>1</v>
      </c>
      <c r="AL236" s="96">
        <f t="shared" si="46"/>
        <v>6.0985698939369844E-2</v>
      </c>
      <c r="AM236" s="97">
        <f t="shared" si="47"/>
        <v>0.10250364100923216</v>
      </c>
    </row>
    <row r="237" spans="1:39" x14ac:dyDescent="0.3">
      <c r="A237" s="7" t="s">
        <v>2019</v>
      </c>
      <c r="B237" s="7" t="s">
        <v>194</v>
      </c>
      <c r="C237" s="7" t="s">
        <v>1323</v>
      </c>
      <c r="D237" s="7" t="s">
        <v>1324</v>
      </c>
      <c r="E237" s="7" t="s">
        <v>1322</v>
      </c>
      <c r="F237" s="36">
        <v>43466</v>
      </c>
      <c r="G237" s="36">
        <v>44561</v>
      </c>
      <c r="H237" s="36">
        <v>44561</v>
      </c>
      <c r="I237" s="36">
        <v>45657</v>
      </c>
      <c r="J237" s="7" t="s">
        <v>1239</v>
      </c>
      <c r="K237" s="8">
        <v>584567.84216999996</v>
      </c>
      <c r="L237" s="8">
        <v>204037.01396099999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f t="shared" si="44"/>
        <v>788604.85613099998</v>
      </c>
      <c r="S237" s="8">
        <v>0</v>
      </c>
      <c r="T237" s="8">
        <v>194497.07062300001</v>
      </c>
      <c r="U237" s="8">
        <v>0</v>
      </c>
      <c r="V237" s="8">
        <v>405502.92937700002</v>
      </c>
      <c r="W237" s="8">
        <v>0</v>
      </c>
      <c r="X237" s="8">
        <v>1210459.828455</v>
      </c>
      <c r="Y237" s="8">
        <v>0</v>
      </c>
      <c r="Z237" s="8">
        <v>-764496.84241599997</v>
      </c>
      <c r="AA237" s="7">
        <v>3.0027400000000002</v>
      </c>
      <c r="AB237" s="8">
        <v>40460.056662000003</v>
      </c>
      <c r="AC237" s="7">
        <v>7</v>
      </c>
      <c r="AD237" s="7" t="s">
        <v>1226</v>
      </c>
      <c r="AE237" s="8">
        <v>50000</v>
      </c>
      <c r="AF237" s="8">
        <v>0</v>
      </c>
      <c r="AG237" s="8">
        <v>50000</v>
      </c>
      <c r="AH237" s="8">
        <v>0</v>
      </c>
      <c r="AI237" s="7" t="s">
        <v>1758</v>
      </c>
      <c r="AJ237" s="7">
        <f t="shared" ca="1" si="45"/>
        <v>1</v>
      </c>
      <c r="AL237" s="96">
        <f t="shared" si="46"/>
        <v>7.2842343741969721E-4</v>
      </c>
      <c r="AM237" s="97">
        <f t="shared" si="47"/>
        <v>2.2778586890940481E-3</v>
      </c>
    </row>
    <row r="238" spans="1:39" x14ac:dyDescent="0.3">
      <c r="A238" s="7" t="s">
        <v>2021</v>
      </c>
      <c r="B238" s="7" t="s">
        <v>1320</v>
      </c>
      <c r="C238" s="7" t="s">
        <v>1769</v>
      </c>
      <c r="D238" s="7" t="s">
        <v>1324</v>
      </c>
      <c r="E238" s="7" t="s">
        <v>1322</v>
      </c>
      <c r="F238" s="36">
        <v>44533</v>
      </c>
      <c r="G238" s="36">
        <v>45628</v>
      </c>
      <c r="H238" s="36">
        <v>45628</v>
      </c>
      <c r="I238" s="36">
        <v>45628</v>
      </c>
      <c r="J238" s="7" t="s">
        <v>1239</v>
      </c>
      <c r="K238" s="8">
        <v>578.31227200000001</v>
      </c>
      <c r="L238" s="8">
        <v>50.662280000000003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f t="shared" si="44"/>
        <v>628.97455200000002</v>
      </c>
      <c r="S238" s="8">
        <v>0</v>
      </c>
      <c r="T238" s="8">
        <v>148.13999999999999</v>
      </c>
      <c r="U238" s="8">
        <v>0</v>
      </c>
      <c r="V238" s="8">
        <v>592.55999999999995</v>
      </c>
      <c r="W238" s="8">
        <v>0</v>
      </c>
      <c r="X238" s="8">
        <v>22255.051544000002</v>
      </c>
      <c r="Y238" s="8">
        <v>0</v>
      </c>
      <c r="Z238" s="8">
        <v>0</v>
      </c>
      <c r="AA238" s="7">
        <v>2.9232879999999999</v>
      </c>
      <c r="AB238" s="8">
        <v>21666.766864000001</v>
      </c>
      <c r="AC238" s="7">
        <v>3</v>
      </c>
      <c r="AD238" s="7" t="s">
        <v>1226</v>
      </c>
      <c r="AE238" s="8">
        <v>25924.5</v>
      </c>
      <c r="AF238" s="8">
        <v>0</v>
      </c>
      <c r="AG238" s="8">
        <v>25924.5</v>
      </c>
      <c r="AH238" s="8">
        <v>0</v>
      </c>
      <c r="AI238" s="7" t="s">
        <v>1781</v>
      </c>
      <c r="AJ238" s="7">
        <f t="shared" ca="1" si="45"/>
        <v>1</v>
      </c>
      <c r="AL238" s="96">
        <f t="shared" si="46"/>
        <v>3.7975666884136047E-4</v>
      </c>
      <c r="AM238" s="97">
        <f t="shared" si="47"/>
        <v>5.0616297930358841E-4</v>
      </c>
    </row>
    <row r="239" spans="1:39" x14ac:dyDescent="0.3">
      <c r="A239" s="7" t="s">
        <v>2022</v>
      </c>
      <c r="B239" s="7" t="s">
        <v>1320</v>
      </c>
      <c r="C239" s="7" t="s">
        <v>1323</v>
      </c>
      <c r="D239" s="7" t="s">
        <v>1694</v>
      </c>
      <c r="E239" s="7" t="s">
        <v>1739</v>
      </c>
      <c r="F239" s="36">
        <v>42801</v>
      </c>
      <c r="G239" s="36">
        <v>43896</v>
      </c>
      <c r="J239" s="7" t="s">
        <v>1699</v>
      </c>
      <c r="K239" s="8">
        <v>0</v>
      </c>
      <c r="L239" s="8">
        <v>0</v>
      </c>
      <c r="M239" s="8">
        <v>0</v>
      </c>
      <c r="N239" s="8">
        <v>600000</v>
      </c>
      <c r="O239" s="8">
        <v>0</v>
      </c>
      <c r="P239" s="8">
        <v>0</v>
      </c>
      <c r="Q239" s="8">
        <v>0</v>
      </c>
      <c r="R239" s="8">
        <f t="shared" si="44"/>
        <v>600000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7">
        <v>0</v>
      </c>
      <c r="AB239" s="8">
        <v>0</v>
      </c>
      <c r="AC239" s="7">
        <v>7</v>
      </c>
      <c r="AD239" s="7" t="s">
        <v>1226</v>
      </c>
      <c r="AE239" s="8">
        <v>50000</v>
      </c>
      <c r="AF239" s="8">
        <v>0</v>
      </c>
      <c r="AG239" s="8">
        <v>50000</v>
      </c>
      <c r="AH239" s="8">
        <v>0</v>
      </c>
      <c r="AI239" s="7" t="s">
        <v>1194</v>
      </c>
      <c r="AJ239" s="7">
        <f t="shared" ca="1" si="45"/>
        <v>1</v>
      </c>
      <c r="AL239" s="100">
        <f>(+AA239*AB239)/$AB$613</f>
        <v>0</v>
      </c>
      <c r="AM239" s="97">
        <f>AC239/$AE$613*AE239</f>
        <v>0.2556387302191338</v>
      </c>
    </row>
    <row r="240" spans="1:39" x14ac:dyDescent="0.3">
      <c r="A240" s="7" t="s">
        <v>2023</v>
      </c>
      <c r="B240" s="7" t="s">
        <v>1320</v>
      </c>
      <c r="C240" s="7" t="s">
        <v>1323</v>
      </c>
      <c r="D240" s="7" t="s">
        <v>1792</v>
      </c>
      <c r="E240" s="7" t="s">
        <v>1322</v>
      </c>
      <c r="F240" s="36">
        <v>43983</v>
      </c>
      <c r="G240" s="36">
        <v>44681</v>
      </c>
      <c r="H240" s="36">
        <v>44681</v>
      </c>
      <c r="I240" s="36">
        <v>44681</v>
      </c>
      <c r="J240" s="7" t="s">
        <v>1696</v>
      </c>
      <c r="K240" s="8">
        <v>0</v>
      </c>
      <c r="L240" s="8">
        <v>0</v>
      </c>
      <c r="M240" s="8">
        <v>4044.4416000000001</v>
      </c>
      <c r="N240" s="8">
        <v>0</v>
      </c>
      <c r="O240" s="8">
        <v>0</v>
      </c>
      <c r="P240" s="8">
        <v>0</v>
      </c>
      <c r="Q240" s="8">
        <v>0</v>
      </c>
      <c r="R240" s="8">
        <f t="shared" si="44"/>
        <v>4044.4416000000001</v>
      </c>
      <c r="S240" s="8">
        <v>0</v>
      </c>
      <c r="T240" s="8">
        <v>0</v>
      </c>
      <c r="U240" s="8">
        <v>4044.4416000000001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7">
        <v>0.32876699999999998</v>
      </c>
      <c r="AB240" s="8">
        <v>1345.1481209999999</v>
      </c>
      <c r="AC240" s="7">
        <v>1.7840830000000001</v>
      </c>
      <c r="AD240" s="7" t="s">
        <v>1226</v>
      </c>
      <c r="AE240" s="8">
        <v>1348.1472000000001</v>
      </c>
      <c r="AF240" s="8">
        <v>0</v>
      </c>
      <c r="AG240" s="8">
        <v>1348.1472000000001</v>
      </c>
      <c r="AH240" s="8">
        <v>0</v>
      </c>
      <c r="AI240" s="7" t="s">
        <v>1736</v>
      </c>
      <c r="AJ240" s="7">
        <f t="shared" ca="1" si="45"/>
        <v>1</v>
      </c>
      <c r="AL240" s="96">
        <f t="shared" ref="AL240:AL242" si="56">(+AA240*AB240)/$AB$612</f>
        <v>7.9753938651046551E-6</v>
      </c>
      <c r="AM240" s="97">
        <f t="shared" ref="AM240:AM242" si="57">AC240/$AE$612*AE240</f>
        <v>4.1579149232574902E-5</v>
      </c>
    </row>
    <row r="241" spans="1:39" x14ac:dyDescent="0.3">
      <c r="A241" s="7" t="s">
        <v>2025</v>
      </c>
      <c r="B241" s="7" t="s">
        <v>1320</v>
      </c>
      <c r="C241" s="7" t="s">
        <v>1323</v>
      </c>
      <c r="D241" s="7" t="s">
        <v>1792</v>
      </c>
      <c r="E241" s="7" t="s">
        <v>1322</v>
      </c>
      <c r="F241" s="36">
        <v>43983</v>
      </c>
      <c r="G241" s="36">
        <v>44681</v>
      </c>
      <c r="H241" s="36">
        <v>44681</v>
      </c>
      <c r="I241" s="36">
        <v>44681</v>
      </c>
      <c r="J241" s="7" t="s">
        <v>1696</v>
      </c>
      <c r="K241" s="8">
        <v>0</v>
      </c>
      <c r="L241" s="8">
        <v>0</v>
      </c>
      <c r="M241" s="8">
        <v>7200</v>
      </c>
      <c r="N241" s="8">
        <v>0</v>
      </c>
      <c r="O241" s="8">
        <v>0</v>
      </c>
      <c r="P241" s="8">
        <v>0</v>
      </c>
      <c r="Q241" s="8">
        <v>0</v>
      </c>
      <c r="R241" s="8">
        <f t="shared" si="44"/>
        <v>7200</v>
      </c>
      <c r="S241" s="8">
        <v>0</v>
      </c>
      <c r="T241" s="8">
        <v>0</v>
      </c>
      <c r="U241" s="8">
        <v>7200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7">
        <v>0.32876699999999998</v>
      </c>
      <c r="AB241" s="8">
        <v>2394.660981</v>
      </c>
      <c r="AC241" s="7">
        <v>1.7840830000000001</v>
      </c>
      <c r="AD241" s="7" t="s">
        <v>1226</v>
      </c>
      <c r="AE241" s="8">
        <v>2400</v>
      </c>
      <c r="AF241" s="8">
        <v>0</v>
      </c>
      <c r="AG241" s="8">
        <v>2400</v>
      </c>
      <c r="AH241" s="8">
        <v>0</v>
      </c>
      <c r="AI241" s="7" t="s">
        <v>1736</v>
      </c>
      <c r="AJ241" s="7">
        <f t="shared" ca="1" si="45"/>
        <v>1</v>
      </c>
      <c r="AL241" s="96">
        <f t="shared" si="56"/>
        <v>1.4197963925842557E-5</v>
      </c>
      <c r="AM241" s="97">
        <f t="shared" si="57"/>
        <v>7.4020075966615335E-5</v>
      </c>
    </row>
    <row r="242" spans="1:39" x14ac:dyDescent="0.3">
      <c r="A242" s="7" t="s">
        <v>2026</v>
      </c>
      <c r="B242" s="7" t="s">
        <v>1320</v>
      </c>
      <c r="C242" s="7" t="s">
        <v>1323</v>
      </c>
      <c r="D242" s="7" t="s">
        <v>1792</v>
      </c>
      <c r="E242" s="7" t="s">
        <v>1322</v>
      </c>
      <c r="F242" s="36">
        <v>44090</v>
      </c>
      <c r="G242" s="36">
        <v>44666</v>
      </c>
      <c r="H242" s="36">
        <v>44666</v>
      </c>
      <c r="I242" s="36">
        <v>44666</v>
      </c>
      <c r="J242" s="7" t="s">
        <v>1696</v>
      </c>
      <c r="K242" s="8">
        <v>0</v>
      </c>
      <c r="L242" s="8">
        <v>0</v>
      </c>
      <c r="M242" s="8">
        <v>5033.9165039999998</v>
      </c>
      <c r="N242" s="8">
        <v>0</v>
      </c>
      <c r="O242" s="8">
        <v>0</v>
      </c>
      <c r="P242" s="8">
        <v>0</v>
      </c>
      <c r="Q242" s="8">
        <v>0</v>
      </c>
      <c r="R242" s="8">
        <f t="shared" si="44"/>
        <v>5033.9165039999998</v>
      </c>
      <c r="S242" s="8">
        <v>0</v>
      </c>
      <c r="T242" s="8">
        <v>0</v>
      </c>
      <c r="U242" s="8">
        <v>4799.9998800000003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7">
        <v>0.28767100000000001</v>
      </c>
      <c r="AB242" s="8">
        <v>1197.4704750000001</v>
      </c>
      <c r="AC242" s="7">
        <v>1.7084170000000001</v>
      </c>
      <c r="AD242" s="7" t="s">
        <v>1226</v>
      </c>
      <c r="AE242" s="8">
        <v>1199.9999700000001</v>
      </c>
      <c r="AF242" s="8">
        <v>0</v>
      </c>
      <c r="AG242" s="8">
        <v>1199.9999700000001</v>
      </c>
      <c r="AH242" s="8">
        <v>0</v>
      </c>
      <c r="AI242" s="7" t="s">
        <v>1736</v>
      </c>
      <c r="AJ242" s="7">
        <f t="shared" ca="1" si="45"/>
        <v>1</v>
      </c>
      <c r="AL242" s="96">
        <f t="shared" si="56"/>
        <v>6.2123327412056679E-6</v>
      </c>
      <c r="AM242" s="97">
        <f t="shared" si="57"/>
        <v>3.5440378323550018E-5</v>
      </c>
    </row>
    <row r="243" spans="1:39" x14ac:dyDescent="0.3">
      <c r="A243" s="7" t="s">
        <v>2593</v>
      </c>
      <c r="B243" s="7" t="s">
        <v>1320</v>
      </c>
      <c r="C243" s="7" t="s">
        <v>1323</v>
      </c>
      <c r="D243" s="7" t="s">
        <v>1694</v>
      </c>
      <c r="E243" s="7" t="s">
        <v>1695</v>
      </c>
      <c r="F243" s="36">
        <v>42801</v>
      </c>
      <c r="G243" s="36">
        <v>43896</v>
      </c>
      <c r="H243" s="36">
        <v>44259</v>
      </c>
      <c r="I243" s="36">
        <v>44259</v>
      </c>
      <c r="J243" s="7" t="s">
        <v>1699</v>
      </c>
      <c r="K243" s="8">
        <v>0</v>
      </c>
      <c r="L243" s="8">
        <v>0</v>
      </c>
      <c r="M243" s="8">
        <v>0</v>
      </c>
      <c r="N243" s="8">
        <v>109677.4195</v>
      </c>
      <c r="O243" s="8">
        <v>0</v>
      </c>
      <c r="P243" s="8">
        <v>0</v>
      </c>
      <c r="Q243" s="8">
        <v>0</v>
      </c>
      <c r="R243" s="8">
        <f t="shared" si="44"/>
        <v>109677.4195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7">
        <v>0</v>
      </c>
      <c r="AB243" s="8">
        <v>0</v>
      </c>
      <c r="AC243" s="7">
        <v>7</v>
      </c>
      <c r="AD243" s="7" t="s">
        <v>1226</v>
      </c>
      <c r="AE243" s="8">
        <v>0</v>
      </c>
      <c r="AF243" s="8">
        <v>0</v>
      </c>
      <c r="AG243" s="8">
        <v>0</v>
      </c>
      <c r="AH243" s="8">
        <v>0</v>
      </c>
      <c r="AI243" s="7" t="s">
        <v>1194</v>
      </c>
      <c r="AJ243" s="7">
        <f t="shared" ca="1" si="45"/>
        <v>1</v>
      </c>
      <c r="AL243" s="100">
        <f>(+AA243*AB243)/$AB$613</f>
        <v>0</v>
      </c>
      <c r="AM243" s="97">
        <f>AC243/$AE$613*AE243</f>
        <v>0</v>
      </c>
    </row>
    <row r="244" spans="1:39" x14ac:dyDescent="0.3">
      <c r="A244" s="7" t="s">
        <v>2027</v>
      </c>
      <c r="B244" s="7" t="s">
        <v>1320</v>
      </c>
      <c r="C244" s="7" t="s">
        <v>1323</v>
      </c>
      <c r="D244" s="7" t="s">
        <v>1694</v>
      </c>
      <c r="E244" s="7" t="s">
        <v>1322</v>
      </c>
      <c r="F244" s="36">
        <v>44259</v>
      </c>
      <c r="G244" s="36">
        <v>45172</v>
      </c>
      <c r="H244" s="36">
        <v>45172</v>
      </c>
      <c r="I244" s="36">
        <v>45172</v>
      </c>
      <c r="J244" s="7" t="s">
        <v>1239</v>
      </c>
      <c r="K244" s="8">
        <v>490807.75167600001</v>
      </c>
      <c r="L244" s="8">
        <v>10283.045335999999</v>
      </c>
      <c r="M244" s="8">
        <v>0</v>
      </c>
      <c r="N244" s="8">
        <v>-4838.7098230000001</v>
      </c>
      <c r="O244" s="8">
        <v>0</v>
      </c>
      <c r="P244" s="8">
        <v>0</v>
      </c>
      <c r="Q244" s="8">
        <v>0</v>
      </c>
      <c r="R244" s="8">
        <f t="shared" si="44"/>
        <v>496252.08718899998</v>
      </c>
      <c r="S244" s="8">
        <v>0</v>
      </c>
      <c r="T244" s="8">
        <v>9788.7902740000009</v>
      </c>
      <c r="U244" s="8">
        <v>0</v>
      </c>
      <c r="V244" s="8">
        <v>490211.20972599997</v>
      </c>
      <c r="W244" s="8">
        <v>0</v>
      </c>
      <c r="X244" s="8">
        <v>0</v>
      </c>
      <c r="Y244" s="8">
        <v>0</v>
      </c>
      <c r="Z244" s="8">
        <v>743405.87794699997</v>
      </c>
      <c r="AA244" s="7">
        <v>1.6739729999999999</v>
      </c>
      <c r="AB244" s="8">
        <v>248355.95839799999</v>
      </c>
      <c r="AC244" s="7">
        <v>2.6440000000000001</v>
      </c>
      <c r="AD244" s="7" t="s">
        <v>1226</v>
      </c>
      <c r="AE244" s="8">
        <v>250000</v>
      </c>
      <c r="AF244" s="8">
        <v>0</v>
      </c>
      <c r="AG244" s="8">
        <v>250000</v>
      </c>
      <c r="AH244" s="8">
        <v>0</v>
      </c>
      <c r="AI244" s="7" t="s">
        <v>1194</v>
      </c>
      <c r="AJ244" s="7">
        <f t="shared" ca="1" si="45"/>
        <v>1</v>
      </c>
      <c r="AL244" s="96">
        <f t="shared" si="46"/>
        <v>2.4926581811569501E-3</v>
      </c>
      <c r="AM244" s="97">
        <f t="shared" si="47"/>
        <v>4.3018988385461884E-3</v>
      </c>
    </row>
    <row r="245" spans="1:39" x14ac:dyDescent="0.3">
      <c r="A245" s="7" t="s">
        <v>2028</v>
      </c>
      <c r="B245" s="7" t="s">
        <v>1320</v>
      </c>
      <c r="C245" s="7" t="s">
        <v>1323</v>
      </c>
      <c r="D245" s="7" t="s">
        <v>1694</v>
      </c>
      <c r="E245" s="7" t="s">
        <v>1739</v>
      </c>
      <c r="F245" s="36">
        <v>42801</v>
      </c>
      <c r="G245" s="36">
        <v>43896</v>
      </c>
      <c r="J245" s="7" t="s">
        <v>1699</v>
      </c>
      <c r="K245" s="8">
        <v>0</v>
      </c>
      <c r="L245" s="8">
        <v>0</v>
      </c>
      <c r="M245" s="8">
        <v>0</v>
      </c>
      <c r="N245" s="8">
        <v>720000</v>
      </c>
      <c r="O245" s="8">
        <v>0</v>
      </c>
      <c r="P245" s="8">
        <v>0</v>
      </c>
      <c r="Q245" s="8">
        <v>0</v>
      </c>
      <c r="R245" s="8">
        <f t="shared" si="44"/>
        <v>720000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7">
        <v>0</v>
      </c>
      <c r="AB245" s="8">
        <v>0</v>
      </c>
      <c r="AC245" s="7">
        <v>7</v>
      </c>
      <c r="AD245" s="7" t="s">
        <v>1226</v>
      </c>
      <c r="AE245" s="8">
        <v>60000</v>
      </c>
      <c r="AF245" s="8">
        <v>0</v>
      </c>
      <c r="AG245" s="8">
        <v>60000</v>
      </c>
      <c r="AH245" s="8">
        <v>0</v>
      </c>
      <c r="AI245" s="7" t="s">
        <v>1194</v>
      </c>
      <c r="AJ245" s="7">
        <f t="shared" ca="1" si="45"/>
        <v>1</v>
      </c>
      <c r="AL245" s="100">
        <f>(+AA245*AB245)/$AB$613</f>
        <v>0</v>
      </c>
      <c r="AM245" s="97">
        <f>AC245/$AE$613*AE245</f>
        <v>0.30676647626296055</v>
      </c>
    </row>
    <row r="246" spans="1:39" x14ac:dyDescent="0.3">
      <c r="A246" s="7" t="s">
        <v>2029</v>
      </c>
      <c r="B246" s="7" t="s">
        <v>1320</v>
      </c>
      <c r="C246" s="7" t="s">
        <v>1323</v>
      </c>
      <c r="D246" s="7" t="s">
        <v>1694</v>
      </c>
      <c r="E246" s="7" t="s">
        <v>1739</v>
      </c>
      <c r="F246" s="36">
        <v>42801</v>
      </c>
      <c r="G246" s="36">
        <v>43896</v>
      </c>
      <c r="I246" s="36">
        <v>44991</v>
      </c>
      <c r="J246" s="7" t="s">
        <v>1696</v>
      </c>
      <c r="K246" s="8">
        <v>0</v>
      </c>
      <c r="L246" s="8">
        <v>0</v>
      </c>
      <c r="M246" s="8">
        <v>133415.66155399999</v>
      </c>
      <c r="N246" s="8">
        <v>0</v>
      </c>
      <c r="O246" s="8">
        <v>0</v>
      </c>
      <c r="P246" s="8">
        <v>0</v>
      </c>
      <c r="Q246" s="8">
        <v>0</v>
      </c>
      <c r="R246" s="8">
        <f t="shared" si="44"/>
        <v>133415.66155399999</v>
      </c>
      <c r="S246" s="8">
        <v>0</v>
      </c>
      <c r="T246" s="8">
        <v>0</v>
      </c>
      <c r="U246" s="8">
        <v>200000</v>
      </c>
      <c r="V246" s="8">
        <v>0</v>
      </c>
      <c r="W246" s="8">
        <v>0</v>
      </c>
      <c r="X246" s="8">
        <v>0</v>
      </c>
      <c r="Y246" s="8">
        <v>0</v>
      </c>
      <c r="Z246" s="8">
        <v>143922.31402699999</v>
      </c>
      <c r="AA246" s="7">
        <v>1.1780820000000001</v>
      </c>
      <c r="AB246" s="8">
        <v>0</v>
      </c>
      <c r="AC246" s="7">
        <v>2.920417</v>
      </c>
      <c r="AD246" s="7" t="s">
        <v>1697</v>
      </c>
      <c r="AE246" s="8">
        <v>0</v>
      </c>
      <c r="AF246" s="8">
        <v>0</v>
      </c>
      <c r="AG246" s="8">
        <v>0</v>
      </c>
      <c r="AH246" s="8">
        <v>0</v>
      </c>
      <c r="AI246" s="7" t="s">
        <v>1194</v>
      </c>
      <c r="AJ246" s="7">
        <f t="shared" ca="1" si="45"/>
        <v>1</v>
      </c>
      <c r="AL246" s="96">
        <f t="shared" ref="AL246:AL247" si="58">(+AA246*AB246)/$AB$612</f>
        <v>0</v>
      </c>
      <c r="AM246" s="97">
        <f t="shared" ref="AM246:AM247" si="59">AC246/$AE$612*AE246</f>
        <v>0</v>
      </c>
    </row>
    <row r="247" spans="1:39" x14ac:dyDescent="0.3">
      <c r="A247" s="7" t="s">
        <v>2030</v>
      </c>
      <c r="B247" s="7" t="s">
        <v>1320</v>
      </c>
      <c r="C247" s="7" t="s">
        <v>1323</v>
      </c>
      <c r="D247" s="7" t="s">
        <v>1694</v>
      </c>
      <c r="E247" s="7" t="s">
        <v>1739</v>
      </c>
      <c r="F247" s="36">
        <v>42801</v>
      </c>
      <c r="G247" s="36">
        <v>43896</v>
      </c>
      <c r="I247" s="36">
        <v>44991</v>
      </c>
      <c r="J247" s="7" t="s">
        <v>1696</v>
      </c>
      <c r="K247" s="8">
        <v>0</v>
      </c>
      <c r="L247" s="8">
        <v>0</v>
      </c>
      <c r="M247" s="8">
        <v>29317.117104000001</v>
      </c>
      <c r="N247" s="8">
        <v>0</v>
      </c>
      <c r="O247" s="8">
        <v>0</v>
      </c>
      <c r="P247" s="8">
        <v>0</v>
      </c>
      <c r="Q247" s="8">
        <v>0</v>
      </c>
      <c r="R247" s="8">
        <f t="shared" si="44"/>
        <v>29317.117104000001</v>
      </c>
      <c r="S247" s="8">
        <v>0</v>
      </c>
      <c r="T247" s="8">
        <v>0</v>
      </c>
      <c r="U247" s="8">
        <v>50000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7">
        <v>1.1780820000000001</v>
      </c>
      <c r="AB247" s="8">
        <v>0</v>
      </c>
      <c r="AC247" s="7">
        <v>2.920417</v>
      </c>
      <c r="AD247" s="7" t="s">
        <v>1697</v>
      </c>
      <c r="AE247" s="8">
        <v>0</v>
      </c>
      <c r="AF247" s="8">
        <v>0</v>
      </c>
      <c r="AG247" s="8">
        <v>0</v>
      </c>
      <c r="AH247" s="8">
        <v>0</v>
      </c>
      <c r="AI247" s="7" t="s">
        <v>1194</v>
      </c>
      <c r="AJ247" s="7">
        <f t="shared" ca="1" si="45"/>
        <v>1</v>
      </c>
      <c r="AL247" s="96">
        <f t="shared" si="58"/>
        <v>0</v>
      </c>
      <c r="AM247" s="97">
        <f t="shared" si="59"/>
        <v>0</v>
      </c>
    </row>
    <row r="248" spans="1:39" x14ac:dyDescent="0.3">
      <c r="A248" s="7" t="s">
        <v>2031</v>
      </c>
      <c r="B248" s="7" t="s">
        <v>1320</v>
      </c>
      <c r="C248" s="7" t="s">
        <v>1323</v>
      </c>
      <c r="D248" s="7" t="s">
        <v>1694</v>
      </c>
      <c r="E248" s="7" t="s">
        <v>1739</v>
      </c>
      <c r="F248" s="36">
        <v>42801</v>
      </c>
      <c r="G248" s="36">
        <v>43896</v>
      </c>
      <c r="J248" s="7" t="s">
        <v>1699</v>
      </c>
      <c r="K248" s="8">
        <v>0</v>
      </c>
      <c r="L248" s="8">
        <v>0</v>
      </c>
      <c r="M248" s="8">
        <v>0</v>
      </c>
      <c r="N248" s="8">
        <v>600000</v>
      </c>
      <c r="O248" s="8">
        <v>0</v>
      </c>
      <c r="P248" s="8">
        <v>0</v>
      </c>
      <c r="Q248" s="8">
        <v>0</v>
      </c>
      <c r="R248" s="8">
        <f t="shared" si="44"/>
        <v>600000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7">
        <v>0</v>
      </c>
      <c r="AB248" s="8">
        <v>0</v>
      </c>
      <c r="AC248" s="7">
        <v>7</v>
      </c>
      <c r="AD248" s="7" t="s">
        <v>1226</v>
      </c>
      <c r="AE248" s="8">
        <v>50000</v>
      </c>
      <c r="AF248" s="8">
        <v>0</v>
      </c>
      <c r="AG248" s="8">
        <v>50000</v>
      </c>
      <c r="AH248" s="8">
        <v>0</v>
      </c>
      <c r="AI248" s="7" t="s">
        <v>1194</v>
      </c>
      <c r="AJ248" s="7">
        <f t="shared" ca="1" si="45"/>
        <v>1</v>
      </c>
      <c r="AL248" s="100">
        <f t="shared" ref="AL248:AL255" si="60">(+AA248*AB248)/$AB$613</f>
        <v>0</v>
      </c>
      <c r="AM248" s="97">
        <f t="shared" ref="AM248:AM255" si="61">AC248/$AE$613*AE248</f>
        <v>0.2556387302191338</v>
      </c>
    </row>
    <row r="249" spans="1:39" x14ac:dyDescent="0.3">
      <c r="A249" s="7" t="s">
        <v>2032</v>
      </c>
      <c r="B249" s="7" t="s">
        <v>1320</v>
      </c>
      <c r="C249" s="7" t="s">
        <v>1323</v>
      </c>
      <c r="D249" s="7" t="s">
        <v>1694</v>
      </c>
      <c r="E249" s="7" t="s">
        <v>1739</v>
      </c>
      <c r="F249" s="36">
        <v>42801</v>
      </c>
      <c r="G249" s="36">
        <v>43896</v>
      </c>
      <c r="J249" s="7" t="s">
        <v>1699</v>
      </c>
      <c r="K249" s="8">
        <v>0</v>
      </c>
      <c r="L249" s="8">
        <v>0</v>
      </c>
      <c r="M249" s="8">
        <v>0</v>
      </c>
      <c r="N249" s="8">
        <v>600000</v>
      </c>
      <c r="O249" s="8">
        <v>0</v>
      </c>
      <c r="P249" s="8">
        <v>0</v>
      </c>
      <c r="Q249" s="8">
        <v>0</v>
      </c>
      <c r="R249" s="8">
        <f t="shared" si="44"/>
        <v>600000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7">
        <v>0</v>
      </c>
      <c r="AB249" s="8">
        <v>0</v>
      </c>
      <c r="AC249" s="7">
        <v>7</v>
      </c>
      <c r="AD249" s="7" t="s">
        <v>1226</v>
      </c>
      <c r="AE249" s="8">
        <v>50000</v>
      </c>
      <c r="AF249" s="8">
        <v>0</v>
      </c>
      <c r="AG249" s="8">
        <v>50000</v>
      </c>
      <c r="AH249" s="8">
        <v>0</v>
      </c>
      <c r="AI249" s="7" t="s">
        <v>1194</v>
      </c>
      <c r="AJ249" s="7">
        <f t="shared" ca="1" si="45"/>
        <v>1</v>
      </c>
      <c r="AL249" s="100">
        <f t="shared" si="60"/>
        <v>0</v>
      </c>
      <c r="AM249" s="97">
        <f t="shared" si="61"/>
        <v>0.2556387302191338</v>
      </c>
    </row>
    <row r="250" spans="1:39" x14ac:dyDescent="0.3">
      <c r="A250" s="7" t="s">
        <v>2033</v>
      </c>
      <c r="B250" s="7" t="s">
        <v>1320</v>
      </c>
      <c r="C250" s="7" t="s">
        <v>1323</v>
      </c>
      <c r="D250" s="7" t="s">
        <v>1694</v>
      </c>
      <c r="E250" s="7" t="s">
        <v>1739</v>
      </c>
      <c r="F250" s="36">
        <v>42801</v>
      </c>
      <c r="G250" s="36">
        <v>43045</v>
      </c>
      <c r="J250" s="7" t="s">
        <v>1699</v>
      </c>
      <c r="K250" s="8">
        <v>0</v>
      </c>
      <c r="L250" s="8">
        <v>0</v>
      </c>
      <c r="M250" s="8">
        <v>0</v>
      </c>
      <c r="N250" s="8">
        <v>600000</v>
      </c>
      <c r="O250" s="8">
        <v>0</v>
      </c>
      <c r="P250" s="8">
        <v>672096.77419400006</v>
      </c>
      <c r="Q250" s="8">
        <v>0</v>
      </c>
      <c r="R250" s="8">
        <f t="shared" si="44"/>
        <v>1272096.7741940001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7">
        <v>0</v>
      </c>
      <c r="AB250" s="8">
        <v>0</v>
      </c>
      <c r="AC250" s="7">
        <v>7</v>
      </c>
      <c r="AD250" s="7" t="s">
        <v>1226</v>
      </c>
      <c r="AE250" s="8">
        <v>50000</v>
      </c>
      <c r="AF250" s="8">
        <v>0</v>
      </c>
      <c r="AG250" s="8">
        <v>50000</v>
      </c>
      <c r="AH250" s="8">
        <v>0</v>
      </c>
      <c r="AI250" s="7" t="s">
        <v>1194</v>
      </c>
      <c r="AJ250" s="7">
        <f t="shared" ca="1" si="45"/>
        <v>1</v>
      </c>
      <c r="AL250" s="100">
        <f t="shared" si="60"/>
        <v>0</v>
      </c>
      <c r="AM250" s="97">
        <f t="shared" si="61"/>
        <v>0.2556387302191338</v>
      </c>
    </row>
    <row r="251" spans="1:39" x14ac:dyDescent="0.3">
      <c r="A251" s="7" t="s">
        <v>2034</v>
      </c>
      <c r="B251" s="7" t="s">
        <v>1320</v>
      </c>
      <c r="C251" s="7" t="s">
        <v>1323</v>
      </c>
      <c r="D251" s="7" t="s">
        <v>1694</v>
      </c>
      <c r="E251" s="7" t="s">
        <v>1739</v>
      </c>
      <c r="F251" s="36">
        <v>42801</v>
      </c>
      <c r="G251" s="36">
        <v>43896</v>
      </c>
      <c r="J251" s="7" t="s">
        <v>1699</v>
      </c>
      <c r="K251" s="8">
        <v>0</v>
      </c>
      <c r="L251" s="8">
        <v>0</v>
      </c>
      <c r="M251" s="8">
        <v>0</v>
      </c>
      <c r="N251" s="8">
        <v>600000</v>
      </c>
      <c r="O251" s="8">
        <v>0</v>
      </c>
      <c r="P251" s="8">
        <v>0</v>
      </c>
      <c r="Q251" s="8">
        <v>0</v>
      </c>
      <c r="R251" s="8">
        <f t="shared" si="44"/>
        <v>600000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7">
        <v>0</v>
      </c>
      <c r="AB251" s="8">
        <v>0</v>
      </c>
      <c r="AC251" s="7">
        <v>7</v>
      </c>
      <c r="AD251" s="7" t="s">
        <v>1226</v>
      </c>
      <c r="AE251" s="8">
        <v>50000</v>
      </c>
      <c r="AF251" s="8">
        <v>0</v>
      </c>
      <c r="AG251" s="8">
        <v>50000</v>
      </c>
      <c r="AH251" s="8">
        <v>0</v>
      </c>
      <c r="AI251" s="7" t="s">
        <v>1194</v>
      </c>
      <c r="AJ251" s="7">
        <f t="shared" ca="1" si="45"/>
        <v>1</v>
      </c>
      <c r="AL251" s="100">
        <f t="shared" si="60"/>
        <v>0</v>
      </c>
      <c r="AM251" s="97">
        <f t="shared" si="61"/>
        <v>0.2556387302191338</v>
      </c>
    </row>
    <row r="252" spans="1:39" x14ac:dyDescent="0.3">
      <c r="A252" s="7" t="s">
        <v>2594</v>
      </c>
      <c r="B252" s="7" t="s">
        <v>1320</v>
      </c>
      <c r="C252" s="7" t="s">
        <v>1323</v>
      </c>
      <c r="D252" s="7" t="s">
        <v>1694</v>
      </c>
      <c r="E252" s="7" t="s">
        <v>1695</v>
      </c>
      <c r="F252" s="36">
        <v>42801</v>
      </c>
      <c r="G252" s="36">
        <v>43896</v>
      </c>
      <c r="H252" s="36">
        <v>44259</v>
      </c>
      <c r="I252" s="36">
        <v>44259</v>
      </c>
      <c r="J252" s="7" t="s">
        <v>1699</v>
      </c>
      <c r="K252" s="8">
        <v>0</v>
      </c>
      <c r="L252" s="8">
        <v>0</v>
      </c>
      <c r="M252" s="8">
        <v>0</v>
      </c>
      <c r="N252" s="8">
        <v>110714.28548799999</v>
      </c>
      <c r="O252" s="8">
        <v>0</v>
      </c>
      <c r="P252" s="8">
        <v>0</v>
      </c>
      <c r="Q252" s="8">
        <v>0</v>
      </c>
      <c r="R252" s="8">
        <f t="shared" si="44"/>
        <v>110714.28548799999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7">
        <v>0</v>
      </c>
      <c r="AB252" s="8">
        <v>0</v>
      </c>
      <c r="AC252" s="7">
        <v>7</v>
      </c>
      <c r="AD252" s="7" t="s">
        <v>1226</v>
      </c>
      <c r="AE252" s="8">
        <v>0</v>
      </c>
      <c r="AF252" s="8">
        <v>0</v>
      </c>
      <c r="AG252" s="8">
        <v>0</v>
      </c>
      <c r="AH252" s="8">
        <v>0</v>
      </c>
      <c r="AI252" s="7" t="s">
        <v>1194</v>
      </c>
      <c r="AJ252" s="7">
        <f t="shared" ca="1" si="45"/>
        <v>1</v>
      </c>
      <c r="AL252" s="100">
        <f t="shared" si="60"/>
        <v>0</v>
      </c>
      <c r="AM252" s="97">
        <f t="shared" si="61"/>
        <v>0</v>
      </c>
    </row>
    <row r="253" spans="1:39" x14ac:dyDescent="0.3">
      <c r="A253" s="7" t="s">
        <v>2035</v>
      </c>
      <c r="B253" s="7" t="s">
        <v>1320</v>
      </c>
      <c r="C253" s="7" t="s">
        <v>1323</v>
      </c>
      <c r="D253" s="7" t="s">
        <v>1694</v>
      </c>
      <c r="E253" s="7" t="s">
        <v>1322</v>
      </c>
      <c r="F253" s="36">
        <v>44259</v>
      </c>
      <c r="G253" s="36">
        <v>44868</v>
      </c>
      <c r="H253" s="36">
        <v>44868</v>
      </c>
      <c r="I253" s="36">
        <v>44564</v>
      </c>
      <c r="J253" s="7" t="s">
        <v>1699</v>
      </c>
      <c r="K253" s="8">
        <v>0</v>
      </c>
      <c r="L253" s="8">
        <v>0</v>
      </c>
      <c r="M253" s="8">
        <v>0</v>
      </c>
      <c r="N253" s="8">
        <v>495104.43423900002</v>
      </c>
      <c r="O253" s="8">
        <v>0</v>
      </c>
      <c r="P253" s="8">
        <v>0</v>
      </c>
      <c r="Q253" s="8">
        <v>0</v>
      </c>
      <c r="R253" s="8">
        <f t="shared" si="44"/>
        <v>495104.43423900002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7">
        <v>8.2190000000000006E-3</v>
      </c>
      <c r="AB253" s="8">
        <v>0</v>
      </c>
      <c r="AC253" s="7">
        <v>2.0506669999999998</v>
      </c>
      <c r="AD253" s="7" t="s">
        <v>1226</v>
      </c>
      <c r="AE253" s="8">
        <v>0</v>
      </c>
      <c r="AF253" s="8">
        <v>0</v>
      </c>
      <c r="AG253" s="8">
        <v>0</v>
      </c>
      <c r="AH253" s="8">
        <v>0</v>
      </c>
      <c r="AI253" s="7" t="s">
        <v>1194</v>
      </c>
      <c r="AJ253" s="7">
        <f t="shared" ca="1" si="45"/>
        <v>1</v>
      </c>
      <c r="AL253" s="100">
        <f t="shared" si="60"/>
        <v>0</v>
      </c>
      <c r="AM253" s="97">
        <f t="shared" si="61"/>
        <v>0</v>
      </c>
    </row>
    <row r="254" spans="1:39" x14ac:dyDescent="0.3">
      <c r="A254" s="7" t="s">
        <v>2036</v>
      </c>
      <c r="B254" s="7" t="s">
        <v>1320</v>
      </c>
      <c r="C254" s="7" t="s">
        <v>1323</v>
      </c>
      <c r="D254" s="7" t="s">
        <v>1694</v>
      </c>
      <c r="E254" s="7" t="s">
        <v>1695</v>
      </c>
      <c r="F254" s="36">
        <v>42801</v>
      </c>
      <c r="G254" s="36">
        <v>43896</v>
      </c>
      <c r="H254" s="36">
        <v>43896</v>
      </c>
      <c r="I254" s="36">
        <v>43896</v>
      </c>
      <c r="J254" s="7" t="s">
        <v>1699</v>
      </c>
      <c r="K254" s="8">
        <v>0</v>
      </c>
      <c r="L254" s="8">
        <v>0</v>
      </c>
      <c r="M254" s="8">
        <v>0</v>
      </c>
      <c r="N254" s="8">
        <v>600000</v>
      </c>
      <c r="O254" s="8">
        <v>0</v>
      </c>
      <c r="P254" s="8">
        <v>0</v>
      </c>
      <c r="Q254" s="8">
        <v>0</v>
      </c>
      <c r="R254" s="8">
        <f t="shared" si="44"/>
        <v>600000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7">
        <v>0</v>
      </c>
      <c r="AB254" s="8">
        <v>0</v>
      </c>
      <c r="AC254" s="7">
        <v>7</v>
      </c>
      <c r="AD254" s="7" t="s">
        <v>1226</v>
      </c>
      <c r="AE254" s="8">
        <v>50000</v>
      </c>
      <c r="AF254" s="8">
        <v>0</v>
      </c>
      <c r="AG254" s="8">
        <v>50000</v>
      </c>
      <c r="AH254" s="8">
        <v>0</v>
      </c>
      <c r="AI254" s="7" t="s">
        <v>1194</v>
      </c>
      <c r="AJ254" s="7">
        <f t="shared" ca="1" si="45"/>
        <v>1</v>
      </c>
      <c r="AL254" s="100">
        <f t="shared" si="60"/>
        <v>0</v>
      </c>
      <c r="AM254" s="97">
        <f t="shared" si="61"/>
        <v>0.2556387302191338</v>
      </c>
    </row>
    <row r="255" spans="1:39" x14ac:dyDescent="0.3">
      <c r="A255" s="7" t="s">
        <v>2595</v>
      </c>
      <c r="B255" s="7" t="s">
        <v>1320</v>
      </c>
      <c r="C255" s="7" t="s">
        <v>1323</v>
      </c>
      <c r="D255" s="7" t="s">
        <v>1694</v>
      </c>
      <c r="E255" s="7" t="s">
        <v>1695</v>
      </c>
      <c r="F255" s="36">
        <v>42801</v>
      </c>
      <c r="G255" s="36">
        <v>43896</v>
      </c>
      <c r="H255" s="36">
        <v>44409</v>
      </c>
      <c r="I255" s="36">
        <v>44409</v>
      </c>
      <c r="J255" s="7" t="s">
        <v>1699</v>
      </c>
      <c r="K255" s="8">
        <v>0</v>
      </c>
      <c r="L255" s="8">
        <v>0</v>
      </c>
      <c r="M255" s="8">
        <v>0</v>
      </c>
      <c r="N255" s="8">
        <v>359677.41950000002</v>
      </c>
      <c r="O255" s="8">
        <v>0</v>
      </c>
      <c r="P255" s="8">
        <v>0</v>
      </c>
      <c r="Q255" s="8">
        <v>0</v>
      </c>
      <c r="R255" s="8">
        <f t="shared" si="44"/>
        <v>359677.41950000002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7">
        <v>0</v>
      </c>
      <c r="AB255" s="8">
        <v>0</v>
      </c>
      <c r="AC255" s="7">
        <v>7</v>
      </c>
      <c r="AD255" s="7" t="s">
        <v>1226</v>
      </c>
      <c r="AE255" s="8">
        <v>0</v>
      </c>
      <c r="AF255" s="8">
        <v>0</v>
      </c>
      <c r="AG255" s="8">
        <v>0</v>
      </c>
      <c r="AH255" s="8">
        <v>0</v>
      </c>
      <c r="AI255" s="7" t="s">
        <v>1194</v>
      </c>
      <c r="AJ255" s="7">
        <f t="shared" ca="1" si="45"/>
        <v>1</v>
      </c>
      <c r="AL255" s="100">
        <f t="shared" si="60"/>
        <v>0</v>
      </c>
      <c r="AM255" s="97">
        <f t="shared" si="61"/>
        <v>0</v>
      </c>
    </row>
    <row r="256" spans="1:39" x14ac:dyDescent="0.3">
      <c r="A256" s="7" t="s">
        <v>2037</v>
      </c>
      <c r="B256" s="7" t="s">
        <v>1320</v>
      </c>
      <c r="C256" s="7" t="s">
        <v>1323</v>
      </c>
      <c r="D256" s="7" t="s">
        <v>1694</v>
      </c>
      <c r="E256" s="7" t="s">
        <v>1322</v>
      </c>
      <c r="F256" s="36">
        <v>44409</v>
      </c>
      <c r="G256" s="36">
        <v>45138</v>
      </c>
      <c r="H256" s="36">
        <v>45138</v>
      </c>
      <c r="I256" s="36">
        <v>45138</v>
      </c>
      <c r="J256" s="7" t="s">
        <v>1239</v>
      </c>
      <c r="K256" s="8">
        <v>236030.58089000001</v>
      </c>
      <c r="L256" s="8">
        <v>28737.306012000001</v>
      </c>
      <c r="M256" s="8">
        <v>0</v>
      </c>
      <c r="N256" s="8">
        <v>-9677.4195</v>
      </c>
      <c r="O256" s="8">
        <v>0</v>
      </c>
      <c r="P256" s="8">
        <v>0</v>
      </c>
      <c r="Q256" s="8">
        <v>0</v>
      </c>
      <c r="R256" s="8">
        <f t="shared" si="44"/>
        <v>255090.46740200001</v>
      </c>
      <c r="S256" s="8">
        <v>0</v>
      </c>
      <c r="T256" s="8">
        <v>23506.115686000001</v>
      </c>
      <c r="U256" s="8">
        <v>0</v>
      </c>
      <c r="V256" s="8">
        <v>226493.884314</v>
      </c>
      <c r="W256" s="8">
        <v>0</v>
      </c>
      <c r="X256" s="8">
        <v>0</v>
      </c>
      <c r="Y256" s="8">
        <v>0</v>
      </c>
      <c r="Z256" s="8">
        <v>1132946.788254</v>
      </c>
      <c r="AA256" s="7">
        <v>1.5808219999999999</v>
      </c>
      <c r="AB256" s="8">
        <v>896775.48444000003</v>
      </c>
      <c r="AC256" s="7">
        <v>7</v>
      </c>
      <c r="AD256" s="7" t="s">
        <v>1226</v>
      </c>
      <c r="AE256" s="8">
        <v>950000</v>
      </c>
      <c r="AF256" s="8">
        <v>0</v>
      </c>
      <c r="AG256" s="8">
        <v>950000</v>
      </c>
      <c r="AH256" s="8">
        <v>0</v>
      </c>
      <c r="AI256" s="7" t="s">
        <v>1194</v>
      </c>
      <c r="AJ256" s="7">
        <f t="shared" ca="1" si="45"/>
        <v>1</v>
      </c>
      <c r="AL256" s="96">
        <f t="shared" si="46"/>
        <v>8.4997547248240463E-3</v>
      </c>
      <c r="AM256" s="97">
        <f t="shared" si="47"/>
        <v>4.3279315092786916E-2</v>
      </c>
    </row>
    <row r="257" spans="1:39" x14ac:dyDescent="0.3">
      <c r="A257" s="7" t="s">
        <v>2038</v>
      </c>
      <c r="B257" s="7" t="s">
        <v>1320</v>
      </c>
      <c r="C257" s="7" t="s">
        <v>1323</v>
      </c>
      <c r="D257" s="7" t="s">
        <v>1694</v>
      </c>
      <c r="E257" s="7" t="s">
        <v>1739</v>
      </c>
      <c r="F257" s="36">
        <v>42801</v>
      </c>
      <c r="G257" s="36">
        <v>43896</v>
      </c>
      <c r="J257" s="7" t="s">
        <v>1699</v>
      </c>
      <c r="K257" s="8">
        <v>0</v>
      </c>
      <c r="L257" s="8">
        <v>0</v>
      </c>
      <c r="M257" s="8">
        <v>0</v>
      </c>
      <c r="N257" s="8">
        <v>600000</v>
      </c>
      <c r="O257" s="8">
        <v>0</v>
      </c>
      <c r="P257" s="8">
        <v>0</v>
      </c>
      <c r="Q257" s="8">
        <v>0</v>
      </c>
      <c r="R257" s="8">
        <f t="shared" si="44"/>
        <v>600000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7">
        <v>0</v>
      </c>
      <c r="AB257" s="8">
        <v>0</v>
      </c>
      <c r="AC257" s="7">
        <v>7</v>
      </c>
      <c r="AD257" s="7" t="s">
        <v>1226</v>
      </c>
      <c r="AE257" s="8">
        <v>100000</v>
      </c>
      <c r="AF257" s="8">
        <v>0</v>
      </c>
      <c r="AG257" s="8">
        <v>100000</v>
      </c>
      <c r="AH257" s="8">
        <v>0</v>
      </c>
      <c r="AI257" s="7" t="s">
        <v>1194</v>
      </c>
      <c r="AJ257" s="7">
        <f t="shared" ca="1" si="45"/>
        <v>1</v>
      </c>
      <c r="AL257" s="100">
        <f>(+AA257*AB257)/$AB$613</f>
        <v>0</v>
      </c>
      <c r="AM257" s="97">
        <f>AC257/$AE$613*AE257</f>
        <v>0.51127746043826761</v>
      </c>
    </row>
    <row r="258" spans="1:39" x14ac:dyDescent="0.3">
      <c r="A258" s="7" t="s">
        <v>2039</v>
      </c>
      <c r="B258" s="7" t="s">
        <v>1320</v>
      </c>
      <c r="C258" s="7" t="s">
        <v>1323</v>
      </c>
      <c r="D258" s="7" t="s">
        <v>1694</v>
      </c>
      <c r="E258" s="7" t="s">
        <v>1739</v>
      </c>
      <c r="F258" s="36">
        <v>42801</v>
      </c>
      <c r="G258" s="36">
        <v>43896</v>
      </c>
      <c r="J258" s="7" t="s">
        <v>1696</v>
      </c>
      <c r="K258" s="8">
        <v>0</v>
      </c>
      <c r="L258" s="8">
        <v>0</v>
      </c>
      <c r="M258" s="8">
        <v>-156447.88684799999</v>
      </c>
      <c r="N258" s="8">
        <v>0</v>
      </c>
      <c r="O258" s="8">
        <v>0</v>
      </c>
      <c r="P258" s="8">
        <v>0</v>
      </c>
      <c r="Q258" s="8">
        <v>0</v>
      </c>
      <c r="R258" s="8">
        <f t="shared" si="44"/>
        <v>-156447.88684799999</v>
      </c>
      <c r="S258" s="8">
        <v>0</v>
      </c>
      <c r="T258" s="8">
        <v>0</v>
      </c>
      <c r="U258" s="8">
        <v>-1152000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7">
        <v>0</v>
      </c>
      <c r="AB258" s="8">
        <v>0</v>
      </c>
      <c r="AC258" s="7">
        <v>7</v>
      </c>
      <c r="AD258" s="7" t="s">
        <v>1226</v>
      </c>
      <c r="AE258" s="8">
        <v>0</v>
      </c>
      <c r="AF258" s="8">
        <v>0</v>
      </c>
      <c r="AG258" s="8">
        <v>0</v>
      </c>
      <c r="AH258" s="8">
        <v>0</v>
      </c>
      <c r="AI258" s="7" t="s">
        <v>1194</v>
      </c>
      <c r="AJ258" s="7">
        <f t="shared" ca="1" si="45"/>
        <v>1</v>
      </c>
      <c r="AL258" s="96">
        <f>(+AA258*AB258)/$AB$612</f>
        <v>0</v>
      </c>
      <c r="AM258" s="97">
        <f>AC258/$AE$612*AE258</f>
        <v>0</v>
      </c>
    </row>
    <row r="259" spans="1:39" x14ac:dyDescent="0.3">
      <c r="A259" s="7" t="s">
        <v>2039</v>
      </c>
      <c r="B259" s="7" t="s">
        <v>1320</v>
      </c>
      <c r="C259" s="7" t="s">
        <v>1323</v>
      </c>
      <c r="D259" s="7" t="s">
        <v>1694</v>
      </c>
      <c r="E259" s="7" t="s">
        <v>1739</v>
      </c>
      <c r="F259" s="36">
        <v>42801</v>
      </c>
      <c r="G259" s="36">
        <v>43896</v>
      </c>
      <c r="J259" s="7" t="s">
        <v>1699</v>
      </c>
      <c r="K259" s="8">
        <v>0</v>
      </c>
      <c r="L259" s="8">
        <v>0</v>
      </c>
      <c r="M259" s="8">
        <v>0</v>
      </c>
      <c r="N259" s="8">
        <v>451415.37239999999</v>
      </c>
      <c r="O259" s="8">
        <v>0</v>
      </c>
      <c r="P259" s="8">
        <v>0</v>
      </c>
      <c r="Q259" s="8">
        <v>0</v>
      </c>
      <c r="R259" s="8">
        <f t="shared" ref="R259:R322" si="62">K259+L259+M259+N259+O259+P259+Q259</f>
        <v>451415.37239999999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7">
        <v>0</v>
      </c>
      <c r="AB259" s="8">
        <v>0</v>
      </c>
      <c r="AC259" s="7">
        <v>7</v>
      </c>
      <c r="AD259" s="7" t="s">
        <v>1226</v>
      </c>
      <c r="AE259" s="8">
        <v>37617.947699999997</v>
      </c>
      <c r="AF259" s="8">
        <v>0</v>
      </c>
      <c r="AG259" s="8">
        <v>37617.947699999997</v>
      </c>
      <c r="AH259" s="8">
        <v>0</v>
      </c>
      <c r="AI259" s="7" t="s">
        <v>1194</v>
      </c>
      <c r="AJ259" s="7">
        <f t="shared" ref="AJ259:AJ322" ca="1" si="63">IF(A259=OFFSET(A259,-1,0),OFFSET(AJ259,-1,0)+1,1)</f>
        <v>2</v>
      </c>
      <c r="AL259" s="100">
        <f>(+AA259*AB259)/$AB$613</f>
        <v>0</v>
      </c>
      <c r="AM259" s="97">
        <f>AC259/$AE$613*AE259</f>
        <v>0.19233208766955567</v>
      </c>
    </row>
    <row r="260" spans="1:39" x14ac:dyDescent="0.3">
      <c r="A260" s="7" t="s">
        <v>2040</v>
      </c>
      <c r="B260" s="7" t="s">
        <v>1320</v>
      </c>
      <c r="C260" s="7" t="s">
        <v>1323</v>
      </c>
      <c r="D260" s="7" t="s">
        <v>1694</v>
      </c>
      <c r="E260" s="7" t="s">
        <v>1739</v>
      </c>
      <c r="F260" s="36">
        <v>42801</v>
      </c>
      <c r="G260" s="36">
        <v>43896</v>
      </c>
      <c r="J260" s="7" t="s">
        <v>1696</v>
      </c>
      <c r="K260" s="8">
        <v>0</v>
      </c>
      <c r="L260" s="8">
        <v>0</v>
      </c>
      <c r="M260" s="8">
        <v>-156447.88684799999</v>
      </c>
      <c r="N260" s="8">
        <v>0</v>
      </c>
      <c r="O260" s="8">
        <v>0</v>
      </c>
      <c r="P260" s="8">
        <v>0</v>
      </c>
      <c r="Q260" s="8">
        <v>0</v>
      </c>
      <c r="R260" s="8">
        <f t="shared" si="62"/>
        <v>-156447.88684799999</v>
      </c>
      <c r="S260" s="8">
        <v>0</v>
      </c>
      <c r="T260" s="8">
        <v>0</v>
      </c>
      <c r="U260" s="8">
        <v>-1152000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7">
        <v>0</v>
      </c>
      <c r="AB260" s="8">
        <v>18808.973851504717</v>
      </c>
      <c r="AC260" s="7">
        <v>7</v>
      </c>
      <c r="AD260" s="7" t="s">
        <v>1226</v>
      </c>
      <c r="AE260" s="8">
        <v>0</v>
      </c>
      <c r="AF260" s="8">
        <v>18808.973849999998</v>
      </c>
      <c r="AG260" s="8">
        <v>18808.973849999998</v>
      </c>
      <c r="AH260" s="8">
        <v>0</v>
      </c>
      <c r="AI260" s="7" t="s">
        <v>1194</v>
      </c>
      <c r="AJ260" s="7">
        <f t="shared" ca="1" si="63"/>
        <v>1</v>
      </c>
      <c r="AL260" s="96">
        <f>(+AA260*AB260)/$AB$612</f>
        <v>0</v>
      </c>
      <c r="AM260" s="97">
        <f>AC260/$AE$612*AE260</f>
        <v>0</v>
      </c>
    </row>
    <row r="261" spans="1:39" x14ac:dyDescent="0.3">
      <c r="A261" s="7" t="s">
        <v>2040</v>
      </c>
      <c r="B261" s="7" t="s">
        <v>1320</v>
      </c>
      <c r="C261" s="7" t="s">
        <v>1323</v>
      </c>
      <c r="D261" s="7" t="s">
        <v>1694</v>
      </c>
      <c r="E261" s="7" t="s">
        <v>1739</v>
      </c>
      <c r="F261" s="36">
        <v>42801</v>
      </c>
      <c r="G261" s="36">
        <v>43896</v>
      </c>
      <c r="J261" s="7" t="s">
        <v>1699</v>
      </c>
      <c r="K261" s="8">
        <v>0</v>
      </c>
      <c r="L261" s="8">
        <v>0</v>
      </c>
      <c r="M261" s="8">
        <v>0</v>
      </c>
      <c r="N261" s="8">
        <v>451415.37239999999</v>
      </c>
      <c r="O261" s="8">
        <v>0</v>
      </c>
      <c r="P261" s="8">
        <v>0</v>
      </c>
      <c r="Q261" s="8">
        <v>0</v>
      </c>
      <c r="R261" s="8">
        <f t="shared" si="62"/>
        <v>451415.37239999999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7">
        <v>0</v>
      </c>
      <c r="AB261" s="8">
        <v>0</v>
      </c>
      <c r="AC261" s="7">
        <v>7</v>
      </c>
      <c r="AD261" s="7" t="s">
        <v>1226</v>
      </c>
      <c r="AE261" s="8">
        <v>37617.947699999997</v>
      </c>
      <c r="AF261" s="8">
        <v>0</v>
      </c>
      <c r="AG261" s="8">
        <v>37617.947699999997</v>
      </c>
      <c r="AH261" s="8">
        <v>0</v>
      </c>
      <c r="AI261" s="7" t="s">
        <v>1194</v>
      </c>
      <c r="AJ261" s="7">
        <f t="shared" ca="1" si="63"/>
        <v>2</v>
      </c>
      <c r="AL261" s="100">
        <f>(+AA261*AB261)/$AB$613</f>
        <v>0</v>
      </c>
      <c r="AM261" s="97">
        <f>AC261/$AE$613*AE261</f>
        <v>0.19233208766955567</v>
      </c>
    </row>
    <row r="262" spans="1:39" x14ac:dyDescent="0.3">
      <c r="A262" s="7" t="s">
        <v>2041</v>
      </c>
      <c r="B262" s="7" t="s">
        <v>1320</v>
      </c>
      <c r="C262" s="7" t="s">
        <v>1323</v>
      </c>
      <c r="D262" s="7" t="s">
        <v>1780</v>
      </c>
      <c r="E262" s="7" t="s">
        <v>1322</v>
      </c>
      <c r="F262" s="36">
        <v>44409</v>
      </c>
      <c r="G262" s="36">
        <v>45138</v>
      </c>
      <c r="H262" s="36">
        <v>45138</v>
      </c>
      <c r="I262" s="36">
        <v>45138</v>
      </c>
      <c r="J262" s="7" t="s">
        <v>1696</v>
      </c>
      <c r="K262" s="8">
        <v>0</v>
      </c>
      <c r="L262" s="8">
        <v>0</v>
      </c>
      <c r="M262" s="8">
        <v>2160.5</v>
      </c>
      <c r="N262" s="8">
        <v>0</v>
      </c>
      <c r="O262" s="8">
        <v>0</v>
      </c>
      <c r="P262" s="8">
        <v>17.899999999999999</v>
      </c>
      <c r="Q262" s="8">
        <v>0</v>
      </c>
      <c r="R262" s="8">
        <f t="shared" si="62"/>
        <v>2178.4</v>
      </c>
      <c r="S262" s="8">
        <v>0</v>
      </c>
      <c r="T262" s="8">
        <v>0</v>
      </c>
      <c r="U262" s="8">
        <v>2160.5</v>
      </c>
      <c r="V262" s="8">
        <v>0</v>
      </c>
      <c r="W262" s="8">
        <v>17.899999999999999</v>
      </c>
      <c r="X262" s="8">
        <v>0</v>
      </c>
      <c r="Y262" s="8">
        <v>10146.580324</v>
      </c>
      <c r="Z262" s="8">
        <v>0</v>
      </c>
      <c r="AA262" s="7">
        <v>1.5808219999999999</v>
      </c>
      <c r="AB262" s="8">
        <v>8070.7911059999997</v>
      </c>
      <c r="AC262" s="7">
        <v>2.2879999999999998</v>
      </c>
      <c r="AD262" s="7" t="s">
        <v>1226</v>
      </c>
      <c r="AE262" s="8">
        <v>8209.9</v>
      </c>
      <c r="AF262" s="8">
        <v>0</v>
      </c>
      <c r="AG262" s="8">
        <v>8209.9</v>
      </c>
      <c r="AH262" s="8">
        <v>0</v>
      </c>
      <c r="AI262" s="7" t="s">
        <v>1730</v>
      </c>
      <c r="AJ262" s="7">
        <f t="shared" ca="1" si="63"/>
        <v>1</v>
      </c>
      <c r="AL262" s="96">
        <f>(+AA262*AB262)/$AB$612</f>
        <v>2.3008742823993721E-4</v>
      </c>
      <c r="AM262" s="97">
        <f>AC262/$AE$612*AE262</f>
        <v>3.247260405859259E-4</v>
      </c>
    </row>
    <row r="263" spans="1:39" x14ac:dyDescent="0.3">
      <c r="A263" s="7" t="s">
        <v>2042</v>
      </c>
      <c r="B263" s="7" t="s">
        <v>194</v>
      </c>
      <c r="C263" s="7" t="s">
        <v>1323</v>
      </c>
      <c r="D263" s="7" t="s">
        <v>1324</v>
      </c>
      <c r="E263" s="7" t="s">
        <v>1322</v>
      </c>
      <c r="F263" s="36">
        <v>44287</v>
      </c>
      <c r="G263" s="36">
        <v>45382</v>
      </c>
      <c r="H263" s="36">
        <v>45382</v>
      </c>
      <c r="I263" s="36">
        <v>46477</v>
      </c>
      <c r="J263" s="7" t="s">
        <v>1239</v>
      </c>
      <c r="K263" s="8">
        <v>151307.478558</v>
      </c>
      <c r="L263" s="8">
        <v>59709.389344000003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f t="shared" si="62"/>
        <v>211016.867902</v>
      </c>
      <c r="S263" s="8">
        <v>0</v>
      </c>
      <c r="T263" s="8">
        <v>40332.925062000002</v>
      </c>
      <c r="U263" s="8">
        <v>0</v>
      </c>
      <c r="V263" s="8">
        <v>109667.07493800001</v>
      </c>
      <c r="W263" s="8">
        <v>0</v>
      </c>
      <c r="X263" s="8">
        <v>1210459.828455</v>
      </c>
      <c r="Y263" s="8">
        <v>0</v>
      </c>
      <c r="Z263" s="8">
        <v>0</v>
      </c>
      <c r="AA263" s="7">
        <v>5.2493150000000002</v>
      </c>
      <c r="AB263" s="8">
        <v>1100792.753517</v>
      </c>
      <c r="AC263" s="7">
        <v>7</v>
      </c>
      <c r="AD263" s="7" t="s">
        <v>1226</v>
      </c>
      <c r="AE263" s="8">
        <v>1350000</v>
      </c>
      <c r="AF263" s="8">
        <v>0</v>
      </c>
      <c r="AG263" s="8">
        <v>1350000</v>
      </c>
      <c r="AH263" s="8">
        <v>0</v>
      </c>
      <c r="AI263" s="7" t="s">
        <v>1758</v>
      </c>
      <c r="AJ263" s="7">
        <f t="shared" ca="1" si="63"/>
        <v>1</v>
      </c>
      <c r="AL263" s="96">
        <f t="shared" ref="AL263:AL321" si="64">(+AA263*AB263)/$AB$611</f>
        <v>3.4645584418834884E-2</v>
      </c>
      <c r="AM263" s="97">
        <f t="shared" ref="AM263:AM321" si="65">AC263/$AE$611*AE263</f>
        <v>6.1502184605539294E-2</v>
      </c>
    </row>
    <row r="264" spans="1:39" x14ac:dyDescent="0.3">
      <c r="A264" s="7" t="s">
        <v>2043</v>
      </c>
      <c r="B264" s="7" t="s">
        <v>194</v>
      </c>
      <c r="C264" s="7" t="s">
        <v>1323</v>
      </c>
      <c r="D264" s="7" t="s">
        <v>1852</v>
      </c>
      <c r="E264" s="7" t="s">
        <v>1695</v>
      </c>
      <c r="F264" s="36">
        <v>44378</v>
      </c>
      <c r="G264" s="36">
        <v>45473</v>
      </c>
      <c r="H264" s="36">
        <v>44409</v>
      </c>
      <c r="I264" s="36">
        <v>44409</v>
      </c>
      <c r="J264" s="7" t="s">
        <v>1239</v>
      </c>
      <c r="K264" s="8">
        <v>271461.54578400002</v>
      </c>
      <c r="L264" s="8">
        <v>51659.872820999997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f t="shared" si="62"/>
        <v>323121.41860500001</v>
      </c>
      <c r="S264" s="8">
        <v>0</v>
      </c>
      <c r="T264" s="8">
        <v>43654.069976999999</v>
      </c>
      <c r="U264" s="8">
        <v>0</v>
      </c>
      <c r="V264" s="8">
        <v>256345.93002299999</v>
      </c>
      <c r="W264" s="8">
        <v>0</v>
      </c>
      <c r="X264" s="8">
        <v>1628769.274713</v>
      </c>
      <c r="Y264" s="8">
        <v>0</v>
      </c>
      <c r="Z264" s="8">
        <v>0</v>
      </c>
      <c r="AA264" s="7">
        <v>0</v>
      </c>
      <c r="AB264" s="8">
        <v>1372423.3446899999</v>
      </c>
      <c r="AC264" s="7">
        <v>7</v>
      </c>
      <c r="AD264" s="7" t="s">
        <v>1226</v>
      </c>
      <c r="AE264" s="8">
        <v>1500000</v>
      </c>
      <c r="AF264" s="8">
        <v>0</v>
      </c>
      <c r="AG264" s="8">
        <v>1500000</v>
      </c>
      <c r="AH264" s="8">
        <v>0</v>
      </c>
      <c r="AI264" s="7" t="s">
        <v>1781</v>
      </c>
      <c r="AJ264" s="7">
        <f t="shared" ca="1" si="63"/>
        <v>1</v>
      </c>
      <c r="AL264" s="96">
        <f t="shared" si="64"/>
        <v>0</v>
      </c>
      <c r="AM264" s="97">
        <f t="shared" si="65"/>
        <v>6.8335760672821447E-2</v>
      </c>
    </row>
    <row r="265" spans="1:39" x14ac:dyDescent="0.3">
      <c r="A265" s="7" t="s">
        <v>2044</v>
      </c>
      <c r="B265" s="7" t="s">
        <v>1320</v>
      </c>
      <c r="C265" s="7" t="s">
        <v>1323</v>
      </c>
      <c r="D265" s="7" t="s">
        <v>1852</v>
      </c>
      <c r="E265" s="7" t="s">
        <v>1322</v>
      </c>
      <c r="F265" s="36">
        <v>44409</v>
      </c>
      <c r="G265" s="36">
        <v>45443</v>
      </c>
      <c r="H265" s="36">
        <v>45443</v>
      </c>
      <c r="I265" s="36">
        <v>45443</v>
      </c>
      <c r="J265" s="7" t="s">
        <v>1239</v>
      </c>
      <c r="K265" s="8">
        <v>236725.484195</v>
      </c>
      <c r="L265" s="8">
        <v>38692.734283999998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f t="shared" si="62"/>
        <v>275418.21847899997</v>
      </c>
      <c r="S265" s="8">
        <v>0</v>
      </c>
      <c r="T265" s="8">
        <v>31163.996006000001</v>
      </c>
      <c r="U265" s="8">
        <v>0</v>
      </c>
      <c r="V265" s="8">
        <v>225978.86111900001</v>
      </c>
      <c r="W265" s="8">
        <v>0</v>
      </c>
      <c r="X265" s="8">
        <v>0</v>
      </c>
      <c r="Y265" s="8">
        <v>0</v>
      </c>
      <c r="Z265" s="8">
        <v>3361501.8755580001</v>
      </c>
      <c r="AA265" s="7">
        <v>2.4164379999999999</v>
      </c>
      <c r="AB265" s="8">
        <v>3135523.0144389998</v>
      </c>
      <c r="AC265" s="7">
        <v>2.8813330000000001</v>
      </c>
      <c r="AD265" s="7" t="s">
        <v>1226</v>
      </c>
      <c r="AE265" s="8">
        <v>3394285.7140500001</v>
      </c>
      <c r="AF265" s="8">
        <v>0</v>
      </c>
      <c r="AG265" s="8">
        <v>3394285.7140500001</v>
      </c>
      <c r="AH265" s="8">
        <v>0</v>
      </c>
      <c r="AI265" s="7" t="s">
        <v>1976</v>
      </c>
      <c r="AJ265" s="7">
        <f t="shared" ca="1" si="63"/>
        <v>1</v>
      </c>
      <c r="AL265" s="96">
        <f t="shared" si="64"/>
        <v>4.542818069019125E-2</v>
      </c>
      <c r="AM265" s="97">
        <f t="shared" si="65"/>
        <v>6.365031884737922E-2</v>
      </c>
    </row>
    <row r="266" spans="1:39" x14ac:dyDescent="0.3">
      <c r="A266" s="7" t="s">
        <v>2045</v>
      </c>
      <c r="B266" s="7" t="s">
        <v>194</v>
      </c>
      <c r="C266" s="7" t="s">
        <v>1323</v>
      </c>
      <c r="D266" s="7" t="s">
        <v>1324</v>
      </c>
      <c r="E266" s="7" t="s">
        <v>1322</v>
      </c>
      <c r="F266" s="36">
        <v>44470</v>
      </c>
      <c r="G266" s="36">
        <v>44926</v>
      </c>
      <c r="H266" s="36">
        <v>44926</v>
      </c>
      <c r="I266" s="36">
        <v>44926</v>
      </c>
      <c r="J266" s="7" t="s">
        <v>1239</v>
      </c>
      <c r="K266" s="8">
        <v>148325.62286999999</v>
      </c>
      <c r="L266" s="8">
        <v>3680.4439050000001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f t="shared" si="62"/>
        <v>152006.06677499998</v>
      </c>
      <c r="S266" s="8">
        <v>0</v>
      </c>
      <c r="T266" s="8">
        <v>2817.360185</v>
      </c>
      <c r="U266" s="8">
        <v>0</v>
      </c>
      <c r="V266" s="8">
        <v>147182.639815</v>
      </c>
      <c r="W266" s="8">
        <v>0</v>
      </c>
      <c r="X266" s="8">
        <v>0</v>
      </c>
      <c r="Y266" s="8">
        <v>0</v>
      </c>
      <c r="Z266" s="8">
        <v>741628.11433000001</v>
      </c>
      <c r="AA266" s="7">
        <v>1</v>
      </c>
      <c r="AB266" s="8">
        <v>790863.27442999999</v>
      </c>
      <c r="AC266" s="7">
        <v>1.754</v>
      </c>
      <c r="AD266" s="7" t="s">
        <v>1226</v>
      </c>
      <c r="AE266" s="8">
        <v>600000</v>
      </c>
      <c r="AF266" s="8">
        <v>200000</v>
      </c>
      <c r="AG266" s="8">
        <v>800000</v>
      </c>
      <c r="AH266" s="8">
        <v>0</v>
      </c>
      <c r="AI266" s="7" t="s">
        <v>1781</v>
      </c>
      <c r="AJ266" s="7">
        <f t="shared" ca="1" si="63"/>
        <v>1</v>
      </c>
      <c r="AL266" s="96">
        <f t="shared" si="64"/>
        <v>4.7417767576980194E-3</v>
      </c>
      <c r="AM266" s="97">
        <f t="shared" si="65"/>
        <v>6.8491956697216468E-3</v>
      </c>
    </row>
    <row r="267" spans="1:39" x14ac:dyDescent="0.3">
      <c r="A267" s="7" t="s">
        <v>2046</v>
      </c>
      <c r="B267" s="7" t="s">
        <v>194</v>
      </c>
      <c r="C267" s="7" t="s">
        <v>1323</v>
      </c>
      <c r="D267" s="7" t="s">
        <v>1852</v>
      </c>
      <c r="E267" s="7" t="s">
        <v>1322</v>
      </c>
      <c r="F267" s="36">
        <v>44287</v>
      </c>
      <c r="G267" s="36">
        <v>45382</v>
      </c>
      <c r="H267" s="36">
        <v>45382</v>
      </c>
      <c r="I267" s="36">
        <v>45382</v>
      </c>
      <c r="J267" s="7" t="s">
        <v>1239</v>
      </c>
      <c r="K267" s="8">
        <v>447746.26653000002</v>
      </c>
      <c r="L267" s="8">
        <v>82919.532160000002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f t="shared" si="62"/>
        <v>530665.79869000008</v>
      </c>
      <c r="S267" s="8">
        <v>0</v>
      </c>
      <c r="T267" s="8">
        <v>66935.151089999999</v>
      </c>
      <c r="U267" s="8">
        <v>0</v>
      </c>
      <c r="V267" s="8">
        <v>383064.84891</v>
      </c>
      <c r="W267" s="8">
        <v>0</v>
      </c>
      <c r="X267" s="8">
        <v>1790985.0661899999</v>
      </c>
      <c r="Y267" s="8">
        <v>0</v>
      </c>
      <c r="Z267" s="8">
        <v>0</v>
      </c>
      <c r="AA267" s="7">
        <v>2.2493150000000002</v>
      </c>
      <c r="AB267" s="8">
        <v>1416637.9892</v>
      </c>
      <c r="AC267" s="7">
        <v>7</v>
      </c>
      <c r="AD267" s="7" t="s">
        <v>1226</v>
      </c>
      <c r="AE267" s="8">
        <v>1350000</v>
      </c>
      <c r="AF267" s="8">
        <v>200000</v>
      </c>
      <c r="AG267" s="8">
        <v>1550000</v>
      </c>
      <c r="AH267" s="8">
        <v>0</v>
      </c>
      <c r="AI267" s="7" t="s">
        <v>1781</v>
      </c>
      <c r="AJ267" s="7">
        <f t="shared" ca="1" si="63"/>
        <v>1</v>
      </c>
      <c r="AL267" s="96">
        <f t="shared" si="64"/>
        <v>1.9105079901679305E-2</v>
      </c>
      <c r="AM267" s="97">
        <f t="shared" si="65"/>
        <v>6.1502184605539294E-2</v>
      </c>
    </row>
    <row r="268" spans="1:39" x14ac:dyDescent="0.3">
      <c r="A268" s="7" t="s">
        <v>2596</v>
      </c>
      <c r="B268" s="7" t="s">
        <v>194</v>
      </c>
      <c r="C268" s="7" t="s">
        <v>1323</v>
      </c>
      <c r="D268" s="7" t="s">
        <v>1324</v>
      </c>
      <c r="E268" s="7" t="s">
        <v>1695</v>
      </c>
      <c r="F268" s="36">
        <v>43466</v>
      </c>
      <c r="G268" s="36">
        <v>44561</v>
      </c>
      <c r="H268" s="36">
        <v>44470</v>
      </c>
      <c r="I268" s="36">
        <v>44470</v>
      </c>
      <c r="J268" s="7" t="s">
        <v>1239</v>
      </c>
      <c r="K268" s="8">
        <v>1641736.31061</v>
      </c>
      <c r="L268" s="8">
        <v>204687.12987999999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f t="shared" si="62"/>
        <v>1846423.4404899999</v>
      </c>
      <c r="S268" s="8">
        <v>0</v>
      </c>
      <c r="T268" s="8">
        <v>169497.59150499999</v>
      </c>
      <c r="U268" s="8">
        <v>0</v>
      </c>
      <c r="V268" s="8">
        <v>1480502.4084950001</v>
      </c>
      <c r="W268" s="8">
        <v>0</v>
      </c>
      <c r="X268" s="8">
        <v>1790985.0661899999</v>
      </c>
      <c r="Y268" s="8">
        <v>0</v>
      </c>
      <c r="Z268" s="8">
        <v>-149248.75558</v>
      </c>
      <c r="AA268" s="7">
        <v>0</v>
      </c>
      <c r="AB268" s="8">
        <v>0</v>
      </c>
      <c r="AC268" s="7">
        <v>7</v>
      </c>
      <c r="AD268" s="7" t="s">
        <v>1226</v>
      </c>
      <c r="AE268" s="8">
        <v>0</v>
      </c>
      <c r="AF268" s="8">
        <v>0</v>
      </c>
      <c r="AG268" s="8">
        <v>0</v>
      </c>
      <c r="AH268" s="8">
        <v>0</v>
      </c>
      <c r="AI268" s="7" t="s">
        <v>1781</v>
      </c>
      <c r="AJ268" s="7">
        <f t="shared" ca="1" si="63"/>
        <v>1</v>
      </c>
      <c r="AL268" s="96">
        <f t="shared" si="64"/>
        <v>0</v>
      </c>
      <c r="AM268" s="97">
        <f t="shared" si="65"/>
        <v>0</v>
      </c>
    </row>
    <row r="269" spans="1:39" x14ac:dyDescent="0.3">
      <c r="A269" s="7" t="s">
        <v>2047</v>
      </c>
      <c r="B269" s="7" t="s">
        <v>194</v>
      </c>
      <c r="C269" s="7" t="s">
        <v>1432</v>
      </c>
      <c r="D269" s="7" t="s">
        <v>1852</v>
      </c>
      <c r="E269" s="7" t="s">
        <v>1322</v>
      </c>
      <c r="F269" s="36">
        <v>44378</v>
      </c>
      <c r="G269" s="36">
        <v>45473</v>
      </c>
      <c r="H269" s="36">
        <v>45473</v>
      </c>
      <c r="I269" s="36">
        <v>45473</v>
      </c>
      <c r="J269" s="7" t="s">
        <v>1239</v>
      </c>
      <c r="K269" s="8">
        <v>271461.54599999997</v>
      </c>
      <c r="L269" s="8">
        <v>51659.8727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f t="shared" si="62"/>
        <v>323121.41869999998</v>
      </c>
      <c r="S269" s="8">
        <v>0</v>
      </c>
      <c r="T269" s="8">
        <v>43654.069900000002</v>
      </c>
      <c r="U269" s="8">
        <v>0</v>
      </c>
      <c r="V269" s="8">
        <v>256345.9301</v>
      </c>
      <c r="W269" s="8">
        <v>0</v>
      </c>
      <c r="X269" s="8">
        <v>1628769.2747</v>
      </c>
      <c r="Y269" s="8">
        <v>0</v>
      </c>
      <c r="Z269" s="8">
        <v>0</v>
      </c>
      <c r="AA269" s="7">
        <v>2.4986299999999999</v>
      </c>
      <c r="AB269" s="8">
        <v>1372423.3446</v>
      </c>
      <c r="AC269" s="7">
        <v>7</v>
      </c>
      <c r="AD269" s="7" t="s">
        <v>1226</v>
      </c>
      <c r="AE269" s="8">
        <v>1500000</v>
      </c>
      <c r="AF269" s="8">
        <v>0</v>
      </c>
      <c r="AG269" s="8">
        <v>1500000</v>
      </c>
      <c r="AH269" s="8">
        <v>0</v>
      </c>
      <c r="AI269" s="7" t="s">
        <v>1781</v>
      </c>
      <c r="AJ269" s="7">
        <f t="shared" ca="1" si="63"/>
        <v>1</v>
      </c>
      <c r="AL269" s="96">
        <f t="shared" si="64"/>
        <v>2.0560313944499489E-2</v>
      </c>
      <c r="AM269" s="97">
        <f t="shared" si="65"/>
        <v>6.8335760672821447E-2</v>
      </c>
    </row>
    <row r="270" spans="1:39" x14ac:dyDescent="0.3">
      <c r="A270" s="7" t="s">
        <v>2048</v>
      </c>
      <c r="B270" s="7" t="s">
        <v>1320</v>
      </c>
      <c r="C270" s="7" t="s">
        <v>1323</v>
      </c>
      <c r="D270" s="7" t="s">
        <v>1792</v>
      </c>
      <c r="E270" s="7" t="s">
        <v>1322</v>
      </c>
      <c r="F270" s="36">
        <v>43221</v>
      </c>
      <c r="G270" s="36">
        <v>44681</v>
      </c>
      <c r="H270" s="36">
        <v>44681</v>
      </c>
      <c r="I270" s="36">
        <v>44681</v>
      </c>
      <c r="J270" s="7" t="s">
        <v>1696</v>
      </c>
      <c r="K270" s="8">
        <v>0</v>
      </c>
      <c r="L270" s="8">
        <v>0</v>
      </c>
      <c r="M270" s="8">
        <v>4444.4160000000002</v>
      </c>
      <c r="N270" s="8">
        <v>0</v>
      </c>
      <c r="O270" s="8">
        <v>0</v>
      </c>
      <c r="P270" s="8">
        <v>0</v>
      </c>
      <c r="Q270" s="8">
        <v>0</v>
      </c>
      <c r="R270" s="8">
        <f t="shared" si="62"/>
        <v>4444.4160000000002</v>
      </c>
      <c r="S270" s="8">
        <v>0</v>
      </c>
      <c r="T270" s="8">
        <v>0</v>
      </c>
      <c r="U270" s="8">
        <v>4444.4160000000002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7">
        <v>0.32876699999999998</v>
      </c>
      <c r="AB270" s="8">
        <v>1477.695708</v>
      </c>
      <c r="AC270" s="7">
        <v>2.0449999999999999</v>
      </c>
      <c r="AD270" s="7" t="s">
        <v>1226</v>
      </c>
      <c r="AE270" s="8">
        <v>1481.472</v>
      </c>
      <c r="AF270" s="8">
        <v>0</v>
      </c>
      <c r="AG270" s="8">
        <v>1481.472</v>
      </c>
      <c r="AH270" s="8">
        <v>0</v>
      </c>
      <c r="AI270" s="7" t="s">
        <v>1736</v>
      </c>
      <c r="AJ270" s="7">
        <f t="shared" ca="1" si="63"/>
        <v>1</v>
      </c>
      <c r="AL270" s="96">
        <f t="shared" ref="AL270:AL273" si="66">(+AA270*AB270)/$AB$612</f>
        <v>8.7612695584136945E-6</v>
      </c>
      <c r="AM270" s="97">
        <f t="shared" ref="AM270:AM273" si="67">AC270/$AE$612*AE270</f>
        <v>5.2373306089186923E-5</v>
      </c>
    </row>
    <row r="271" spans="1:39" x14ac:dyDescent="0.3">
      <c r="A271" s="7" t="s">
        <v>2049</v>
      </c>
      <c r="B271" s="7" t="s">
        <v>1320</v>
      </c>
      <c r="C271" s="7" t="s">
        <v>1323</v>
      </c>
      <c r="D271" s="7" t="s">
        <v>1792</v>
      </c>
      <c r="E271" s="7" t="s">
        <v>1322</v>
      </c>
      <c r="F271" s="36">
        <v>43221</v>
      </c>
      <c r="G271" s="36">
        <v>44681</v>
      </c>
      <c r="H271" s="36">
        <v>44681</v>
      </c>
      <c r="I271" s="36">
        <v>44681</v>
      </c>
      <c r="J271" s="7" t="s">
        <v>1696</v>
      </c>
      <c r="K271" s="8">
        <v>0</v>
      </c>
      <c r="L271" s="8">
        <v>0</v>
      </c>
      <c r="M271" s="8">
        <v>4444.4160000000002</v>
      </c>
      <c r="N271" s="8">
        <v>0</v>
      </c>
      <c r="O271" s="8">
        <v>0</v>
      </c>
      <c r="P271" s="8">
        <v>0</v>
      </c>
      <c r="Q271" s="8">
        <v>0</v>
      </c>
      <c r="R271" s="8">
        <f t="shared" si="62"/>
        <v>4444.4160000000002</v>
      </c>
      <c r="S271" s="8">
        <v>0</v>
      </c>
      <c r="T271" s="8">
        <v>0</v>
      </c>
      <c r="U271" s="8">
        <v>4444.4160000000002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7">
        <v>0.32876699999999998</v>
      </c>
      <c r="AB271" s="8">
        <v>1477.695708</v>
      </c>
      <c r="AC271" s="7">
        <v>2.0449999999999999</v>
      </c>
      <c r="AD271" s="7" t="s">
        <v>1226</v>
      </c>
      <c r="AE271" s="8">
        <v>1481.472</v>
      </c>
      <c r="AF271" s="8">
        <v>0</v>
      </c>
      <c r="AG271" s="8">
        <v>1481.472</v>
      </c>
      <c r="AH271" s="8">
        <v>0</v>
      </c>
      <c r="AI271" s="7" t="s">
        <v>1736</v>
      </c>
      <c r="AJ271" s="7">
        <f t="shared" ca="1" si="63"/>
        <v>1</v>
      </c>
      <c r="AL271" s="96">
        <f t="shared" si="66"/>
        <v>8.7612695584136945E-6</v>
      </c>
      <c r="AM271" s="97">
        <f t="shared" si="67"/>
        <v>5.2373306089186923E-5</v>
      </c>
    </row>
    <row r="272" spans="1:39" x14ac:dyDescent="0.3">
      <c r="A272" s="7" t="s">
        <v>2050</v>
      </c>
      <c r="B272" s="7" t="s">
        <v>1320</v>
      </c>
      <c r="C272" s="7" t="s">
        <v>1323</v>
      </c>
      <c r="D272" s="7" t="s">
        <v>1792</v>
      </c>
      <c r="E272" s="7" t="s">
        <v>1322</v>
      </c>
      <c r="F272" s="36">
        <v>43221</v>
      </c>
      <c r="G272" s="36">
        <v>44681</v>
      </c>
      <c r="H272" s="36">
        <v>44681</v>
      </c>
      <c r="I272" s="36">
        <v>44681</v>
      </c>
      <c r="J272" s="7" t="s">
        <v>1696</v>
      </c>
      <c r="K272" s="8">
        <v>0</v>
      </c>
      <c r="L272" s="8">
        <v>0</v>
      </c>
      <c r="M272" s="8">
        <v>4444.4160000000002</v>
      </c>
      <c r="N272" s="8">
        <v>0</v>
      </c>
      <c r="O272" s="8">
        <v>0</v>
      </c>
      <c r="P272" s="8">
        <v>0</v>
      </c>
      <c r="Q272" s="8">
        <v>0</v>
      </c>
      <c r="R272" s="8">
        <f t="shared" si="62"/>
        <v>4444.4160000000002</v>
      </c>
      <c r="S272" s="8">
        <v>0</v>
      </c>
      <c r="T272" s="8">
        <v>0</v>
      </c>
      <c r="U272" s="8">
        <v>4444.4160000000002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7">
        <v>0.32876699999999998</v>
      </c>
      <c r="AB272" s="8">
        <v>1477.695708</v>
      </c>
      <c r="AC272" s="7">
        <v>2.0449999999999999</v>
      </c>
      <c r="AD272" s="7" t="s">
        <v>1226</v>
      </c>
      <c r="AE272" s="8">
        <v>1481.472</v>
      </c>
      <c r="AF272" s="8">
        <v>0</v>
      </c>
      <c r="AG272" s="8">
        <v>1481.472</v>
      </c>
      <c r="AH272" s="8">
        <v>0</v>
      </c>
      <c r="AI272" s="7" t="s">
        <v>1736</v>
      </c>
      <c r="AJ272" s="7">
        <f t="shared" ca="1" si="63"/>
        <v>1</v>
      </c>
      <c r="AL272" s="96">
        <f t="shared" si="66"/>
        <v>8.7612695584136945E-6</v>
      </c>
      <c r="AM272" s="97">
        <f t="shared" si="67"/>
        <v>5.2373306089186923E-5</v>
      </c>
    </row>
    <row r="273" spans="1:39" x14ac:dyDescent="0.3">
      <c r="A273" s="7" t="s">
        <v>2051</v>
      </c>
      <c r="B273" s="7" t="s">
        <v>1320</v>
      </c>
      <c r="C273" s="7" t="s">
        <v>1323</v>
      </c>
      <c r="D273" s="7" t="s">
        <v>1792</v>
      </c>
      <c r="E273" s="7" t="s">
        <v>1322</v>
      </c>
      <c r="F273" s="36">
        <v>43221</v>
      </c>
      <c r="G273" s="36">
        <v>44681</v>
      </c>
      <c r="H273" s="36">
        <v>44681</v>
      </c>
      <c r="I273" s="36">
        <v>44681</v>
      </c>
      <c r="J273" s="7" t="s">
        <v>1696</v>
      </c>
      <c r="K273" s="8">
        <v>0</v>
      </c>
      <c r="L273" s="8">
        <v>0</v>
      </c>
      <c r="M273" s="8">
        <v>4444.4160000000002</v>
      </c>
      <c r="N273" s="8">
        <v>0</v>
      </c>
      <c r="O273" s="8">
        <v>0</v>
      </c>
      <c r="P273" s="8">
        <v>0</v>
      </c>
      <c r="Q273" s="8">
        <v>0</v>
      </c>
      <c r="R273" s="8">
        <f t="shared" si="62"/>
        <v>4444.4160000000002</v>
      </c>
      <c r="S273" s="8">
        <v>0</v>
      </c>
      <c r="T273" s="8">
        <v>0</v>
      </c>
      <c r="U273" s="8">
        <v>4444.4160000000002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7">
        <v>0.32876699999999998</v>
      </c>
      <c r="AB273" s="8">
        <v>1477.695708</v>
      </c>
      <c r="AC273" s="7">
        <v>2.0449999999999999</v>
      </c>
      <c r="AD273" s="7" t="s">
        <v>1226</v>
      </c>
      <c r="AE273" s="8">
        <v>1481.472</v>
      </c>
      <c r="AF273" s="8">
        <v>0</v>
      </c>
      <c r="AG273" s="8">
        <v>1481.472</v>
      </c>
      <c r="AH273" s="8">
        <v>0</v>
      </c>
      <c r="AI273" s="7" t="s">
        <v>1736</v>
      </c>
      <c r="AJ273" s="7">
        <f t="shared" ca="1" si="63"/>
        <v>1</v>
      </c>
      <c r="AL273" s="96">
        <f t="shared" si="66"/>
        <v>8.7612695584136945E-6</v>
      </c>
      <c r="AM273" s="97">
        <f t="shared" si="67"/>
        <v>5.2373306089186923E-5</v>
      </c>
    </row>
    <row r="274" spans="1:39" x14ac:dyDescent="0.3">
      <c r="A274" s="7" t="s">
        <v>2053</v>
      </c>
      <c r="B274" s="7" t="s">
        <v>194</v>
      </c>
      <c r="C274" s="7" t="s">
        <v>1323</v>
      </c>
      <c r="D274" s="7" t="s">
        <v>1852</v>
      </c>
      <c r="E274" s="7" t="s">
        <v>1322</v>
      </c>
      <c r="F274" s="36">
        <v>44287</v>
      </c>
      <c r="G274" s="36">
        <v>45382</v>
      </c>
      <c r="H274" s="36">
        <v>45382</v>
      </c>
      <c r="I274" s="36">
        <v>45382</v>
      </c>
      <c r="J274" s="7" t="s">
        <v>1239</v>
      </c>
      <c r="K274" s="8">
        <v>410942.31878700003</v>
      </c>
      <c r="L274" s="8">
        <v>74201.760276000001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f t="shared" si="62"/>
        <v>485144.07906300004</v>
      </c>
      <c r="S274" s="8">
        <v>0</v>
      </c>
      <c r="T274" s="8">
        <v>81935.151123000003</v>
      </c>
      <c r="U274" s="8">
        <v>0</v>
      </c>
      <c r="V274" s="8">
        <v>383064.84901300003</v>
      </c>
      <c r="W274" s="8">
        <v>0</v>
      </c>
      <c r="X274" s="8">
        <v>1643769.2752040001</v>
      </c>
      <c r="Y274" s="8">
        <v>0</v>
      </c>
      <c r="Z274" s="8">
        <v>0</v>
      </c>
      <c r="AA274" s="7">
        <v>2.2493150000000002</v>
      </c>
      <c r="AB274" s="8">
        <v>1245704.42619</v>
      </c>
      <c r="AC274" s="7">
        <v>7</v>
      </c>
      <c r="AD274" s="7" t="s">
        <v>1226</v>
      </c>
      <c r="AE274" s="8">
        <v>1350000.0004050001</v>
      </c>
      <c r="AF274" s="8">
        <v>0</v>
      </c>
      <c r="AG274" s="8">
        <v>1350000.0004050001</v>
      </c>
      <c r="AH274" s="8">
        <v>0</v>
      </c>
      <c r="AI274" s="7" t="s">
        <v>1781</v>
      </c>
      <c r="AJ274" s="7">
        <f t="shared" ca="1" si="63"/>
        <v>1</v>
      </c>
      <c r="AL274" s="96">
        <f t="shared" si="64"/>
        <v>1.6799833674992288E-2</v>
      </c>
      <c r="AM274" s="97">
        <f t="shared" si="65"/>
        <v>6.1502184623989958E-2</v>
      </c>
    </row>
    <row r="275" spans="1:39" x14ac:dyDescent="0.3">
      <c r="A275" s="7" t="s">
        <v>2057</v>
      </c>
      <c r="B275" s="7" t="s">
        <v>194</v>
      </c>
      <c r="C275" s="7" t="s">
        <v>1323</v>
      </c>
      <c r="D275" s="7" t="s">
        <v>1324</v>
      </c>
      <c r="E275" s="7" t="s">
        <v>1322</v>
      </c>
      <c r="F275" s="36">
        <v>44378</v>
      </c>
      <c r="G275" s="36">
        <v>45473</v>
      </c>
      <c r="H275" s="36">
        <v>45473</v>
      </c>
      <c r="I275" s="36">
        <v>45473</v>
      </c>
      <c r="J275" s="7" t="s">
        <v>1239</v>
      </c>
      <c r="K275" s="8">
        <v>297345.58490399999</v>
      </c>
      <c r="L275" s="8">
        <v>57175.410151999997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f t="shared" si="62"/>
        <v>354520.99505599996</v>
      </c>
      <c r="S275" s="8">
        <v>0</v>
      </c>
      <c r="T275" s="8">
        <v>48236.932573999999</v>
      </c>
      <c r="U275" s="8">
        <v>0</v>
      </c>
      <c r="V275" s="8">
        <v>251763.06742599999</v>
      </c>
      <c r="W275" s="8">
        <v>0</v>
      </c>
      <c r="X275" s="8">
        <v>1784073.5094089999</v>
      </c>
      <c r="Y275" s="8">
        <v>0</v>
      </c>
      <c r="Z275" s="8">
        <v>0</v>
      </c>
      <c r="AA275" s="7">
        <v>2.4986299999999999</v>
      </c>
      <c r="AB275" s="8">
        <v>1532310.4419829999</v>
      </c>
      <c r="AC275" s="7">
        <v>7</v>
      </c>
      <c r="AD275" s="7" t="s">
        <v>1226</v>
      </c>
      <c r="AE275" s="8">
        <v>1680000</v>
      </c>
      <c r="AF275" s="8">
        <v>0</v>
      </c>
      <c r="AG275" s="8">
        <v>1680000</v>
      </c>
      <c r="AH275" s="8">
        <v>0</v>
      </c>
      <c r="AI275" s="7" t="s">
        <v>1758</v>
      </c>
      <c r="AJ275" s="7">
        <f t="shared" ca="1" si="63"/>
        <v>1</v>
      </c>
      <c r="AL275" s="96">
        <f t="shared" si="64"/>
        <v>2.2955587189306726E-2</v>
      </c>
      <c r="AM275" s="97">
        <f t="shared" si="65"/>
        <v>7.6536051953560016E-2</v>
      </c>
    </row>
    <row r="276" spans="1:39" x14ac:dyDescent="0.3">
      <c r="A276" s="7" t="s">
        <v>2058</v>
      </c>
      <c r="B276" s="7" t="s">
        <v>194</v>
      </c>
      <c r="C276" s="7" t="s">
        <v>1323</v>
      </c>
      <c r="D276" s="7" t="s">
        <v>1324</v>
      </c>
      <c r="E276" s="7" t="s">
        <v>1322</v>
      </c>
      <c r="F276" s="36">
        <v>43466</v>
      </c>
      <c r="G276" s="36">
        <v>44561</v>
      </c>
      <c r="H276" s="36">
        <v>44561</v>
      </c>
      <c r="I276" s="36">
        <v>44561</v>
      </c>
      <c r="J276" s="7" t="s">
        <v>1239</v>
      </c>
      <c r="K276" s="8">
        <v>1628769.274704</v>
      </c>
      <c r="L276" s="8">
        <v>171230.72528700001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f t="shared" si="62"/>
        <v>1799999.9999909999</v>
      </c>
      <c r="S276" s="8">
        <v>0</v>
      </c>
      <c r="T276" s="8">
        <v>171230.72528700001</v>
      </c>
      <c r="U276" s="8">
        <v>0</v>
      </c>
      <c r="V276" s="8">
        <v>1628769.274713</v>
      </c>
      <c r="W276" s="8">
        <v>0</v>
      </c>
      <c r="X276" s="8">
        <v>1628769.274713</v>
      </c>
      <c r="Y276" s="8">
        <v>0</v>
      </c>
      <c r="Z276" s="8">
        <v>0</v>
      </c>
      <c r="AA276" s="7">
        <v>0</v>
      </c>
      <c r="AB276" s="8">
        <v>0</v>
      </c>
      <c r="AC276" s="7">
        <v>7</v>
      </c>
      <c r="AD276" s="7" t="s">
        <v>1226</v>
      </c>
      <c r="AE276" s="8">
        <v>0</v>
      </c>
      <c r="AF276" s="8">
        <v>0</v>
      </c>
      <c r="AG276" s="8">
        <v>0</v>
      </c>
      <c r="AH276" s="8">
        <v>0</v>
      </c>
      <c r="AI276" s="7" t="s">
        <v>1758</v>
      </c>
      <c r="AJ276" s="7">
        <f t="shared" ca="1" si="63"/>
        <v>1</v>
      </c>
      <c r="AL276" s="96">
        <f t="shared" si="64"/>
        <v>0</v>
      </c>
      <c r="AM276" s="97">
        <f t="shared" si="65"/>
        <v>0</v>
      </c>
    </row>
    <row r="277" spans="1:39" x14ac:dyDescent="0.3">
      <c r="A277" s="7" t="s">
        <v>2058</v>
      </c>
      <c r="B277" s="7" t="s">
        <v>194</v>
      </c>
      <c r="C277" s="7" t="s">
        <v>1323</v>
      </c>
      <c r="D277" s="7" t="s">
        <v>1324</v>
      </c>
      <c r="E277" s="7" t="s">
        <v>1322</v>
      </c>
      <c r="F277" s="36">
        <v>43466</v>
      </c>
      <c r="G277" s="36">
        <v>44561</v>
      </c>
      <c r="H277" s="36">
        <v>44561</v>
      </c>
      <c r="I277" s="36">
        <v>44561</v>
      </c>
      <c r="J277" s="7" t="s">
        <v>1699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f t="shared" si="62"/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7">
        <v>0</v>
      </c>
      <c r="AB277" s="8">
        <v>0</v>
      </c>
      <c r="AC277" s="7">
        <v>7</v>
      </c>
      <c r="AD277" s="7" t="s">
        <v>1226</v>
      </c>
      <c r="AE277" s="8">
        <v>50000</v>
      </c>
      <c r="AF277" s="8">
        <v>0</v>
      </c>
      <c r="AG277" s="8">
        <v>50000</v>
      </c>
      <c r="AH277" s="8">
        <v>0</v>
      </c>
      <c r="AI277" s="7" t="s">
        <v>1758</v>
      </c>
      <c r="AJ277" s="7">
        <f t="shared" ca="1" si="63"/>
        <v>2</v>
      </c>
      <c r="AL277" s="100">
        <f>(+AA277*AB277)/$AB$613</f>
        <v>0</v>
      </c>
      <c r="AM277" s="97">
        <f>AC277/$AE$613*AE277</f>
        <v>0.2556387302191338</v>
      </c>
    </row>
    <row r="278" spans="1:39" x14ac:dyDescent="0.3">
      <c r="A278" s="7" t="s">
        <v>2060</v>
      </c>
      <c r="B278" s="7" t="s">
        <v>1320</v>
      </c>
      <c r="C278" s="7" t="s">
        <v>1323</v>
      </c>
      <c r="D278" s="7" t="s">
        <v>1792</v>
      </c>
      <c r="E278" s="7" t="s">
        <v>1322</v>
      </c>
      <c r="F278" s="36">
        <v>43221</v>
      </c>
      <c r="G278" s="36">
        <v>44681</v>
      </c>
      <c r="H278" s="36">
        <v>44681</v>
      </c>
      <c r="I278" s="36">
        <v>44681</v>
      </c>
      <c r="J278" s="7" t="s">
        <v>1696</v>
      </c>
      <c r="K278" s="8">
        <v>0</v>
      </c>
      <c r="L278" s="8">
        <v>0</v>
      </c>
      <c r="M278" s="8">
        <v>4444.4160000000002</v>
      </c>
      <c r="N278" s="8">
        <v>0</v>
      </c>
      <c r="O278" s="8">
        <v>0</v>
      </c>
      <c r="P278" s="8">
        <v>0</v>
      </c>
      <c r="Q278" s="8">
        <v>0</v>
      </c>
      <c r="R278" s="8">
        <f t="shared" si="62"/>
        <v>4444.4160000000002</v>
      </c>
      <c r="S278" s="8">
        <v>0</v>
      </c>
      <c r="T278" s="8">
        <v>0</v>
      </c>
      <c r="U278" s="8">
        <v>4444.4160000000002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7">
        <v>0.32876699999999998</v>
      </c>
      <c r="AB278" s="8">
        <v>1477.695708</v>
      </c>
      <c r="AC278" s="7">
        <v>2.0449999999999999</v>
      </c>
      <c r="AD278" s="7" t="s">
        <v>1226</v>
      </c>
      <c r="AE278" s="8">
        <v>1481.472</v>
      </c>
      <c r="AF278" s="8">
        <v>0</v>
      </c>
      <c r="AG278" s="8">
        <v>1481.472</v>
      </c>
      <c r="AH278" s="8">
        <v>0</v>
      </c>
      <c r="AI278" s="7" t="s">
        <v>1736</v>
      </c>
      <c r="AJ278" s="7">
        <f t="shared" ca="1" si="63"/>
        <v>1</v>
      </c>
      <c r="AL278" s="96">
        <f t="shared" ref="AL278:AL281" si="68">(+AA278*AB278)/$AB$612</f>
        <v>8.7612695584136945E-6</v>
      </c>
      <c r="AM278" s="97">
        <f t="shared" ref="AM278:AM281" si="69">AC278/$AE$612*AE278</f>
        <v>5.2373306089186923E-5</v>
      </c>
    </row>
    <row r="279" spans="1:39" x14ac:dyDescent="0.3">
      <c r="A279" s="7" t="s">
        <v>2061</v>
      </c>
      <c r="B279" s="7" t="s">
        <v>1320</v>
      </c>
      <c r="C279" s="7" t="s">
        <v>1323</v>
      </c>
      <c r="D279" s="7" t="s">
        <v>1792</v>
      </c>
      <c r="E279" s="7" t="s">
        <v>1322</v>
      </c>
      <c r="F279" s="36">
        <v>43221</v>
      </c>
      <c r="G279" s="36">
        <v>44681</v>
      </c>
      <c r="H279" s="36">
        <v>44681</v>
      </c>
      <c r="I279" s="36">
        <v>44681</v>
      </c>
      <c r="J279" s="7" t="s">
        <v>1696</v>
      </c>
      <c r="K279" s="8">
        <v>0</v>
      </c>
      <c r="L279" s="8">
        <v>0</v>
      </c>
      <c r="M279" s="8">
        <v>4444.4160000000002</v>
      </c>
      <c r="N279" s="8">
        <v>0</v>
      </c>
      <c r="O279" s="8">
        <v>0</v>
      </c>
      <c r="P279" s="8">
        <v>0</v>
      </c>
      <c r="Q279" s="8">
        <v>0</v>
      </c>
      <c r="R279" s="8">
        <f t="shared" si="62"/>
        <v>4444.4160000000002</v>
      </c>
      <c r="S279" s="8">
        <v>0</v>
      </c>
      <c r="T279" s="8">
        <v>0</v>
      </c>
      <c r="U279" s="8">
        <v>4444.4160000000002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7">
        <v>0.32876699999999998</v>
      </c>
      <c r="AB279" s="8">
        <v>1477.695708</v>
      </c>
      <c r="AC279" s="7">
        <v>2.0449999999999999</v>
      </c>
      <c r="AD279" s="7" t="s">
        <v>1226</v>
      </c>
      <c r="AE279" s="8">
        <v>1481.472</v>
      </c>
      <c r="AF279" s="8">
        <v>0</v>
      </c>
      <c r="AG279" s="8">
        <v>1481.472</v>
      </c>
      <c r="AH279" s="8">
        <v>0</v>
      </c>
      <c r="AI279" s="7" t="s">
        <v>1736</v>
      </c>
      <c r="AJ279" s="7">
        <f t="shared" ca="1" si="63"/>
        <v>1</v>
      </c>
      <c r="AL279" s="96">
        <f t="shared" si="68"/>
        <v>8.7612695584136945E-6</v>
      </c>
      <c r="AM279" s="97">
        <f t="shared" si="69"/>
        <v>5.2373306089186923E-5</v>
      </c>
    </row>
    <row r="280" spans="1:39" x14ac:dyDescent="0.3">
      <c r="A280" s="7" t="s">
        <v>2062</v>
      </c>
      <c r="B280" s="7" t="s">
        <v>1320</v>
      </c>
      <c r="C280" s="7" t="s">
        <v>1323</v>
      </c>
      <c r="D280" s="7" t="s">
        <v>1792</v>
      </c>
      <c r="E280" s="7" t="s">
        <v>1322</v>
      </c>
      <c r="F280" s="36">
        <v>43983</v>
      </c>
      <c r="G280" s="36">
        <v>44681</v>
      </c>
      <c r="H280" s="36">
        <v>44681</v>
      </c>
      <c r="I280" s="36">
        <v>44681</v>
      </c>
      <c r="J280" s="7" t="s">
        <v>1696</v>
      </c>
      <c r="K280" s="8">
        <v>0</v>
      </c>
      <c r="L280" s="8">
        <v>0</v>
      </c>
      <c r="M280" s="8">
        <v>4459.2307199999996</v>
      </c>
      <c r="N280" s="8">
        <v>0</v>
      </c>
      <c r="O280" s="8">
        <v>0</v>
      </c>
      <c r="P280" s="8">
        <v>0</v>
      </c>
      <c r="Q280" s="8">
        <v>0</v>
      </c>
      <c r="R280" s="8">
        <f t="shared" si="62"/>
        <v>4459.2307199999996</v>
      </c>
      <c r="S280" s="8">
        <v>0</v>
      </c>
      <c r="T280" s="8">
        <v>0</v>
      </c>
      <c r="U280" s="8">
        <v>4459.2307199999996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7">
        <v>0.32876699999999998</v>
      </c>
      <c r="AB280" s="8">
        <v>1483.1035899999999</v>
      </c>
      <c r="AC280" s="7">
        <v>1.7840830000000001</v>
      </c>
      <c r="AD280" s="7" t="s">
        <v>1226</v>
      </c>
      <c r="AE280" s="8">
        <v>1486.4102399999999</v>
      </c>
      <c r="AF280" s="8">
        <v>0</v>
      </c>
      <c r="AG280" s="8">
        <v>1486.4102399999999</v>
      </c>
      <c r="AH280" s="8">
        <v>0</v>
      </c>
      <c r="AI280" s="7" t="s">
        <v>1976</v>
      </c>
      <c r="AJ280" s="7">
        <f t="shared" ca="1" si="63"/>
        <v>1</v>
      </c>
      <c r="AL280" s="96">
        <f t="shared" si="68"/>
        <v>8.7933329336306534E-6</v>
      </c>
      <c r="AM280" s="97">
        <f t="shared" si="69"/>
        <v>4.5843416200981219E-5</v>
      </c>
    </row>
    <row r="281" spans="1:39" x14ac:dyDescent="0.3">
      <c r="A281" s="7" t="s">
        <v>2063</v>
      </c>
      <c r="B281" s="7" t="s">
        <v>1320</v>
      </c>
      <c r="C281" s="7" t="s">
        <v>1323</v>
      </c>
      <c r="D281" s="7" t="s">
        <v>1792</v>
      </c>
      <c r="E281" s="7" t="s">
        <v>1322</v>
      </c>
      <c r="F281" s="36">
        <v>43983</v>
      </c>
      <c r="G281" s="36">
        <v>44681</v>
      </c>
      <c r="H281" s="36">
        <v>44681</v>
      </c>
      <c r="I281" s="36">
        <v>45443</v>
      </c>
      <c r="J281" s="7" t="s">
        <v>1696</v>
      </c>
      <c r="K281" s="8">
        <v>0</v>
      </c>
      <c r="L281" s="8">
        <v>0</v>
      </c>
      <c r="M281" s="8">
        <v>4459.2307199999996</v>
      </c>
      <c r="N281" s="8">
        <v>0</v>
      </c>
      <c r="O281" s="8">
        <v>0</v>
      </c>
      <c r="P281" s="8">
        <v>0</v>
      </c>
      <c r="Q281" s="8">
        <v>0</v>
      </c>
      <c r="R281" s="8">
        <f t="shared" si="62"/>
        <v>4459.2307199999996</v>
      </c>
      <c r="S281" s="8">
        <v>0</v>
      </c>
      <c r="T281" s="8">
        <v>0</v>
      </c>
      <c r="U281" s="8">
        <v>4459.2307199999996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7">
        <v>2.4164379999999999</v>
      </c>
      <c r="AB281" s="8">
        <v>10555.466216999999</v>
      </c>
      <c r="AC281" s="7">
        <v>1.7840830000000001</v>
      </c>
      <c r="AD281" s="7" t="s">
        <v>1226</v>
      </c>
      <c r="AE281" s="8">
        <v>10776.47424</v>
      </c>
      <c r="AF281" s="8">
        <v>0</v>
      </c>
      <c r="AG281" s="8">
        <v>10776.47424</v>
      </c>
      <c r="AH281" s="8">
        <v>0</v>
      </c>
      <c r="AI281" s="7" t="s">
        <v>1976</v>
      </c>
      <c r="AJ281" s="7">
        <f t="shared" ca="1" si="63"/>
        <v>1</v>
      </c>
      <c r="AL281" s="96">
        <f t="shared" si="68"/>
        <v>4.5998840939850109E-4</v>
      </c>
      <c r="AM281" s="97">
        <f t="shared" si="69"/>
        <v>3.3236476745711384E-4</v>
      </c>
    </row>
    <row r="282" spans="1:39" x14ac:dyDescent="0.3">
      <c r="A282" s="7" t="s">
        <v>2071</v>
      </c>
      <c r="B282" s="7" t="s">
        <v>194</v>
      </c>
      <c r="C282" s="7" t="s">
        <v>1323</v>
      </c>
      <c r="D282" s="7" t="s">
        <v>1324</v>
      </c>
      <c r="E282" s="7" t="s">
        <v>1322</v>
      </c>
      <c r="F282" s="36">
        <v>44287</v>
      </c>
      <c r="G282" s="36">
        <v>45382</v>
      </c>
      <c r="H282" s="36">
        <v>45382</v>
      </c>
      <c r="I282" s="36">
        <v>45382</v>
      </c>
      <c r="J282" s="7" t="s">
        <v>1239</v>
      </c>
      <c r="K282" s="8">
        <v>407192.318676</v>
      </c>
      <c r="L282" s="8">
        <v>74201.760240999996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f t="shared" si="62"/>
        <v>481394.07891699998</v>
      </c>
      <c r="S282" s="8">
        <v>0</v>
      </c>
      <c r="T282" s="8">
        <v>66935.151089999999</v>
      </c>
      <c r="U282" s="8">
        <v>0</v>
      </c>
      <c r="V282" s="8">
        <v>383064.84891</v>
      </c>
      <c r="W282" s="8">
        <v>0</v>
      </c>
      <c r="X282" s="8">
        <v>1628769.274713</v>
      </c>
      <c r="Y282" s="8">
        <v>0</v>
      </c>
      <c r="Z282" s="8">
        <v>0</v>
      </c>
      <c r="AA282" s="7">
        <v>2.2493150000000002</v>
      </c>
      <c r="AB282" s="8">
        <v>1245704.4258030001</v>
      </c>
      <c r="AC282" s="7">
        <v>7</v>
      </c>
      <c r="AD282" s="7" t="s">
        <v>1226</v>
      </c>
      <c r="AE282" s="8">
        <v>1350000</v>
      </c>
      <c r="AF282" s="8">
        <v>0</v>
      </c>
      <c r="AG282" s="8">
        <v>1350000</v>
      </c>
      <c r="AH282" s="8">
        <v>0</v>
      </c>
      <c r="AI282" s="7" t="s">
        <v>1758</v>
      </c>
      <c r="AJ282" s="7">
        <f t="shared" ca="1" si="63"/>
        <v>1</v>
      </c>
      <c r="AL282" s="96">
        <f t="shared" si="64"/>
        <v>1.6799833669773123E-2</v>
      </c>
      <c r="AM282" s="97">
        <f t="shared" si="65"/>
        <v>6.1502184605539294E-2</v>
      </c>
    </row>
    <row r="283" spans="1:39" x14ac:dyDescent="0.3">
      <c r="A283" s="7" t="s">
        <v>2073</v>
      </c>
      <c r="B283" s="7" t="s">
        <v>194</v>
      </c>
      <c r="C283" s="7" t="s">
        <v>1769</v>
      </c>
      <c r="D283" s="7" t="s">
        <v>1324</v>
      </c>
      <c r="E283" s="7" t="s">
        <v>1322</v>
      </c>
      <c r="F283" s="36">
        <v>44378</v>
      </c>
      <c r="G283" s="36">
        <v>45473</v>
      </c>
      <c r="H283" s="36">
        <v>45473</v>
      </c>
      <c r="I283" s="36">
        <v>46568</v>
      </c>
      <c r="J283" s="7" t="s">
        <v>1239</v>
      </c>
      <c r="K283" s="8">
        <v>190774.95977399999</v>
      </c>
      <c r="L283" s="8">
        <v>75118.210699000003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f t="shared" si="62"/>
        <v>265893.17047299998</v>
      </c>
      <c r="S283" s="8">
        <v>0</v>
      </c>
      <c r="T283" s="8">
        <v>63145.614098999999</v>
      </c>
      <c r="U283" s="8">
        <v>0</v>
      </c>
      <c r="V283" s="8">
        <v>236854.385901</v>
      </c>
      <c r="W283" s="8">
        <v>0</v>
      </c>
      <c r="X283" s="8">
        <v>2289299.517275</v>
      </c>
      <c r="Y283" s="8">
        <v>0</v>
      </c>
      <c r="Z283" s="8">
        <v>0</v>
      </c>
      <c r="AA283" s="7">
        <v>5.4986300000000004</v>
      </c>
      <c r="AB283" s="8">
        <v>2052445.1313740001</v>
      </c>
      <c r="AC283" s="7">
        <v>7</v>
      </c>
      <c r="AD283" s="7" t="s">
        <v>1226</v>
      </c>
      <c r="AE283" s="8">
        <v>2400000</v>
      </c>
      <c r="AF283" s="8">
        <v>0</v>
      </c>
      <c r="AG283" s="8">
        <v>2400000</v>
      </c>
      <c r="AH283" s="8">
        <v>0</v>
      </c>
      <c r="AI283" s="7" t="s">
        <v>1758</v>
      </c>
      <c r="AJ283" s="7">
        <f t="shared" ca="1" si="63"/>
        <v>1</v>
      </c>
      <c r="AL283" s="96">
        <f t="shared" si="64"/>
        <v>6.7665258936947803E-2</v>
      </c>
      <c r="AM283" s="97">
        <f t="shared" si="65"/>
        <v>0.10933721707651431</v>
      </c>
    </row>
    <row r="284" spans="1:39" x14ac:dyDescent="0.3">
      <c r="A284" s="7" t="s">
        <v>2074</v>
      </c>
      <c r="B284" s="7" t="s">
        <v>1320</v>
      </c>
      <c r="C284" s="7" t="s">
        <v>1323</v>
      </c>
      <c r="D284" s="7" t="s">
        <v>1792</v>
      </c>
      <c r="E284" s="7" t="s">
        <v>1322</v>
      </c>
      <c r="F284" s="36">
        <v>43221</v>
      </c>
      <c r="G284" s="36">
        <v>44681</v>
      </c>
      <c r="H284" s="36">
        <v>44681</v>
      </c>
      <c r="I284" s="36">
        <v>44681</v>
      </c>
      <c r="J284" s="7" t="s">
        <v>1696</v>
      </c>
      <c r="K284" s="8">
        <v>0</v>
      </c>
      <c r="L284" s="8">
        <v>0</v>
      </c>
      <c r="M284" s="8">
        <v>4444.4160000000002</v>
      </c>
      <c r="N284" s="8">
        <v>0</v>
      </c>
      <c r="O284" s="8">
        <v>0</v>
      </c>
      <c r="P284" s="8">
        <v>0</v>
      </c>
      <c r="Q284" s="8">
        <v>0</v>
      </c>
      <c r="R284" s="8">
        <f t="shared" si="62"/>
        <v>4444.4160000000002</v>
      </c>
      <c r="S284" s="8">
        <v>0</v>
      </c>
      <c r="T284" s="8">
        <v>0</v>
      </c>
      <c r="U284" s="8">
        <v>4444.4160000000002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7">
        <v>0.32876699999999998</v>
      </c>
      <c r="AB284" s="8">
        <v>1477.695708</v>
      </c>
      <c r="AC284" s="7">
        <v>2.0449999999999999</v>
      </c>
      <c r="AD284" s="7" t="s">
        <v>1226</v>
      </c>
      <c r="AE284" s="8">
        <v>1481.472</v>
      </c>
      <c r="AF284" s="8">
        <v>0</v>
      </c>
      <c r="AG284" s="8">
        <v>1481.472</v>
      </c>
      <c r="AH284" s="8">
        <v>0</v>
      </c>
      <c r="AI284" s="7" t="s">
        <v>1736</v>
      </c>
      <c r="AJ284" s="7">
        <f t="shared" ca="1" si="63"/>
        <v>1</v>
      </c>
      <c r="AL284" s="96">
        <f t="shared" ref="AL284:AL287" si="70">(+AA284*AB284)/$AB$612</f>
        <v>8.7612695584136945E-6</v>
      </c>
      <c r="AM284" s="97">
        <f t="shared" ref="AM284:AM287" si="71">AC284/$AE$612*AE284</f>
        <v>5.2373306089186923E-5</v>
      </c>
    </row>
    <row r="285" spans="1:39" x14ac:dyDescent="0.3">
      <c r="A285" s="7" t="s">
        <v>2075</v>
      </c>
      <c r="B285" s="7" t="s">
        <v>1320</v>
      </c>
      <c r="C285" s="7" t="s">
        <v>1323</v>
      </c>
      <c r="D285" s="7" t="s">
        <v>1792</v>
      </c>
      <c r="E285" s="7" t="s">
        <v>1322</v>
      </c>
      <c r="F285" s="36">
        <v>43221</v>
      </c>
      <c r="G285" s="36">
        <v>44681</v>
      </c>
      <c r="H285" s="36">
        <v>44681</v>
      </c>
      <c r="I285" s="36">
        <v>44681</v>
      </c>
      <c r="J285" s="7" t="s">
        <v>1696</v>
      </c>
      <c r="K285" s="8">
        <v>0</v>
      </c>
      <c r="L285" s="8">
        <v>0</v>
      </c>
      <c r="M285" s="8">
        <v>4444.4160000000002</v>
      </c>
      <c r="N285" s="8">
        <v>0</v>
      </c>
      <c r="O285" s="8">
        <v>0</v>
      </c>
      <c r="P285" s="8">
        <v>0</v>
      </c>
      <c r="Q285" s="8">
        <v>0</v>
      </c>
      <c r="R285" s="8">
        <f t="shared" si="62"/>
        <v>4444.4160000000002</v>
      </c>
      <c r="S285" s="8">
        <v>0</v>
      </c>
      <c r="T285" s="8">
        <v>0</v>
      </c>
      <c r="U285" s="8">
        <v>4444.4160000000002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7">
        <v>0.32876699999999998</v>
      </c>
      <c r="AB285" s="8">
        <v>1477.695708</v>
      </c>
      <c r="AC285" s="7">
        <v>2.0449999999999999</v>
      </c>
      <c r="AD285" s="7" t="s">
        <v>1226</v>
      </c>
      <c r="AE285" s="8">
        <v>1481.472</v>
      </c>
      <c r="AF285" s="8">
        <v>0</v>
      </c>
      <c r="AG285" s="8">
        <v>1481.472</v>
      </c>
      <c r="AH285" s="8">
        <v>0</v>
      </c>
      <c r="AI285" s="7" t="s">
        <v>1736</v>
      </c>
      <c r="AJ285" s="7">
        <f t="shared" ca="1" si="63"/>
        <v>1</v>
      </c>
      <c r="AL285" s="96">
        <f t="shared" si="70"/>
        <v>8.7612695584136945E-6</v>
      </c>
      <c r="AM285" s="97">
        <f t="shared" si="71"/>
        <v>5.2373306089186923E-5</v>
      </c>
    </row>
    <row r="286" spans="1:39" x14ac:dyDescent="0.3">
      <c r="A286" s="7" t="s">
        <v>2076</v>
      </c>
      <c r="B286" s="7" t="s">
        <v>1320</v>
      </c>
      <c r="C286" s="7" t="s">
        <v>1323</v>
      </c>
      <c r="D286" s="7" t="s">
        <v>1792</v>
      </c>
      <c r="E286" s="7" t="s">
        <v>1322</v>
      </c>
      <c r="F286" s="36">
        <v>43221</v>
      </c>
      <c r="G286" s="36">
        <v>44681</v>
      </c>
      <c r="H286" s="36">
        <v>44681</v>
      </c>
      <c r="I286" s="36">
        <v>44681</v>
      </c>
      <c r="J286" s="7" t="s">
        <v>1696</v>
      </c>
      <c r="K286" s="8">
        <v>0</v>
      </c>
      <c r="L286" s="8">
        <v>0</v>
      </c>
      <c r="M286" s="8">
        <v>4444.4160000000002</v>
      </c>
      <c r="N286" s="8">
        <v>0</v>
      </c>
      <c r="O286" s="8">
        <v>0</v>
      </c>
      <c r="P286" s="8">
        <v>0</v>
      </c>
      <c r="Q286" s="8">
        <v>0</v>
      </c>
      <c r="R286" s="8">
        <f t="shared" si="62"/>
        <v>4444.4160000000002</v>
      </c>
      <c r="S286" s="8">
        <v>0</v>
      </c>
      <c r="T286" s="8">
        <v>0</v>
      </c>
      <c r="U286" s="8">
        <v>4444.4160000000002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7">
        <v>0.32876699999999998</v>
      </c>
      <c r="AB286" s="8">
        <v>1477.695708</v>
      </c>
      <c r="AC286" s="7">
        <v>2.0449999999999999</v>
      </c>
      <c r="AD286" s="7" t="s">
        <v>1226</v>
      </c>
      <c r="AE286" s="8">
        <v>1481.472</v>
      </c>
      <c r="AF286" s="8">
        <v>0</v>
      </c>
      <c r="AG286" s="8">
        <v>1481.472</v>
      </c>
      <c r="AH286" s="8">
        <v>0</v>
      </c>
      <c r="AI286" s="7" t="s">
        <v>1736</v>
      </c>
      <c r="AJ286" s="7">
        <f t="shared" ca="1" si="63"/>
        <v>1</v>
      </c>
      <c r="AL286" s="96">
        <f t="shared" si="70"/>
        <v>8.7612695584136945E-6</v>
      </c>
      <c r="AM286" s="97">
        <f t="shared" si="71"/>
        <v>5.2373306089186923E-5</v>
      </c>
    </row>
    <row r="287" spans="1:39" x14ac:dyDescent="0.3">
      <c r="A287" s="7" t="s">
        <v>2077</v>
      </c>
      <c r="B287" s="7" t="s">
        <v>1320</v>
      </c>
      <c r="C287" s="7" t="s">
        <v>1323</v>
      </c>
      <c r="D287" s="7" t="s">
        <v>1792</v>
      </c>
      <c r="E287" s="7" t="s">
        <v>1322</v>
      </c>
      <c r="F287" s="36">
        <v>43983</v>
      </c>
      <c r="G287" s="36">
        <v>44681</v>
      </c>
      <c r="H287" s="36">
        <v>44681</v>
      </c>
      <c r="I287" s="36">
        <v>44681</v>
      </c>
      <c r="J287" s="7" t="s">
        <v>1696</v>
      </c>
      <c r="K287" s="8">
        <v>0</v>
      </c>
      <c r="L287" s="8">
        <v>0</v>
      </c>
      <c r="M287" s="8">
        <v>4444.4160000000002</v>
      </c>
      <c r="N287" s="8">
        <v>0</v>
      </c>
      <c r="O287" s="8">
        <v>0</v>
      </c>
      <c r="P287" s="8">
        <v>0</v>
      </c>
      <c r="Q287" s="8">
        <v>0</v>
      </c>
      <c r="R287" s="8">
        <f t="shared" si="62"/>
        <v>4444.4160000000002</v>
      </c>
      <c r="S287" s="8">
        <v>0</v>
      </c>
      <c r="T287" s="8">
        <v>0</v>
      </c>
      <c r="U287" s="8">
        <v>4444.4160000000002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7">
        <v>0.32876699999999998</v>
      </c>
      <c r="AB287" s="8">
        <v>1478.1763350000001</v>
      </c>
      <c r="AC287" s="7">
        <v>1.7840830000000001</v>
      </c>
      <c r="AD287" s="7" t="s">
        <v>1226</v>
      </c>
      <c r="AE287" s="8">
        <v>1481.472</v>
      </c>
      <c r="AF287" s="8">
        <v>0</v>
      </c>
      <c r="AG287" s="8">
        <v>1481.472</v>
      </c>
      <c r="AH287" s="8">
        <v>0</v>
      </c>
      <c r="AI287" s="7" t="s">
        <v>1736</v>
      </c>
      <c r="AJ287" s="7">
        <f t="shared" ca="1" si="63"/>
        <v>1</v>
      </c>
      <c r="AL287" s="96">
        <f t="shared" si="70"/>
        <v>8.7641191997040194E-6</v>
      </c>
      <c r="AM287" s="97">
        <f t="shared" si="71"/>
        <v>4.5691112492672309E-5</v>
      </c>
    </row>
    <row r="288" spans="1:39" x14ac:dyDescent="0.3">
      <c r="A288" s="7" t="s">
        <v>2098</v>
      </c>
      <c r="B288" s="7" t="s">
        <v>194</v>
      </c>
      <c r="C288" s="7" t="s">
        <v>1323</v>
      </c>
      <c r="D288" s="7" t="s">
        <v>1324</v>
      </c>
      <c r="E288" s="7" t="s">
        <v>1322</v>
      </c>
      <c r="F288" s="36">
        <v>44287</v>
      </c>
      <c r="G288" s="36">
        <v>45382</v>
      </c>
      <c r="H288" s="36">
        <v>45382</v>
      </c>
      <c r="I288" s="36">
        <v>45382</v>
      </c>
      <c r="J288" s="7" t="s">
        <v>1239</v>
      </c>
      <c r="K288" s="8">
        <v>803883.61347800004</v>
      </c>
      <c r="L288" s="8">
        <v>314832.48755299998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f t="shared" si="62"/>
        <v>1118716.101031</v>
      </c>
      <c r="S288" s="8">
        <v>0</v>
      </c>
      <c r="T288" s="8">
        <v>307565.878402</v>
      </c>
      <c r="U288" s="8">
        <v>0</v>
      </c>
      <c r="V288" s="8">
        <v>142434.121598</v>
      </c>
      <c r="W288" s="8">
        <v>0</v>
      </c>
      <c r="X288" s="8">
        <v>1388138.5474020001</v>
      </c>
      <c r="Y288" s="8">
        <v>0</v>
      </c>
      <c r="Z288" s="8">
        <v>0</v>
      </c>
      <c r="AA288" s="7">
        <v>2.2493150000000002</v>
      </c>
      <c r="AB288" s="8">
        <v>1245704.4258040001</v>
      </c>
      <c r="AC288" s="7">
        <v>7</v>
      </c>
      <c r="AD288" s="7" t="s">
        <v>1226</v>
      </c>
      <c r="AE288" s="8">
        <v>1350000</v>
      </c>
      <c r="AF288" s="8">
        <v>0</v>
      </c>
      <c r="AG288" s="8">
        <v>1350000</v>
      </c>
      <c r="AH288" s="8">
        <v>0</v>
      </c>
      <c r="AI288" s="7" t="s">
        <v>1758</v>
      </c>
      <c r="AJ288" s="7">
        <f t="shared" ca="1" si="63"/>
        <v>1</v>
      </c>
      <c r="AL288" s="96">
        <f t="shared" si="64"/>
        <v>1.6799833669786608E-2</v>
      </c>
      <c r="AM288" s="97">
        <f t="shared" si="65"/>
        <v>6.1502184605539294E-2</v>
      </c>
    </row>
    <row r="289" spans="1:39" x14ac:dyDescent="0.3">
      <c r="A289" s="7" t="s">
        <v>2099</v>
      </c>
      <c r="B289" s="7" t="s">
        <v>1320</v>
      </c>
      <c r="C289" s="7" t="s">
        <v>1323</v>
      </c>
      <c r="D289" s="7" t="s">
        <v>1324</v>
      </c>
      <c r="E289" s="7" t="s">
        <v>1322</v>
      </c>
      <c r="F289" s="36">
        <v>44197</v>
      </c>
      <c r="G289" s="36">
        <v>45291</v>
      </c>
      <c r="H289" s="36">
        <v>45291</v>
      </c>
      <c r="I289" s="36">
        <v>45291</v>
      </c>
      <c r="J289" s="7" t="s">
        <v>1239</v>
      </c>
      <c r="K289" s="8">
        <v>3191.8713480000001</v>
      </c>
      <c r="L289" s="8">
        <v>236.58550199999999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f t="shared" si="62"/>
        <v>3428.45685</v>
      </c>
      <c r="S289" s="8">
        <v>0</v>
      </c>
      <c r="T289" s="8">
        <v>220.428675</v>
      </c>
      <c r="U289" s="8">
        <v>0</v>
      </c>
      <c r="V289" s="8">
        <v>3112.8833249999998</v>
      </c>
      <c r="W289" s="8">
        <v>0</v>
      </c>
      <c r="X289" s="8">
        <v>9575.6140649999998</v>
      </c>
      <c r="Y289" s="8">
        <v>0</v>
      </c>
      <c r="Z289" s="8">
        <v>0</v>
      </c>
      <c r="AA289" s="7">
        <v>2</v>
      </c>
      <c r="AB289" s="8">
        <v>6462.73074</v>
      </c>
      <c r="AC289" s="7">
        <v>3</v>
      </c>
      <c r="AD289" s="7" t="s">
        <v>1226</v>
      </c>
      <c r="AE289" s="8">
        <v>6666.6239999999998</v>
      </c>
      <c r="AF289" s="8">
        <v>0</v>
      </c>
      <c r="AG289" s="8">
        <v>6666.6239999999998</v>
      </c>
      <c r="AH289" s="8">
        <v>0</v>
      </c>
      <c r="AI289" s="7" t="s">
        <v>1194</v>
      </c>
      <c r="AJ289" s="7">
        <f t="shared" ca="1" si="63"/>
        <v>1</v>
      </c>
      <c r="AL289" s="96">
        <f t="shared" si="64"/>
        <v>7.7497153819107876E-5</v>
      </c>
      <c r="AM289" s="97">
        <f t="shared" si="65"/>
        <v>1.3016252061705358E-4</v>
      </c>
    </row>
    <row r="290" spans="1:39" x14ac:dyDescent="0.3">
      <c r="A290" s="7" t="s">
        <v>2100</v>
      </c>
      <c r="B290" s="7" t="s">
        <v>1320</v>
      </c>
      <c r="C290" s="7" t="s">
        <v>1323</v>
      </c>
      <c r="D290" s="7" t="s">
        <v>1324</v>
      </c>
      <c r="E290" s="7" t="s">
        <v>1322</v>
      </c>
      <c r="F290" s="36">
        <v>44287</v>
      </c>
      <c r="G290" s="36">
        <v>45382</v>
      </c>
      <c r="H290" s="36">
        <v>45382</v>
      </c>
      <c r="I290" s="36">
        <v>45382</v>
      </c>
      <c r="J290" s="7" t="s">
        <v>1696</v>
      </c>
      <c r="K290" s="8">
        <v>0</v>
      </c>
      <c r="L290" s="8">
        <v>0</v>
      </c>
      <c r="M290" s="8">
        <v>16666.560000000001</v>
      </c>
      <c r="N290" s="8">
        <v>0</v>
      </c>
      <c r="O290" s="8">
        <v>0</v>
      </c>
      <c r="P290" s="8">
        <v>0</v>
      </c>
      <c r="Q290" s="8">
        <v>0</v>
      </c>
      <c r="R290" s="8">
        <f t="shared" si="62"/>
        <v>16666.560000000001</v>
      </c>
      <c r="S290" s="8">
        <v>0</v>
      </c>
      <c r="T290" s="8">
        <v>0</v>
      </c>
      <c r="U290" s="8">
        <v>16666.560000000001</v>
      </c>
      <c r="V290" s="8">
        <v>0</v>
      </c>
      <c r="W290" s="8">
        <v>0</v>
      </c>
      <c r="X290" s="8">
        <v>0</v>
      </c>
      <c r="Y290" s="8">
        <v>63837.427107000003</v>
      </c>
      <c r="Z290" s="8">
        <v>0</v>
      </c>
      <c r="AA290" s="7">
        <v>2.2493150000000002</v>
      </c>
      <c r="AB290" s="8">
        <v>48411.929766000001</v>
      </c>
      <c r="AC290" s="7">
        <v>3</v>
      </c>
      <c r="AD290" s="7" t="s">
        <v>1226</v>
      </c>
      <c r="AE290" s="8">
        <v>49999.68</v>
      </c>
      <c r="AF290" s="8">
        <v>0</v>
      </c>
      <c r="AG290" s="8">
        <v>49999.68</v>
      </c>
      <c r="AH290" s="8">
        <v>0</v>
      </c>
      <c r="AI290" s="7" t="s">
        <v>1730</v>
      </c>
      <c r="AJ290" s="7">
        <f t="shared" ca="1" si="63"/>
        <v>1</v>
      </c>
      <c r="AL290" s="96">
        <f>(+AA290*AB290)/$AB$612</f>
        <v>1.9637965189739761E-3</v>
      </c>
      <c r="AM290" s="97">
        <f>AC290/$AE$612*AE290</f>
        <v>2.5930548858338269E-3</v>
      </c>
    </row>
    <row r="291" spans="1:39" x14ac:dyDescent="0.3">
      <c r="A291" s="7" t="s">
        <v>2108</v>
      </c>
      <c r="B291" s="7" t="s">
        <v>1320</v>
      </c>
      <c r="C291" s="7" t="s">
        <v>1323</v>
      </c>
      <c r="D291" s="7" t="s">
        <v>1792</v>
      </c>
      <c r="E291" s="7" t="s">
        <v>1322</v>
      </c>
      <c r="F291" s="36">
        <v>44197</v>
      </c>
      <c r="G291" s="36">
        <v>47848</v>
      </c>
      <c r="H291" s="36">
        <v>47848</v>
      </c>
      <c r="I291" s="36">
        <v>47848</v>
      </c>
      <c r="J291" s="7" t="s">
        <v>1239</v>
      </c>
      <c r="K291" s="8">
        <v>320355.38061599998</v>
      </c>
      <c r="L291" s="8">
        <v>62476.654648000003</v>
      </c>
      <c r="M291" s="8">
        <v>0</v>
      </c>
      <c r="N291" s="8">
        <v>0</v>
      </c>
      <c r="O291" s="8">
        <v>0</v>
      </c>
      <c r="P291" s="8">
        <v>1000</v>
      </c>
      <c r="Q291" s="8">
        <v>0</v>
      </c>
      <c r="R291" s="8">
        <f t="shared" si="62"/>
        <v>383832.03526400001</v>
      </c>
      <c r="S291" s="8">
        <v>0</v>
      </c>
      <c r="T291" s="8">
        <v>57499.635622000002</v>
      </c>
      <c r="U291" s="8">
        <v>0</v>
      </c>
      <c r="V291" s="8">
        <v>298053.644378</v>
      </c>
      <c r="W291" s="8">
        <v>1000</v>
      </c>
      <c r="X291" s="8">
        <v>3203553.8061159998</v>
      </c>
      <c r="Y291" s="8">
        <v>0</v>
      </c>
      <c r="Z291" s="8">
        <v>0</v>
      </c>
      <c r="AA291" s="7">
        <v>9.0054789999999993</v>
      </c>
      <c r="AB291" s="8">
        <v>2920500.1617379999</v>
      </c>
      <c r="AC291" s="7">
        <v>2.0449999999999999</v>
      </c>
      <c r="AD291" s="7" t="s">
        <v>1226</v>
      </c>
      <c r="AE291" s="8">
        <v>3199979.52</v>
      </c>
      <c r="AF291" s="8">
        <v>0</v>
      </c>
      <c r="AG291" s="8">
        <v>3199979.52</v>
      </c>
      <c r="AH291" s="8">
        <v>0</v>
      </c>
      <c r="AI291" s="7" t="s">
        <v>1758</v>
      </c>
      <c r="AJ291" s="7">
        <f t="shared" ca="1" si="63"/>
        <v>1</v>
      </c>
      <c r="AL291" s="96">
        <f t="shared" si="64"/>
        <v>0.15768985270330504</v>
      </c>
      <c r="AM291" s="97">
        <f t="shared" si="65"/>
        <v>4.2589176745899932E-2</v>
      </c>
    </row>
    <row r="292" spans="1:39" x14ac:dyDescent="0.3">
      <c r="A292" s="7" t="s">
        <v>2109</v>
      </c>
      <c r="B292" s="7" t="s">
        <v>1768</v>
      </c>
      <c r="C292" s="7" t="s">
        <v>1323</v>
      </c>
      <c r="D292" s="7" t="s">
        <v>1324</v>
      </c>
      <c r="E292" s="7" t="s">
        <v>1322</v>
      </c>
      <c r="F292" s="36">
        <v>43831</v>
      </c>
      <c r="G292" s="36">
        <v>44926</v>
      </c>
      <c r="H292" s="36">
        <v>44926</v>
      </c>
      <c r="I292" s="36">
        <v>44926</v>
      </c>
      <c r="J292" s="7" t="s">
        <v>1696</v>
      </c>
      <c r="K292" s="8">
        <v>0</v>
      </c>
      <c r="L292" s="8">
        <v>0</v>
      </c>
      <c r="M292" s="8">
        <v>8142.8571510000002</v>
      </c>
      <c r="N292" s="8">
        <v>0</v>
      </c>
      <c r="O292" s="8">
        <v>0</v>
      </c>
      <c r="P292" s="8">
        <v>0</v>
      </c>
      <c r="Q292" s="8">
        <v>0</v>
      </c>
      <c r="R292" s="8">
        <f t="shared" si="62"/>
        <v>8142.8571510000002</v>
      </c>
      <c r="S292" s="8">
        <v>0</v>
      </c>
      <c r="T292" s="8">
        <v>0</v>
      </c>
      <c r="U292" s="8">
        <v>8142.8571510000002</v>
      </c>
      <c r="V292" s="8">
        <v>0</v>
      </c>
      <c r="W292" s="8">
        <v>0</v>
      </c>
      <c r="X292" s="8">
        <v>0</v>
      </c>
      <c r="Y292" s="8">
        <v>14773.899126</v>
      </c>
      <c r="Z292" s="8">
        <v>-7142.1600239999998</v>
      </c>
      <c r="AA292" s="7">
        <v>1</v>
      </c>
      <c r="AB292" s="8">
        <v>0</v>
      </c>
      <c r="AC292" s="7">
        <v>3</v>
      </c>
      <c r="AD292" s="7" t="s">
        <v>1226</v>
      </c>
      <c r="AE292" s="8">
        <v>0</v>
      </c>
      <c r="AF292" s="8">
        <v>0</v>
      </c>
      <c r="AG292" s="8">
        <v>0</v>
      </c>
      <c r="AH292" s="8">
        <v>0</v>
      </c>
      <c r="AI292" s="7" t="s">
        <v>1736</v>
      </c>
      <c r="AJ292" s="7">
        <f t="shared" ca="1" si="63"/>
        <v>1</v>
      </c>
      <c r="AL292" s="96">
        <f t="shared" ref="AL292:AL309" si="72">(+AA292*AB292)/$AB$612</f>
        <v>0</v>
      </c>
      <c r="AM292" s="97">
        <f t="shared" ref="AM292:AM309" si="73">AC292/$AE$612*AE292</f>
        <v>0</v>
      </c>
    </row>
    <row r="293" spans="1:39" x14ac:dyDescent="0.3">
      <c r="A293" s="7" t="s">
        <v>2110</v>
      </c>
      <c r="B293" s="7" t="s">
        <v>1768</v>
      </c>
      <c r="C293" s="7" t="s">
        <v>1323</v>
      </c>
      <c r="D293" s="7" t="s">
        <v>1324</v>
      </c>
      <c r="E293" s="7" t="s">
        <v>1750</v>
      </c>
      <c r="F293" s="36">
        <v>43831</v>
      </c>
      <c r="G293" s="36">
        <v>44926</v>
      </c>
      <c r="H293" s="36">
        <v>45322</v>
      </c>
      <c r="I293" s="36">
        <v>44926</v>
      </c>
      <c r="J293" s="7" t="s">
        <v>1696</v>
      </c>
      <c r="K293" s="8">
        <v>0</v>
      </c>
      <c r="L293" s="8">
        <v>0</v>
      </c>
      <c r="M293" s="8">
        <v>10404.399391000001</v>
      </c>
      <c r="N293" s="8">
        <v>0</v>
      </c>
      <c r="O293" s="8">
        <v>0</v>
      </c>
      <c r="P293" s="8">
        <v>0</v>
      </c>
      <c r="Q293" s="8">
        <v>0</v>
      </c>
      <c r="R293" s="8">
        <f t="shared" si="62"/>
        <v>10404.399391000001</v>
      </c>
      <c r="S293" s="8">
        <v>0</v>
      </c>
      <c r="T293" s="8">
        <v>0</v>
      </c>
      <c r="U293" s="8">
        <v>10392.863651</v>
      </c>
      <c r="V293" s="8">
        <v>0</v>
      </c>
      <c r="W293" s="8">
        <v>0</v>
      </c>
      <c r="X293" s="8">
        <v>0</v>
      </c>
      <c r="Y293" s="8">
        <v>14773.899126</v>
      </c>
      <c r="Z293" s="8">
        <v>5438.7477129999997</v>
      </c>
      <c r="AA293" s="7">
        <v>1</v>
      </c>
      <c r="AB293" s="8">
        <v>10423.713689</v>
      </c>
      <c r="AC293" s="7">
        <v>2.4066670000000001</v>
      </c>
      <c r="AD293" s="7" t="s">
        <v>2111</v>
      </c>
      <c r="AE293" s="8">
        <v>8100.0010000000002</v>
      </c>
      <c r="AF293" s="8">
        <v>0</v>
      </c>
      <c r="AG293" s="8">
        <v>8100.0010000000002</v>
      </c>
      <c r="AH293" s="8">
        <v>0</v>
      </c>
      <c r="AI293" s="7" t="s">
        <v>1736</v>
      </c>
      <c r="AJ293" s="7">
        <f t="shared" ca="1" si="63"/>
        <v>1</v>
      </c>
      <c r="AL293" s="96">
        <f t="shared" si="72"/>
        <v>1.8798200863937446E-4</v>
      </c>
      <c r="AM293" s="97">
        <f t="shared" si="73"/>
        <v>3.3699565801429424E-4</v>
      </c>
    </row>
    <row r="294" spans="1:39" x14ac:dyDescent="0.3">
      <c r="A294" s="7" t="s">
        <v>2112</v>
      </c>
      <c r="B294" s="7" t="s">
        <v>1768</v>
      </c>
      <c r="C294" s="7" t="s">
        <v>1323</v>
      </c>
      <c r="D294" s="7" t="s">
        <v>1324</v>
      </c>
      <c r="E294" s="7" t="s">
        <v>1322</v>
      </c>
      <c r="F294" s="36">
        <v>43831</v>
      </c>
      <c r="G294" s="36">
        <v>44926</v>
      </c>
      <c r="H294" s="36">
        <v>44926</v>
      </c>
      <c r="I294" s="36">
        <v>44926</v>
      </c>
      <c r="J294" s="7" t="s">
        <v>1696</v>
      </c>
      <c r="K294" s="8">
        <v>0</v>
      </c>
      <c r="L294" s="8">
        <v>0</v>
      </c>
      <c r="M294" s="8">
        <v>10285.714296</v>
      </c>
      <c r="N294" s="8">
        <v>0</v>
      </c>
      <c r="O294" s="8">
        <v>0</v>
      </c>
      <c r="P294" s="8">
        <v>0</v>
      </c>
      <c r="Q294" s="8">
        <v>0</v>
      </c>
      <c r="R294" s="8">
        <f t="shared" si="62"/>
        <v>10285.714296</v>
      </c>
      <c r="S294" s="8">
        <v>0</v>
      </c>
      <c r="T294" s="8">
        <v>0</v>
      </c>
      <c r="U294" s="8">
        <v>10285.714296</v>
      </c>
      <c r="V294" s="8">
        <v>0</v>
      </c>
      <c r="W294" s="8">
        <v>0</v>
      </c>
      <c r="X294" s="8">
        <v>0</v>
      </c>
      <c r="Y294" s="8">
        <v>14773.899126</v>
      </c>
      <c r="Z294" s="8">
        <v>0</v>
      </c>
      <c r="AA294" s="7">
        <v>1</v>
      </c>
      <c r="AB294" s="8">
        <v>5072.9022809999997</v>
      </c>
      <c r="AC294" s="7">
        <v>3</v>
      </c>
      <c r="AD294" s="7" t="s">
        <v>1226</v>
      </c>
      <c r="AE294" s="8">
        <v>5142.8571480000001</v>
      </c>
      <c r="AF294" s="8">
        <v>0</v>
      </c>
      <c r="AG294" s="8">
        <v>5142.8571480000001</v>
      </c>
      <c r="AH294" s="8">
        <v>0</v>
      </c>
      <c r="AI294" s="7" t="s">
        <v>1781</v>
      </c>
      <c r="AJ294" s="7">
        <f t="shared" ca="1" si="63"/>
        <v>1</v>
      </c>
      <c r="AL294" s="96">
        <f t="shared" si="72"/>
        <v>9.1485087643953641E-5</v>
      </c>
      <c r="AM294" s="97">
        <f t="shared" si="73"/>
        <v>2.6671592407725053E-4</v>
      </c>
    </row>
    <row r="295" spans="1:39" x14ac:dyDescent="0.3">
      <c r="A295" s="7" t="s">
        <v>2114</v>
      </c>
      <c r="B295" s="7" t="s">
        <v>1768</v>
      </c>
      <c r="C295" s="7" t="s">
        <v>1323</v>
      </c>
      <c r="D295" s="7" t="s">
        <v>1324</v>
      </c>
      <c r="E295" s="7" t="s">
        <v>1322</v>
      </c>
      <c r="F295" s="36">
        <v>43831</v>
      </c>
      <c r="G295" s="36">
        <v>44926</v>
      </c>
      <c r="H295" s="36">
        <v>44926</v>
      </c>
      <c r="I295" s="36">
        <v>44926</v>
      </c>
      <c r="J295" s="7" t="s">
        <v>1696</v>
      </c>
      <c r="K295" s="8">
        <v>0</v>
      </c>
      <c r="L295" s="8">
        <v>0</v>
      </c>
      <c r="M295" s="8">
        <v>9227.6897580000004</v>
      </c>
      <c r="N295" s="8">
        <v>0</v>
      </c>
      <c r="O295" s="8">
        <v>0</v>
      </c>
      <c r="P295" s="8">
        <v>0</v>
      </c>
      <c r="Q295" s="8">
        <v>0</v>
      </c>
      <c r="R295" s="8">
        <f t="shared" si="62"/>
        <v>9227.6897580000004</v>
      </c>
      <c r="S295" s="8">
        <v>0</v>
      </c>
      <c r="T295" s="8">
        <v>0</v>
      </c>
      <c r="U295" s="8">
        <v>10285.714296</v>
      </c>
      <c r="V295" s="8">
        <v>0</v>
      </c>
      <c r="W295" s="8">
        <v>0</v>
      </c>
      <c r="X295" s="8">
        <v>0</v>
      </c>
      <c r="Y295" s="8">
        <v>14773.899126</v>
      </c>
      <c r="Z295" s="8">
        <v>0</v>
      </c>
      <c r="AA295" s="7">
        <v>1</v>
      </c>
      <c r="AB295" s="8">
        <v>5072.9022809999997</v>
      </c>
      <c r="AC295" s="7">
        <v>3</v>
      </c>
      <c r="AD295" s="7" t="s">
        <v>1226</v>
      </c>
      <c r="AE295" s="8">
        <v>5142.8571480000001</v>
      </c>
      <c r="AF295" s="8">
        <v>0</v>
      </c>
      <c r="AG295" s="8">
        <v>5142.8571480000001</v>
      </c>
      <c r="AH295" s="8">
        <v>0</v>
      </c>
      <c r="AI295" s="7" t="s">
        <v>1736</v>
      </c>
      <c r="AJ295" s="7">
        <f t="shared" ca="1" si="63"/>
        <v>1</v>
      </c>
      <c r="AL295" s="96">
        <f t="shared" si="72"/>
        <v>9.1485087643953641E-5</v>
      </c>
      <c r="AM295" s="97">
        <f t="shared" si="73"/>
        <v>2.6671592407725053E-4</v>
      </c>
    </row>
    <row r="296" spans="1:39" x14ac:dyDescent="0.3">
      <c r="A296" s="7" t="s">
        <v>2115</v>
      </c>
      <c r="B296" s="7" t="s">
        <v>1768</v>
      </c>
      <c r="C296" s="7" t="s">
        <v>1323</v>
      </c>
      <c r="D296" s="7" t="s">
        <v>1324</v>
      </c>
      <c r="E296" s="7" t="s">
        <v>1322</v>
      </c>
      <c r="F296" s="36">
        <v>43831</v>
      </c>
      <c r="G296" s="36">
        <v>44926</v>
      </c>
      <c r="H296" s="36">
        <v>44926</v>
      </c>
      <c r="I296" s="36">
        <v>44926</v>
      </c>
      <c r="J296" s="7" t="s">
        <v>1696</v>
      </c>
      <c r="K296" s="8">
        <v>0</v>
      </c>
      <c r="L296" s="8">
        <v>0</v>
      </c>
      <c r="M296" s="8">
        <v>10285.714296</v>
      </c>
      <c r="N296" s="8">
        <v>0</v>
      </c>
      <c r="O296" s="8">
        <v>0</v>
      </c>
      <c r="P296" s="8">
        <v>0</v>
      </c>
      <c r="Q296" s="8">
        <v>0</v>
      </c>
      <c r="R296" s="8">
        <f t="shared" si="62"/>
        <v>10285.714296</v>
      </c>
      <c r="S296" s="8">
        <v>0</v>
      </c>
      <c r="T296" s="8">
        <v>0</v>
      </c>
      <c r="U296" s="8">
        <v>10285.714296</v>
      </c>
      <c r="V296" s="8">
        <v>0</v>
      </c>
      <c r="W296" s="8">
        <v>0</v>
      </c>
      <c r="X296" s="8">
        <v>0</v>
      </c>
      <c r="Y296" s="8">
        <v>14773.899126</v>
      </c>
      <c r="Z296" s="8">
        <v>0</v>
      </c>
      <c r="AA296" s="7">
        <v>1</v>
      </c>
      <c r="AB296" s="8">
        <v>5072.9022809999997</v>
      </c>
      <c r="AC296" s="7">
        <v>3</v>
      </c>
      <c r="AD296" s="7" t="s">
        <v>1226</v>
      </c>
      <c r="AE296" s="8">
        <v>5142.8571480000001</v>
      </c>
      <c r="AF296" s="8">
        <v>0</v>
      </c>
      <c r="AG296" s="8">
        <v>5142.8571480000001</v>
      </c>
      <c r="AH296" s="8">
        <v>0</v>
      </c>
      <c r="AI296" s="7" t="s">
        <v>1736</v>
      </c>
      <c r="AJ296" s="7">
        <f t="shared" ca="1" si="63"/>
        <v>1</v>
      </c>
      <c r="AL296" s="96">
        <f t="shared" si="72"/>
        <v>9.1485087643953641E-5</v>
      </c>
      <c r="AM296" s="97">
        <f t="shared" si="73"/>
        <v>2.6671592407725053E-4</v>
      </c>
    </row>
    <row r="297" spans="1:39" x14ac:dyDescent="0.3">
      <c r="A297" s="7" t="s">
        <v>2117</v>
      </c>
      <c r="B297" s="7" t="s">
        <v>1320</v>
      </c>
      <c r="C297" s="7" t="s">
        <v>1323</v>
      </c>
      <c r="D297" s="7" t="s">
        <v>1792</v>
      </c>
      <c r="E297" s="7" t="s">
        <v>1750</v>
      </c>
      <c r="F297" s="36">
        <v>41913</v>
      </c>
      <c r="G297" s="36">
        <v>44104</v>
      </c>
      <c r="H297" s="36">
        <v>44834</v>
      </c>
      <c r="I297" s="36">
        <v>44834</v>
      </c>
      <c r="J297" s="7" t="s">
        <v>1696</v>
      </c>
      <c r="K297" s="8">
        <v>0</v>
      </c>
      <c r="L297" s="8">
        <v>0</v>
      </c>
      <c r="M297" s="8">
        <v>50000.000004000001</v>
      </c>
      <c r="N297" s="8">
        <v>0</v>
      </c>
      <c r="O297" s="8">
        <v>0</v>
      </c>
      <c r="P297" s="8">
        <v>0</v>
      </c>
      <c r="Q297" s="8">
        <v>0</v>
      </c>
      <c r="R297" s="8">
        <f t="shared" si="62"/>
        <v>50000.000004000001</v>
      </c>
      <c r="S297" s="8">
        <v>0</v>
      </c>
      <c r="T297" s="8">
        <v>0</v>
      </c>
      <c r="U297" s="8">
        <v>50000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7">
        <v>0.74794499999999997</v>
      </c>
      <c r="AB297" s="8">
        <v>0</v>
      </c>
      <c r="AC297" s="7">
        <v>2.2879999999999998</v>
      </c>
      <c r="AD297" s="7" t="s">
        <v>1697</v>
      </c>
      <c r="AE297" s="8">
        <v>0</v>
      </c>
      <c r="AF297" s="8">
        <v>0</v>
      </c>
      <c r="AG297" s="8">
        <v>0</v>
      </c>
      <c r="AH297" s="8">
        <v>0</v>
      </c>
      <c r="AI297" s="7" t="s">
        <v>1758</v>
      </c>
      <c r="AJ297" s="7">
        <f t="shared" ca="1" si="63"/>
        <v>1</v>
      </c>
      <c r="AL297" s="96">
        <f t="shared" si="72"/>
        <v>0</v>
      </c>
      <c r="AM297" s="97">
        <f t="shared" si="73"/>
        <v>0</v>
      </c>
    </row>
    <row r="298" spans="1:39" x14ac:dyDescent="0.3">
      <c r="A298" s="7" t="s">
        <v>2118</v>
      </c>
      <c r="B298" s="7" t="s">
        <v>1320</v>
      </c>
      <c r="C298" s="7" t="s">
        <v>1323</v>
      </c>
      <c r="D298" s="7" t="s">
        <v>1792</v>
      </c>
      <c r="E298" s="7" t="s">
        <v>1739</v>
      </c>
      <c r="F298" s="36">
        <v>41852</v>
      </c>
      <c r="G298" s="36">
        <v>44043</v>
      </c>
      <c r="I298" s="36">
        <v>46234</v>
      </c>
      <c r="J298" s="7" t="s">
        <v>1696</v>
      </c>
      <c r="K298" s="8">
        <v>0</v>
      </c>
      <c r="L298" s="8">
        <v>0</v>
      </c>
      <c r="M298" s="8">
        <v>120000</v>
      </c>
      <c r="N298" s="8">
        <v>0</v>
      </c>
      <c r="O298" s="8">
        <v>0</v>
      </c>
      <c r="P298" s="8">
        <v>0</v>
      </c>
      <c r="Q298" s="8">
        <v>0</v>
      </c>
      <c r="R298" s="8">
        <f t="shared" si="62"/>
        <v>120000</v>
      </c>
      <c r="S298" s="8">
        <v>0</v>
      </c>
      <c r="T298" s="8">
        <v>0</v>
      </c>
      <c r="U298" s="8">
        <v>120000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7">
        <v>4.5835619999999997</v>
      </c>
      <c r="AB298" s="8">
        <v>535245.68762300001</v>
      </c>
      <c r="AC298" s="7">
        <v>1.2149000000000001</v>
      </c>
      <c r="AD298" s="7" t="s">
        <v>1226</v>
      </c>
      <c r="AE298" s="8">
        <v>550000</v>
      </c>
      <c r="AF298" s="8">
        <v>0</v>
      </c>
      <c r="AG298" s="8">
        <v>550000</v>
      </c>
      <c r="AH298" s="8">
        <v>0</v>
      </c>
      <c r="AI298" s="7" t="s">
        <v>1758</v>
      </c>
      <c r="AJ298" s="7">
        <f t="shared" ca="1" si="63"/>
        <v>1</v>
      </c>
      <c r="AL298" s="96">
        <f t="shared" si="72"/>
        <v>4.4243563507191282E-2</v>
      </c>
      <c r="AM298" s="97">
        <f t="shared" si="73"/>
        <v>1.1551182657167232E-2</v>
      </c>
    </row>
    <row r="299" spans="1:39" x14ac:dyDescent="0.3">
      <c r="A299" s="7" t="s">
        <v>2119</v>
      </c>
      <c r="B299" s="7" t="s">
        <v>1768</v>
      </c>
      <c r="C299" s="7" t="s">
        <v>1323</v>
      </c>
      <c r="D299" s="7" t="s">
        <v>1324</v>
      </c>
      <c r="E299" s="7" t="s">
        <v>1322</v>
      </c>
      <c r="F299" s="36">
        <v>44348</v>
      </c>
      <c r="G299" s="36">
        <v>45077</v>
      </c>
      <c r="H299" s="36">
        <v>45077</v>
      </c>
      <c r="I299" s="36">
        <v>45443</v>
      </c>
      <c r="J299" s="7" t="s">
        <v>1696</v>
      </c>
      <c r="K299" s="8">
        <v>0</v>
      </c>
      <c r="L299" s="8">
        <v>0</v>
      </c>
      <c r="M299" s="8">
        <v>3000.0000030000001</v>
      </c>
      <c r="N299" s="8">
        <v>0</v>
      </c>
      <c r="O299" s="8">
        <v>0</v>
      </c>
      <c r="P299" s="8">
        <v>0</v>
      </c>
      <c r="Q299" s="8">
        <v>0</v>
      </c>
      <c r="R299" s="8">
        <f t="shared" si="62"/>
        <v>3000.0000030000001</v>
      </c>
      <c r="S299" s="8">
        <v>0</v>
      </c>
      <c r="T299" s="8">
        <v>0</v>
      </c>
      <c r="U299" s="8">
        <v>3000.0000030000001</v>
      </c>
      <c r="V299" s="8">
        <v>0</v>
      </c>
      <c r="W299" s="8">
        <v>0</v>
      </c>
      <c r="X299" s="8">
        <v>0</v>
      </c>
      <c r="Y299" s="8">
        <v>14773.899126</v>
      </c>
      <c r="Z299" s="8">
        <v>0</v>
      </c>
      <c r="AA299" s="7">
        <v>2.4164379999999999</v>
      </c>
      <c r="AB299" s="8">
        <v>12004.239063000001</v>
      </c>
      <c r="AC299" s="7">
        <v>3</v>
      </c>
      <c r="AD299" s="7" t="s">
        <v>1226</v>
      </c>
      <c r="AE299" s="8">
        <v>12428.571441</v>
      </c>
      <c r="AF299" s="8">
        <v>0</v>
      </c>
      <c r="AG299" s="8">
        <v>12428.571441</v>
      </c>
      <c r="AH299" s="8">
        <v>0</v>
      </c>
      <c r="AI299" s="7" t="s">
        <v>1781</v>
      </c>
      <c r="AJ299" s="7">
        <f t="shared" ca="1" si="63"/>
        <v>1</v>
      </c>
      <c r="AL299" s="96">
        <f t="shared" si="72"/>
        <v>5.231233485201844E-4</v>
      </c>
      <c r="AM299" s="97">
        <f t="shared" si="73"/>
        <v>6.445634831866887E-4</v>
      </c>
    </row>
    <row r="300" spans="1:39" x14ac:dyDescent="0.3">
      <c r="A300" s="7" t="s">
        <v>2597</v>
      </c>
      <c r="B300" s="7" t="s">
        <v>1768</v>
      </c>
      <c r="C300" s="7" t="s">
        <v>1323</v>
      </c>
      <c r="D300" s="7" t="s">
        <v>1324</v>
      </c>
      <c r="E300" s="7" t="s">
        <v>1695</v>
      </c>
      <c r="F300" s="36">
        <v>43831</v>
      </c>
      <c r="G300" s="36">
        <v>44926</v>
      </c>
      <c r="H300" s="36">
        <v>44501</v>
      </c>
      <c r="I300" s="36">
        <v>44501</v>
      </c>
      <c r="J300" s="7" t="s">
        <v>1696</v>
      </c>
      <c r="K300" s="8">
        <v>0</v>
      </c>
      <c r="L300" s="8">
        <v>0</v>
      </c>
      <c r="M300" s="8">
        <v>1101504.621977</v>
      </c>
      <c r="N300" s="8">
        <v>0</v>
      </c>
      <c r="O300" s="8">
        <v>0</v>
      </c>
      <c r="P300" s="8">
        <v>0</v>
      </c>
      <c r="Q300" s="8">
        <v>0</v>
      </c>
      <c r="R300" s="8">
        <f t="shared" si="62"/>
        <v>1101504.621977</v>
      </c>
      <c r="S300" s="8">
        <v>0</v>
      </c>
      <c r="T300" s="8">
        <v>0</v>
      </c>
      <c r="U300" s="8">
        <v>1150000</v>
      </c>
      <c r="V300" s="8">
        <v>0</v>
      </c>
      <c r="W300" s="8">
        <v>0</v>
      </c>
      <c r="X300" s="8">
        <v>0</v>
      </c>
      <c r="Y300" s="8">
        <v>1892541.293206</v>
      </c>
      <c r="Z300" s="8">
        <v>-756531.40197300003</v>
      </c>
      <c r="AA300" s="7">
        <v>0</v>
      </c>
      <c r="AB300" s="8">
        <v>0</v>
      </c>
      <c r="AC300" s="7">
        <v>3</v>
      </c>
      <c r="AD300" s="7" t="s">
        <v>1226</v>
      </c>
      <c r="AE300" s="8">
        <v>0</v>
      </c>
      <c r="AF300" s="8">
        <v>0</v>
      </c>
      <c r="AG300" s="8">
        <v>0</v>
      </c>
      <c r="AH300" s="8">
        <v>0</v>
      </c>
      <c r="AI300" s="7" t="s">
        <v>1758</v>
      </c>
      <c r="AJ300" s="7">
        <f t="shared" ca="1" si="63"/>
        <v>1</v>
      </c>
      <c r="AL300" s="96">
        <f t="shared" si="72"/>
        <v>0</v>
      </c>
      <c r="AM300" s="97">
        <f t="shared" si="73"/>
        <v>0</v>
      </c>
    </row>
    <row r="301" spans="1:39" x14ac:dyDescent="0.3">
      <c r="A301" s="7" t="s">
        <v>2120</v>
      </c>
      <c r="B301" s="7" t="s">
        <v>1320</v>
      </c>
      <c r="C301" s="7" t="s">
        <v>1323</v>
      </c>
      <c r="D301" s="7" t="s">
        <v>1324</v>
      </c>
      <c r="E301" s="7" t="s">
        <v>1322</v>
      </c>
      <c r="F301" s="36">
        <v>44501</v>
      </c>
      <c r="G301" s="36">
        <v>44926</v>
      </c>
      <c r="H301" s="36">
        <v>44926</v>
      </c>
      <c r="I301" s="36">
        <v>44926</v>
      </c>
      <c r="J301" s="7" t="s">
        <v>1696</v>
      </c>
      <c r="K301" s="8">
        <v>0</v>
      </c>
      <c r="L301" s="8">
        <v>0</v>
      </c>
      <c r="M301" s="8">
        <v>170000.00142799999</v>
      </c>
      <c r="N301" s="8">
        <v>0</v>
      </c>
      <c r="O301" s="8">
        <v>0</v>
      </c>
      <c r="P301" s="8">
        <v>0</v>
      </c>
      <c r="Q301" s="8">
        <v>0</v>
      </c>
      <c r="R301" s="8">
        <f t="shared" si="62"/>
        <v>170000.00142799999</v>
      </c>
      <c r="S301" s="8">
        <v>0</v>
      </c>
      <c r="T301" s="8">
        <v>0</v>
      </c>
      <c r="U301" s="8">
        <v>100000</v>
      </c>
      <c r="V301" s="8">
        <v>0</v>
      </c>
      <c r="W301" s="8">
        <v>0</v>
      </c>
      <c r="X301" s="8">
        <v>0</v>
      </c>
      <c r="Y301" s="8">
        <v>0</v>
      </c>
      <c r="Z301" s="8">
        <v>761798.31525999994</v>
      </c>
      <c r="AA301" s="7">
        <v>1</v>
      </c>
      <c r="AB301" s="8">
        <v>723909.14528099995</v>
      </c>
      <c r="AC301" s="7">
        <v>1.6946669999999999</v>
      </c>
      <c r="AD301" s="7" t="s">
        <v>1226</v>
      </c>
      <c r="AE301" s="8">
        <v>730000.01</v>
      </c>
      <c r="AF301" s="8">
        <v>0</v>
      </c>
      <c r="AG301" s="8">
        <v>730000.01</v>
      </c>
      <c r="AH301" s="8">
        <v>0</v>
      </c>
      <c r="AI301" s="7" t="s">
        <v>1758</v>
      </c>
      <c r="AJ301" s="7">
        <f t="shared" ca="1" si="63"/>
        <v>1</v>
      </c>
      <c r="AL301" s="96">
        <f t="shared" si="72"/>
        <v>1.3055030026960587E-2</v>
      </c>
      <c r="AM301" s="97">
        <f t="shared" si="73"/>
        <v>2.1386044612138409E-2</v>
      </c>
    </row>
    <row r="302" spans="1:39" x14ac:dyDescent="0.3">
      <c r="A302" s="7" t="s">
        <v>2121</v>
      </c>
      <c r="B302" s="7" t="s">
        <v>1768</v>
      </c>
      <c r="C302" s="7" t="s">
        <v>1323</v>
      </c>
      <c r="D302" s="7" t="s">
        <v>1324</v>
      </c>
      <c r="E302" s="7" t="s">
        <v>1695</v>
      </c>
      <c r="F302" s="36">
        <v>43831</v>
      </c>
      <c r="G302" s="36">
        <v>44926</v>
      </c>
      <c r="H302" s="36">
        <v>44409</v>
      </c>
      <c r="I302" s="36">
        <v>44409</v>
      </c>
      <c r="J302" s="7" t="s">
        <v>1696</v>
      </c>
      <c r="K302" s="8">
        <v>0</v>
      </c>
      <c r="L302" s="8">
        <v>0</v>
      </c>
      <c r="M302" s="8">
        <v>1320000</v>
      </c>
      <c r="N302" s="8">
        <v>0</v>
      </c>
      <c r="O302" s="8">
        <v>0</v>
      </c>
      <c r="P302" s="8">
        <v>0</v>
      </c>
      <c r="Q302" s="8">
        <v>0</v>
      </c>
      <c r="R302" s="8">
        <f t="shared" si="62"/>
        <v>1320000</v>
      </c>
      <c r="S302" s="8">
        <v>0</v>
      </c>
      <c r="T302" s="8">
        <v>0</v>
      </c>
      <c r="U302" s="8">
        <v>1260000</v>
      </c>
      <c r="V302" s="8">
        <v>0</v>
      </c>
      <c r="W302" s="8">
        <v>0</v>
      </c>
      <c r="X302" s="8">
        <v>0</v>
      </c>
      <c r="Y302" s="8">
        <v>1892541.293206</v>
      </c>
      <c r="Z302" s="8">
        <v>0</v>
      </c>
      <c r="AA302" s="7">
        <v>0</v>
      </c>
      <c r="AB302" s="8">
        <v>710206.318554</v>
      </c>
      <c r="AC302" s="7">
        <v>3</v>
      </c>
      <c r="AD302" s="7" t="s">
        <v>1226</v>
      </c>
      <c r="AE302" s="8">
        <v>720000</v>
      </c>
      <c r="AF302" s="8">
        <v>0</v>
      </c>
      <c r="AG302" s="8">
        <v>720000</v>
      </c>
      <c r="AH302" s="8">
        <v>0</v>
      </c>
      <c r="AI302" s="7" t="s">
        <v>1758</v>
      </c>
      <c r="AJ302" s="7">
        <f t="shared" ca="1" si="63"/>
        <v>1</v>
      </c>
      <c r="AL302" s="96">
        <f t="shared" si="72"/>
        <v>0</v>
      </c>
      <c r="AM302" s="97">
        <f t="shared" si="73"/>
        <v>3.7340229333474841E-2</v>
      </c>
    </row>
    <row r="303" spans="1:39" x14ac:dyDescent="0.3">
      <c r="A303" s="7" t="s">
        <v>2122</v>
      </c>
      <c r="B303" s="7" t="s">
        <v>1320</v>
      </c>
      <c r="C303" s="7" t="s">
        <v>1323</v>
      </c>
      <c r="D303" s="7" t="s">
        <v>1324</v>
      </c>
      <c r="E303" s="7" t="s">
        <v>1322</v>
      </c>
      <c r="F303" s="36">
        <v>44409</v>
      </c>
      <c r="G303" s="36">
        <v>44895</v>
      </c>
      <c r="H303" s="36">
        <v>44895</v>
      </c>
      <c r="I303" s="36">
        <v>44895</v>
      </c>
      <c r="J303" s="7" t="s">
        <v>1696</v>
      </c>
      <c r="K303" s="8">
        <v>0</v>
      </c>
      <c r="L303" s="8">
        <v>0</v>
      </c>
      <c r="M303" s="8">
        <v>254687.5</v>
      </c>
      <c r="N303" s="8">
        <v>0</v>
      </c>
      <c r="O303" s="8">
        <v>0</v>
      </c>
      <c r="P303" s="8">
        <v>0</v>
      </c>
      <c r="Q303" s="8">
        <v>0</v>
      </c>
      <c r="R303" s="8">
        <f t="shared" si="62"/>
        <v>254687.5</v>
      </c>
      <c r="S303" s="8">
        <v>0</v>
      </c>
      <c r="T303" s="8">
        <v>0</v>
      </c>
      <c r="U303" s="8">
        <v>375000</v>
      </c>
      <c r="V303" s="8">
        <v>0</v>
      </c>
      <c r="W303" s="8">
        <v>0</v>
      </c>
      <c r="X303" s="8">
        <v>0</v>
      </c>
      <c r="Y303" s="8">
        <v>0</v>
      </c>
      <c r="Z303" s="8">
        <v>807281.063478</v>
      </c>
      <c r="AA303" s="7">
        <v>0.91506799999999999</v>
      </c>
      <c r="AB303" s="8">
        <v>436695.55230899999</v>
      </c>
      <c r="AC303" s="7">
        <v>1.8133330000000001</v>
      </c>
      <c r="AD303" s="7" t="s">
        <v>1226</v>
      </c>
      <c r="AE303" s="8">
        <v>440000</v>
      </c>
      <c r="AF303" s="8">
        <v>0</v>
      </c>
      <c r="AG303" s="8">
        <v>440000</v>
      </c>
      <c r="AH303" s="8">
        <v>0</v>
      </c>
      <c r="AI303" s="7" t="s">
        <v>1758</v>
      </c>
      <c r="AJ303" s="7">
        <f t="shared" ca="1" si="63"/>
        <v>1</v>
      </c>
      <c r="AL303" s="96">
        <f t="shared" si="72"/>
        <v>7.206525851289617E-3</v>
      </c>
      <c r="AM303" s="97">
        <f t="shared" si="73"/>
        <v>1.3792832793658097E-2</v>
      </c>
    </row>
    <row r="304" spans="1:39" x14ac:dyDescent="0.3">
      <c r="A304" s="7" t="s">
        <v>2123</v>
      </c>
      <c r="B304" s="7" t="s">
        <v>1768</v>
      </c>
      <c r="C304" s="7" t="s">
        <v>1323</v>
      </c>
      <c r="D304" s="7" t="s">
        <v>1324</v>
      </c>
      <c r="E304" s="7" t="s">
        <v>1322</v>
      </c>
      <c r="F304" s="36">
        <v>43831</v>
      </c>
      <c r="G304" s="36">
        <v>44926</v>
      </c>
      <c r="H304" s="36">
        <v>44926</v>
      </c>
      <c r="I304" s="36">
        <v>44926</v>
      </c>
      <c r="J304" s="7" t="s">
        <v>1696</v>
      </c>
      <c r="K304" s="8">
        <v>0</v>
      </c>
      <c r="L304" s="8">
        <v>0</v>
      </c>
      <c r="M304" s="8">
        <v>1200000</v>
      </c>
      <c r="N304" s="8">
        <v>0</v>
      </c>
      <c r="O304" s="8">
        <v>0</v>
      </c>
      <c r="P304" s="8">
        <v>0</v>
      </c>
      <c r="Q304" s="8">
        <v>0</v>
      </c>
      <c r="R304" s="8">
        <f t="shared" si="62"/>
        <v>1200000</v>
      </c>
      <c r="S304" s="8">
        <v>0</v>
      </c>
      <c r="T304" s="8">
        <v>0</v>
      </c>
      <c r="U304" s="8">
        <v>1200000</v>
      </c>
      <c r="V304" s="8">
        <v>0</v>
      </c>
      <c r="W304" s="8">
        <v>0</v>
      </c>
      <c r="X304" s="8">
        <v>0</v>
      </c>
      <c r="Y304" s="8">
        <v>1723621.563085</v>
      </c>
      <c r="Z304" s="8">
        <v>0</v>
      </c>
      <c r="AA304" s="7">
        <v>1</v>
      </c>
      <c r="AB304" s="8">
        <v>591838.598795</v>
      </c>
      <c r="AC304" s="7">
        <v>3</v>
      </c>
      <c r="AD304" s="7" t="s">
        <v>1226</v>
      </c>
      <c r="AE304" s="8">
        <v>600000</v>
      </c>
      <c r="AF304" s="8">
        <v>0</v>
      </c>
      <c r="AG304" s="8">
        <v>600000</v>
      </c>
      <c r="AH304" s="8">
        <v>0</v>
      </c>
      <c r="AI304" s="7" t="s">
        <v>1758</v>
      </c>
      <c r="AJ304" s="7">
        <f t="shared" ca="1" si="63"/>
        <v>1</v>
      </c>
      <c r="AL304" s="96">
        <f t="shared" si="72"/>
        <v>1.0673260213315607E-2</v>
      </c>
      <c r="AM304" s="97">
        <f t="shared" si="73"/>
        <v>3.11168577778957E-2</v>
      </c>
    </row>
    <row r="305" spans="1:39" x14ac:dyDescent="0.3">
      <c r="A305" s="7" t="s">
        <v>2598</v>
      </c>
      <c r="B305" s="7" t="s">
        <v>1768</v>
      </c>
      <c r="C305" s="7" t="s">
        <v>1323</v>
      </c>
      <c r="D305" s="7" t="s">
        <v>1324</v>
      </c>
      <c r="E305" s="7" t="s">
        <v>1695</v>
      </c>
      <c r="F305" s="36">
        <v>43831</v>
      </c>
      <c r="G305" s="36">
        <v>44926</v>
      </c>
      <c r="H305" s="36">
        <v>44440</v>
      </c>
      <c r="I305" s="36">
        <v>44440</v>
      </c>
      <c r="J305" s="7" t="s">
        <v>1696</v>
      </c>
      <c r="K305" s="8">
        <v>0</v>
      </c>
      <c r="L305" s="8">
        <v>0</v>
      </c>
      <c r="M305" s="8">
        <v>1000000</v>
      </c>
      <c r="N305" s="8">
        <v>0</v>
      </c>
      <c r="O305" s="8">
        <v>0</v>
      </c>
      <c r="P305" s="8">
        <v>0</v>
      </c>
      <c r="Q305" s="8">
        <v>0</v>
      </c>
      <c r="R305" s="8">
        <f t="shared" si="62"/>
        <v>1000000</v>
      </c>
      <c r="S305" s="8">
        <v>0</v>
      </c>
      <c r="T305" s="8">
        <v>0</v>
      </c>
      <c r="U305" s="8">
        <v>1000000</v>
      </c>
      <c r="V305" s="8">
        <v>0</v>
      </c>
      <c r="W305" s="8">
        <v>0</v>
      </c>
      <c r="X305" s="8">
        <v>0</v>
      </c>
      <c r="Y305" s="8">
        <v>1723621.563085</v>
      </c>
      <c r="Z305" s="8">
        <v>-785210.13189800002</v>
      </c>
      <c r="AA305" s="7">
        <v>0</v>
      </c>
      <c r="AB305" s="8">
        <v>0</v>
      </c>
      <c r="AC305" s="7">
        <v>3</v>
      </c>
      <c r="AD305" s="7" t="s">
        <v>1226</v>
      </c>
      <c r="AE305" s="8">
        <v>0</v>
      </c>
      <c r="AF305" s="8">
        <v>0</v>
      </c>
      <c r="AG305" s="8">
        <v>0</v>
      </c>
      <c r="AH305" s="8">
        <v>0</v>
      </c>
      <c r="AI305" s="7" t="s">
        <v>1758</v>
      </c>
      <c r="AJ305" s="7">
        <f t="shared" ca="1" si="63"/>
        <v>1</v>
      </c>
      <c r="AL305" s="96">
        <f t="shared" si="72"/>
        <v>0</v>
      </c>
      <c r="AM305" s="97">
        <f t="shared" si="73"/>
        <v>0</v>
      </c>
    </row>
    <row r="306" spans="1:39" x14ac:dyDescent="0.3">
      <c r="A306" s="7" t="s">
        <v>2124</v>
      </c>
      <c r="B306" s="7" t="s">
        <v>1320</v>
      </c>
      <c r="C306" s="7" t="s">
        <v>1323</v>
      </c>
      <c r="D306" s="7" t="s">
        <v>1324</v>
      </c>
      <c r="E306" s="7" t="s">
        <v>1322</v>
      </c>
      <c r="F306" s="36">
        <v>44440</v>
      </c>
      <c r="G306" s="36">
        <v>44895</v>
      </c>
      <c r="H306" s="36">
        <v>44895</v>
      </c>
      <c r="I306" s="36">
        <v>46022</v>
      </c>
      <c r="J306" s="7" t="s">
        <v>1696</v>
      </c>
      <c r="K306" s="8">
        <v>0</v>
      </c>
      <c r="L306" s="8">
        <v>0</v>
      </c>
      <c r="M306" s="8">
        <v>99999.988459999993</v>
      </c>
      <c r="N306" s="8">
        <v>0</v>
      </c>
      <c r="O306" s="8">
        <v>0</v>
      </c>
      <c r="P306" s="8">
        <v>0</v>
      </c>
      <c r="Q306" s="8">
        <v>0</v>
      </c>
      <c r="R306" s="8">
        <f t="shared" si="62"/>
        <v>99999.988459999993</v>
      </c>
      <c r="S306" s="8">
        <v>0</v>
      </c>
      <c r="T306" s="8">
        <v>0</v>
      </c>
      <c r="U306" s="8">
        <v>99999.96</v>
      </c>
      <c r="V306" s="8">
        <v>0</v>
      </c>
      <c r="W306" s="8">
        <v>0</v>
      </c>
      <c r="X306" s="8">
        <v>0</v>
      </c>
      <c r="Y306" s="8">
        <v>0</v>
      </c>
      <c r="Z306" s="8">
        <v>1252772.5267070001</v>
      </c>
      <c r="AA306" s="7">
        <v>4.0027400000000002</v>
      </c>
      <c r="AB306" s="8">
        <v>1159747.233767</v>
      </c>
      <c r="AC306" s="7">
        <v>1.754</v>
      </c>
      <c r="AD306" s="7" t="s">
        <v>1226</v>
      </c>
      <c r="AE306" s="8">
        <v>1199999.8899999999</v>
      </c>
      <c r="AF306" s="8">
        <v>0</v>
      </c>
      <c r="AG306" s="8">
        <v>1199999.8899999999</v>
      </c>
      <c r="AH306" s="8">
        <v>0</v>
      </c>
      <c r="AI306" s="7" t="s">
        <v>1758</v>
      </c>
      <c r="AJ306" s="7">
        <f t="shared" ca="1" si="63"/>
        <v>1</v>
      </c>
      <c r="AL306" s="96">
        <f t="shared" si="72"/>
        <v>8.371716990026136E-2</v>
      </c>
      <c r="AM306" s="97">
        <f t="shared" si="73"/>
        <v>3.638597569290463E-2</v>
      </c>
    </row>
    <row r="307" spans="1:39" x14ac:dyDescent="0.3">
      <c r="A307" s="7" t="s">
        <v>2125</v>
      </c>
      <c r="B307" s="7" t="s">
        <v>1768</v>
      </c>
      <c r="C307" s="7" t="s">
        <v>1323</v>
      </c>
      <c r="D307" s="7" t="s">
        <v>1324</v>
      </c>
      <c r="E307" s="7" t="s">
        <v>1322</v>
      </c>
      <c r="F307" s="36">
        <v>43831</v>
      </c>
      <c r="G307" s="36">
        <v>44926</v>
      </c>
      <c r="H307" s="36">
        <v>44926</v>
      </c>
      <c r="I307" s="36">
        <v>44926</v>
      </c>
      <c r="J307" s="7" t="s">
        <v>1696</v>
      </c>
      <c r="K307" s="8">
        <v>0</v>
      </c>
      <c r="L307" s="8">
        <v>0</v>
      </c>
      <c r="M307" s="8">
        <v>1200000</v>
      </c>
      <c r="N307" s="8">
        <v>0</v>
      </c>
      <c r="O307" s="8">
        <v>0</v>
      </c>
      <c r="P307" s="8">
        <v>0</v>
      </c>
      <c r="Q307" s="8">
        <v>0</v>
      </c>
      <c r="R307" s="8">
        <f t="shared" si="62"/>
        <v>1200000</v>
      </c>
      <c r="S307" s="8">
        <v>0</v>
      </c>
      <c r="T307" s="8">
        <v>0</v>
      </c>
      <c r="U307" s="8">
        <v>1200000</v>
      </c>
      <c r="V307" s="8">
        <v>0</v>
      </c>
      <c r="W307" s="8">
        <v>0</v>
      </c>
      <c r="X307" s="8">
        <v>0</v>
      </c>
      <c r="Y307" s="8">
        <v>1723621.563085</v>
      </c>
      <c r="Z307" s="8">
        <v>0</v>
      </c>
      <c r="AA307" s="7">
        <v>1</v>
      </c>
      <c r="AB307" s="8">
        <v>591838.598795</v>
      </c>
      <c r="AC307" s="7">
        <v>3</v>
      </c>
      <c r="AD307" s="7" t="s">
        <v>1226</v>
      </c>
      <c r="AE307" s="8">
        <v>600000</v>
      </c>
      <c r="AF307" s="8">
        <v>0</v>
      </c>
      <c r="AG307" s="8">
        <v>600000</v>
      </c>
      <c r="AH307" s="8">
        <v>0</v>
      </c>
      <c r="AI307" s="7" t="s">
        <v>1758</v>
      </c>
      <c r="AJ307" s="7">
        <f t="shared" ca="1" si="63"/>
        <v>1</v>
      </c>
      <c r="AL307" s="96">
        <f t="shared" si="72"/>
        <v>1.0673260213315607E-2</v>
      </c>
      <c r="AM307" s="97">
        <f t="shared" si="73"/>
        <v>3.11168577778957E-2</v>
      </c>
    </row>
    <row r="308" spans="1:39" x14ac:dyDescent="0.3">
      <c r="A308" s="7" t="s">
        <v>2599</v>
      </c>
      <c r="B308" s="7" t="s">
        <v>1768</v>
      </c>
      <c r="C308" s="7" t="s">
        <v>1323</v>
      </c>
      <c r="D308" s="7" t="s">
        <v>1324</v>
      </c>
      <c r="E308" s="7" t="s">
        <v>1695</v>
      </c>
      <c r="F308" s="36">
        <v>43831</v>
      </c>
      <c r="G308" s="36">
        <v>44926</v>
      </c>
      <c r="H308" s="36">
        <v>44440</v>
      </c>
      <c r="I308" s="36">
        <v>44440</v>
      </c>
      <c r="J308" s="7" t="s">
        <v>1696</v>
      </c>
      <c r="K308" s="8">
        <v>0</v>
      </c>
      <c r="L308" s="8">
        <v>0</v>
      </c>
      <c r="M308" s="8">
        <v>1000000</v>
      </c>
      <c r="N308" s="8">
        <v>0</v>
      </c>
      <c r="O308" s="8">
        <v>0</v>
      </c>
      <c r="P308" s="8">
        <v>0</v>
      </c>
      <c r="Q308" s="8">
        <v>0</v>
      </c>
      <c r="R308" s="8">
        <f t="shared" si="62"/>
        <v>1000000</v>
      </c>
      <c r="S308" s="8">
        <v>0</v>
      </c>
      <c r="T308" s="8">
        <v>0</v>
      </c>
      <c r="U308" s="8">
        <v>1000000</v>
      </c>
      <c r="V308" s="8">
        <v>0</v>
      </c>
      <c r="W308" s="8">
        <v>0</v>
      </c>
      <c r="X308" s="8">
        <v>0</v>
      </c>
      <c r="Y308" s="8">
        <v>1723621.563085</v>
      </c>
      <c r="Z308" s="8">
        <v>-785210.13189800002</v>
      </c>
      <c r="AA308" s="7">
        <v>0</v>
      </c>
      <c r="AB308" s="8">
        <v>0</v>
      </c>
      <c r="AC308" s="7">
        <v>3</v>
      </c>
      <c r="AD308" s="7" t="s">
        <v>1226</v>
      </c>
      <c r="AE308" s="8">
        <v>0</v>
      </c>
      <c r="AF308" s="8">
        <v>0</v>
      </c>
      <c r="AG308" s="8">
        <v>0</v>
      </c>
      <c r="AH308" s="8">
        <v>0</v>
      </c>
      <c r="AI308" s="7" t="s">
        <v>1758</v>
      </c>
      <c r="AJ308" s="7">
        <f t="shared" ca="1" si="63"/>
        <v>1</v>
      </c>
      <c r="AL308" s="96">
        <f t="shared" si="72"/>
        <v>0</v>
      </c>
      <c r="AM308" s="97">
        <f t="shared" si="73"/>
        <v>0</v>
      </c>
    </row>
    <row r="309" spans="1:39" x14ac:dyDescent="0.3">
      <c r="A309" s="7" t="s">
        <v>2127</v>
      </c>
      <c r="B309" s="7" t="s">
        <v>1320</v>
      </c>
      <c r="C309" s="7" t="s">
        <v>1323</v>
      </c>
      <c r="D309" s="7" t="s">
        <v>1324</v>
      </c>
      <c r="E309" s="7" t="s">
        <v>1322</v>
      </c>
      <c r="F309" s="36">
        <v>44440</v>
      </c>
      <c r="G309" s="36">
        <v>44804</v>
      </c>
      <c r="H309" s="36">
        <v>44804</v>
      </c>
      <c r="I309" s="36">
        <v>44895</v>
      </c>
      <c r="J309" s="7" t="s">
        <v>1696</v>
      </c>
      <c r="K309" s="8">
        <v>0</v>
      </c>
      <c r="L309" s="8">
        <v>0</v>
      </c>
      <c r="M309" s="8">
        <v>250000.01998400001</v>
      </c>
      <c r="N309" s="8">
        <v>0</v>
      </c>
      <c r="O309" s="8">
        <v>0</v>
      </c>
      <c r="P309" s="8">
        <v>0</v>
      </c>
      <c r="Q309" s="8">
        <v>0</v>
      </c>
      <c r="R309" s="8">
        <f t="shared" si="62"/>
        <v>250000.01998400001</v>
      </c>
      <c r="S309" s="8">
        <v>0</v>
      </c>
      <c r="T309" s="8">
        <v>0</v>
      </c>
      <c r="U309" s="8">
        <v>375000.02997600002</v>
      </c>
      <c r="V309" s="8">
        <v>0</v>
      </c>
      <c r="W309" s="8">
        <v>0</v>
      </c>
      <c r="X309" s="8">
        <v>0</v>
      </c>
      <c r="Y309" s="8">
        <v>0</v>
      </c>
      <c r="Z309" s="8">
        <v>928736.04037800001</v>
      </c>
      <c r="AA309" s="7">
        <v>0.91506799999999999</v>
      </c>
      <c r="AB309" s="8">
        <v>558108.41826599999</v>
      </c>
      <c r="AC309" s="7">
        <v>1.8843639999999999</v>
      </c>
      <c r="AD309" s="7" t="s">
        <v>1226</v>
      </c>
      <c r="AE309" s="8">
        <v>562500.044964</v>
      </c>
      <c r="AF309" s="8">
        <v>0</v>
      </c>
      <c r="AG309" s="8">
        <v>562500.044964</v>
      </c>
      <c r="AH309" s="8">
        <v>0</v>
      </c>
      <c r="AI309" s="7" t="s">
        <v>1758</v>
      </c>
      <c r="AJ309" s="7">
        <f t="shared" ca="1" si="63"/>
        <v>1</v>
      </c>
      <c r="AL309" s="96">
        <f t="shared" si="72"/>
        <v>9.2101298554338323E-3</v>
      </c>
      <c r="AM309" s="97">
        <f t="shared" si="73"/>
        <v>1.8323591024022784E-2</v>
      </c>
    </row>
    <row r="310" spans="1:39" x14ac:dyDescent="0.3">
      <c r="A310" s="7" t="s">
        <v>2128</v>
      </c>
      <c r="B310" s="7" t="s">
        <v>1768</v>
      </c>
      <c r="C310" s="7" t="s">
        <v>1323</v>
      </c>
      <c r="D310" s="7" t="s">
        <v>1324</v>
      </c>
      <c r="E310" s="7" t="s">
        <v>1322</v>
      </c>
      <c r="F310" s="36">
        <v>43831</v>
      </c>
      <c r="G310" s="36">
        <v>44926</v>
      </c>
      <c r="H310" s="36">
        <v>44926</v>
      </c>
      <c r="I310" s="36">
        <v>44926</v>
      </c>
      <c r="J310" s="7" t="s">
        <v>1239</v>
      </c>
      <c r="K310" s="8">
        <v>26428.863959999999</v>
      </c>
      <c r="L310" s="8">
        <v>1568.9918230000001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f t="shared" si="62"/>
        <v>27997.855782999999</v>
      </c>
      <c r="S310" s="8">
        <v>0</v>
      </c>
      <c r="T310" s="8">
        <v>1535.0459679999999</v>
      </c>
      <c r="U310" s="8">
        <v>0</v>
      </c>
      <c r="V310" s="8">
        <v>26064.954032000001</v>
      </c>
      <c r="W310" s="8">
        <v>0</v>
      </c>
      <c r="X310" s="8">
        <v>39643.295951</v>
      </c>
      <c r="Y310" s="8">
        <v>0</v>
      </c>
      <c r="Z310" s="8">
        <v>0</v>
      </c>
      <c r="AA310" s="7">
        <v>1</v>
      </c>
      <c r="AB310" s="8">
        <v>13578.341919</v>
      </c>
      <c r="AC310" s="7">
        <v>3</v>
      </c>
      <c r="AD310" s="7" t="s">
        <v>1226</v>
      </c>
      <c r="AE310" s="8">
        <v>13800</v>
      </c>
      <c r="AF310" s="8">
        <v>0</v>
      </c>
      <c r="AG310" s="8">
        <v>13800</v>
      </c>
      <c r="AH310" s="8">
        <v>0</v>
      </c>
      <c r="AI310" s="7" t="s">
        <v>1781</v>
      </c>
      <c r="AJ310" s="7">
        <f t="shared" ca="1" si="63"/>
        <v>1</v>
      </c>
      <c r="AL310" s="96">
        <f t="shared" si="64"/>
        <v>8.1411627270207412E-5</v>
      </c>
      <c r="AM310" s="97">
        <f t="shared" si="65"/>
        <v>2.6943814208141027E-4</v>
      </c>
    </row>
    <row r="311" spans="1:39" x14ac:dyDescent="0.3">
      <c r="A311" s="7" t="s">
        <v>2600</v>
      </c>
      <c r="B311" s="7" t="s">
        <v>1768</v>
      </c>
      <c r="C311" s="7" t="s">
        <v>1323</v>
      </c>
      <c r="D311" s="7" t="s">
        <v>1324</v>
      </c>
      <c r="E311" s="7" t="s">
        <v>1695</v>
      </c>
      <c r="F311" s="36">
        <v>43831</v>
      </c>
      <c r="G311" s="36">
        <v>44926</v>
      </c>
      <c r="H311" s="36">
        <v>44440</v>
      </c>
      <c r="I311" s="36">
        <v>44440</v>
      </c>
      <c r="J311" s="7" t="s">
        <v>1239</v>
      </c>
      <c r="K311" s="8">
        <v>22024.0533</v>
      </c>
      <c r="L311" s="8">
        <v>1416.537084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f t="shared" si="62"/>
        <v>23440.590383999999</v>
      </c>
      <c r="S311" s="8">
        <v>0</v>
      </c>
      <c r="T311" s="8">
        <v>1371.500094</v>
      </c>
      <c r="U311" s="8">
        <v>0</v>
      </c>
      <c r="V311" s="8">
        <v>21628.499906000001</v>
      </c>
      <c r="W311" s="8">
        <v>0</v>
      </c>
      <c r="X311" s="8">
        <v>39643.295951</v>
      </c>
      <c r="Y311" s="8">
        <v>0</v>
      </c>
      <c r="Z311" s="8">
        <v>-17619.242651</v>
      </c>
      <c r="AA311" s="7">
        <v>0</v>
      </c>
      <c r="AB311" s="8">
        <v>0</v>
      </c>
      <c r="AC311" s="7">
        <v>3</v>
      </c>
      <c r="AD311" s="7" t="s">
        <v>1226</v>
      </c>
      <c r="AE311" s="8">
        <v>0</v>
      </c>
      <c r="AF311" s="8">
        <v>0</v>
      </c>
      <c r="AG311" s="8">
        <v>0</v>
      </c>
      <c r="AH311" s="8">
        <v>0</v>
      </c>
      <c r="AI311" s="7" t="s">
        <v>1781</v>
      </c>
      <c r="AJ311" s="7">
        <f t="shared" ca="1" si="63"/>
        <v>1</v>
      </c>
      <c r="AL311" s="96">
        <f t="shared" si="64"/>
        <v>0</v>
      </c>
      <c r="AM311" s="97">
        <f t="shared" si="65"/>
        <v>0</v>
      </c>
    </row>
    <row r="312" spans="1:39" x14ac:dyDescent="0.3">
      <c r="A312" s="7" t="s">
        <v>2129</v>
      </c>
      <c r="B312" s="7" t="s">
        <v>1320</v>
      </c>
      <c r="C312" s="7" t="s">
        <v>1323</v>
      </c>
      <c r="D312" s="7" t="s">
        <v>1324</v>
      </c>
      <c r="E312" s="7" t="s">
        <v>1322</v>
      </c>
      <c r="F312" s="36">
        <v>44440</v>
      </c>
      <c r="G312" s="36">
        <v>44895</v>
      </c>
      <c r="H312" s="36">
        <v>44895</v>
      </c>
      <c r="I312" s="36">
        <v>44895</v>
      </c>
      <c r="J312" s="7" t="s">
        <v>1696</v>
      </c>
      <c r="K312" s="8">
        <v>0</v>
      </c>
      <c r="L312" s="8">
        <v>0</v>
      </c>
      <c r="M312" s="8">
        <v>5827.8524280000001</v>
      </c>
      <c r="N312" s="8">
        <v>0</v>
      </c>
      <c r="O312" s="8">
        <v>0</v>
      </c>
      <c r="P312" s="8">
        <v>0</v>
      </c>
      <c r="Q312" s="8">
        <v>0</v>
      </c>
      <c r="R312" s="8">
        <f t="shared" si="62"/>
        <v>5827.8524280000001</v>
      </c>
      <c r="S312" s="8">
        <v>0</v>
      </c>
      <c r="T312" s="8">
        <v>0</v>
      </c>
      <c r="U312" s="8">
        <v>4600</v>
      </c>
      <c r="V312" s="8">
        <v>0</v>
      </c>
      <c r="W312" s="8">
        <v>0</v>
      </c>
      <c r="X312" s="8">
        <v>0</v>
      </c>
      <c r="Y312" s="8">
        <v>0</v>
      </c>
      <c r="Z312" s="8">
        <v>21570.964074</v>
      </c>
      <c r="AA312" s="7">
        <v>0.91506799999999999</v>
      </c>
      <c r="AB312" s="8">
        <v>17478.396477999999</v>
      </c>
      <c r="AC312" s="7">
        <v>1.754</v>
      </c>
      <c r="AD312" s="7" t="s">
        <v>1226</v>
      </c>
      <c r="AE312" s="8">
        <v>12650</v>
      </c>
      <c r="AF312" s="8">
        <v>5000</v>
      </c>
      <c r="AG312" s="8">
        <v>17650</v>
      </c>
      <c r="AH312" s="8">
        <v>0</v>
      </c>
      <c r="AI312" s="7" t="s">
        <v>1781</v>
      </c>
      <c r="AJ312" s="7">
        <f t="shared" ca="1" si="63"/>
        <v>1</v>
      </c>
      <c r="AL312" s="96">
        <f t="shared" ref="AL312:AL316" si="74">(+AA312*AB312)/$AB$612</f>
        <v>2.8843553682147375E-4</v>
      </c>
      <c r="AM312" s="97">
        <f t="shared" ref="AM312:AM316" si="75">AC312/$AE$612*AE312</f>
        <v>3.8356886225651536E-4</v>
      </c>
    </row>
    <row r="313" spans="1:39" x14ac:dyDescent="0.3">
      <c r="A313" s="7" t="s">
        <v>2130</v>
      </c>
      <c r="B313" s="7" t="s">
        <v>1768</v>
      </c>
      <c r="C313" s="7" t="s">
        <v>1323</v>
      </c>
      <c r="D313" s="7" t="s">
        <v>1324</v>
      </c>
      <c r="E313" s="7" t="s">
        <v>1695</v>
      </c>
      <c r="F313" s="36">
        <v>43831</v>
      </c>
      <c r="G313" s="36">
        <v>44926</v>
      </c>
      <c r="H313" s="36">
        <v>44409</v>
      </c>
      <c r="I313" s="36">
        <v>44409</v>
      </c>
      <c r="J313" s="7" t="s">
        <v>1696</v>
      </c>
      <c r="K313" s="8">
        <v>0</v>
      </c>
      <c r="L313" s="8">
        <v>0</v>
      </c>
      <c r="M313" s="8">
        <v>1200000</v>
      </c>
      <c r="N313" s="8">
        <v>0</v>
      </c>
      <c r="O313" s="8">
        <v>0</v>
      </c>
      <c r="P313" s="8">
        <v>0</v>
      </c>
      <c r="Q313" s="8">
        <v>0</v>
      </c>
      <c r="R313" s="8">
        <f t="shared" si="62"/>
        <v>1200000</v>
      </c>
      <c r="S313" s="8">
        <v>0</v>
      </c>
      <c r="T313" s="8">
        <v>0</v>
      </c>
      <c r="U313" s="8">
        <v>1200000</v>
      </c>
      <c r="V313" s="8">
        <v>0</v>
      </c>
      <c r="W313" s="8">
        <v>0</v>
      </c>
      <c r="X313" s="8">
        <v>0</v>
      </c>
      <c r="Y313" s="8">
        <v>1723621.563085</v>
      </c>
      <c r="Z313" s="8">
        <v>0</v>
      </c>
      <c r="AA313" s="7">
        <v>0</v>
      </c>
      <c r="AB313" s="8">
        <v>591838.598795</v>
      </c>
      <c r="AC313" s="7">
        <v>3</v>
      </c>
      <c r="AD313" s="7" t="s">
        <v>1226</v>
      </c>
      <c r="AE313" s="8">
        <v>600000</v>
      </c>
      <c r="AF313" s="8">
        <v>0</v>
      </c>
      <c r="AG313" s="8">
        <v>600000</v>
      </c>
      <c r="AH313" s="8">
        <v>0</v>
      </c>
      <c r="AI313" s="7" t="s">
        <v>1758</v>
      </c>
      <c r="AJ313" s="7">
        <f t="shared" ca="1" si="63"/>
        <v>1</v>
      </c>
      <c r="AL313" s="96">
        <f t="shared" si="74"/>
        <v>0</v>
      </c>
      <c r="AM313" s="97">
        <f t="shared" si="75"/>
        <v>3.11168577778957E-2</v>
      </c>
    </row>
    <row r="314" spans="1:39" x14ac:dyDescent="0.3">
      <c r="A314" s="7" t="s">
        <v>2131</v>
      </c>
      <c r="B314" s="7" t="s">
        <v>1320</v>
      </c>
      <c r="C314" s="7" t="s">
        <v>1323</v>
      </c>
      <c r="D314" s="7" t="s">
        <v>1324</v>
      </c>
      <c r="E314" s="7" t="s">
        <v>1322</v>
      </c>
      <c r="F314" s="36">
        <v>44409</v>
      </c>
      <c r="G314" s="36">
        <v>44926</v>
      </c>
      <c r="H314" s="36">
        <v>44926</v>
      </c>
      <c r="I314" s="36">
        <v>45565</v>
      </c>
      <c r="J314" s="7" t="s">
        <v>1696</v>
      </c>
      <c r="K314" s="8">
        <v>0</v>
      </c>
      <c r="L314" s="8">
        <v>0</v>
      </c>
      <c r="M314" s="8">
        <v>250000</v>
      </c>
      <c r="N314" s="8">
        <v>0</v>
      </c>
      <c r="O314" s="8">
        <v>0</v>
      </c>
      <c r="P314" s="8">
        <v>0</v>
      </c>
      <c r="Q314" s="8">
        <v>0</v>
      </c>
      <c r="R314" s="8">
        <f t="shared" si="62"/>
        <v>250000</v>
      </c>
      <c r="S314" s="8">
        <v>0</v>
      </c>
      <c r="T314" s="8">
        <v>0</v>
      </c>
      <c r="U314" s="8">
        <v>250000</v>
      </c>
      <c r="V314" s="8">
        <v>0</v>
      </c>
      <c r="W314" s="8">
        <v>0</v>
      </c>
      <c r="X314" s="8">
        <v>0</v>
      </c>
      <c r="Y314" s="8">
        <v>0</v>
      </c>
      <c r="Z314" s="8">
        <v>1846242.1421139999</v>
      </c>
      <c r="AA314" s="7">
        <v>2.7506849999999998</v>
      </c>
      <c r="AB314" s="8">
        <v>1609520.1391690001</v>
      </c>
      <c r="AC314" s="7">
        <v>1.8726670000000001</v>
      </c>
      <c r="AD314" s="7" t="s">
        <v>1226</v>
      </c>
      <c r="AE314" s="8">
        <v>1650000</v>
      </c>
      <c r="AF314" s="8">
        <v>0</v>
      </c>
      <c r="AG314" s="8">
        <v>1650000</v>
      </c>
      <c r="AH314" s="8">
        <v>0</v>
      </c>
      <c r="AI314" s="7" t="s">
        <v>1758</v>
      </c>
      <c r="AJ314" s="7">
        <f t="shared" ca="1" si="63"/>
        <v>1</v>
      </c>
      <c r="AL314" s="96">
        <f t="shared" si="74"/>
        <v>7.9841940976260614E-2</v>
      </c>
      <c r="AM314" s="97">
        <f t="shared" si="75"/>
        <v>5.3415553312328723E-2</v>
      </c>
    </row>
    <row r="315" spans="1:39" x14ac:dyDescent="0.3">
      <c r="A315" s="7" t="s">
        <v>2601</v>
      </c>
      <c r="B315" s="7" t="s">
        <v>1768</v>
      </c>
      <c r="C315" s="7" t="s">
        <v>1323</v>
      </c>
      <c r="D315" s="7" t="s">
        <v>1324</v>
      </c>
      <c r="E315" s="7" t="s">
        <v>1695</v>
      </c>
      <c r="F315" s="36">
        <v>43831</v>
      </c>
      <c r="G315" s="36">
        <v>44926</v>
      </c>
      <c r="H315" s="36">
        <v>44440</v>
      </c>
      <c r="I315" s="36">
        <v>44440</v>
      </c>
      <c r="J315" s="7" t="s">
        <v>1696</v>
      </c>
      <c r="K315" s="8">
        <v>0</v>
      </c>
      <c r="L315" s="8">
        <v>0</v>
      </c>
      <c r="M315" s="8">
        <v>1000000</v>
      </c>
      <c r="N315" s="8">
        <v>0</v>
      </c>
      <c r="O315" s="8">
        <v>0</v>
      </c>
      <c r="P315" s="8">
        <v>0</v>
      </c>
      <c r="Q315" s="8">
        <v>0</v>
      </c>
      <c r="R315" s="8">
        <f t="shared" si="62"/>
        <v>1000000</v>
      </c>
      <c r="S315" s="8">
        <v>0</v>
      </c>
      <c r="T315" s="8">
        <v>0</v>
      </c>
      <c r="U315" s="8">
        <v>1000000</v>
      </c>
      <c r="V315" s="8">
        <v>0</v>
      </c>
      <c r="W315" s="8">
        <v>0</v>
      </c>
      <c r="X315" s="8">
        <v>0</v>
      </c>
      <c r="Y315" s="8">
        <v>1723621.563085</v>
      </c>
      <c r="Z315" s="8">
        <v>-785210.13189800002</v>
      </c>
      <c r="AA315" s="7">
        <v>0</v>
      </c>
      <c r="AB315" s="8">
        <v>0</v>
      </c>
      <c r="AC315" s="7">
        <v>3</v>
      </c>
      <c r="AD315" s="7" t="s">
        <v>1226</v>
      </c>
      <c r="AE315" s="8">
        <v>0</v>
      </c>
      <c r="AF315" s="8">
        <v>0</v>
      </c>
      <c r="AG315" s="8">
        <v>0</v>
      </c>
      <c r="AH315" s="8">
        <v>0</v>
      </c>
      <c r="AI315" s="7" t="s">
        <v>1758</v>
      </c>
      <c r="AJ315" s="7">
        <f t="shared" ca="1" si="63"/>
        <v>1</v>
      </c>
      <c r="AL315" s="96">
        <f t="shared" si="74"/>
        <v>0</v>
      </c>
      <c r="AM315" s="97">
        <f t="shared" si="75"/>
        <v>0</v>
      </c>
    </row>
    <row r="316" spans="1:39" x14ac:dyDescent="0.3">
      <c r="A316" s="7" t="s">
        <v>2132</v>
      </c>
      <c r="B316" s="7" t="s">
        <v>1320</v>
      </c>
      <c r="C316" s="7" t="s">
        <v>1323</v>
      </c>
      <c r="D316" s="7" t="s">
        <v>1324</v>
      </c>
      <c r="E316" s="7" t="s">
        <v>1322</v>
      </c>
      <c r="F316" s="36">
        <v>44440</v>
      </c>
      <c r="G316" s="36">
        <v>44895</v>
      </c>
      <c r="H316" s="36">
        <v>44895</v>
      </c>
      <c r="I316" s="36">
        <v>44895</v>
      </c>
      <c r="J316" s="7" t="s">
        <v>1696</v>
      </c>
      <c r="K316" s="8">
        <v>0</v>
      </c>
      <c r="L316" s="8">
        <v>0</v>
      </c>
      <c r="M316" s="8">
        <v>200000</v>
      </c>
      <c r="N316" s="8">
        <v>0</v>
      </c>
      <c r="O316" s="8">
        <v>0</v>
      </c>
      <c r="P316" s="8">
        <v>0</v>
      </c>
      <c r="Q316" s="8">
        <v>0</v>
      </c>
      <c r="R316" s="8">
        <f t="shared" si="62"/>
        <v>200000</v>
      </c>
      <c r="S316" s="8">
        <v>0</v>
      </c>
      <c r="T316" s="8">
        <v>0</v>
      </c>
      <c r="U316" s="8">
        <v>200000</v>
      </c>
      <c r="V316" s="8">
        <v>0</v>
      </c>
      <c r="W316" s="8">
        <v>0</v>
      </c>
      <c r="X316" s="8">
        <v>0</v>
      </c>
      <c r="Y316" s="8">
        <v>0</v>
      </c>
      <c r="Z316" s="8">
        <v>742385.70147700002</v>
      </c>
      <c r="AA316" s="7">
        <v>0.91506799999999999</v>
      </c>
      <c r="AB316" s="8">
        <v>546003.806645</v>
      </c>
      <c r="AC316" s="7">
        <v>1.754</v>
      </c>
      <c r="AD316" s="7" t="s">
        <v>1226</v>
      </c>
      <c r="AE316" s="8">
        <v>550000</v>
      </c>
      <c r="AF316" s="8">
        <v>0</v>
      </c>
      <c r="AG316" s="8">
        <v>550000</v>
      </c>
      <c r="AH316" s="8">
        <v>0</v>
      </c>
      <c r="AI316" s="7" t="s">
        <v>1758</v>
      </c>
      <c r="AJ316" s="7">
        <f t="shared" ca="1" si="63"/>
        <v>1</v>
      </c>
      <c r="AL316" s="96">
        <f t="shared" si="74"/>
        <v>9.0103746802200659E-3</v>
      </c>
      <c r="AM316" s="97">
        <f t="shared" si="75"/>
        <v>1.6676907054631103E-2</v>
      </c>
    </row>
    <row r="317" spans="1:39" x14ac:dyDescent="0.3">
      <c r="A317" s="7" t="s">
        <v>2133</v>
      </c>
      <c r="B317" s="7" t="s">
        <v>1768</v>
      </c>
      <c r="C317" s="7" t="s">
        <v>1769</v>
      </c>
      <c r="D317" s="7" t="s">
        <v>1324</v>
      </c>
      <c r="E317" s="7" t="s">
        <v>1322</v>
      </c>
      <c r="F317" s="36">
        <v>43831</v>
      </c>
      <c r="G317" s="36">
        <v>46022</v>
      </c>
      <c r="H317" s="36">
        <v>46022</v>
      </c>
      <c r="I317" s="36">
        <v>46022</v>
      </c>
      <c r="J317" s="7" t="s">
        <v>1239</v>
      </c>
      <c r="K317" s="8">
        <v>480614.49508800003</v>
      </c>
      <c r="L317" s="8">
        <v>55754.466289999997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f t="shared" si="62"/>
        <v>536368.96137799998</v>
      </c>
      <c r="S317" s="8">
        <v>0</v>
      </c>
      <c r="T317" s="8">
        <v>53858.424995000001</v>
      </c>
      <c r="U317" s="8">
        <v>0</v>
      </c>
      <c r="V317" s="8">
        <v>460427.28930100001</v>
      </c>
      <c r="W317" s="8">
        <v>0</v>
      </c>
      <c r="X317" s="8">
        <v>1441843.485298</v>
      </c>
      <c r="Y317" s="8">
        <v>0</v>
      </c>
      <c r="Z317" s="8">
        <v>0</v>
      </c>
      <c r="AA317" s="7">
        <v>4.0027400000000002</v>
      </c>
      <c r="AB317" s="8">
        <v>981416.19599699997</v>
      </c>
      <c r="AC317" s="7">
        <v>2.318333</v>
      </c>
      <c r="AD317" s="7" t="s">
        <v>1226</v>
      </c>
      <c r="AE317" s="8">
        <v>1028571.428592</v>
      </c>
      <c r="AF317" s="8">
        <v>0</v>
      </c>
      <c r="AG317" s="8">
        <v>1028571.428592</v>
      </c>
      <c r="AH317" s="8">
        <v>0</v>
      </c>
      <c r="AI317" s="7" t="s">
        <v>1758</v>
      </c>
      <c r="AJ317" s="7">
        <f t="shared" ca="1" si="63"/>
        <v>1</v>
      </c>
      <c r="AL317" s="96">
        <f t="shared" si="64"/>
        <v>2.3553220452023949E-2</v>
      </c>
      <c r="AM317" s="97">
        <f t="shared" si="65"/>
        <v>1.5519188478472423E-2</v>
      </c>
    </row>
    <row r="318" spans="1:39" x14ac:dyDescent="0.3">
      <c r="A318" s="7" t="s">
        <v>2602</v>
      </c>
      <c r="B318" s="7" t="s">
        <v>1768</v>
      </c>
      <c r="C318" s="7" t="s">
        <v>1769</v>
      </c>
      <c r="D318" s="7" t="s">
        <v>1324</v>
      </c>
      <c r="E318" s="7" t="s">
        <v>1695</v>
      </c>
      <c r="F318" s="36">
        <v>43831</v>
      </c>
      <c r="G318" s="36">
        <v>46022</v>
      </c>
      <c r="H318" s="36">
        <v>44348</v>
      </c>
      <c r="I318" s="36">
        <v>44348</v>
      </c>
      <c r="J318" s="7" t="s">
        <v>1239</v>
      </c>
      <c r="K318" s="8">
        <v>340435.26735400001</v>
      </c>
      <c r="L318" s="8">
        <v>41693.791226000001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f t="shared" si="62"/>
        <v>382129.05858000001</v>
      </c>
      <c r="S318" s="8">
        <v>0</v>
      </c>
      <c r="T318" s="8">
        <v>39535.629148</v>
      </c>
      <c r="U318" s="8">
        <v>0</v>
      </c>
      <c r="V318" s="8">
        <v>324750.08514500002</v>
      </c>
      <c r="W318" s="8">
        <v>0</v>
      </c>
      <c r="X318" s="8">
        <v>1441843.485298</v>
      </c>
      <c r="Y318" s="8">
        <v>0</v>
      </c>
      <c r="Z318" s="8">
        <v>-1101408.2179439999</v>
      </c>
      <c r="AA318" s="7">
        <v>0</v>
      </c>
      <c r="AB318" s="8">
        <v>0</v>
      </c>
      <c r="AC318" s="7">
        <v>2.318333</v>
      </c>
      <c r="AD318" s="7" t="s">
        <v>1226</v>
      </c>
      <c r="AE318" s="8">
        <v>0</v>
      </c>
      <c r="AF318" s="8">
        <v>0</v>
      </c>
      <c r="AG318" s="8">
        <v>0</v>
      </c>
      <c r="AH318" s="8">
        <v>0</v>
      </c>
      <c r="AI318" s="7" t="s">
        <v>1758</v>
      </c>
      <c r="AJ318" s="7">
        <f t="shared" ca="1" si="63"/>
        <v>1</v>
      </c>
      <c r="AL318" s="96">
        <f t="shared" si="64"/>
        <v>0</v>
      </c>
      <c r="AM318" s="97">
        <f t="shared" si="65"/>
        <v>0</v>
      </c>
    </row>
    <row r="319" spans="1:39" x14ac:dyDescent="0.3">
      <c r="A319" s="7" t="s">
        <v>2134</v>
      </c>
      <c r="B319" s="7" t="s">
        <v>1320</v>
      </c>
      <c r="C319" s="7" t="s">
        <v>1769</v>
      </c>
      <c r="D319" s="7" t="s">
        <v>1324</v>
      </c>
      <c r="E319" s="7" t="s">
        <v>1322</v>
      </c>
      <c r="F319" s="36">
        <v>44348</v>
      </c>
      <c r="G319" s="36">
        <v>45991</v>
      </c>
      <c r="H319" s="36">
        <v>45991</v>
      </c>
      <c r="I319" s="36">
        <v>45991</v>
      </c>
      <c r="J319" s="7" t="s">
        <v>1696</v>
      </c>
      <c r="K319" s="8">
        <v>0</v>
      </c>
      <c r="L319" s="8">
        <v>0</v>
      </c>
      <c r="M319" s="8">
        <v>90000.085000000006</v>
      </c>
      <c r="N319" s="8">
        <v>0</v>
      </c>
      <c r="O319" s="8">
        <v>0</v>
      </c>
      <c r="P319" s="8">
        <v>0</v>
      </c>
      <c r="Q319" s="8">
        <v>0</v>
      </c>
      <c r="R319" s="8">
        <f t="shared" si="62"/>
        <v>90000.085000000006</v>
      </c>
      <c r="S319" s="8">
        <v>0</v>
      </c>
      <c r="T319" s="8">
        <v>0</v>
      </c>
      <c r="U319" s="8">
        <v>90000.085000000006</v>
      </c>
      <c r="V319" s="8">
        <v>0</v>
      </c>
      <c r="W319" s="8">
        <v>0</v>
      </c>
      <c r="X319" s="8">
        <v>0</v>
      </c>
      <c r="Y319" s="8">
        <v>0</v>
      </c>
      <c r="Z319" s="8">
        <v>1071113.9925510001</v>
      </c>
      <c r="AA319" s="7">
        <v>3.917808</v>
      </c>
      <c r="AB319" s="8">
        <v>993752.09087800002</v>
      </c>
      <c r="AC319" s="7">
        <v>2.1133329999999999</v>
      </c>
      <c r="AD319" s="7" t="s">
        <v>1226</v>
      </c>
      <c r="AE319" s="8">
        <v>1067144.2250000001</v>
      </c>
      <c r="AF319" s="8">
        <v>0</v>
      </c>
      <c r="AG319" s="8">
        <v>1067144.2250000001</v>
      </c>
      <c r="AH319" s="8">
        <v>0</v>
      </c>
      <c r="AI319" s="7" t="s">
        <v>1758</v>
      </c>
      <c r="AJ319" s="7">
        <f t="shared" ca="1" si="63"/>
        <v>1</v>
      </c>
      <c r="AL319" s="96">
        <f>(+AA319*AB319)/$AB$612</f>
        <v>7.021259362697499E-2</v>
      </c>
      <c r="AM319" s="97">
        <f>AC319/$AE$612*AE319</f>
        <v>3.8986503108750507E-2</v>
      </c>
    </row>
    <row r="320" spans="1:39" x14ac:dyDescent="0.3">
      <c r="A320" s="7" t="s">
        <v>2135</v>
      </c>
      <c r="B320" s="7" t="s">
        <v>1768</v>
      </c>
      <c r="C320" s="7" t="s">
        <v>1769</v>
      </c>
      <c r="D320" s="7" t="s">
        <v>1324</v>
      </c>
      <c r="E320" s="7" t="s">
        <v>1322</v>
      </c>
      <c r="F320" s="36">
        <v>43831</v>
      </c>
      <c r="G320" s="36">
        <v>46022</v>
      </c>
      <c r="H320" s="36">
        <v>46022</v>
      </c>
      <c r="I320" s="36">
        <v>46022</v>
      </c>
      <c r="J320" s="7" t="s">
        <v>1239</v>
      </c>
      <c r="K320" s="8">
        <v>480614.49508800003</v>
      </c>
      <c r="L320" s="8">
        <v>55754.466289999997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f t="shared" si="62"/>
        <v>536368.96137799998</v>
      </c>
      <c r="S320" s="8">
        <v>0</v>
      </c>
      <c r="T320" s="8">
        <v>53858.424995000001</v>
      </c>
      <c r="U320" s="8">
        <v>0</v>
      </c>
      <c r="V320" s="8">
        <v>460427.28930100001</v>
      </c>
      <c r="W320" s="8">
        <v>0</v>
      </c>
      <c r="X320" s="8">
        <v>1441843.485298</v>
      </c>
      <c r="Y320" s="8">
        <v>0</v>
      </c>
      <c r="Z320" s="8">
        <v>0</v>
      </c>
      <c r="AA320" s="7">
        <v>4.0027400000000002</v>
      </c>
      <c r="AB320" s="8">
        <v>981416.19599699997</v>
      </c>
      <c r="AC320" s="7">
        <v>2.318333</v>
      </c>
      <c r="AD320" s="7" t="s">
        <v>1226</v>
      </c>
      <c r="AE320" s="8">
        <v>1028571.428592</v>
      </c>
      <c r="AF320" s="8">
        <v>0</v>
      </c>
      <c r="AG320" s="8">
        <v>1028571.428592</v>
      </c>
      <c r="AH320" s="8">
        <v>0</v>
      </c>
      <c r="AI320" s="7" t="s">
        <v>1758</v>
      </c>
      <c r="AJ320" s="7">
        <f t="shared" ca="1" si="63"/>
        <v>1</v>
      </c>
      <c r="AL320" s="96">
        <f t="shared" si="64"/>
        <v>2.3553220452023949E-2</v>
      </c>
      <c r="AM320" s="97">
        <f t="shared" si="65"/>
        <v>1.5519188478472423E-2</v>
      </c>
    </row>
    <row r="321" spans="1:39" x14ac:dyDescent="0.3">
      <c r="A321" s="7" t="s">
        <v>2136</v>
      </c>
      <c r="B321" s="7" t="s">
        <v>1768</v>
      </c>
      <c r="C321" s="7" t="s">
        <v>1769</v>
      </c>
      <c r="D321" s="7" t="s">
        <v>1324</v>
      </c>
      <c r="E321" s="7" t="s">
        <v>1322</v>
      </c>
      <c r="F321" s="36">
        <v>43831</v>
      </c>
      <c r="G321" s="36">
        <v>46022</v>
      </c>
      <c r="H321" s="36">
        <v>46022</v>
      </c>
      <c r="I321" s="36">
        <v>46022</v>
      </c>
      <c r="J321" s="7" t="s">
        <v>1239</v>
      </c>
      <c r="K321" s="8">
        <v>480614.49508800003</v>
      </c>
      <c r="L321" s="8">
        <v>55754.466289999997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f t="shared" si="62"/>
        <v>536368.96137799998</v>
      </c>
      <c r="S321" s="8">
        <v>0</v>
      </c>
      <c r="T321" s="8">
        <v>53858.424995000001</v>
      </c>
      <c r="U321" s="8">
        <v>0</v>
      </c>
      <c r="V321" s="8">
        <v>460427.28930100001</v>
      </c>
      <c r="W321" s="8">
        <v>0</v>
      </c>
      <c r="X321" s="8">
        <v>1441843.485298</v>
      </c>
      <c r="Y321" s="8">
        <v>0</v>
      </c>
      <c r="Z321" s="8">
        <v>0</v>
      </c>
      <c r="AA321" s="7">
        <v>4.0027400000000002</v>
      </c>
      <c r="AB321" s="8">
        <v>981416.19599699997</v>
      </c>
      <c r="AC321" s="7">
        <v>2.318333</v>
      </c>
      <c r="AD321" s="7" t="s">
        <v>1226</v>
      </c>
      <c r="AE321" s="8">
        <v>1028571.428592</v>
      </c>
      <c r="AF321" s="8">
        <v>0</v>
      </c>
      <c r="AG321" s="8">
        <v>1028571.428592</v>
      </c>
      <c r="AH321" s="8">
        <v>0</v>
      </c>
      <c r="AI321" s="7" t="s">
        <v>1758</v>
      </c>
      <c r="AJ321" s="7">
        <f t="shared" ca="1" si="63"/>
        <v>1</v>
      </c>
      <c r="AL321" s="96">
        <f t="shared" si="64"/>
        <v>2.3553220452023949E-2</v>
      </c>
      <c r="AM321" s="97">
        <f t="shared" si="65"/>
        <v>1.5519188478472423E-2</v>
      </c>
    </row>
    <row r="322" spans="1:39" x14ac:dyDescent="0.3">
      <c r="A322" s="7" t="s">
        <v>2137</v>
      </c>
      <c r="B322" s="7" t="s">
        <v>1768</v>
      </c>
      <c r="C322" s="7" t="s">
        <v>1323</v>
      </c>
      <c r="D322" s="7" t="s">
        <v>1324</v>
      </c>
      <c r="E322" s="7" t="s">
        <v>1322</v>
      </c>
      <c r="F322" s="36">
        <v>43831</v>
      </c>
      <c r="G322" s="36">
        <v>44926</v>
      </c>
      <c r="H322" s="36">
        <v>44926</v>
      </c>
      <c r="I322" s="36">
        <v>44926</v>
      </c>
      <c r="J322" s="7" t="s">
        <v>1696</v>
      </c>
      <c r="K322" s="8">
        <v>0</v>
      </c>
      <c r="L322" s="8">
        <v>0</v>
      </c>
      <c r="M322" s="8">
        <v>1200000</v>
      </c>
      <c r="N322" s="8">
        <v>0</v>
      </c>
      <c r="O322" s="8">
        <v>0</v>
      </c>
      <c r="P322" s="8">
        <v>0</v>
      </c>
      <c r="Q322" s="8">
        <v>0</v>
      </c>
      <c r="R322" s="8">
        <f t="shared" si="62"/>
        <v>1200000</v>
      </c>
      <c r="S322" s="8">
        <v>0</v>
      </c>
      <c r="T322" s="8">
        <v>0</v>
      </c>
      <c r="U322" s="8">
        <v>1200000</v>
      </c>
      <c r="V322" s="8">
        <v>0</v>
      </c>
      <c r="W322" s="8">
        <v>0</v>
      </c>
      <c r="X322" s="8">
        <v>0</v>
      </c>
      <c r="Y322" s="8">
        <v>1723621.563085</v>
      </c>
      <c r="Z322" s="8">
        <v>0</v>
      </c>
      <c r="AA322" s="7">
        <v>1</v>
      </c>
      <c r="AB322" s="8">
        <v>591838.598795</v>
      </c>
      <c r="AC322" s="7">
        <v>3</v>
      </c>
      <c r="AD322" s="7" t="s">
        <v>1226</v>
      </c>
      <c r="AE322" s="8">
        <v>600000</v>
      </c>
      <c r="AF322" s="8">
        <v>0</v>
      </c>
      <c r="AG322" s="8">
        <v>600000</v>
      </c>
      <c r="AH322" s="8">
        <v>0</v>
      </c>
      <c r="AI322" s="7" t="s">
        <v>1758</v>
      </c>
      <c r="AJ322" s="7">
        <f t="shared" ca="1" si="63"/>
        <v>1</v>
      </c>
      <c r="AL322" s="96">
        <f t="shared" ref="AL322:AL324" si="76">(+AA322*AB322)/$AB$612</f>
        <v>1.0673260213315607E-2</v>
      </c>
      <c r="AM322" s="97">
        <f t="shared" ref="AM322:AM324" si="77">AC322/$AE$612*AE322</f>
        <v>3.11168577778957E-2</v>
      </c>
    </row>
    <row r="323" spans="1:39" x14ac:dyDescent="0.3">
      <c r="A323" s="7" t="s">
        <v>2138</v>
      </c>
      <c r="B323" s="7" t="s">
        <v>1320</v>
      </c>
      <c r="C323" s="7" t="s">
        <v>1323</v>
      </c>
      <c r="D323" s="7" t="s">
        <v>1324</v>
      </c>
      <c r="E323" s="7" t="s">
        <v>1322</v>
      </c>
      <c r="F323" s="36">
        <v>44501</v>
      </c>
      <c r="G323" s="36">
        <v>44926</v>
      </c>
      <c r="H323" s="36">
        <v>44926</v>
      </c>
      <c r="I323" s="36">
        <v>44926</v>
      </c>
      <c r="J323" s="7" t="s">
        <v>1696</v>
      </c>
      <c r="K323" s="8">
        <v>0</v>
      </c>
      <c r="L323" s="8">
        <v>0</v>
      </c>
      <c r="M323" s="8">
        <v>857.14285800000005</v>
      </c>
      <c r="N323" s="8">
        <v>0</v>
      </c>
      <c r="O323" s="8">
        <v>0</v>
      </c>
      <c r="P323" s="8">
        <v>0</v>
      </c>
      <c r="Q323" s="8">
        <v>0</v>
      </c>
      <c r="R323" s="8">
        <f t="shared" ref="R323:R386" si="78">K323+L323+M323+N323+O323+P323+Q323</f>
        <v>857.14285800000005</v>
      </c>
      <c r="S323" s="8">
        <v>0</v>
      </c>
      <c r="T323" s="8">
        <v>0</v>
      </c>
      <c r="U323" s="8">
        <v>857.14285800000005</v>
      </c>
      <c r="V323" s="8">
        <v>0</v>
      </c>
      <c r="W323" s="8">
        <v>0</v>
      </c>
      <c r="X323" s="8">
        <v>0</v>
      </c>
      <c r="Y323" s="8">
        <v>5945.3100450000002</v>
      </c>
      <c r="Z323" s="8">
        <v>0</v>
      </c>
      <c r="AA323" s="7">
        <v>1</v>
      </c>
      <c r="AB323" s="8">
        <v>5103.1546760000001</v>
      </c>
      <c r="AC323" s="7">
        <v>1.6946669999999999</v>
      </c>
      <c r="AD323" s="7" t="s">
        <v>1226</v>
      </c>
      <c r="AE323" s="8">
        <v>5142.8571480000001</v>
      </c>
      <c r="AF323" s="8">
        <v>0</v>
      </c>
      <c r="AG323" s="8">
        <v>5142.8571480000001</v>
      </c>
      <c r="AH323" s="8">
        <v>0</v>
      </c>
      <c r="AI323" s="7" t="s">
        <v>1760</v>
      </c>
      <c r="AJ323" s="7">
        <f t="shared" ref="AJ323:AJ386" ca="1" si="79">IF(A323=OFFSET(A323,-1,0),OFFSET(AJ323,-1,0)+1,1)</f>
        <v>1</v>
      </c>
      <c r="AL323" s="96">
        <f t="shared" si="76"/>
        <v>9.2030661529415704E-5</v>
      </c>
      <c r="AM323" s="97">
        <f t="shared" si="77"/>
        <v>1.5066489163607395E-4</v>
      </c>
    </row>
    <row r="324" spans="1:39" x14ac:dyDescent="0.3">
      <c r="A324" s="7" t="s">
        <v>2139</v>
      </c>
      <c r="B324" s="7" t="s">
        <v>1768</v>
      </c>
      <c r="C324" s="7" t="s">
        <v>1323</v>
      </c>
      <c r="D324" s="7" t="s">
        <v>1324</v>
      </c>
      <c r="E324" s="7" t="s">
        <v>1322</v>
      </c>
      <c r="F324" s="36">
        <v>43831</v>
      </c>
      <c r="G324" s="36">
        <v>44926</v>
      </c>
      <c r="H324" s="36">
        <v>44926</v>
      </c>
      <c r="I324" s="36">
        <v>44926</v>
      </c>
      <c r="J324" s="7" t="s">
        <v>1696</v>
      </c>
      <c r="K324" s="8">
        <v>0</v>
      </c>
      <c r="L324" s="8">
        <v>0</v>
      </c>
      <c r="M324" s="8">
        <v>1200000</v>
      </c>
      <c r="N324" s="8">
        <v>0</v>
      </c>
      <c r="O324" s="8">
        <v>0</v>
      </c>
      <c r="P324" s="8">
        <v>0</v>
      </c>
      <c r="Q324" s="8">
        <v>0</v>
      </c>
      <c r="R324" s="8">
        <f t="shared" si="78"/>
        <v>1200000</v>
      </c>
      <c r="S324" s="8">
        <v>0</v>
      </c>
      <c r="T324" s="8">
        <v>0</v>
      </c>
      <c r="U324" s="8">
        <v>1200000</v>
      </c>
      <c r="V324" s="8">
        <v>0</v>
      </c>
      <c r="W324" s="8">
        <v>0</v>
      </c>
      <c r="X324" s="8">
        <v>0</v>
      </c>
      <c r="Y324" s="8">
        <v>1723621.563085</v>
      </c>
      <c r="Z324" s="8">
        <v>0</v>
      </c>
      <c r="AA324" s="7">
        <v>1</v>
      </c>
      <c r="AB324" s="8">
        <v>591838.598795</v>
      </c>
      <c r="AC324" s="7">
        <v>3</v>
      </c>
      <c r="AD324" s="7" t="s">
        <v>1226</v>
      </c>
      <c r="AE324" s="8">
        <v>600000</v>
      </c>
      <c r="AF324" s="8">
        <v>0</v>
      </c>
      <c r="AG324" s="8">
        <v>600000</v>
      </c>
      <c r="AH324" s="8">
        <v>0</v>
      </c>
      <c r="AI324" s="7" t="s">
        <v>1758</v>
      </c>
      <c r="AJ324" s="7">
        <f t="shared" ca="1" si="79"/>
        <v>1</v>
      </c>
      <c r="AL324" s="96">
        <f t="shared" si="76"/>
        <v>1.0673260213315607E-2</v>
      </c>
      <c r="AM324" s="97">
        <f t="shared" si="77"/>
        <v>3.11168577778957E-2</v>
      </c>
    </row>
    <row r="325" spans="1:39" x14ac:dyDescent="0.3">
      <c r="A325" s="7" t="s">
        <v>2140</v>
      </c>
      <c r="B325" s="7" t="s">
        <v>1768</v>
      </c>
      <c r="C325" s="7" t="s">
        <v>1769</v>
      </c>
      <c r="D325" s="7" t="s">
        <v>1324</v>
      </c>
      <c r="E325" s="7" t="s">
        <v>1322</v>
      </c>
      <c r="F325" s="36">
        <v>43831</v>
      </c>
      <c r="G325" s="36">
        <v>46022</v>
      </c>
      <c r="H325" s="36">
        <v>46022</v>
      </c>
      <c r="I325" s="36">
        <v>46022</v>
      </c>
      <c r="J325" s="7" t="s">
        <v>1239</v>
      </c>
      <c r="K325" s="8">
        <v>961228.99012800003</v>
      </c>
      <c r="L325" s="8">
        <v>111508.93257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f t="shared" si="78"/>
        <v>1072737.922698</v>
      </c>
      <c r="S325" s="8">
        <v>0</v>
      </c>
      <c r="T325" s="8">
        <v>107716.84998</v>
      </c>
      <c r="U325" s="8">
        <v>0</v>
      </c>
      <c r="V325" s="8">
        <v>920854.57851599995</v>
      </c>
      <c r="W325" s="8">
        <v>0</v>
      </c>
      <c r="X325" s="8">
        <v>2883686.9703279999</v>
      </c>
      <c r="Y325" s="8">
        <v>0</v>
      </c>
      <c r="Z325" s="8">
        <v>0</v>
      </c>
      <c r="AA325" s="7">
        <v>4.0027400000000002</v>
      </c>
      <c r="AB325" s="8">
        <v>1962832.391812</v>
      </c>
      <c r="AC325" s="7">
        <v>2.318333</v>
      </c>
      <c r="AD325" s="7" t="s">
        <v>1226</v>
      </c>
      <c r="AE325" s="8">
        <v>2057142.856992</v>
      </c>
      <c r="AF325" s="8">
        <v>0</v>
      </c>
      <c r="AG325" s="8">
        <v>2057142.856992</v>
      </c>
      <c r="AH325" s="8">
        <v>0</v>
      </c>
      <c r="AI325" s="7" t="s">
        <v>1758</v>
      </c>
      <c r="AJ325" s="7">
        <f t="shared" ca="1" si="79"/>
        <v>1</v>
      </c>
      <c r="AL325" s="96">
        <f t="shared" ref="AL325:AL379" si="80">(+AA325*AB325)/$AB$611</f>
        <v>4.7106440899680038E-2</v>
      </c>
      <c r="AM325" s="97">
        <f t="shared" ref="AM325:AM379" si="81">AC325/$AE$611*AE325</f>
        <v>3.103837695404793E-2</v>
      </c>
    </row>
    <row r="326" spans="1:39" x14ac:dyDescent="0.3">
      <c r="A326" s="7" t="s">
        <v>2141</v>
      </c>
      <c r="B326" s="7" t="s">
        <v>1320</v>
      </c>
      <c r="C326" s="7" t="s">
        <v>1769</v>
      </c>
      <c r="D326" s="7" t="s">
        <v>1324</v>
      </c>
      <c r="E326" s="7" t="s">
        <v>1322</v>
      </c>
      <c r="F326" s="36">
        <v>44501</v>
      </c>
      <c r="G326" s="36">
        <v>46022</v>
      </c>
      <c r="H326" s="36">
        <v>46022</v>
      </c>
      <c r="I326" s="36">
        <v>46022</v>
      </c>
      <c r="J326" s="7" t="s">
        <v>1239</v>
      </c>
      <c r="K326" s="8">
        <v>1369.99729</v>
      </c>
      <c r="L326" s="8">
        <v>114.44252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f t="shared" si="78"/>
        <v>1484.4398100000001</v>
      </c>
      <c r="S326" s="8">
        <v>0</v>
      </c>
      <c r="T326" s="8">
        <v>57.786886000000003</v>
      </c>
      <c r="U326" s="8">
        <v>0</v>
      </c>
      <c r="V326" s="8">
        <v>1370.7931140000001</v>
      </c>
      <c r="W326" s="8">
        <v>0</v>
      </c>
      <c r="X326" s="8">
        <v>34249.932271999998</v>
      </c>
      <c r="Y326" s="8">
        <v>0</v>
      </c>
      <c r="Z326" s="8">
        <v>0</v>
      </c>
      <c r="AA326" s="7">
        <v>4.0027400000000002</v>
      </c>
      <c r="AB326" s="8">
        <v>32879.139157999998</v>
      </c>
      <c r="AC326" s="7">
        <v>2.0677780000000001</v>
      </c>
      <c r="AD326" s="7" t="s">
        <v>1226</v>
      </c>
      <c r="AE326" s="8">
        <v>34285.919999999998</v>
      </c>
      <c r="AF326" s="8">
        <v>0</v>
      </c>
      <c r="AG326" s="8">
        <v>34285.919999999998</v>
      </c>
      <c r="AH326" s="8">
        <v>0</v>
      </c>
      <c r="AI326" s="7" t="s">
        <v>1760</v>
      </c>
      <c r="AJ326" s="7">
        <f t="shared" ca="1" si="79"/>
        <v>1</v>
      </c>
      <c r="AL326" s="96">
        <f t="shared" si="80"/>
        <v>7.8907360202512306E-4</v>
      </c>
      <c r="AM326" s="97">
        <f t="shared" si="81"/>
        <v>4.6140091543386309E-4</v>
      </c>
    </row>
    <row r="327" spans="1:39" x14ac:dyDescent="0.3">
      <c r="A327" s="7" t="s">
        <v>2142</v>
      </c>
      <c r="B327" s="7" t="s">
        <v>1768</v>
      </c>
      <c r="C327" s="7" t="s">
        <v>1769</v>
      </c>
      <c r="D327" s="7" t="s">
        <v>1324</v>
      </c>
      <c r="E327" s="7" t="s">
        <v>1695</v>
      </c>
      <c r="F327" s="36">
        <v>43831</v>
      </c>
      <c r="G327" s="36">
        <v>46022</v>
      </c>
      <c r="H327" s="36">
        <v>44409</v>
      </c>
      <c r="I327" s="36">
        <v>44409</v>
      </c>
      <c r="J327" s="7" t="s">
        <v>1239</v>
      </c>
      <c r="K327" s="8">
        <v>961228.99012800003</v>
      </c>
      <c r="L327" s="8">
        <v>111508.93257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f t="shared" si="78"/>
        <v>1072737.922698</v>
      </c>
      <c r="S327" s="8">
        <v>0</v>
      </c>
      <c r="T327" s="8">
        <v>107716.84998</v>
      </c>
      <c r="U327" s="8">
        <v>0</v>
      </c>
      <c r="V327" s="8">
        <v>920854.57851599995</v>
      </c>
      <c r="W327" s="8">
        <v>0</v>
      </c>
      <c r="X327" s="8">
        <v>2883686.9703279999</v>
      </c>
      <c r="Y327" s="8">
        <v>0</v>
      </c>
      <c r="Z327" s="8">
        <v>0</v>
      </c>
      <c r="AA327" s="7">
        <v>0</v>
      </c>
      <c r="AB327" s="8">
        <v>1962832.391812</v>
      </c>
      <c r="AC327" s="7">
        <v>2.318333</v>
      </c>
      <c r="AD327" s="7" t="s">
        <v>1226</v>
      </c>
      <c r="AE327" s="8">
        <v>2057142.856992</v>
      </c>
      <c r="AF327" s="8">
        <v>0</v>
      </c>
      <c r="AG327" s="8">
        <v>2057142.856992</v>
      </c>
      <c r="AH327" s="8">
        <v>0</v>
      </c>
      <c r="AI327" s="7" t="s">
        <v>1758</v>
      </c>
      <c r="AJ327" s="7">
        <f t="shared" ca="1" si="79"/>
        <v>1</v>
      </c>
      <c r="AL327" s="96">
        <f t="shared" si="80"/>
        <v>0</v>
      </c>
      <c r="AM327" s="97">
        <f t="shared" si="81"/>
        <v>3.103837695404793E-2</v>
      </c>
    </row>
    <row r="328" spans="1:39" x14ac:dyDescent="0.3">
      <c r="A328" s="7" t="s">
        <v>2143</v>
      </c>
      <c r="B328" s="7" t="s">
        <v>1320</v>
      </c>
      <c r="C328" s="7" t="s">
        <v>1769</v>
      </c>
      <c r="D328" s="7" t="s">
        <v>1324</v>
      </c>
      <c r="E328" s="7" t="s">
        <v>1322</v>
      </c>
      <c r="F328" s="36">
        <v>44409</v>
      </c>
      <c r="G328" s="36">
        <v>45626</v>
      </c>
      <c r="H328" s="36">
        <v>45626</v>
      </c>
      <c r="I328" s="36">
        <v>45626</v>
      </c>
      <c r="J328" s="7" t="s">
        <v>1696</v>
      </c>
      <c r="K328" s="8">
        <v>0</v>
      </c>
      <c r="L328" s="8">
        <v>0</v>
      </c>
      <c r="M328" s="8">
        <v>150000</v>
      </c>
      <c r="N328" s="8">
        <v>0</v>
      </c>
      <c r="O328" s="8">
        <v>0</v>
      </c>
      <c r="P328" s="8">
        <v>0</v>
      </c>
      <c r="Q328" s="8">
        <v>0</v>
      </c>
      <c r="R328" s="8">
        <f t="shared" si="78"/>
        <v>150000</v>
      </c>
      <c r="S328" s="8">
        <v>0</v>
      </c>
      <c r="T328" s="8">
        <v>0</v>
      </c>
      <c r="U328" s="8">
        <v>150000</v>
      </c>
      <c r="V328" s="8">
        <v>0</v>
      </c>
      <c r="W328" s="8">
        <v>0</v>
      </c>
      <c r="X328" s="8">
        <v>0</v>
      </c>
      <c r="Y328" s="8">
        <v>0</v>
      </c>
      <c r="Z328" s="8">
        <v>1149267.803634</v>
      </c>
      <c r="AA328" s="7">
        <v>2.917808</v>
      </c>
      <c r="AB328" s="8">
        <v>1011158.17285</v>
      </c>
      <c r="AC328" s="7">
        <v>2.681667</v>
      </c>
      <c r="AD328" s="7" t="s">
        <v>1226</v>
      </c>
      <c r="AE328" s="8">
        <v>1050000</v>
      </c>
      <c r="AF328" s="8">
        <v>0</v>
      </c>
      <c r="AG328" s="8">
        <v>1050000</v>
      </c>
      <c r="AH328" s="8">
        <v>0</v>
      </c>
      <c r="AI328" s="7" t="s">
        <v>1758</v>
      </c>
      <c r="AJ328" s="7">
        <f t="shared" ca="1" si="79"/>
        <v>1</v>
      </c>
      <c r="AL328" s="96">
        <f>(+AA328*AB328)/$AB$612</f>
        <v>5.3207103704951013E-2</v>
      </c>
      <c r="AM328" s="97">
        <f>AC328/$AE$612*AE328</f>
        <v>4.8676279543894467E-2</v>
      </c>
    </row>
    <row r="329" spans="1:39" x14ac:dyDescent="0.3">
      <c r="A329" s="7" t="s">
        <v>2144</v>
      </c>
      <c r="B329" s="7" t="s">
        <v>1768</v>
      </c>
      <c r="C329" s="7" t="s">
        <v>1323</v>
      </c>
      <c r="D329" s="7" t="s">
        <v>1324</v>
      </c>
      <c r="E329" s="7" t="s">
        <v>1322</v>
      </c>
      <c r="F329" s="36">
        <v>43831</v>
      </c>
      <c r="G329" s="36">
        <v>44926</v>
      </c>
      <c r="H329" s="36">
        <v>44926</v>
      </c>
      <c r="I329" s="36">
        <v>44926</v>
      </c>
      <c r="J329" s="7" t="s">
        <v>1239</v>
      </c>
      <c r="K329" s="8">
        <v>26428.863959999999</v>
      </c>
      <c r="L329" s="8">
        <v>1568.9918230000001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f t="shared" si="78"/>
        <v>27997.855782999999</v>
      </c>
      <c r="S329" s="8">
        <v>0</v>
      </c>
      <c r="T329" s="8">
        <v>1535.0459679999999</v>
      </c>
      <c r="U329" s="8">
        <v>0</v>
      </c>
      <c r="V329" s="8">
        <v>26064.954032000001</v>
      </c>
      <c r="W329" s="8">
        <v>0</v>
      </c>
      <c r="X329" s="8">
        <v>39643.295951</v>
      </c>
      <c r="Y329" s="8">
        <v>0</v>
      </c>
      <c r="Z329" s="8">
        <v>0</v>
      </c>
      <c r="AA329" s="7">
        <v>1</v>
      </c>
      <c r="AB329" s="8">
        <v>13578.341919</v>
      </c>
      <c r="AC329" s="7">
        <v>3</v>
      </c>
      <c r="AD329" s="7" t="s">
        <v>1226</v>
      </c>
      <c r="AE329" s="8">
        <v>13800</v>
      </c>
      <c r="AF329" s="8">
        <v>0</v>
      </c>
      <c r="AG329" s="8">
        <v>13800</v>
      </c>
      <c r="AH329" s="8">
        <v>0</v>
      </c>
      <c r="AI329" s="7" t="s">
        <v>1781</v>
      </c>
      <c r="AJ329" s="7">
        <f t="shared" ca="1" si="79"/>
        <v>1</v>
      </c>
      <c r="AL329" s="96">
        <f t="shared" si="80"/>
        <v>8.1411627270207412E-5</v>
      </c>
      <c r="AM329" s="97">
        <f t="shared" si="81"/>
        <v>2.6943814208141027E-4</v>
      </c>
    </row>
    <row r="330" spans="1:39" x14ac:dyDescent="0.3">
      <c r="A330" s="7" t="s">
        <v>2145</v>
      </c>
      <c r="B330" s="7" t="s">
        <v>1768</v>
      </c>
      <c r="C330" s="7" t="s">
        <v>1323</v>
      </c>
      <c r="D330" s="7" t="s">
        <v>1324</v>
      </c>
      <c r="E330" s="7" t="s">
        <v>1695</v>
      </c>
      <c r="F330" s="36">
        <v>43831</v>
      </c>
      <c r="G330" s="36">
        <v>44926</v>
      </c>
      <c r="H330" s="36">
        <v>44440</v>
      </c>
      <c r="I330" s="36">
        <v>44440</v>
      </c>
      <c r="J330" s="7" t="s">
        <v>1239</v>
      </c>
      <c r="K330" s="8">
        <v>26428.863959999999</v>
      </c>
      <c r="L330" s="8">
        <v>1568.9918230000001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f t="shared" si="78"/>
        <v>27997.855782999999</v>
      </c>
      <c r="S330" s="8">
        <v>0</v>
      </c>
      <c r="T330" s="8">
        <v>1535.0459679999999</v>
      </c>
      <c r="U330" s="8">
        <v>0</v>
      </c>
      <c r="V330" s="8">
        <v>26064.954032000001</v>
      </c>
      <c r="W330" s="8">
        <v>0</v>
      </c>
      <c r="X330" s="8">
        <v>39643.295951</v>
      </c>
      <c r="Y330" s="8">
        <v>0</v>
      </c>
      <c r="Z330" s="8">
        <v>0</v>
      </c>
      <c r="AA330" s="7">
        <v>0</v>
      </c>
      <c r="AB330" s="8">
        <v>13578.341919</v>
      </c>
      <c r="AC330" s="7">
        <v>3</v>
      </c>
      <c r="AD330" s="7" t="s">
        <v>1226</v>
      </c>
      <c r="AE330" s="8">
        <v>13800</v>
      </c>
      <c r="AF330" s="8">
        <v>0</v>
      </c>
      <c r="AG330" s="8">
        <v>13800</v>
      </c>
      <c r="AH330" s="8">
        <v>0</v>
      </c>
      <c r="AI330" s="7" t="s">
        <v>1781</v>
      </c>
      <c r="AJ330" s="7">
        <f t="shared" ca="1" si="79"/>
        <v>1</v>
      </c>
      <c r="AL330" s="96">
        <f t="shared" si="80"/>
        <v>0</v>
      </c>
      <c r="AM330" s="97">
        <f t="shared" si="81"/>
        <v>2.6943814208141027E-4</v>
      </c>
    </row>
    <row r="331" spans="1:39" x14ac:dyDescent="0.3">
      <c r="A331" s="7" t="s">
        <v>2146</v>
      </c>
      <c r="B331" s="7" t="s">
        <v>1320</v>
      </c>
      <c r="C331" s="7" t="s">
        <v>1323</v>
      </c>
      <c r="D331" s="7" t="s">
        <v>1324</v>
      </c>
      <c r="E331" s="7" t="s">
        <v>1322</v>
      </c>
      <c r="F331" s="36">
        <v>44440</v>
      </c>
      <c r="G331" s="36">
        <v>44926</v>
      </c>
      <c r="H331" s="36">
        <v>44926</v>
      </c>
      <c r="I331" s="36">
        <v>44926</v>
      </c>
      <c r="J331" s="7" t="s">
        <v>1696</v>
      </c>
      <c r="K331" s="8">
        <v>0</v>
      </c>
      <c r="L331" s="8">
        <v>0</v>
      </c>
      <c r="M331" s="8">
        <v>5060.0003999999999</v>
      </c>
      <c r="N331" s="8">
        <v>0</v>
      </c>
      <c r="O331" s="8">
        <v>0</v>
      </c>
      <c r="P331" s="8">
        <v>0</v>
      </c>
      <c r="Q331" s="8">
        <v>0</v>
      </c>
      <c r="R331" s="8">
        <f t="shared" si="78"/>
        <v>5060.0003999999999</v>
      </c>
      <c r="S331" s="8">
        <v>0</v>
      </c>
      <c r="T331" s="8">
        <v>0</v>
      </c>
      <c r="U331" s="8">
        <v>5060.0003999999999</v>
      </c>
      <c r="V331" s="8">
        <v>0</v>
      </c>
      <c r="W331" s="8">
        <v>0</v>
      </c>
      <c r="X331" s="8">
        <v>0</v>
      </c>
      <c r="Y331" s="8">
        <v>0</v>
      </c>
      <c r="Z331" s="8">
        <v>20012.565906</v>
      </c>
      <c r="AA331" s="7">
        <v>1</v>
      </c>
      <c r="AB331" s="8">
        <v>15054.660330000001</v>
      </c>
      <c r="AC331" s="7">
        <v>1.8133330000000001</v>
      </c>
      <c r="AD331" s="7" t="s">
        <v>1226</v>
      </c>
      <c r="AE331" s="8">
        <v>15180.001200000001</v>
      </c>
      <c r="AF331" s="8">
        <v>0</v>
      </c>
      <c r="AG331" s="8">
        <v>15180.001200000001</v>
      </c>
      <c r="AH331" s="8">
        <v>0</v>
      </c>
      <c r="AI331" s="7" t="s">
        <v>1781</v>
      </c>
      <c r="AJ331" s="7">
        <f t="shared" ca="1" si="79"/>
        <v>1</v>
      </c>
      <c r="AL331" s="96">
        <f t="shared" ref="AL331:AL334" si="82">(+AA331*AB331)/$AB$612</f>
        <v>2.7149683621906971E-4</v>
      </c>
      <c r="AM331" s="97">
        <f t="shared" ref="AM331:AM334" si="83">AC331/$AE$612*AE331</f>
        <v>4.758527689980211E-4</v>
      </c>
    </row>
    <row r="332" spans="1:39" x14ac:dyDescent="0.3">
      <c r="A332" s="7" t="s">
        <v>2603</v>
      </c>
      <c r="B332" s="7" t="s">
        <v>1768</v>
      </c>
      <c r="C332" s="7" t="s">
        <v>1769</v>
      </c>
      <c r="D332" s="7" t="s">
        <v>1324</v>
      </c>
      <c r="E332" s="7" t="s">
        <v>1695</v>
      </c>
      <c r="F332" s="36">
        <v>43831</v>
      </c>
      <c r="G332" s="36">
        <v>44926</v>
      </c>
      <c r="H332" s="36">
        <v>44501</v>
      </c>
      <c r="I332" s="36">
        <v>44501</v>
      </c>
      <c r="J332" s="7" t="s">
        <v>1696</v>
      </c>
      <c r="K332" s="8">
        <v>0</v>
      </c>
      <c r="L332" s="8">
        <v>0</v>
      </c>
      <c r="M332" s="8">
        <v>144000.00001799999</v>
      </c>
      <c r="N332" s="8">
        <v>0</v>
      </c>
      <c r="O332" s="8">
        <v>0</v>
      </c>
      <c r="P332" s="8">
        <v>0</v>
      </c>
      <c r="Q332" s="8">
        <v>0</v>
      </c>
      <c r="R332" s="8">
        <f t="shared" si="78"/>
        <v>144000.00001799999</v>
      </c>
      <c r="S332" s="8">
        <v>0</v>
      </c>
      <c r="T332" s="8">
        <v>0</v>
      </c>
      <c r="U332" s="8">
        <v>176000.00002199999</v>
      </c>
      <c r="V332" s="8">
        <v>0</v>
      </c>
      <c r="W332" s="8">
        <v>0</v>
      </c>
      <c r="X332" s="8">
        <v>0</v>
      </c>
      <c r="Y332" s="8">
        <v>587000.25107600004</v>
      </c>
      <c r="Z332" s="8">
        <v>-415998.420599</v>
      </c>
      <c r="AA332" s="7">
        <v>0</v>
      </c>
      <c r="AB332" s="8">
        <v>0</v>
      </c>
      <c r="AC332" s="7">
        <v>2.318333</v>
      </c>
      <c r="AD332" s="7" t="s">
        <v>1226</v>
      </c>
      <c r="AE332" s="8">
        <v>0</v>
      </c>
      <c r="AF332" s="8">
        <v>0</v>
      </c>
      <c r="AG332" s="8">
        <v>0</v>
      </c>
      <c r="AH332" s="8">
        <v>0</v>
      </c>
      <c r="AI332" s="7" t="s">
        <v>1758</v>
      </c>
      <c r="AJ332" s="7">
        <f t="shared" ca="1" si="79"/>
        <v>1</v>
      </c>
      <c r="AL332" s="96">
        <f t="shared" si="82"/>
        <v>0</v>
      </c>
      <c r="AM332" s="97">
        <f t="shared" si="83"/>
        <v>0</v>
      </c>
    </row>
    <row r="333" spans="1:39" x14ac:dyDescent="0.3">
      <c r="A333" s="7" t="s">
        <v>2147</v>
      </c>
      <c r="B333" s="7" t="s">
        <v>1320</v>
      </c>
      <c r="C333" s="7" t="s">
        <v>1769</v>
      </c>
      <c r="D333" s="7" t="s">
        <v>1324</v>
      </c>
      <c r="E333" s="7" t="s">
        <v>1322</v>
      </c>
      <c r="F333" s="36">
        <v>44501</v>
      </c>
      <c r="G333" s="36">
        <v>45230</v>
      </c>
      <c r="H333" s="36">
        <v>45230</v>
      </c>
      <c r="I333" s="36">
        <v>45230</v>
      </c>
      <c r="J333" s="7" t="s">
        <v>1696</v>
      </c>
      <c r="K333" s="8">
        <v>0</v>
      </c>
      <c r="L333" s="8">
        <v>0</v>
      </c>
      <c r="M333" s="8">
        <v>24458.32</v>
      </c>
      <c r="N333" s="8">
        <v>0</v>
      </c>
      <c r="O333" s="8">
        <v>0</v>
      </c>
      <c r="P333" s="8">
        <v>0</v>
      </c>
      <c r="Q333" s="8">
        <v>0</v>
      </c>
      <c r="R333" s="8">
        <f t="shared" si="78"/>
        <v>24458.32</v>
      </c>
      <c r="S333" s="8">
        <v>0</v>
      </c>
      <c r="T333" s="8">
        <v>0</v>
      </c>
      <c r="U333" s="8">
        <v>9333.32</v>
      </c>
      <c r="V333" s="8">
        <v>0</v>
      </c>
      <c r="W333" s="8">
        <v>0</v>
      </c>
      <c r="X333" s="8">
        <v>0</v>
      </c>
      <c r="Y333" s="8">
        <v>0</v>
      </c>
      <c r="Z333" s="8">
        <v>93082.597859000001</v>
      </c>
      <c r="AA333" s="7">
        <v>1.8328770000000001</v>
      </c>
      <c r="AB333" s="8">
        <v>100640.840947</v>
      </c>
      <c r="AC333" s="7">
        <v>2.2879999999999998</v>
      </c>
      <c r="AD333" s="7" t="s">
        <v>1226</v>
      </c>
      <c r="AE333" s="8">
        <v>102666.52</v>
      </c>
      <c r="AF333" s="8">
        <v>0</v>
      </c>
      <c r="AG333" s="8">
        <v>102666.52</v>
      </c>
      <c r="AH333" s="8">
        <v>0</v>
      </c>
      <c r="AI333" s="7" t="s">
        <v>1758</v>
      </c>
      <c r="AJ333" s="7">
        <f t="shared" ca="1" si="79"/>
        <v>1</v>
      </c>
      <c r="AL333" s="96">
        <f t="shared" si="82"/>
        <v>3.326606182980443E-3</v>
      </c>
      <c r="AM333" s="97">
        <f t="shared" si="83"/>
        <v>4.0607671884353982E-3</v>
      </c>
    </row>
    <row r="334" spans="1:39" x14ac:dyDescent="0.3">
      <c r="A334" s="7" t="s">
        <v>2148</v>
      </c>
      <c r="B334" s="7" t="s">
        <v>1768</v>
      </c>
      <c r="C334" s="7" t="s">
        <v>1769</v>
      </c>
      <c r="D334" s="7" t="s">
        <v>1324</v>
      </c>
      <c r="E334" s="7" t="s">
        <v>1322</v>
      </c>
      <c r="F334" s="36">
        <v>43831</v>
      </c>
      <c r="G334" s="36">
        <v>44926</v>
      </c>
      <c r="H334" s="36">
        <v>44926</v>
      </c>
      <c r="I334" s="36">
        <v>46022</v>
      </c>
      <c r="J334" s="7" t="s">
        <v>1696</v>
      </c>
      <c r="K334" s="8">
        <v>0</v>
      </c>
      <c r="L334" s="8">
        <v>0</v>
      </c>
      <c r="M334" s="8">
        <v>210000.00002400001</v>
      </c>
      <c r="N334" s="8">
        <v>0</v>
      </c>
      <c r="O334" s="8">
        <v>0</v>
      </c>
      <c r="P334" s="8">
        <v>0</v>
      </c>
      <c r="Q334" s="8">
        <v>0</v>
      </c>
      <c r="R334" s="8">
        <f t="shared" si="78"/>
        <v>210000.00002400001</v>
      </c>
      <c r="S334" s="8">
        <v>0</v>
      </c>
      <c r="T334" s="8">
        <v>0</v>
      </c>
      <c r="U334" s="8">
        <v>192000.00002400001</v>
      </c>
      <c r="V334" s="8">
        <v>0</v>
      </c>
      <c r="W334" s="8">
        <v>0</v>
      </c>
      <c r="X334" s="8">
        <v>0</v>
      </c>
      <c r="Y334" s="8">
        <v>587000.25107600004</v>
      </c>
      <c r="Z334" s="8">
        <v>0</v>
      </c>
      <c r="AA334" s="7">
        <v>4.0027400000000002</v>
      </c>
      <c r="AB334" s="8">
        <v>418124.76393999998</v>
      </c>
      <c r="AC334" s="7">
        <v>2.318333</v>
      </c>
      <c r="AD334" s="7" t="s">
        <v>1226</v>
      </c>
      <c r="AE334" s="8">
        <v>438000.00004800002</v>
      </c>
      <c r="AF334" s="8">
        <v>0</v>
      </c>
      <c r="AG334" s="8">
        <v>438000.00004800002</v>
      </c>
      <c r="AH334" s="8">
        <v>0</v>
      </c>
      <c r="AI334" s="7" t="s">
        <v>1758</v>
      </c>
      <c r="AJ334" s="7">
        <f t="shared" ca="1" si="79"/>
        <v>1</v>
      </c>
      <c r="AL334" s="96">
        <f t="shared" si="82"/>
        <v>3.018263021725319E-2</v>
      </c>
      <c r="AM334" s="97">
        <f t="shared" si="83"/>
        <v>1.7553881307672266E-2</v>
      </c>
    </row>
    <row r="335" spans="1:39" x14ac:dyDescent="0.3">
      <c r="A335" s="7" t="s">
        <v>2149</v>
      </c>
      <c r="B335" s="7" t="s">
        <v>1768</v>
      </c>
      <c r="C335" s="7" t="s">
        <v>1323</v>
      </c>
      <c r="D335" s="7" t="s">
        <v>1324</v>
      </c>
      <c r="E335" s="7" t="s">
        <v>1322</v>
      </c>
      <c r="F335" s="36">
        <v>43831</v>
      </c>
      <c r="G335" s="36">
        <v>44926</v>
      </c>
      <c r="H335" s="36">
        <v>44926</v>
      </c>
      <c r="I335" s="36">
        <v>46022</v>
      </c>
      <c r="J335" s="7" t="s">
        <v>1239</v>
      </c>
      <c r="K335" s="8">
        <v>7555.69272</v>
      </c>
      <c r="L335" s="8">
        <v>809.79281000000003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f t="shared" si="78"/>
        <v>8365.4855299999999</v>
      </c>
      <c r="S335" s="8">
        <v>0</v>
      </c>
      <c r="T335" s="8">
        <v>731.98396000000002</v>
      </c>
      <c r="U335" s="8">
        <v>0</v>
      </c>
      <c r="V335" s="8">
        <v>9268.0160400000004</v>
      </c>
      <c r="W335" s="8">
        <v>0</v>
      </c>
      <c r="X335" s="8">
        <v>22667.078265</v>
      </c>
      <c r="Y335" s="8">
        <v>0</v>
      </c>
      <c r="Z335" s="8">
        <v>0</v>
      </c>
      <c r="AA335" s="7">
        <v>4.0027400000000002</v>
      </c>
      <c r="AB335" s="8">
        <v>13399.062225</v>
      </c>
      <c r="AC335" s="7">
        <v>2.318333</v>
      </c>
      <c r="AD335" s="7" t="s">
        <v>1226</v>
      </c>
      <c r="AE335" s="8">
        <v>14000</v>
      </c>
      <c r="AF335" s="8">
        <v>0</v>
      </c>
      <c r="AG335" s="8">
        <v>14000</v>
      </c>
      <c r="AH335" s="8">
        <v>0</v>
      </c>
      <c r="AI335" s="7" t="s">
        <v>1781</v>
      </c>
      <c r="AJ335" s="7">
        <f t="shared" ca="1" si="79"/>
        <v>1</v>
      </c>
      <c r="AL335" s="96">
        <f t="shared" si="80"/>
        <v>3.2156700462356768E-4</v>
      </c>
      <c r="AM335" s="97">
        <f t="shared" si="81"/>
        <v>2.1123339873053886E-4</v>
      </c>
    </row>
    <row r="336" spans="1:39" x14ac:dyDescent="0.3">
      <c r="A336" s="7" t="s">
        <v>2150</v>
      </c>
      <c r="B336" s="7" t="s">
        <v>1768</v>
      </c>
      <c r="C336" s="7" t="s">
        <v>1323</v>
      </c>
      <c r="D336" s="7" t="s">
        <v>1324</v>
      </c>
      <c r="E336" s="7" t="s">
        <v>1322</v>
      </c>
      <c r="F336" s="36">
        <v>43831</v>
      </c>
      <c r="G336" s="36">
        <v>44926</v>
      </c>
      <c r="H336" s="36">
        <v>44926</v>
      </c>
      <c r="I336" s="36">
        <v>46022</v>
      </c>
      <c r="J336" s="7" t="s">
        <v>1239</v>
      </c>
      <c r="K336" s="8">
        <v>7555.69272</v>
      </c>
      <c r="L336" s="8">
        <v>809.79281000000003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f t="shared" si="78"/>
        <v>8365.4855299999999</v>
      </c>
      <c r="S336" s="8">
        <v>0</v>
      </c>
      <c r="T336" s="8">
        <v>731.98396000000002</v>
      </c>
      <c r="U336" s="8">
        <v>0</v>
      </c>
      <c r="V336" s="8">
        <v>9268.0160400000004</v>
      </c>
      <c r="W336" s="8">
        <v>0</v>
      </c>
      <c r="X336" s="8">
        <v>22667.078265</v>
      </c>
      <c r="Y336" s="8">
        <v>0</v>
      </c>
      <c r="Z336" s="8">
        <v>0</v>
      </c>
      <c r="AA336" s="7">
        <v>4.0027400000000002</v>
      </c>
      <c r="AB336" s="8">
        <v>13399.062225</v>
      </c>
      <c r="AC336" s="7">
        <v>2.318333</v>
      </c>
      <c r="AD336" s="7" t="s">
        <v>1226</v>
      </c>
      <c r="AE336" s="8">
        <v>14000</v>
      </c>
      <c r="AF336" s="8">
        <v>0</v>
      </c>
      <c r="AG336" s="8">
        <v>14000</v>
      </c>
      <c r="AH336" s="8">
        <v>0</v>
      </c>
      <c r="AI336" s="7" t="s">
        <v>1781</v>
      </c>
      <c r="AJ336" s="7">
        <f t="shared" ca="1" si="79"/>
        <v>1</v>
      </c>
      <c r="AL336" s="96">
        <f t="shared" si="80"/>
        <v>3.2156700462356768E-4</v>
      </c>
      <c r="AM336" s="97">
        <f t="shared" si="81"/>
        <v>2.1123339873053886E-4</v>
      </c>
    </row>
    <row r="337" spans="1:39" x14ac:dyDescent="0.3">
      <c r="A337" s="7" t="s">
        <v>2152</v>
      </c>
      <c r="B337" s="7" t="s">
        <v>1768</v>
      </c>
      <c r="C337" s="7" t="s">
        <v>1323</v>
      </c>
      <c r="D337" s="7" t="s">
        <v>1324</v>
      </c>
      <c r="E337" s="7" t="s">
        <v>1322</v>
      </c>
      <c r="F337" s="36">
        <v>43831</v>
      </c>
      <c r="G337" s="36">
        <v>44926</v>
      </c>
      <c r="H337" s="36">
        <v>44926</v>
      </c>
      <c r="I337" s="36">
        <v>46022</v>
      </c>
      <c r="J337" s="7" t="s">
        <v>1239</v>
      </c>
      <c r="K337" s="8">
        <v>7555.69272</v>
      </c>
      <c r="L337" s="8">
        <v>809.79281000000003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f t="shared" si="78"/>
        <v>8365.4855299999999</v>
      </c>
      <c r="S337" s="8">
        <v>0</v>
      </c>
      <c r="T337" s="8">
        <v>731.98396000000002</v>
      </c>
      <c r="U337" s="8">
        <v>0</v>
      </c>
      <c r="V337" s="8">
        <v>9268.0160400000004</v>
      </c>
      <c r="W337" s="8">
        <v>0</v>
      </c>
      <c r="X337" s="8">
        <v>22667.078265</v>
      </c>
      <c r="Y337" s="8">
        <v>0</v>
      </c>
      <c r="Z337" s="8">
        <v>0</v>
      </c>
      <c r="AA337" s="7">
        <v>4.0027400000000002</v>
      </c>
      <c r="AB337" s="8">
        <v>13399.062225</v>
      </c>
      <c r="AC337" s="7">
        <v>2.318333</v>
      </c>
      <c r="AD337" s="7" t="s">
        <v>1226</v>
      </c>
      <c r="AE337" s="8">
        <v>14000</v>
      </c>
      <c r="AF337" s="8">
        <v>0</v>
      </c>
      <c r="AG337" s="8">
        <v>14000</v>
      </c>
      <c r="AH337" s="8">
        <v>0</v>
      </c>
      <c r="AI337" s="7" t="s">
        <v>1781</v>
      </c>
      <c r="AJ337" s="7">
        <f t="shared" ca="1" si="79"/>
        <v>1</v>
      </c>
      <c r="AL337" s="96">
        <f t="shared" si="80"/>
        <v>3.2156700462356768E-4</v>
      </c>
      <c r="AM337" s="97">
        <f t="shared" si="81"/>
        <v>2.1123339873053886E-4</v>
      </c>
    </row>
    <row r="338" spans="1:39" x14ac:dyDescent="0.3">
      <c r="A338" s="7" t="s">
        <v>2154</v>
      </c>
      <c r="B338" s="7" t="s">
        <v>1768</v>
      </c>
      <c r="C338" s="7" t="s">
        <v>1323</v>
      </c>
      <c r="D338" s="7" t="s">
        <v>1324</v>
      </c>
      <c r="E338" s="7" t="s">
        <v>1322</v>
      </c>
      <c r="F338" s="36">
        <v>43831</v>
      </c>
      <c r="G338" s="36">
        <v>44926</v>
      </c>
      <c r="H338" s="36">
        <v>44926</v>
      </c>
      <c r="I338" s="36">
        <v>46022</v>
      </c>
      <c r="J338" s="7" t="s">
        <v>1239</v>
      </c>
      <c r="K338" s="8">
        <v>6296.4106000000002</v>
      </c>
      <c r="L338" s="8">
        <v>703.73735999999997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f t="shared" si="78"/>
        <v>7000.1479600000002</v>
      </c>
      <c r="S338" s="8">
        <v>0</v>
      </c>
      <c r="T338" s="8">
        <v>647.40745000000004</v>
      </c>
      <c r="U338" s="8">
        <v>0</v>
      </c>
      <c r="V338" s="8">
        <v>8102.5925500000003</v>
      </c>
      <c r="W338" s="8">
        <v>0</v>
      </c>
      <c r="X338" s="8">
        <v>22667.078265</v>
      </c>
      <c r="Y338" s="8">
        <v>0</v>
      </c>
      <c r="Z338" s="8">
        <v>-16370.667665000001</v>
      </c>
      <c r="AA338" s="7">
        <v>4.0027400000000002</v>
      </c>
      <c r="AB338" s="8">
        <v>0</v>
      </c>
      <c r="AC338" s="7">
        <v>2.318333</v>
      </c>
      <c r="AD338" s="7" t="s">
        <v>1226</v>
      </c>
      <c r="AE338" s="8">
        <v>0</v>
      </c>
      <c r="AF338" s="8">
        <v>0</v>
      </c>
      <c r="AG338" s="8">
        <v>0</v>
      </c>
      <c r="AH338" s="8">
        <v>0</v>
      </c>
      <c r="AI338" s="7" t="s">
        <v>1781</v>
      </c>
      <c r="AJ338" s="7">
        <f t="shared" ca="1" si="79"/>
        <v>1</v>
      </c>
      <c r="AL338" s="96">
        <f t="shared" si="80"/>
        <v>0</v>
      </c>
      <c r="AM338" s="97">
        <f t="shared" si="81"/>
        <v>0</v>
      </c>
    </row>
    <row r="339" spans="1:39" x14ac:dyDescent="0.3">
      <c r="A339" s="7" t="s">
        <v>2156</v>
      </c>
      <c r="B339" s="7" t="s">
        <v>1768</v>
      </c>
      <c r="C339" s="7" t="s">
        <v>1323</v>
      </c>
      <c r="D339" s="7" t="s">
        <v>1324</v>
      </c>
      <c r="E339" s="7" t="s">
        <v>1322</v>
      </c>
      <c r="F339" s="36">
        <v>43840</v>
      </c>
      <c r="G339" s="36">
        <v>44935</v>
      </c>
      <c r="H339" s="36">
        <v>44935</v>
      </c>
      <c r="I339" s="36">
        <v>44935</v>
      </c>
      <c r="J339" s="7" t="s">
        <v>1239</v>
      </c>
      <c r="K339" s="8">
        <v>5108313.9067329997</v>
      </c>
      <c r="L339" s="8">
        <v>305048.45996499999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f t="shared" si="78"/>
        <v>5413362.3666979996</v>
      </c>
      <c r="S339" s="8">
        <v>0</v>
      </c>
      <c r="T339" s="8">
        <v>300335.08040699997</v>
      </c>
      <c r="U339" s="8">
        <v>0</v>
      </c>
      <c r="V339" s="8">
        <v>5099664.9195929999</v>
      </c>
      <c r="W339" s="8">
        <v>0</v>
      </c>
      <c r="X339" s="8">
        <v>7756297.033884</v>
      </c>
      <c r="Y339" s="8">
        <v>0</v>
      </c>
      <c r="Z339" s="8">
        <v>0</v>
      </c>
      <c r="AA339" s="7">
        <v>1.0246580000000001</v>
      </c>
      <c r="AB339" s="8">
        <v>2656632.1142910002</v>
      </c>
      <c r="AC339" s="7">
        <v>3</v>
      </c>
      <c r="AD339" s="7" t="s">
        <v>1226</v>
      </c>
      <c r="AE339" s="8">
        <v>2700000</v>
      </c>
      <c r="AF339" s="8">
        <v>0</v>
      </c>
      <c r="AG339" s="8">
        <v>2700000</v>
      </c>
      <c r="AH339" s="8">
        <v>0</v>
      </c>
      <c r="AI339" s="7" t="s">
        <v>1758</v>
      </c>
      <c r="AJ339" s="7">
        <f t="shared" ca="1" si="79"/>
        <v>1</v>
      </c>
      <c r="AL339" s="96">
        <f t="shared" si="80"/>
        <v>1.6321123402071473E-2</v>
      </c>
      <c r="AM339" s="97">
        <f t="shared" si="81"/>
        <v>5.2716158233319398E-2</v>
      </c>
    </row>
    <row r="340" spans="1:39" x14ac:dyDescent="0.3">
      <c r="A340" s="7" t="s">
        <v>2158</v>
      </c>
      <c r="B340" s="7" t="s">
        <v>1768</v>
      </c>
      <c r="C340" s="7" t="s">
        <v>1323</v>
      </c>
      <c r="D340" s="7" t="s">
        <v>1324</v>
      </c>
      <c r="E340" s="7" t="s">
        <v>1695</v>
      </c>
      <c r="F340" s="36">
        <v>43840</v>
      </c>
      <c r="G340" s="36">
        <v>44935</v>
      </c>
      <c r="H340" s="36">
        <v>44440</v>
      </c>
      <c r="I340" s="36">
        <v>44440</v>
      </c>
      <c r="J340" s="7" t="s">
        <v>1239</v>
      </c>
      <c r="K340" s="8">
        <v>5108313.9067329997</v>
      </c>
      <c r="L340" s="8">
        <v>305048.45996499999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f t="shared" si="78"/>
        <v>5413362.3666979996</v>
      </c>
      <c r="S340" s="8">
        <v>0</v>
      </c>
      <c r="T340" s="8">
        <v>300335.08040699997</v>
      </c>
      <c r="U340" s="8">
        <v>0</v>
      </c>
      <c r="V340" s="8">
        <v>5099664.9195929999</v>
      </c>
      <c r="W340" s="8">
        <v>0</v>
      </c>
      <c r="X340" s="8">
        <v>7756297.033884</v>
      </c>
      <c r="Y340" s="8">
        <v>0</v>
      </c>
      <c r="Z340" s="8">
        <v>0</v>
      </c>
      <c r="AA340" s="7">
        <v>0</v>
      </c>
      <c r="AB340" s="8">
        <v>2656632.1142910002</v>
      </c>
      <c r="AC340" s="7">
        <v>3</v>
      </c>
      <c r="AD340" s="7" t="s">
        <v>1226</v>
      </c>
      <c r="AE340" s="8">
        <v>2700000</v>
      </c>
      <c r="AF340" s="8">
        <v>0</v>
      </c>
      <c r="AG340" s="8">
        <v>2700000</v>
      </c>
      <c r="AH340" s="8">
        <v>0</v>
      </c>
      <c r="AI340" s="7" t="s">
        <v>1758</v>
      </c>
      <c r="AJ340" s="7">
        <f t="shared" ca="1" si="79"/>
        <v>1</v>
      </c>
      <c r="AL340" s="96">
        <f t="shared" si="80"/>
        <v>0</v>
      </c>
      <c r="AM340" s="97">
        <f t="shared" si="81"/>
        <v>5.2716158233319398E-2</v>
      </c>
    </row>
    <row r="341" spans="1:39" x14ac:dyDescent="0.3">
      <c r="A341" s="7" t="s">
        <v>2159</v>
      </c>
      <c r="B341" s="7" t="s">
        <v>1320</v>
      </c>
      <c r="C341" s="7" t="s">
        <v>1323</v>
      </c>
      <c r="D341" s="7" t="s">
        <v>1324</v>
      </c>
      <c r="E341" s="7" t="s">
        <v>1322</v>
      </c>
      <c r="F341" s="36">
        <v>44409</v>
      </c>
      <c r="G341" s="36">
        <v>44926</v>
      </c>
      <c r="H341" s="36">
        <v>44926</v>
      </c>
      <c r="I341" s="36">
        <v>46022</v>
      </c>
      <c r="J341" s="7" t="s">
        <v>1239</v>
      </c>
      <c r="K341" s="8">
        <v>3087.46774</v>
      </c>
      <c r="L341" s="8">
        <v>241.08141599999999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f t="shared" si="78"/>
        <v>3328.549156</v>
      </c>
      <c r="S341" s="8">
        <v>0</v>
      </c>
      <c r="T341" s="8">
        <v>194.72108</v>
      </c>
      <c r="U341" s="8">
        <v>0</v>
      </c>
      <c r="V341" s="8">
        <v>3019.5789199999999</v>
      </c>
      <c r="W341" s="8">
        <v>0</v>
      </c>
      <c r="X341" s="8">
        <v>32727.158042999999</v>
      </c>
      <c r="Y341" s="8">
        <v>0</v>
      </c>
      <c r="Z341" s="8">
        <v>0</v>
      </c>
      <c r="AA341" s="7">
        <v>4.0027400000000002</v>
      </c>
      <c r="AB341" s="8">
        <v>29707.579123</v>
      </c>
      <c r="AC341" s="7">
        <v>1.8726670000000001</v>
      </c>
      <c r="AD341" s="7" t="s">
        <v>1226</v>
      </c>
      <c r="AE341" s="8">
        <v>30857.279999999999</v>
      </c>
      <c r="AF341" s="8">
        <v>0</v>
      </c>
      <c r="AG341" s="8">
        <v>30857.279999999999</v>
      </c>
      <c r="AH341" s="8">
        <v>0</v>
      </c>
      <c r="AI341" s="7" t="s">
        <v>1736</v>
      </c>
      <c r="AJ341" s="7">
        <f t="shared" ca="1" si="79"/>
        <v>1</v>
      </c>
      <c r="AL341" s="96">
        <f t="shared" si="80"/>
        <v>7.1295864388007521E-4</v>
      </c>
      <c r="AM341" s="97">
        <f t="shared" si="81"/>
        <v>3.7607713769533771E-4</v>
      </c>
    </row>
    <row r="342" spans="1:39" x14ac:dyDescent="0.3">
      <c r="A342" s="7" t="s">
        <v>2160</v>
      </c>
      <c r="B342" s="7" t="s">
        <v>1320</v>
      </c>
      <c r="C342" s="7" t="s">
        <v>1323</v>
      </c>
      <c r="D342" s="7" t="s">
        <v>1324</v>
      </c>
      <c r="E342" s="7" t="s">
        <v>1322</v>
      </c>
      <c r="F342" s="36">
        <v>44440</v>
      </c>
      <c r="G342" s="36">
        <v>44926</v>
      </c>
      <c r="H342" s="36">
        <v>44926</v>
      </c>
      <c r="I342" s="36">
        <v>44926</v>
      </c>
      <c r="J342" s="7" t="s">
        <v>1239</v>
      </c>
      <c r="K342" s="8">
        <v>889886.753532</v>
      </c>
      <c r="L342" s="8">
        <v>18159.156746000001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f t="shared" si="78"/>
        <v>908045.91027800005</v>
      </c>
      <c r="S342" s="8">
        <v>0</v>
      </c>
      <c r="T342" s="8">
        <v>14118.951141</v>
      </c>
      <c r="U342" s="8">
        <v>0</v>
      </c>
      <c r="V342" s="8">
        <v>885881.04885899997</v>
      </c>
      <c r="W342" s="8">
        <v>0</v>
      </c>
      <c r="X342" s="8">
        <v>0</v>
      </c>
      <c r="Y342" s="8">
        <v>0</v>
      </c>
      <c r="Z342" s="8">
        <v>3559547.0141269998</v>
      </c>
      <c r="AA342" s="7">
        <v>1</v>
      </c>
      <c r="AB342" s="8">
        <v>2673665.965268</v>
      </c>
      <c r="AC342" s="7">
        <v>1.8133330000000001</v>
      </c>
      <c r="AD342" s="7" t="s">
        <v>1226</v>
      </c>
      <c r="AE342" s="8">
        <v>2700000</v>
      </c>
      <c r="AF342" s="8">
        <v>0</v>
      </c>
      <c r="AG342" s="8">
        <v>2700000</v>
      </c>
      <c r="AH342" s="8">
        <v>0</v>
      </c>
      <c r="AI342" s="7" t="s">
        <v>1758</v>
      </c>
      <c r="AJ342" s="7">
        <f t="shared" ca="1" si="79"/>
        <v>1</v>
      </c>
      <c r="AL342" s="96">
        <f t="shared" si="80"/>
        <v>1.6030491668858213E-2</v>
      </c>
      <c r="AM342" s="97">
        <f t="shared" si="81"/>
        <v>3.1863983119233254E-2</v>
      </c>
    </row>
    <row r="343" spans="1:39" x14ac:dyDescent="0.3">
      <c r="A343" s="7" t="s">
        <v>2161</v>
      </c>
      <c r="B343" s="7" t="s">
        <v>1768</v>
      </c>
      <c r="C343" s="7" t="s">
        <v>1323</v>
      </c>
      <c r="D343" s="7" t="s">
        <v>1324</v>
      </c>
      <c r="E343" s="7" t="s">
        <v>1750</v>
      </c>
      <c r="F343" s="36">
        <v>43831</v>
      </c>
      <c r="G343" s="36">
        <v>44561</v>
      </c>
      <c r="H343" s="36">
        <v>44926</v>
      </c>
      <c r="I343" s="36">
        <v>44926</v>
      </c>
      <c r="J343" s="7" t="s">
        <v>1696</v>
      </c>
      <c r="K343" s="8">
        <v>0</v>
      </c>
      <c r="L343" s="8">
        <v>0</v>
      </c>
      <c r="M343" s="8">
        <v>10285.714296</v>
      </c>
      <c r="N343" s="8">
        <v>0</v>
      </c>
      <c r="O343" s="8">
        <v>0</v>
      </c>
      <c r="P343" s="8">
        <v>0</v>
      </c>
      <c r="Q343" s="8">
        <v>0</v>
      </c>
      <c r="R343" s="8">
        <f t="shared" si="78"/>
        <v>10285.714296</v>
      </c>
      <c r="S343" s="8">
        <v>0</v>
      </c>
      <c r="T343" s="8">
        <v>0</v>
      </c>
      <c r="U343" s="8">
        <v>10285.714296</v>
      </c>
      <c r="V343" s="8">
        <v>0</v>
      </c>
      <c r="W343" s="8">
        <v>0</v>
      </c>
      <c r="X343" s="8">
        <v>0</v>
      </c>
      <c r="Y343" s="8">
        <v>14773.899126</v>
      </c>
      <c r="Z343" s="8">
        <v>0</v>
      </c>
      <c r="AA343" s="7">
        <v>1</v>
      </c>
      <c r="AB343" s="8">
        <v>5072.9022809999997</v>
      </c>
      <c r="AC343" s="7">
        <v>3</v>
      </c>
      <c r="AD343" s="7" t="s">
        <v>1226</v>
      </c>
      <c r="AE343" s="8">
        <v>5142.8571480000001</v>
      </c>
      <c r="AF343" s="8">
        <v>0</v>
      </c>
      <c r="AG343" s="8">
        <v>5142.8571480000001</v>
      </c>
      <c r="AH343" s="8">
        <v>0</v>
      </c>
      <c r="AI343" s="7" t="s">
        <v>1781</v>
      </c>
      <c r="AJ343" s="7">
        <f t="shared" ca="1" si="79"/>
        <v>1</v>
      </c>
      <c r="AL343" s="96">
        <f t="shared" ref="AL343:AL346" si="84">(+AA343*AB343)/$AB$612</f>
        <v>9.1485087643953641E-5</v>
      </c>
      <c r="AM343" s="97">
        <f t="shared" ref="AM343:AM346" si="85">AC343/$AE$612*AE343</f>
        <v>2.6671592407725053E-4</v>
      </c>
    </row>
    <row r="344" spans="1:39" x14ac:dyDescent="0.3">
      <c r="A344" s="7" t="s">
        <v>2162</v>
      </c>
      <c r="B344" s="7" t="s">
        <v>1320</v>
      </c>
      <c r="C344" s="7" t="s">
        <v>1323</v>
      </c>
      <c r="D344" s="7" t="s">
        <v>1324</v>
      </c>
      <c r="E344" s="7" t="s">
        <v>1322</v>
      </c>
      <c r="F344" s="36">
        <v>44409</v>
      </c>
      <c r="G344" s="36">
        <v>45077</v>
      </c>
      <c r="H344" s="36">
        <v>45077</v>
      </c>
      <c r="I344" s="36">
        <v>45077</v>
      </c>
      <c r="J344" s="7" t="s">
        <v>1696</v>
      </c>
      <c r="K344" s="8">
        <v>0</v>
      </c>
      <c r="L344" s="8">
        <v>0</v>
      </c>
      <c r="M344" s="8">
        <v>2073.5294100000001</v>
      </c>
      <c r="N344" s="8">
        <v>0</v>
      </c>
      <c r="O344" s="8">
        <v>0</v>
      </c>
      <c r="P344" s="8">
        <v>0</v>
      </c>
      <c r="Q344" s="8">
        <v>0</v>
      </c>
      <c r="R344" s="8">
        <f t="shared" si="78"/>
        <v>2073.5294100000001</v>
      </c>
      <c r="S344" s="8">
        <v>0</v>
      </c>
      <c r="T344" s="8">
        <v>0</v>
      </c>
      <c r="U344" s="8">
        <v>1750.0000050000001</v>
      </c>
      <c r="V344" s="8">
        <v>0</v>
      </c>
      <c r="W344" s="8">
        <v>0</v>
      </c>
      <c r="X344" s="8">
        <v>0</v>
      </c>
      <c r="Y344" s="8">
        <v>13664.935755</v>
      </c>
      <c r="Z344" s="8">
        <v>0</v>
      </c>
      <c r="AA344" s="7">
        <v>1.413699</v>
      </c>
      <c r="AB344" s="8">
        <v>12029.385213</v>
      </c>
      <c r="AC344" s="7">
        <v>2.169333</v>
      </c>
      <c r="AD344" s="7" t="s">
        <v>1226</v>
      </c>
      <c r="AE344" s="8">
        <v>12350.000007000001</v>
      </c>
      <c r="AF344" s="8">
        <v>0</v>
      </c>
      <c r="AG344" s="8">
        <v>12350.000007000001</v>
      </c>
      <c r="AH344" s="8">
        <v>0</v>
      </c>
      <c r="AI344" s="7" t="s">
        <v>1781</v>
      </c>
      <c r="AJ344" s="7">
        <f t="shared" ca="1" si="79"/>
        <v>1</v>
      </c>
      <c r="AL344" s="96">
        <f t="shared" si="84"/>
        <v>3.066861721891589E-4</v>
      </c>
      <c r="AM344" s="97">
        <f t="shared" si="85"/>
        <v>4.6314439273951839E-4</v>
      </c>
    </row>
    <row r="345" spans="1:39" x14ac:dyDescent="0.3">
      <c r="A345" s="7" t="s">
        <v>2163</v>
      </c>
      <c r="B345" s="7" t="s">
        <v>1768</v>
      </c>
      <c r="C345" s="7" t="s">
        <v>1323</v>
      </c>
      <c r="D345" s="7" t="s">
        <v>1324</v>
      </c>
      <c r="E345" s="7" t="s">
        <v>1695</v>
      </c>
      <c r="F345" s="36">
        <v>44348</v>
      </c>
      <c r="G345" s="36">
        <v>45077</v>
      </c>
      <c r="H345" s="36">
        <v>44378</v>
      </c>
      <c r="I345" s="36">
        <v>44378</v>
      </c>
      <c r="J345" s="7" t="s">
        <v>1696</v>
      </c>
      <c r="K345" s="8">
        <v>0</v>
      </c>
      <c r="L345" s="8">
        <v>0</v>
      </c>
      <c r="M345" s="8">
        <v>3000.0000030000001</v>
      </c>
      <c r="N345" s="8">
        <v>0</v>
      </c>
      <c r="O345" s="8">
        <v>0</v>
      </c>
      <c r="P345" s="8">
        <v>0</v>
      </c>
      <c r="Q345" s="8">
        <v>0</v>
      </c>
      <c r="R345" s="8">
        <f t="shared" si="78"/>
        <v>3000.0000030000001</v>
      </c>
      <c r="S345" s="8">
        <v>0</v>
      </c>
      <c r="T345" s="8">
        <v>0</v>
      </c>
      <c r="U345" s="8">
        <v>3000.0000030000001</v>
      </c>
      <c r="V345" s="8">
        <v>0</v>
      </c>
      <c r="W345" s="8">
        <v>0</v>
      </c>
      <c r="X345" s="8">
        <v>0</v>
      </c>
      <c r="Y345" s="8">
        <v>14773.899126</v>
      </c>
      <c r="Z345" s="8">
        <v>0</v>
      </c>
      <c r="AA345" s="7">
        <v>0</v>
      </c>
      <c r="AB345" s="8">
        <v>12004.239063000001</v>
      </c>
      <c r="AC345" s="7">
        <v>3</v>
      </c>
      <c r="AD345" s="7" t="s">
        <v>1226</v>
      </c>
      <c r="AE345" s="8">
        <v>12428.571441</v>
      </c>
      <c r="AF345" s="8">
        <v>0</v>
      </c>
      <c r="AG345" s="8">
        <v>12428.571441</v>
      </c>
      <c r="AH345" s="8">
        <v>0</v>
      </c>
      <c r="AI345" s="7" t="s">
        <v>1781</v>
      </c>
      <c r="AJ345" s="7">
        <f t="shared" ca="1" si="79"/>
        <v>1</v>
      </c>
      <c r="AL345" s="96">
        <f t="shared" si="84"/>
        <v>0</v>
      </c>
      <c r="AM345" s="97">
        <f t="shared" si="85"/>
        <v>6.445634831866887E-4</v>
      </c>
    </row>
    <row r="346" spans="1:39" x14ac:dyDescent="0.3">
      <c r="A346" s="7" t="s">
        <v>2164</v>
      </c>
      <c r="B346" s="7" t="s">
        <v>1320</v>
      </c>
      <c r="C346" s="7" t="s">
        <v>1323</v>
      </c>
      <c r="D346" s="7" t="s">
        <v>1324</v>
      </c>
      <c r="E346" s="7" t="s">
        <v>1322</v>
      </c>
      <c r="F346" s="36">
        <v>44378</v>
      </c>
      <c r="G346" s="36">
        <v>45016</v>
      </c>
      <c r="H346" s="36">
        <v>45016</v>
      </c>
      <c r="I346" s="36">
        <v>45016</v>
      </c>
      <c r="J346" s="7" t="s">
        <v>1696</v>
      </c>
      <c r="K346" s="8">
        <v>0</v>
      </c>
      <c r="L346" s="8">
        <v>0</v>
      </c>
      <c r="M346" s="8">
        <v>2594.1176460000001</v>
      </c>
      <c r="N346" s="8">
        <v>0</v>
      </c>
      <c r="O346" s="8">
        <v>0</v>
      </c>
      <c r="P346" s="8">
        <v>0</v>
      </c>
      <c r="Q346" s="8">
        <v>0</v>
      </c>
      <c r="R346" s="8">
        <f t="shared" si="78"/>
        <v>2594.1176460000001</v>
      </c>
      <c r="S346" s="8">
        <v>0</v>
      </c>
      <c r="T346" s="8">
        <v>0</v>
      </c>
      <c r="U346" s="8">
        <v>2399.9999939999998</v>
      </c>
      <c r="V346" s="8">
        <v>0</v>
      </c>
      <c r="W346" s="8">
        <v>0</v>
      </c>
      <c r="X346" s="8">
        <v>0</v>
      </c>
      <c r="Y346" s="8">
        <v>0</v>
      </c>
      <c r="Z346" s="8">
        <v>14270.830986000001</v>
      </c>
      <c r="AA346" s="7">
        <v>1.246575</v>
      </c>
      <c r="AB346" s="8">
        <v>12007.238277</v>
      </c>
      <c r="AC346" s="7">
        <v>2.11</v>
      </c>
      <c r="AD346" s="7" t="s">
        <v>1226</v>
      </c>
      <c r="AE346" s="8">
        <v>12299.999994</v>
      </c>
      <c r="AF346" s="8">
        <v>0</v>
      </c>
      <c r="AG346" s="8">
        <v>12299.999994</v>
      </c>
      <c r="AH346" s="8">
        <v>0</v>
      </c>
      <c r="AI346" s="7" t="s">
        <v>1781</v>
      </c>
      <c r="AJ346" s="7">
        <f t="shared" ca="1" si="79"/>
        <v>1</v>
      </c>
      <c r="AL346" s="96">
        <f t="shared" si="84"/>
        <v>2.6993260991389257E-4</v>
      </c>
      <c r="AM346" s="97">
        <f t="shared" si="85"/>
        <v>4.4865322750877091E-4</v>
      </c>
    </row>
    <row r="347" spans="1:39" x14ac:dyDescent="0.3">
      <c r="A347" s="7" t="s">
        <v>2604</v>
      </c>
      <c r="B347" s="7" t="s">
        <v>1768</v>
      </c>
      <c r="C347" s="7" t="s">
        <v>1323</v>
      </c>
      <c r="D347" s="7" t="s">
        <v>1324</v>
      </c>
      <c r="E347" s="7" t="s">
        <v>1695</v>
      </c>
      <c r="F347" s="36">
        <v>43831</v>
      </c>
      <c r="G347" s="36">
        <v>44926</v>
      </c>
      <c r="H347" s="36">
        <v>44531</v>
      </c>
      <c r="I347" s="36">
        <v>44531</v>
      </c>
      <c r="J347" s="7" t="s">
        <v>1239</v>
      </c>
      <c r="K347" s="8">
        <v>47194.399936000002</v>
      </c>
      <c r="L347" s="8">
        <v>2860.334096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f t="shared" si="78"/>
        <v>50054.734032</v>
      </c>
      <c r="S347" s="8">
        <v>0</v>
      </c>
      <c r="T347" s="8">
        <v>2791.894906</v>
      </c>
      <c r="U347" s="8">
        <v>0</v>
      </c>
      <c r="V347" s="8">
        <v>46493.819360000001</v>
      </c>
      <c r="W347" s="8">
        <v>0</v>
      </c>
      <c r="X347" s="8">
        <v>73869.495532000001</v>
      </c>
      <c r="Y347" s="8">
        <v>0</v>
      </c>
      <c r="Z347" s="8">
        <v>-26675.095595999999</v>
      </c>
      <c r="AA347" s="7">
        <v>0</v>
      </c>
      <c r="AB347" s="8">
        <v>0</v>
      </c>
      <c r="AC347" s="7">
        <v>3</v>
      </c>
      <c r="AD347" s="7" t="s">
        <v>1226</v>
      </c>
      <c r="AE347" s="8">
        <v>0</v>
      </c>
      <c r="AF347" s="8">
        <v>0</v>
      </c>
      <c r="AG347" s="8">
        <v>0</v>
      </c>
      <c r="AH347" s="8">
        <v>0</v>
      </c>
      <c r="AI347" s="7" t="s">
        <v>1781</v>
      </c>
      <c r="AJ347" s="7">
        <f t="shared" ca="1" si="79"/>
        <v>1</v>
      </c>
      <c r="AL347" s="96">
        <f t="shared" si="80"/>
        <v>0</v>
      </c>
      <c r="AM347" s="97">
        <f t="shared" si="81"/>
        <v>0</v>
      </c>
    </row>
    <row r="348" spans="1:39" x14ac:dyDescent="0.3">
      <c r="A348" s="7" t="s">
        <v>2165</v>
      </c>
      <c r="B348" s="7" t="s">
        <v>1320</v>
      </c>
      <c r="C348" s="7" t="s">
        <v>1323</v>
      </c>
      <c r="D348" s="7" t="s">
        <v>1324</v>
      </c>
      <c r="E348" s="7" t="s">
        <v>1322</v>
      </c>
      <c r="F348" s="36">
        <v>44531</v>
      </c>
      <c r="G348" s="36">
        <v>44926</v>
      </c>
      <c r="H348" s="36">
        <v>44926</v>
      </c>
      <c r="I348" s="36">
        <v>46022</v>
      </c>
      <c r="J348" s="7" t="s">
        <v>1239</v>
      </c>
      <c r="K348" s="8">
        <v>1253.07341</v>
      </c>
      <c r="L348" s="8">
        <v>81.803113999999994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f t="shared" si="78"/>
        <v>1334.876524</v>
      </c>
      <c r="S348" s="8">
        <v>0</v>
      </c>
      <c r="T348" s="8">
        <v>68.439189999999996</v>
      </c>
      <c r="U348" s="8">
        <v>0</v>
      </c>
      <c r="V348" s="8">
        <v>2074.4208100000001</v>
      </c>
      <c r="W348" s="8">
        <v>0</v>
      </c>
      <c r="X348" s="8">
        <v>0</v>
      </c>
      <c r="Y348" s="8">
        <v>0</v>
      </c>
      <c r="Z348" s="8">
        <v>61400.597132000003</v>
      </c>
      <c r="AA348" s="7">
        <v>4.0027400000000002</v>
      </c>
      <c r="AB348" s="8">
        <v>60026.756898</v>
      </c>
      <c r="AC348" s="7">
        <v>1.6353329999999999</v>
      </c>
      <c r="AD348" s="7" t="s">
        <v>1226</v>
      </c>
      <c r="AE348" s="8">
        <v>61714.32</v>
      </c>
      <c r="AF348" s="8">
        <v>0</v>
      </c>
      <c r="AG348" s="8">
        <v>61714.32</v>
      </c>
      <c r="AH348" s="8">
        <v>0</v>
      </c>
      <c r="AI348" s="7" t="s">
        <v>1781</v>
      </c>
      <c r="AJ348" s="7">
        <f t="shared" ca="1" si="79"/>
        <v>1</v>
      </c>
      <c r="AL348" s="96">
        <f t="shared" si="80"/>
        <v>1.4405951766491584E-3</v>
      </c>
      <c r="AM348" s="97">
        <f t="shared" si="81"/>
        <v>6.568268273201152E-4</v>
      </c>
    </row>
    <row r="349" spans="1:39" x14ac:dyDescent="0.3">
      <c r="A349" s="7" t="s">
        <v>2166</v>
      </c>
      <c r="B349" s="7" t="s">
        <v>1768</v>
      </c>
      <c r="C349" s="7" t="s">
        <v>1323</v>
      </c>
      <c r="D349" s="7" t="s">
        <v>1324</v>
      </c>
      <c r="E349" s="7" t="s">
        <v>1695</v>
      </c>
      <c r="F349" s="36">
        <v>43831</v>
      </c>
      <c r="G349" s="36">
        <v>44926</v>
      </c>
      <c r="H349" s="36">
        <v>44440</v>
      </c>
      <c r="I349" s="36">
        <v>44440</v>
      </c>
      <c r="J349" s="7" t="s">
        <v>1239</v>
      </c>
      <c r="K349" s="8">
        <v>49246.330368000003</v>
      </c>
      <c r="L349" s="8">
        <v>2923.5872420000001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f t="shared" si="78"/>
        <v>52169.917610000004</v>
      </c>
      <c r="S349" s="8">
        <v>0</v>
      </c>
      <c r="T349" s="8">
        <v>2860.334096</v>
      </c>
      <c r="U349" s="8">
        <v>0</v>
      </c>
      <c r="V349" s="8">
        <v>48568.237311999997</v>
      </c>
      <c r="W349" s="8">
        <v>0</v>
      </c>
      <c r="X349" s="8">
        <v>73869.495532000001</v>
      </c>
      <c r="Y349" s="8">
        <v>0</v>
      </c>
      <c r="Z349" s="8">
        <v>0</v>
      </c>
      <c r="AA349" s="7">
        <v>0</v>
      </c>
      <c r="AB349" s="8">
        <v>25301.25822</v>
      </c>
      <c r="AC349" s="7">
        <v>3</v>
      </c>
      <c r="AD349" s="7" t="s">
        <v>1226</v>
      </c>
      <c r="AE349" s="8">
        <v>25714.285704000002</v>
      </c>
      <c r="AF349" s="8">
        <v>0</v>
      </c>
      <c r="AG349" s="8">
        <v>25714.285704000002</v>
      </c>
      <c r="AH349" s="8">
        <v>0</v>
      </c>
      <c r="AI349" s="7" t="s">
        <v>1781</v>
      </c>
      <c r="AJ349" s="7">
        <f t="shared" ca="1" si="79"/>
        <v>1</v>
      </c>
      <c r="AL349" s="96">
        <f t="shared" si="80"/>
        <v>0</v>
      </c>
      <c r="AM349" s="97">
        <f t="shared" si="81"/>
        <v>5.0205864964031376E-4</v>
      </c>
    </row>
    <row r="350" spans="1:39" x14ac:dyDescent="0.3">
      <c r="A350" s="7" t="s">
        <v>2167</v>
      </c>
      <c r="B350" s="7" t="s">
        <v>1320</v>
      </c>
      <c r="C350" s="7" t="s">
        <v>1323</v>
      </c>
      <c r="D350" s="7" t="s">
        <v>1324</v>
      </c>
      <c r="E350" s="7" t="s">
        <v>1322</v>
      </c>
      <c r="F350" s="36">
        <v>44440</v>
      </c>
      <c r="G350" s="36">
        <v>44804</v>
      </c>
      <c r="H350" s="36">
        <v>44804</v>
      </c>
      <c r="I350" s="36">
        <v>44804</v>
      </c>
      <c r="J350" s="7" t="s">
        <v>1699</v>
      </c>
      <c r="K350" s="8">
        <v>0</v>
      </c>
      <c r="L350" s="8">
        <v>0</v>
      </c>
      <c r="M350" s="8">
        <v>0</v>
      </c>
      <c r="N350" s="8">
        <v>14285.72</v>
      </c>
      <c r="O350" s="8">
        <v>0</v>
      </c>
      <c r="P350" s="8">
        <v>0</v>
      </c>
      <c r="Q350" s="8">
        <v>0</v>
      </c>
      <c r="R350" s="8">
        <f t="shared" si="78"/>
        <v>14285.72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7">
        <v>0.66575300000000004</v>
      </c>
      <c r="AB350" s="8">
        <v>0</v>
      </c>
      <c r="AC350" s="7">
        <v>1.5760000000000001</v>
      </c>
      <c r="AD350" s="7" t="s">
        <v>1226</v>
      </c>
      <c r="AE350" s="8">
        <v>28571.439999999999</v>
      </c>
      <c r="AF350" s="8">
        <v>0</v>
      </c>
      <c r="AG350" s="8">
        <v>28571.439999999999</v>
      </c>
      <c r="AH350" s="8">
        <v>0</v>
      </c>
      <c r="AI350" s="7" t="s">
        <v>1976</v>
      </c>
      <c r="AJ350" s="7">
        <f t="shared" ca="1" si="79"/>
        <v>1</v>
      </c>
      <c r="AL350" s="100">
        <f>(+AA350*AB350)/$AB$613</f>
        <v>0</v>
      </c>
      <c r="AM350" s="97">
        <f>AC350/$AE$613*AE350</f>
        <v>3.2888718365715136E-2</v>
      </c>
    </row>
    <row r="351" spans="1:39" x14ac:dyDescent="0.3">
      <c r="A351" s="7" t="s">
        <v>2605</v>
      </c>
      <c r="B351" s="7" t="s">
        <v>1768</v>
      </c>
      <c r="C351" s="7" t="s">
        <v>1323</v>
      </c>
      <c r="D351" s="7" t="s">
        <v>1324</v>
      </c>
      <c r="E351" s="7" t="s">
        <v>1695</v>
      </c>
      <c r="F351" s="36">
        <v>43831</v>
      </c>
      <c r="G351" s="36">
        <v>44926</v>
      </c>
      <c r="H351" s="36">
        <v>44501</v>
      </c>
      <c r="I351" s="36">
        <v>44501</v>
      </c>
      <c r="J351" s="7" t="s">
        <v>1239</v>
      </c>
      <c r="K351" s="8">
        <v>1200270.351184</v>
      </c>
      <c r="L351" s="8">
        <v>118043.343041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f t="shared" si="78"/>
        <v>1318313.694225</v>
      </c>
      <c r="S351" s="8">
        <v>0</v>
      </c>
      <c r="T351" s="8">
        <v>116325.722648</v>
      </c>
      <c r="U351" s="8">
        <v>0</v>
      </c>
      <c r="V351" s="8">
        <v>983674.277352</v>
      </c>
      <c r="W351" s="8">
        <v>0</v>
      </c>
      <c r="X351" s="8">
        <v>1670722.4345780001</v>
      </c>
      <c r="Y351" s="8">
        <v>0</v>
      </c>
      <c r="Z351" s="8">
        <v>-470452.08339400002</v>
      </c>
      <c r="AA351" s="7">
        <v>0</v>
      </c>
      <c r="AB351" s="8">
        <v>0</v>
      </c>
      <c r="AC351" s="7">
        <v>3</v>
      </c>
      <c r="AD351" s="7" t="s">
        <v>1226</v>
      </c>
      <c r="AE351" s="8">
        <v>0</v>
      </c>
      <c r="AF351" s="8">
        <v>0</v>
      </c>
      <c r="AG351" s="8">
        <v>0</v>
      </c>
      <c r="AH351" s="8">
        <v>0</v>
      </c>
      <c r="AI351" s="7" t="s">
        <v>1758</v>
      </c>
      <c r="AJ351" s="7">
        <f t="shared" ca="1" si="79"/>
        <v>1</v>
      </c>
      <c r="AL351" s="96">
        <f t="shared" si="80"/>
        <v>0</v>
      </c>
      <c r="AM351" s="97">
        <f t="shared" si="81"/>
        <v>0</v>
      </c>
    </row>
    <row r="352" spans="1:39" x14ac:dyDescent="0.3">
      <c r="A352" s="7" t="s">
        <v>2168</v>
      </c>
      <c r="B352" s="7" t="s">
        <v>1320</v>
      </c>
      <c r="C352" s="7" t="s">
        <v>1323</v>
      </c>
      <c r="D352" s="7" t="s">
        <v>1324</v>
      </c>
      <c r="E352" s="7" t="s">
        <v>1322</v>
      </c>
      <c r="F352" s="36">
        <v>44501</v>
      </c>
      <c r="G352" s="36">
        <v>44895</v>
      </c>
      <c r="H352" s="36">
        <v>44895</v>
      </c>
      <c r="I352" s="36">
        <v>44895</v>
      </c>
      <c r="J352" s="7" t="s">
        <v>1239</v>
      </c>
      <c r="K352" s="8">
        <v>1934.1585680000001</v>
      </c>
      <c r="L352" s="8">
        <v>1567.302158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f t="shared" si="78"/>
        <v>3501.4607260000002</v>
      </c>
      <c r="S352" s="8">
        <v>0</v>
      </c>
      <c r="T352" s="8">
        <v>2528.0897869999999</v>
      </c>
      <c r="U352" s="8">
        <v>0</v>
      </c>
      <c r="V352" s="8">
        <v>97471.910212999996</v>
      </c>
      <c r="W352" s="8">
        <v>0</v>
      </c>
      <c r="X352" s="8">
        <v>0</v>
      </c>
      <c r="Y352" s="8">
        <v>0</v>
      </c>
      <c r="Z352" s="8">
        <v>431317.360644</v>
      </c>
      <c r="AA352" s="7">
        <v>0.91506799999999999</v>
      </c>
      <c r="AB352" s="8">
        <v>550454.92201800004</v>
      </c>
      <c r="AC352" s="7">
        <v>1.6353329999999999</v>
      </c>
      <c r="AD352" s="7" t="s">
        <v>1226</v>
      </c>
      <c r="AE352" s="8">
        <v>550000</v>
      </c>
      <c r="AF352" s="8">
        <v>5000</v>
      </c>
      <c r="AG352" s="8">
        <v>555000</v>
      </c>
      <c r="AH352" s="8">
        <v>0</v>
      </c>
      <c r="AI352" s="7" t="s">
        <v>1758</v>
      </c>
      <c r="AJ352" s="7">
        <f t="shared" ca="1" si="79"/>
        <v>1</v>
      </c>
      <c r="AL352" s="96">
        <f t="shared" si="80"/>
        <v>3.0200547952302678E-3</v>
      </c>
      <c r="AM352" s="97">
        <f t="shared" si="81"/>
        <v>5.8536617599620859E-3</v>
      </c>
    </row>
    <row r="353" spans="1:39" x14ac:dyDescent="0.3">
      <c r="A353" s="7" t="s">
        <v>2606</v>
      </c>
      <c r="B353" s="7" t="s">
        <v>1768</v>
      </c>
      <c r="C353" s="7" t="s">
        <v>1323</v>
      </c>
      <c r="D353" s="7" t="s">
        <v>1324</v>
      </c>
      <c r="E353" s="7" t="s">
        <v>1695</v>
      </c>
      <c r="F353" s="36">
        <v>43831</v>
      </c>
      <c r="G353" s="36">
        <v>44926</v>
      </c>
      <c r="H353" s="36">
        <v>44440</v>
      </c>
      <c r="I353" s="36">
        <v>44440</v>
      </c>
      <c r="J353" s="7" t="s">
        <v>1239</v>
      </c>
      <c r="K353" s="8">
        <v>1130656.9164100001</v>
      </c>
      <c r="L353" s="8">
        <v>114487.69731800001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f t="shared" si="78"/>
        <v>1245144.6137280001</v>
      </c>
      <c r="S353" s="8">
        <v>0</v>
      </c>
      <c r="T353" s="8">
        <v>112529.56731300001</v>
      </c>
      <c r="U353" s="8">
        <v>0</v>
      </c>
      <c r="V353" s="8">
        <v>887470.43268700002</v>
      </c>
      <c r="W353" s="8">
        <v>0</v>
      </c>
      <c r="X353" s="8">
        <v>1670722.4345780001</v>
      </c>
      <c r="Y353" s="8">
        <v>0</v>
      </c>
      <c r="Z353" s="8">
        <v>-540065.51816800004</v>
      </c>
      <c r="AA353" s="7">
        <v>0</v>
      </c>
      <c r="AB353" s="8">
        <v>0</v>
      </c>
      <c r="AC353" s="7">
        <v>3</v>
      </c>
      <c r="AD353" s="7" t="s">
        <v>1226</v>
      </c>
      <c r="AE353" s="8">
        <v>0</v>
      </c>
      <c r="AF353" s="8">
        <v>0</v>
      </c>
      <c r="AG353" s="8">
        <v>0</v>
      </c>
      <c r="AH353" s="8">
        <v>0</v>
      </c>
      <c r="AI353" s="7" t="s">
        <v>1758</v>
      </c>
      <c r="AJ353" s="7">
        <f t="shared" ca="1" si="79"/>
        <v>1</v>
      </c>
      <c r="AL353" s="96">
        <f t="shared" si="80"/>
        <v>0</v>
      </c>
      <c r="AM353" s="97">
        <f t="shared" si="81"/>
        <v>0</v>
      </c>
    </row>
    <row r="354" spans="1:39" x14ac:dyDescent="0.3">
      <c r="A354" s="7" t="s">
        <v>2169</v>
      </c>
      <c r="B354" s="7" t="s">
        <v>1320</v>
      </c>
      <c r="C354" s="7" t="s">
        <v>1323</v>
      </c>
      <c r="D354" s="7" t="s">
        <v>1324</v>
      </c>
      <c r="E354" s="7" t="s">
        <v>1322</v>
      </c>
      <c r="F354" s="36">
        <v>44440</v>
      </c>
      <c r="G354" s="36">
        <v>44926</v>
      </c>
      <c r="H354" s="36">
        <v>44926</v>
      </c>
      <c r="I354" s="36">
        <v>44926</v>
      </c>
      <c r="J354" s="7" t="s">
        <v>1239</v>
      </c>
      <c r="K354" s="8">
        <v>136466.458464</v>
      </c>
      <c r="L354" s="8">
        <v>4035.3681660000002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f t="shared" si="78"/>
        <v>140501.82663</v>
      </c>
      <c r="S354" s="8">
        <v>0</v>
      </c>
      <c r="T354" s="8">
        <v>5095.6747029999997</v>
      </c>
      <c r="U354" s="8">
        <v>0</v>
      </c>
      <c r="V354" s="8">
        <v>194904.325297</v>
      </c>
      <c r="W354" s="8">
        <v>0</v>
      </c>
      <c r="X354" s="8">
        <v>0</v>
      </c>
      <c r="Y354" s="8">
        <v>0</v>
      </c>
      <c r="Z354" s="8">
        <v>545865.83385599998</v>
      </c>
      <c r="AA354" s="7">
        <v>1</v>
      </c>
      <c r="AB354" s="8">
        <v>594147.99228200002</v>
      </c>
      <c r="AC354" s="7">
        <v>1.8133330000000001</v>
      </c>
      <c r="AD354" s="7" t="s">
        <v>1226</v>
      </c>
      <c r="AE354" s="8">
        <v>600000</v>
      </c>
      <c r="AF354" s="8">
        <v>0</v>
      </c>
      <c r="AG354" s="8">
        <v>600000</v>
      </c>
      <c r="AH354" s="8">
        <v>0</v>
      </c>
      <c r="AI354" s="7" t="s">
        <v>1758</v>
      </c>
      <c r="AJ354" s="7">
        <f t="shared" ca="1" si="79"/>
        <v>1</v>
      </c>
      <c r="AL354" s="96">
        <f t="shared" si="80"/>
        <v>3.562331481969824E-3</v>
      </c>
      <c r="AM354" s="97">
        <f t="shared" si="81"/>
        <v>7.0808851376073902E-3</v>
      </c>
    </row>
    <row r="355" spans="1:39" x14ac:dyDescent="0.3">
      <c r="A355" s="7" t="s">
        <v>2170</v>
      </c>
      <c r="B355" s="7" t="s">
        <v>1768</v>
      </c>
      <c r="C355" s="7" t="s">
        <v>1323</v>
      </c>
      <c r="D355" s="7" t="s">
        <v>1324</v>
      </c>
      <c r="E355" s="7" t="s">
        <v>1322</v>
      </c>
      <c r="F355" s="36">
        <v>43831</v>
      </c>
      <c r="G355" s="36">
        <v>46022</v>
      </c>
      <c r="H355" s="36">
        <v>46022</v>
      </c>
      <c r="I355" s="36">
        <v>46022</v>
      </c>
      <c r="J355" s="7" t="s">
        <v>1239</v>
      </c>
      <c r="K355" s="8">
        <v>11214338.218752</v>
      </c>
      <c r="L355" s="8">
        <v>1300937.5467320001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f t="shared" si="78"/>
        <v>12515275.765484001</v>
      </c>
      <c r="S355" s="8">
        <v>0</v>
      </c>
      <c r="T355" s="8">
        <v>1256696.5831850001</v>
      </c>
      <c r="U355" s="8">
        <v>0</v>
      </c>
      <c r="V355" s="8">
        <v>10743303.416815</v>
      </c>
      <c r="W355" s="8">
        <v>0</v>
      </c>
      <c r="X355" s="8">
        <v>33643014.656286001</v>
      </c>
      <c r="Y355" s="8">
        <v>0</v>
      </c>
      <c r="Z355" s="8">
        <v>0</v>
      </c>
      <c r="AA355" s="7">
        <v>4.0027400000000002</v>
      </c>
      <c r="AB355" s="8">
        <v>22899711.239471</v>
      </c>
      <c r="AC355" s="7">
        <v>2.318333</v>
      </c>
      <c r="AD355" s="7" t="s">
        <v>1226</v>
      </c>
      <c r="AE355" s="8">
        <v>24000000</v>
      </c>
      <c r="AF355" s="8">
        <v>0</v>
      </c>
      <c r="AG355" s="8">
        <v>24000000</v>
      </c>
      <c r="AH355" s="8">
        <v>0</v>
      </c>
      <c r="AI355" s="7" t="s">
        <v>1758</v>
      </c>
      <c r="AJ355" s="7">
        <f t="shared" ca="1" si="79"/>
        <v>1</v>
      </c>
      <c r="AL355" s="96">
        <f t="shared" si="80"/>
        <v>0.5495751438695432</v>
      </c>
      <c r="AM355" s="97">
        <f t="shared" si="81"/>
        <v>0.36211439782378091</v>
      </c>
    </row>
    <row r="356" spans="1:39" x14ac:dyDescent="0.3">
      <c r="A356" s="7" t="s">
        <v>2171</v>
      </c>
      <c r="B356" s="7" t="s">
        <v>1768</v>
      </c>
      <c r="C356" s="7" t="s">
        <v>1323</v>
      </c>
      <c r="D356" s="7" t="s">
        <v>1324</v>
      </c>
      <c r="E356" s="7" t="s">
        <v>1322</v>
      </c>
      <c r="F356" s="36">
        <v>43831</v>
      </c>
      <c r="G356" s="36">
        <v>46022</v>
      </c>
      <c r="H356" s="36">
        <v>46022</v>
      </c>
      <c r="I356" s="36">
        <v>46022</v>
      </c>
      <c r="J356" s="7" t="s">
        <v>1239</v>
      </c>
      <c r="K356" s="8">
        <v>11214338.218752</v>
      </c>
      <c r="L356" s="8">
        <v>1300937.5467320001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f t="shared" si="78"/>
        <v>12515275.765484001</v>
      </c>
      <c r="S356" s="8">
        <v>0</v>
      </c>
      <c r="T356" s="8">
        <v>1256696.5831850001</v>
      </c>
      <c r="U356" s="8">
        <v>0</v>
      </c>
      <c r="V356" s="8">
        <v>10743303.416815</v>
      </c>
      <c r="W356" s="8">
        <v>0</v>
      </c>
      <c r="X356" s="8">
        <v>33643014.656286001</v>
      </c>
      <c r="Y356" s="8">
        <v>0</v>
      </c>
      <c r="Z356" s="8">
        <v>0</v>
      </c>
      <c r="AA356" s="7">
        <v>4.0027400000000002</v>
      </c>
      <c r="AB356" s="8">
        <v>22899711.239471</v>
      </c>
      <c r="AC356" s="7">
        <v>2.318333</v>
      </c>
      <c r="AD356" s="7" t="s">
        <v>1226</v>
      </c>
      <c r="AE356" s="8">
        <v>24000000</v>
      </c>
      <c r="AF356" s="8">
        <v>0</v>
      </c>
      <c r="AG356" s="8">
        <v>24000000</v>
      </c>
      <c r="AH356" s="8">
        <v>0</v>
      </c>
      <c r="AI356" s="7" t="s">
        <v>1758</v>
      </c>
      <c r="AJ356" s="7">
        <f t="shared" ca="1" si="79"/>
        <v>1</v>
      </c>
      <c r="AL356" s="96">
        <f t="shared" si="80"/>
        <v>0.5495751438695432</v>
      </c>
      <c r="AM356" s="97">
        <f t="shared" si="81"/>
        <v>0.36211439782378091</v>
      </c>
    </row>
    <row r="357" spans="1:39" x14ac:dyDescent="0.3">
      <c r="A357" s="7" t="s">
        <v>2172</v>
      </c>
      <c r="B357" s="7" t="s">
        <v>194</v>
      </c>
      <c r="C357" s="7" t="s">
        <v>1323</v>
      </c>
      <c r="D357" s="7" t="s">
        <v>1324</v>
      </c>
      <c r="E357" s="7" t="s">
        <v>1322</v>
      </c>
      <c r="F357" s="36">
        <v>44197</v>
      </c>
      <c r="G357" s="36">
        <v>45291</v>
      </c>
      <c r="H357" s="36">
        <v>45291</v>
      </c>
      <c r="I357" s="36">
        <v>45291</v>
      </c>
      <c r="J357" s="7" t="s">
        <v>1696</v>
      </c>
      <c r="K357" s="8">
        <v>0</v>
      </c>
      <c r="L357" s="8">
        <v>0</v>
      </c>
      <c r="M357" s="8">
        <v>21481.344000000001</v>
      </c>
      <c r="N357" s="8">
        <v>0</v>
      </c>
      <c r="O357" s="8">
        <v>0</v>
      </c>
      <c r="P357" s="8">
        <v>0</v>
      </c>
      <c r="Q357" s="8">
        <v>0</v>
      </c>
      <c r="R357" s="8">
        <f t="shared" si="78"/>
        <v>21481.344000000001</v>
      </c>
      <c r="S357" s="8">
        <v>0</v>
      </c>
      <c r="T357" s="8">
        <v>0</v>
      </c>
      <c r="U357" s="8">
        <v>21481.344000000001</v>
      </c>
      <c r="V357" s="8">
        <v>0</v>
      </c>
      <c r="W357" s="8">
        <v>0</v>
      </c>
      <c r="X357" s="8">
        <v>0</v>
      </c>
      <c r="Y357" s="8">
        <v>61709.512870999999</v>
      </c>
      <c r="Z357" s="8">
        <v>0</v>
      </c>
      <c r="AA357" s="7">
        <v>2</v>
      </c>
      <c r="AB357" s="8">
        <v>41752.830998999998</v>
      </c>
      <c r="AC357" s="7">
        <v>3</v>
      </c>
      <c r="AD357" s="7" t="s">
        <v>1226</v>
      </c>
      <c r="AE357" s="8">
        <v>42962.688000000002</v>
      </c>
      <c r="AF357" s="8">
        <v>0</v>
      </c>
      <c r="AG357" s="8">
        <v>42962.688000000002</v>
      </c>
      <c r="AH357" s="8">
        <v>0</v>
      </c>
      <c r="AI357" s="7" t="s">
        <v>1976</v>
      </c>
      <c r="AJ357" s="7">
        <f t="shared" ca="1" si="79"/>
        <v>1</v>
      </c>
      <c r="AL357" s="96">
        <f t="shared" ref="AL357:AL359" si="86">(+AA357*AB357)/$AB$612</f>
        <v>1.5059471646568859E-3</v>
      </c>
      <c r="AM357" s="97">
        <f t="shared" ref="AM357:AM359" si="87">AC357/$AE$612*AE357</f>
        <v>2.2281064204201775E-3</v>
      </c>
    </row>
    <row r="358" spans="1:39" x14ac:dyDescent="0.3">
      <c r="A358" s="7" t="s">
        <v>2173</v>
      </c>
      <c r="B358" s="7" t="s">
        <v>1320</v>
      </c>
      <c r="C358" s="7" t="s">
        <v>1323</v>
      </c>
      <c r="D358" s="7" t="s">
        <v>1324</v>
      </c>
      <c r="E358" s="7" t="s">
        <v>1322</v>
      </c>
      <c r="F358" s="36">
        <v>43983</v>
      </c>
      <c r="G358" s="36">
        <v>44712</v>
      </c>
      <c r="H358" s="36">
        <v>44712</v>
      </c>
      <c r="I358" s="36">
        <v>44712</v>
      </c>
      <c r="J358" s="7" t="s">
        <v>1696</v>
      </c>
      <c r="K358" s="8">
        <v>0</v>
      </c>
      <c r="L358" s="8">
        <v>0</v>
      </c>
      <c r="M358" s="8">
        <v>7407.36</v>
      </c>
      <c r="N358" s="8">
        <v>0</v>
      </c>
      <c r="O358" s="8">
        <v>0</v>
      </c>
      <c r="P358" s="8">
        <v>0</v>
      </c>
      <c r="Q358" s="8">
        <v>0</v>
      </c>
      <c r="R358" s="8">
        <f t="shared" si="78"/>
        <v>7407.36</v>
      </c>
      <c r="S358" s="8">
        <v>0</v>
      </c>
      <c r="T358" s="8">
        <v>0</v>
      </c>
      <c r="U358" s="8">
        <v>7407.36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7">
        <v>0.41369899999999998</v>
      </c>
      <c r="AB358" s="8">
        <v>3077.1531599999998</v>
      </c>
      <c r="AC358" s="7">
        <v>1.8029999999999999</v>
      </c>
      <c r="AD358" s="7" t="s">
        <v>1226</v>
      </c>
      <c r="AE358" s="8">
        <v>3086.4</v>
      </c>
      <c r="AF358" s="8">
        <v>0</v>
      </c>
      <c r="AG358" s="8">
        <v>3086.4</v>
      </c>
      <c r="AH358" s="8">
        <v>0</v>
      </c>
      <c r="AI358" s="7" t="s">
        <v>1730</v>
      </c>
      <c r="AJ358" s="7">
        <f t="shared" ca="1" si="79"/>
        <v>1</v>
      </c>
      <c r="AL358" s="96">
        <f t="shared" si="86"/>
        <v>2.2957648173256944E-5</v>
      </c>
      <c r="AM358" s="97">
        <f t="shared" si="87"/>
        <v>9.6199134962106789E-5</v>
      </c>
    </row>
    <row r="359" spans="1:39" x14ac:dyDescent="0.3">
      <c r="A359" s="7" t="s">
        <v>2175</v>
      </c>
      <c r="B359" s="7" t="s">
        <v>1320</v>
      </c>
      <c r="C359" s="7" t="s">
        <v>1323</v>
      </c>
      <c r="D359" s="7" t="s">
        <v>2176</v>
      </c>
      <c r="E359" s="7" t="s">
        <v>1322</v>
      </c>
      <c r="F359" s="36">
        <v>44075</v>
      </c>
      <c r="G359" s="36">
        <v>45169</v>
      </c>
      <c r="H359" s="36">
        <v>45169</v>
      </c>
      <c r="I359" s="36">
        <v>45169</v>
      </c>
      <c r="J359" s="7" t="s">
        <v>1696</v>
      </c>
      <c r="K359" s="8">
        <v>0</v>
      </c>
      <c r="L359" s="8">
        <v>0</v>
      </c>
      <c r="M359" s="8">
        <v>132693.44167504256</v>
      </c>
      <c r="N359" s="8">
        <v>0</v>
      </c>
      <c r="O359" s="8">
        <v>0</v>
      </c>
      <c r="P359" s="8">
        <v>0</v>
      </c>
      <c r="Q359" s="8">
        <v>0</v>
      </c>
      <c r="R359" s="8">
        <f t="shared" si="78"/>
        <v>132693.44167504256</v>
      </c>
      <c r="S359" s="8">
        <v>0</v>
      </c>
      <c r="T359" s="8">
        <v>0</v>
      </c>
      <c r="U359" s="8">
        <v>137658.5212020851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7">
        <v>1.665753</v>
      </c>
      <c r="AB359" s="8">
        <v>226055.07700276474</v>
      </c>
      <c r="AC359" s="7">
        <v>1.879</v>
      </c>
      <c r="AD359" s="7" t="s">
        <v>1226</v>
      </c>
      <c r="AE359" s="8">
        <v>229430.86867013696</v>
      </c>
      <c r="AF359" s="8">
        <v>0</v>
      </c>
      <c r="AG359" s="8">
        <v>229430.86867013696</v>
      </c>
      <c r="AH359" s="8">
        <v>0</v>
      </c>
      <c r="AI359" s="7" t="s">
        <v>1760</v>
      </c>
      <c r="AJ359" s="7">
        <f t="shared" ca="1" si="79"/>
        <v>1</v>
      </c>
      <c r="AL359" s="96">
        <f t="shared" si="86"/>
        <v>6.7907646828010461E-3</v>
      </c>
      <c r="AM359" s="97">
        <f t="shared" si="87"/>
        <v>7.4524978486628021E-3</v>
      </c>
    </row>
    <row r="360" spans="1:39" x14ac:dyDescent="0.3">
      <c r="A360" s="7" t="s">
        <v>2179</v>
      </c>
      <c r="B360" s="7" t="s">
        <v>1768</v>
      </c>
      <c r="C360" s="7" t="s">
        <v>1323</v>
      </c>
      <c r="D360" s="7" t="s">
        <v>1324</v>
      </c>
      <c r="E360" s="7" t="s">
        <v>1739</v>
      </c>
      <c r="F360" s="36">
        <v>42736</v>
      </c>
      <c r="G360" s="36">
        <v>44561</v>
      </c>
      <c r="I360" s="36">
        <v>45657</v>
      </c>
      <c r="J360" s="7" t="s">
        <v>1239</v>
      </c>
      <c r="K360" s="8">
        <v>113850.242808</v>
      </c>
      <c r="L360" s="8">
        <v>31747.734026999999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f t="shared" si="78"/>
        <v>145597.97683499998</v>
      </c>
      <c r="S360" s="8">
        <v>0</v>
      </c>
      <c r="T360" s="8">
        <v>32422.793066999999</v>
      </c>
      <c r="U360" s="8">
        <v>0</v>
      </c>
      <c r="V360" s="8">
        <v>115724.40693300001</v>
      </c>
      <c r="W360" s="8">
        <v>0</v>
      </c>
      <c r="X360" s="8">
        <v>0</v>
      </c>
      <c r="Y360" s="8">
        <v>0</v>
      </c>
      <c r="Z360" s="8">
        <v>0</v>
      </c>
      <c r="AA360" s="7">
        <v>3.0027400000000002</v>
      </c>
      <c r="AB360" s="8">
        <v>399830.335532</v>
      </c>
      <c r="AC360" s="7">
        <v>7</v>
      </c>
      <c r="AD360" s="7" t="s">
        <v>1226</v>
      </c>
      <c r="AE360" s="8">
        <v>444441.59999999998</v>
      </c>
      <c r="AF360" s="8">
        <v>0</v>
      </c>
      <c r="AG360" s="8">
        <v>444441.59999999998</v>
      </c>
      <c r="AH360" s="8">
        <v>0</v>
      </c>
      <c r="AI360" s="7" t="s">
        <v>1758</v>
      </c>
      <c r="AJ360" s="7">
        <f t="shared" ca="1" si="79"/>
        <v>1</v>
      </c>
      <c r="AL360" s="96">
        <f t="shared" si="80"/>
        <v>7.19835342362305E-3</v>
      </c>
      <c r="AM360" s="97">
        <f t="shared" si="81"/>
        <v>2.0247503207097225E-2</v>
      </c>
    </row>
    <row r="361" spans="1:39" x14ac:dyDescent="0.3">
      <c r="A361" s="7" t="s">
        <v>2186</v>
      </c>
      <c r="B361" s="7" t="s">
        <v>1320</v>
      </c>
      <c r="C361" s="7" t="s">
        <v>1323</v>
      </c>
      <c r="D361" s="7" t="s">
        <v>1324</v>
      </c>
      <c r="E361" s="7" t="s">
        <v>1322</v>
      </c>
      <c r="F361" s="36">
        <v>44440</v>
      </c>
      <c r="G361" s="36">
        <v>45535</v>
      </c>
      <c r="H361" s="36">
        <v>45535</v>
      </c>
      <c r="I361" s="36">
        <v>45535</v>
      </c>
      <c r="J361" s="7" t="s">
        <v>1696</v>
      </c>
      <c r="K361" s="8">
        <v>0</v>
      </c>
      <c r="L361" s="8">
        <v>0</v>
      </c>
      <c r="M361" s="8">
        <v>296294.40000000002</v>
      </c>
      <c r="N361" s="8">
        <v>0</v>
      </c>
      <c r="O361" s="8">
        <v>0</v>
      </c>
      <c r="P361" s="8">
        <v>0</v>
      </c>
      <c r="Q361" s="8">
        <v>0</v>
      </c>
      <c r="R361" s="8">
        <f t="shared" si="78"/>
        <v>296294.40000000002</v>
      </c>
      <c r="S361" s="8">
        <v>0</v>
      </c>
      <c r="T361" s="8">
        <v>0</v>
      </c>
      <c r="U361" s="8">
        <v>296294.40000000002</v>
      </c>
      <c r="V361" s="8">
        <v>0</v>
      </c>
      <c r="W361" s="8">
        <v>0</v>
      </c>
      <c r="X361" s="8">
        <v>0</v>
      </c>
      <c r="Y361" s="8">
        <v>2553497.084307</v>
      </c>
      <c r="Z361" s="8">
        <v>0</v>
      </c>
      <c r="AA361" s="7">
        <v>2.6684929999999998</v>
      </c>
      <c r="AB361" s="8">
        <v>2280977.0955949998</v>
      </c>
      <c r="AC361" s="7">
        <v>3</v>
      </c>
      <c r="AD361" s="7" t="s">
        <v>1226</v>
      </c>
      <c r="AE361" s="8">
        <v>2370355.2000000002</v>
      </c>
      <c r="AF361" s="8">
        <v>0</v>
      </c>
      <c r="AG361" s="8">
        <v>2370355.2000000002</v>
      </c>
      <c r="AH361" s="8">
        <v>0</v>
      </c>
      <c r="AI361" s="7" t="s">
        <v>1758</v>
      </c>
      <c r="AJ361" s="7">
        <f t="shared" ca="1" si="79"/>
        <v>1</v>
      </c>
      <c r="AL361" s="96">
        <f t="shared" ref="AL361:AL362" si="88">(+AA361*AB361)/$AB$612</f>
        <v>0.10976927709612556</v>
      </c>
      <c r="AM361" s="97">
        <f t="shared" ref="AM361:AM362" si="89">AC361/$AE$612*AE361</f>
        <v>0.12293000940249255</v>
      </c>
    </row>
    <row r="362" spans="1:39" x14ac:dyDescent="0.3">
      <c r="A362" s="7" t="s">
        <v>2190</v>
      </c>
      <c r="B362" s="7" t="s">
        <v>1320</v>
      </c>
      <c r="D362" s="7" t="s">
        <v>2191</v>
      </c>
      <c r="E362" s="7" t="s">
        <v>1750</v>
      </c>
      <c r="F362" s="36">
        <v>42515</v>
      </c>
      <c r="G362" s="36">
        <v>43609</v>
      </c>
      <c r="H362" s="36">
        <v>44705</v>
      </c>
      <c r="I362" s="36">
        <v>44705</v>
      </c>
      <c r="J362" s="7" t="s">
        <v>1696</v>
      </c>
      <c r="K362" s="8">
        <v>0</v>
      </c>
      <c r="L362" s="8">
        <v>0</v>
      </c>
      <c r="M362" s="8">
        <v>-1177153.5826976756</v>
      </c>
      <c r="N362" s="8">
        <v>0</v>
      </c>
      <c r="O362" s="8">
        <v>0</v>
      </c>
      <c r="P362" s="8">
        <v>0</v>
      </c>
      <c r="Q362" s="8">
        <v>0</v>
      </c>
      <c r="R362" s="8">
        <f t="shared" si="78"/>
        <v>-1177153.5826976756</v>
      </c>
      <c r="S362" s="8">
        <v>0</v>
      </c>
      <c r="T362" s="8">
        <v>0</v>
      </c>
      <c r="U362" s="8">
        <v>-1003680.000000648</v>
      </c>
      <c r="V362" s="8">
        <v>0</v>
      </c>
      <c r="W362" s="8">
        <v>0</v>
      </c>
      <c r="X362" s="8">
        <v>0</v>
      </c>
      <c r="Y362" s="8">
        <v>0</v>
      </c>
      <c r="Z362" s="8">
        <v>-2093398.9146963209</v>
      </c>
      <c r="AA362" s="7">
        <v>0.39452100000000001</v>
      </c>
      <c r="AB362" s="8">
        <v>0</v>
      </c>
      <c r="AC362" s="7">
        <v>2.0299999999999998</v>
      </c>
      <c r="AD362" s="7" t="s">
        <v>1226</v>
      </c>
      <c r="AE362" s="8">
        <v>0</v>
      </c>
      <c r="AF362" s="8">
        <v>0</v>
      </c>
      <c r="AG362" s="8">
        <v>0</v>
      </c>
      <c r="AH362" s="8">
        <v>0</v>
      </c>
      <c r="AI362" s="7" t="s">
        <v>1877</v>
      </c>
      <c r="AJ362" s="7">
        <f t="shared" ca="1" si="79"/>
        <v>1</v>
      </c>
      <c r="AL362" s="96">
        <f t="shared" si="88"/>
        <v>0</v>
      </c>
      <c r="AM362" s="97">
        <f t="shared" si="89"/>
        <v>0</v>
      </c>
    </row>
    <row r="363" spans="1:39" x14ac:dyDescent="0.3">
      <c r="A363" s="7" t="s">
        <v>2190</v>
      </c>
      <c r="B363" s="7" t="s">
        <v>1320</v>
      </c>
      <c r="D363" s="7" t="s">
        <v>2191</v>
      </c>
      <c r="E363" s="7" t="s">
        <v>1750</v>
      </c>
      <c r="F363" s="36">
        <v>42515</v>
      </c>
      <c r="G363" s="36">
        <v>43609</v>
      </c>
      <c r="H363" s="36">
        <v>44705</v>
      </c>
      <c r="I363" s="36">
        <v>44705</v>
      </c>
      <c r="J363" s="7" t="s">
        <v>1699</v>
      </c>
      <c r="K363" s="8">
        <v>0</v>
      </c>
      <c r="L363" s="8">
        <v>0</v>
      </c>
      <c r="M363" s="8">
        <v>0</v>
      </c>
      <c r="N363" s="8">
        <v>501839.99924014317</v>
      </c>
      <c r="O363" s="8">
        <v>0</v>
      </c>
      <c r="P363" s="8">
        <v>0</v>
      </c>
      <c r="Q363" s="8">
        <v>0</v>
      </c>
      <c r="R363" s="8">
        <f t="shared" si="78"/>
        <v>501839.99924014317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7">
        <v>0.39452100000000001</v>
      </c>
      <c r="AB363" s="8">
        <v>0</v>
      </c>
      <c r="AC363" s="7">
        <v>2.0299999999999998</v>
      </c>
      <c r="AD363" s="7" t="s">
        <v>1226</v>
      </c>
      <c r="AE363" s="8">
        <v>75276.000000012398</v>
      </c>
      <c r="AF363" s="8">
        <v>0</v>
      </c>
      <c r="AG363" s="8">
        <v>75276.000000012398</v>
      </c>
      <c r="AH363" s="8">
        <v>0</v>
      </c>
      <c r="AI363" s="7" t="s">
        <v>1877</v>
      </c>
      <c r="AJ363" s="7">
        <f t="shared" ca="1" si="79"/>
        <v>2</v>
      </c>
      <c r="AL363" s="100">
        <f t="shared" ref="AL363:AL364" si="90">(+AA363*AB363)/$AB$613</f>
        <v>0</v>
      </c>
      <c r="AM363" s="97">
        <f t="shared" ref="AM363:AM364" si="91">AC363/$AE$613*AE363</f>
        <v>0.11161207412467636</v>
      </c>
    </row>
    <row r="364" spans="1:39" x14ac:dyDescent="0.3">
      <c r="A364" s="7" t="s">
        <v>2192</v>
      </c>
      <c r="B364" s="7" t="s">
        <v>1320</v>
      </c>
      <c r="C364" s="7" t="s">
        <v>1769</v>
      </c>
      <c r="D364" s="7" t="s">
        <v>2193</v>
      </c>
      <c r="E364" s="7" t="s">
        <v>1739</v>
      </c>
      <c r="F364" s="36">
        <v>42536</v>
      </c>
      <c r="G364" s="36">
        <v>43630</v>
      </c>
      <c r="J364" s="7" t="s">
        <v>1699</v>
      </c>
      <c r="K364" s="8">
        <v>0</v>
      </c>
      <c r="L364" s="8">
        <v>0</v>
      </c>
      <c r="M364" s="8">
        <v>0</v>
      </c>
      <c r="N364" s="8">
        <v>39852.000003000001</v>
      </c>
      <c r="O364" s="8">
        <v>0</v>
      </c>
      <c r="P364" s="8">
        <v>0</v>
      </c>
      <c r="Q364" s="8">
        <v>0</v>
      </c>
      <c r="R364" s="8">
        <f t="shared" si="78"/>
        <v>39852.000003000001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7">
        <v>0</v>
      </c>
      <c r="AB364" s="8">
        <v>0</v>
      </c>
      <c r="AC364" s="7">
        <v>2.0299999999999998</v>
      </c>
      <c r="AD364" s="7" t="s">
        <v>1226</v>
      </c>
      <c r="AE364" s="8">
        <v>3321.0000009999999</v>
      </c>
      <c r="AF364" s="8">
        <v>0</v>
      </c>
      <c r="AG364" s="8">
        <v>3321.0000009999999</v>
      </c>
      <c r="AH364" s="8">
        <v>0</v>
      </c>
      <c r="AI364" s="7" t="s">
        <v>1730</v>
      </c>
      <c r="AJ364" s="7">
        <f t="shared" ca="1" si="79"/>
        <v>1</v>
      </c>
      <c r="AL364" s="100">
        <f t="shared" si="90"/>
        <v>0</v>
      </c>
      <c r="AM364" s="97">
        <f t="shared" si="91"/>
        <v>4.9240620952176149E-3</v>
      </c>
    </row>
    <row r="365" spans="1:39" x14ac:dyDescent="0.3">
      <c r="A365" s="7" t="s">
        <v>2194</v>
      </c>
      <c r="B365" s="7" t="s">
        <v>1320</v>
      </c>
      <c r="D365" s="7" t="s">
        <v>2195</v>
      </c>
      <c r="E365" s="7" t="s">
        <v>1739</v>
      </c>
      <c r="F365" s="36">
        <v>41129</v>
      </c>
      <c r="G365" s="36">
        <v>42954</v>
      </c>
      <c r="J365" s="7" t="s">
        <v>1239</v>
      </c>
      <c r="K365" s="8">
        <v>0</v>
      </c>
      <c r="L365" s="8">
        <v>-63840.207654046586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f t="shared" si="78"/>
        <v>-63840.207654046586</v>
      </c>
      <c r="S365" s="8">
        <v>0</v>
      </c>
      <c r="T365" s="8">
        <v>-63840.207654046586</v>
      </c>
      <c r="U365" s="8">
        <v>0</v>
      </c>
      <c r="V365" s="8">
        <v>-1170869.7923468545</v>
      </c>
      <c r="W365" s="8">
        <v>0</v>
      </c>
      <c r="X365" s="8">
        <v>0</v>
      </c>
      <c r="Y365" s="8">
        <v>0</v>
      </c>
      <c r="Z365" s="8">
        <v>0</v>
      </c>
      <c r="AA365" s="7">
        <v>0</v>
      </c>
      <c r="AB365" s="8">
        <v>0</v>
      </c>
      <c r="AC365" s="7">
        <v>2.181667</v>
      </c>
      <c r="AD365" s="7" t="s">
        <v>1226</v>
      </c>
      <c r="AE365" s="8">
        <v>0</v>
      </c>
      <c r="AF365" s="8">
        <v>0</v>
      </c>
      <c r="AG365" s="8">
        <v>0</v>
      </c>
      <c r="AH365" s="8">
        <v>0</v>
      </c>
      <c r="AI365" s="7" t="s">
        <v>1877</v>
      </c>
      <c r="AJ365" s="7">
        <f t="shared" ca="1" si="79"/>
        <v>1</v>
      </c>
      <c r="AL365" s="96">
        <f t="shared" si="80"/>
        <v>0</v>
      </c>
      <c r="AM365" s="97">
        <f t="shared" si="81"/>
        <v>0</v>
      </c>
    </row>
    <row r="366" spans="1:39" x14ac:dyDescent="0.3">
      <c r="A366" s="7" t="s">
        <v>2194</v>
      </c>
      <c r="B366" s="7" t="s">
        <v>1320</v>
      </c>
      <c r="D366" s="7" t="s">
        <v>2195</v>
      </c>
      <c r="E366" s="7" t="s">
        <v>1739</v>
      </c>
      <c r="F366" s="36">
        <v>41129</v>
      </c>
      <c r="G366" s="36">
        <v>42954</v>
      </c>
      <c r="J366" s="7" t="s">
        <v>1699</v>
      </c>
      <c r="K366" s="8">
        <v>0</v>
      </c>
      <c r="L366" s="8">
        <v>0</v>
      </c>
      <c r="M366" s="8">
        <v>0</v>
      </c>
      <c r="N366" s="8">
        <v>-98245.74196818535</v>
      </c>
      <c r="O366" s="8">
        <v>0</v>
      </c>
      <c r="P366" s="8">
        <v>0</v>
      </c>
      <c r="Q366" s="8">
        <v>0</v>
      </c>
      <c r="R366" s="8">
        <f t="shared" si="78"/>
        <v>-98245.74196818535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7">
        <v>0</v>
      </c>
      <c r="AB366" s="8">
        <v>0</v>
      </c>
      <c r="AC366" s="7">
        <v>2.181667</v>
      </c>
      <c r="AD366" s="7" t="s">
        <v>1226</v>
      </c>
      <c r="AE366" s="8">
        <v>0</v>
      </c>
      <c r="AF366" s="8">
        <v>0</v>
      </c>
      <c r="AG366" s="8">
        <v>0</v>
      </c>
      <c r="AH366" s="8">
        <v>0</v>
      </c>
      <c r="AI366" s="7" t="s">
        <v>1877</v>
      </c>
      <c r="AJ366" s="7">
        <f t="shared" ca="1" si="79"/>
        <v>2</v>
      </c>
      <c r="AL366" s="100">
        <f>(+AA366*AB366)/$AB$613</f>
        <v>0</v>
      </c>
      <c r="AM366" s="97">
        <f>AC366/$AE$613*AE366</f>
        <v>0</v>
      </c>
    </row>
    <row r="367" spans="1:39" x14ac:dyDescent="0.3">
      <c r="A367" s="7" t="s">
        <v>2196</v>
      </c>
      <c r="B367" s="7" t="s">
        <v>1320</v>
      </c>
      <c r="D367" s="7" t="s">
        <v>1324</v>
      </c>
      <c r="E367" s="7" t="s">
        <v>1739</v>
      </c>
      <c r="F367" s="36">
        <v>42049</v>
      </c>
      <c r="G367" s="36">
        <v>43509</v>
      </c>
      <c r="J367" s="7" t="s">
        <v>1239</v>
      </c>
      <c r="K367" s="8">
        <v>2889.9506000021088</v>
      </c>
      <c r="L367" s="8">
        <v>-8424.5090550061468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f t="shared" si="78"/>
        <v>-5534.5584550040385</v>
      </c>
      <c r="S367" s="8">
        <v>0</v>
      </c>
      <c r="T367" s="8">
        <v>-8385.8977050061167</v>
      </c>
      <c r="U367" s="8">
        <v>0</v>
      </c>
      <c r="V367" s="8">
        <v>-134376.60229509807</v>
      </c>
      <c r="W367" s="8">
        <v>0</v>
      </c>
      <c r="X367" s="8">
        <v>0</v>
      </c>
      <c r="Y367" s="8">
        <v>0</v>
      </c>
      <c r="Z367" s="8">
        <v>0</v>
      </c>
      <c r="AA367" s="7">
        <v>0</v>
      </c>
      <c r="AB367" s="8">
        <v>0</v>
      </c>
      <c r="AC367" s="7">
        <v>2.0449999999999999</v>
      </c>
      <c r="AD367" s="7" t="s">
        <v>1226</v>
      </c>
      <c r="AE367" s="8">
        <v>0</v>
      </c>
      <c r="AF367" s="8">
        <v>0</v>
      </c>
      <c r="AG367" s="8">
        <v>0</v>
      </c>
      <c r="AH367" s="8">
        <v>0</v>
      </c>
      <c r="AI367" s="7" t="s">
        <v>1730</v>
      </c>
      <c r="AJ367" s="7">
        <f t="shared" ca="1" si="79"/>
        <v>1</v>
      </c>
      <c r="AL367" s="96">
        <f t="shared" si="80"/>
        <v>0</v>
      </c>
      <c r="AM367" s="97">
        <f t="shared" si="81"/>
        <v>0</v>
      </c>
    </row>
    <row r="368" spans="1:39" x14ac:dyDescent="0.3">
      <c r="A368" s="7" t="s">
        <v>2196</v>
      </c>
      <c r="B368" s="7" t="s">
        <v>1320</v>
      </c>
      <c r="D368" s="7" t="s">
        <v>1324</v>
      </c>
      <c r="E368" s="7" t="s">
        <v>1739</v>
      </c>
      <c r="F368" s="36">
        <v>42049</v>
      </c>
      <c r="G368" s="36">
        <v>43509</v>
      </c>
      <c r="J368" s="7" t="s">
        <v>1699</v>
      </c>
      <c r="K368" s="8">
        <v>0</v>
      </c>
      <c r="L368" s="8">
        <v>0</v>
      </c>
      <c r="M368" s="8">
        <v>0</v>
      </c>
      <c r="N368" s="8">
        <v>36450.00000000983</v>
      </c>
      <c r="O368" s="8">
        <v>0</v>
      </c>
      <c r="P368" s="8">
        <v>0</v>
      </c>
      <c r="Q368" s="8">
        <v>0</v>
      </c>
      <c r="R368" s="8">
        <f t="shared" si="78"/>
        <v>36450.00000000983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7">
        <v>0</v>
      </c>
      <c r="AB368" s="8">
        <v>0</v>
      </c>
      <c r="AC368" s="7">
        <v>2.0449999999999999</v>
      </c>
      <c r="AD368" s="7" t="s">
        <v>1226</v>
      </c>
      <c r="AE368" s="8">
        <v>0</v>
      </c>
      <c r="AF368" s="8">
        <v>0</v>
      </c>
      <c r="AG368" s="8">
        <v>0</v>
      </c>
      <c r="AH368" s="8">
        <v>0</v>
      </c>
      <c r="AI368" s="7" t="s">
        <v>1730</v>
      </c>
      <c r="AJ368" s="7">
        <f t="shared" ca="1" si="79"/>
        <v>2</v>
      </c>
      <c r="AL368" s="100">
        <f t="shared" ref="AL368:AL369" si="92">(+AA368*AB368)/$AB$613</f>
        <v>0</v>
      </c>
      <c r="AM368" s="97">
        <f t="shared" ref="AM368:AM369" si="93">AC368/$AE$613*AE368</f>
        <v>0</v>
      </c>
    </row>
    <row r="369" spans="1:39" x14ac:dyDescent="0.3">
      <c r="A369" s="7" t="s">
        <v>2199</v>
      </c>
      <c r="B369" s="7" t="s">
        <v>1320</v>
      </c>
      <c r="C369" s="7" t="s">
        <v>1769</v>
      </c>
      <c r="D369" s="7" t="s">
        <v>2200</v>
      </c>
      <c r="E369" s="7" t="s">
        <v>1739</v>
      </c>
      <c r="F369" s="36">
        <v>42078</v>
      </c>
      <c r="G369" s="36">
        <v>43538</v>
      </c>
      <c r="J369" s="7" t="s">
        <v>1699</v>
      </c>
      <c r="K369" s="8">
        <v>0</v>
      </c>
      <c r="L369" s="8">
        <v>0</v>
      </c>
      <c r="M369" s="8">
        <v>0</v>
      </c>
      <c r="N369" s="8">
        <v>45630</v>
      </c>
      <c r="O369" s="8">
        <v>0</v>
      </c>
      <c r="P369" s="8">
        <v>0</v>
      </c>
      <c r="Q369" s="8">
        <v>0</v>
      </c>
      <c r="R369" s="8">
        <f t="shared" si="78"/>
        <v>45630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7">
        <v>0</v>
      </c>
      <c r="AB369" s="8">
        <v>0</v>
      </c>
      <c r="AC369" s="7">
        <v>2.0449999999999999</v>
      </c>
      <c r="AD369" s="7" t="s">
        <v>1226</v>
      </c>
      <c r="AE369" s="8">
        <v>3802.5</v>
      </c>
      <c r="AF369" s="8">
        <v>0</v>
      </c>
      <c r="AG369" s="8">
        <v>3802.5</v>
      </c>
      <c r="AH369" s="8">
        <v>0</v>
      </c>
      <c r="AI369" s="7" t="s">
        <v>1730</v>
      </c>
      <c r="AJ369" s="7">
        <f t="shared" ca="1" si="79"/>
        <v>1</v>
      </c>
      <c r="AL369" s="100">
        <f t="shared" si="92"/>
        <v>0</v>
      </c>
      <c r="AM369" s="97">
        <f t="shared" si="93"/>
        <v>5.6796443586889537E-3</v>
      </c>
    </row>
    <row r="370" spans="1:39" x14ac:dyDescent="0.3">
      <c r="A370" s="7" t="s">
        <v>2201</v>
      </c>
      <c r="B370" s="7" t="s">
        <v>1320</v>
      </c>
      <c r="D370" s="7" t="s">
        <v>2202</v>
      </c>
      <c r="E370" s="7" t="s">
        <v>1322</v>
      </c>
      <c r="F370" s="36">
        <v>42826</v>
      </c>
      <c r="G370" s="36">
        <v>46477</v>
      </c>
      <c r="H370" s="36">
        <v>46477</v>
      </c>
      <c r="I370" s="36">
        <v>46477</v>
      </c>
      <c r="J370" s="7" t="s">
        <v>1239</v>
      </c>
      <c r="K370" s="8">
        <v>0</v>
      </c>
      <c r="L370" s="8">
        <v>367872.72345609916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f t="shared" si="78"/>
        <v>367872.72345609916</v>
      </c>
      <c r="S370" s="8">
        <v>0</v>
      </c>
      <c r="T370" s="8">
        <v>372932.50930510054</v>
      </c>
      <c r="U370" s="8">
        <v>0</v>
      </c>
      <c r="V370" s="8">
        <v>2969067.4906958002</v>
      </c>
      <c r="W370" s="8">
        <v>0</v>
      </c>
      <c r="X370" s="8">
        <v>0</v>
      </c>
      <c r="Y370" s="8">
        <v>0</v>
      </c>
      <c r="Z370" s="8">
        <v>0</v>
      </c>
      <c r="AA370" s="7">
        <v>5.2493150000000002</v>
      </c>
      <c r="AB370" s="8">
        <v>16623043.29589848</v>
      </c>
      <c r="AC370" s="7">
        <v>2.0449999999999999</v>
      </c>
      <c r="AD370" s="7" t="s">
        <v>1226</v>
      </c>
      <c r="AE370" s="8">
        <v>17545500.000006072</v>
      </c>
      <c r="AF370" s="8">
        <v>0</v>
      </c>
      <c r="AG370" s="8">
        <v>17545500.000006072</v>
      </c>
      <c r="AH370" s="8">
        <v>0</v>
      </c>
      <c r="AI370" s="7" t="s">
        <v>1758</v>
      </c>
      <c r="AJ370" s="7">
        <f t="shared" ca="1" si="79"/>
        <v>1</v>
      </c>
      <c r="AL370" s="96">
        <f t="shared" si="80"/>
        <v>0.52318208669703414</v>
      </c>
      <c r="AM370" s="97">
        <f t="shared" si="81"/>
        <v>0.23351661969244286</v>
      </c>
    </row>
    <row r="371" spans="1:39" x14ac:dyDescent="0.3">
      <c r="A371" s="7" t="s">
        <v>2203</v>
      </c>
      <c r="B371" s="7" t="s">
        <v>1320</v>
      </c>
      <c r="D371" s="7" t="s">
        <v>1792</v>
      </c>
      <c r="E371" s="7" t="s">
        <v>1750</v>
      </c>
      <c r="F371" s="36">
        <v>42515</v>
      </c>
      <c r="G371" s="36">
        <v>43609</v>
      </c>
      <c r="H371" s="36">
        <v>44705</v>
      </c>
      <c r="I371" s="36">
        <v>44705</v>
      </c>
      <c r="J371" s="7" t="s">
        <v>1696</v>
      </c>
      <c r="K371" s="8">
        <v>0</v>
      </c>
      <c r="L371" s="8">
        <v>0</v>
      </c>
      <c r="M371" s="8">
        <v>-1177153.5826976756</v>
      </c>
      <c r="N371" s="8">
        <v>0</v>
      </c>
      <c r="O371" s="8">
        <v>0</v>
      </c>
      <c r="P371" s="8">
        <v>0</v>
      </c>
      <c r="Q371" s="8">
        <v>0</v>
      </c>
      <c r="R371" s="8">
        <f t="shared" si="78"/>
        <v>-1177153.5826976756</v>
      </c>
      <c r="S371" s="8">
        <v>0</v>
      </c>
      <c r="T371" s="8">
        <v>0</v>
      </c>
      <c r="U371" s="8">
        <v>-1003680.000000648</v>
      </c>
      <c r="V371" s="8">
        <v>0</v>
      </c>
      <c r="W371" s="8">
        <v>0</v>
      </c>
      <c r="X371" s="8">
        <v>0</v>
      </c>
      <c r="Y371" s="8">
        <v>0</v>
      </c>
      <c r="Z371" s="8">
        <v>-2093398.9146963209</v>
      </c>
      <c r="AA371" s="7">
        <v>0.39452100000000001</v>
      </c>
      <c r="AB371" s="8">
        <v>0</v>
      </c>
      <c r="AC371" s="7">
        <v>2.0299999999999998</v>
      </c>
      <c r="AD371" s="7" t="s">
        <v>1226</v>
      </c>
      <c r="AE371" s="8">
        <v>0</v>
      </c>
      <c r="AF371" s="8">
        <v>0</v>
      </c>
      <c r="AG371" s="8">
        <v>0</v>
      </c>
      <c r="AH371" s="8">
        <v>0</v>
      </c>
      <c r="AI371" s="7" t="s">
        <v>1877</v>
      </c>
      <c r="AJ371" s="7">
        <f t="shared" ca="1" si="79"/>
        <v>1</v>
      </c>
      <c r="AL371" s="96">
        <f>(+AA371*AB371)/$AB$612</f>
        <v>0</v>
      </c>
      <c r="AM371" s="97">
        <f>AC371/$AE$612*AE371</f>
        <v>0</v>
      </c>
    </row>
    <row r="372" spans="1:39" x14ac:dyDescent="0.3">
      <c r="A372" s="7" t="s">
        <v>2203</v>
      </c>
      <c r="B372" s="7" t="s">
        <v>1320</v>
      </c>
      <c r="D372" s="7" t="s">
        <v>1792</v>
      </c>
      <c r="E372" s="7" t="s">
        <v>1750</v>
      </c>
      <c r="F372" s="36">
        <v>42515</v>
      </c>
      <c r="G372" s="36">
        <v>43609</v>
      </c>
      <c r="H372" s="36">
        <v>44705</v>
      </c>
      <c r="I372" s="36">
        <v>44705</v>
      </c>
      <c r="J372" s="7" t="s">
        <v>1699</v>
      </c>
      <c r="K372" s="8">
        <v>0</v>
      </c>
      <c r="L372" s="8">
        <v>0</v>
      </c>
      <c r="M372" s="8">
        <v>0</v>
      </c>
      <c r="N372" s="8">
        <v>501839.99924014317</v>
      </c>
      <c r="O372" s="8">
        <v>0</v>
      </c>
      <c r="P372" s="8">
        <v>0</v>
      </c>
      <c r="Q372" s="8">
        <v>0</v>
      </c>
      <c r="R372" s="8">
        <f t="shared" si="78"/>
        <v>501839.99924014317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7">
        <v>0.39452100000000001</v>
      </c>
      <c r="AB372" s="8">
        <v>0</v>
      </c>
      <c r="AC372" s="7">
        <v>2.0299999999999998</v>
      </c>
      <c r="AD372" s="7" t="s">
        <v>1226</v>
      </c>
      <c r="AE372" s="8">
        <v>75276.000000012398</v>
      </c>
      <c r="AF372" s="8">
        <v>0</v>
      </c>
      <c r="AG372" s="8">
        <v>75276.000000012398</v>
      </c>
      <c r="AH372" s="8">
        <v>0</v>
      </c>
      <c r="AI372" s="7" t="s">
        <v>1877</v>
      </c>
      <c r="AJ372" s="7">
        <f t="shared" ca="1" si="79"/>
        <v>2</v>
      </c>
      <c r="AL372" s="100">
        <f>(+AA372*AB372)/$AB$613</f>
        <v>0</v>
      </c>
      <c r="AM372" s="97">
        <f>AC372/$AE$613*AE372</f>
        <v>0.11161207412467636</v>
      </c>
    </row>
    <row r="373" spans="1:39" x14ac:dyDescent="0.3">
      <c r="A373" s="7" t="s">
        <v>2204</v>
      </c>
      <c r="B373" s="7" t="s">
        <v>1320</v>
      </c>
      <c r="D373" s="7" t="s">
        <v>2200</v>
      </c>
      <c r="E373" s="7" t="s">
        <v>1739</v>
      </c>
      <c r="F373" s="36">
        <v>42049</v>
      </c>
      <c r="G373" s="36">
        <v>43509</v>
      </c>
      <c r="J373" s="7" t="s">
        <v>1239</v>
      </c>
      <c r="K373" s="8">
        <v>2889.9506000021088</v>
      </c>
      <c r="L373" s="8">
        <v>-8424.5090550061468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f t="shared" si="78"/>
        <v>-5534.5584550040385</v>
      </c>
      <c r="S373" s="8">
        <v>0</v>
      </c>
      <c r="T373" s="8">
        <v>-8385.8977050061167</v>
      </c>
      <c r="U373" s="8">
        <v>0</v>
      </c>
      <c r="V373" s="8">
        <v>-134376.60229509807</v>
      </c>
      <c r="W373" s="8">
        <v>0</v>
      </c>
      <c r="X373" s="8">
        <v>0</v>
      </c>
      <c r="Y373" s="8">
        <v>0</v>
      </c>
      <c r="Z373" s="8">
        <v>0</v>
      </c>
      <c r="AA373" s="7">
        <v>0</v>
      </c>
      <c r="AB373" s="8">
        <v>0</v>
      </c>
      <c r="AC373" s="7">
        <v>2.0449999999999999</v>
      </c>
      <c r="AD373" s="7" t="s">
        <v>1226</v>
      </c>
      <c r="AE373" s="8">
        <v>0</v>
      </c>
      <c r="AF373" s="8">
        <v>0</v>
      </c>
      <c r="AG373" s="8">
        <v>0</v>
      </c>
      <c r="AH373" s="8">
        <v>0</v>
      </c>
      <c r="AI373" s="7" t="s">
        <v>1730</v>
      </c>
      <c r="AJ373" s="7">
        <f t="shared" ca="1" si="79"/>
        <v>1</v>
      </c>
      <c r="AL373" s="96">
        <f t="shared" si="80"/>
        <v>0</v>
      </c>
      <c r="AM373" s="97">
        <f t="shared" si="81"/>
        <v>0</v>
      </c>
    </row>
    <row r="374" spans="1:39" x14ac:dyDescent="0.3">
      <c r="A374" s="7" t="s">
        <v>2204</v>
      </c>
      <c r="B374" s="7" t="s">
        <v>1320</v>
      </c>
      <c r="D374" s="7" t="s">
        <v>2200</v>
      </c>
      <c r="E374" s="7" t="s">
        <v>1739</v>
      </c>
      <c r="F374" s="36">
        <v>42049</v>
      </c>
      <c r="G374" s="36">
        <v>43509</v>
      </c>
      <c r="J374" s="7" t="s">
        <v>1699</v>
      </c>
      <c r="K374" s="8">
        <v>0</v>
      </c>
      <c r="L374" s="8">
        <v>0</v>
      </c>
      <c r="M374" s="8">
        <v>0</v>
      </c>
      <c r="N374" s="8">
        <v>36450.00000000983</v>
      </c>
      <c r="O374" s="8">
        <v>0</v>
      </c>
      <c r="P374" s="8">
        <v>0</v>
      </c>
      <c r="Q374" s="8">
        <v>0</v>
      </c>
      <c r="R374" s="8">
        <f t="shared" si="78"/>
        <v>36450.00000000983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7">
        <v>0</v>
      </c>
      <c r="AB374" s="8">
        <v>0</v>
      </c>
      <c r="AC374" s="7">
        <v>2.0449999999999999</v>
      </c>
      <c r="AD374" s="7" t="s">
        <v>1226</v>
      </c>
      <c r="AE374" s="8">
        <v>0</v>
      </c>
      <c r="AF374" s="8">
        <v>0</v>
      </c>
      <c r="AG374" s="8">
        <v>0</v>
      </c>
      <c r="AH374" s="8">
        <v>0</v>
      </c>
      <c r="AI374" s="7" t="s">
        <v>1730</v>
      </c>
      <c r="AJ374" s="7">
        <f t="shared" ca="1" si="79"/>
        <v>2</v>
      </c>
      <c r="AL374" s="100">
        <f t="shared" ref="AL374:AL375" si="94">(+AA374*AB374)/$AB$613</f>
        <v>0</v>
      </c>
      <c r="AM374" s="97">
        <f t="shared" ref="AM374:AM375" si="95">AC374/$AE$613*AE374</f>
        <v>0</v>
      </c>
    </row>
    <row r="375" spans="1:39" x14ac:dyDescent="0.3">
      <c r="A375" s="7" t="s">
        <v>2205</v>
      </c>
      <c r="B375" s="7" t="s">
        <v>1320</v>
      </c>
      <c r="C375" s="7" t="s">
        <v>1769</v>
      </c>
      <c r="D375" s="7" t="s">
        <v>2191</v>
      </c>
      <c r="E375" s="7" t="s">
        <v>1739</v>
      </c>
      <c r="F375" s="36">
        <v>42536</v>
      </c>
      <c r="G375" s="36">
        <v>43630</v>
      </c>
      <c r="J375" s="7" t="s">
        <v>1699</v>
      </c>
      <c r="K375" s="8">
        <v>0</v>
      </c>
      <c r="L375" s="8">
        <v>0</v>
      </c>
      <c r="M375" s="8">
        <v>0</v>
      </c>
      <c r="N375" s="8">
        <v>39852.000003000001</v>
      </c>
      <c r="O375" s="8">
        <v>0</v>
      </c>
      <c r="P375" s="8">
        <v>0</v>
      </c>
      <c r="Q375" s="8">
        <v>0</v>
      </c>
      <c r="R375" s="8">
        <f t="shared" si="78"/>
        <v>39852.000003000001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7">
        <v>0</v>
      </c>
      <c r="AB375" s="8">
        <v>0</v>
      </c>
      <c r="AC375" s="7">
        <v>2.0299999999999998</v>
      </c>
      <c r="AD375" s="7" t="s">
        <v>1226</v>
      </c>
      <c r="AE375" s="8">
        <v>3321.0000009999999</v>
      </c>
      <c r="AF375" s="8">
        <v>0</v>
      </c>
      <c r="AG375" s="8">
        <v>3321.0000009999999</v>
      </c>
      <c r="AH375" s="8">
        <v>0</v>
      </c>
      <c r="AI375" s="7" t="s">
        <v>1730</v>
      </c>
      <c r="AJ375" s="7">
        <f t="shared" ca="1" si="79"/>
        <v>1</v>
      </c>
      <c r="AL375" s="100">
        <f t="shared" si="94"/>
        <v>0</v>
      </c>
      <c r="AM375" s="97">
        <f t="shared" si="95"/>
        <v>4.9240620952176149E-3</v>
      </c>
    </row>
    <row r="376" spans="1:39" x14ac:dyDescent="0.3">
      <c r="A376" s="7" t="s">
        <v>2206</v>
      </c>
      <c r="B376" s="7" t="s">
        <v>1320</v>
      </c>
      <c r="D376" s="7" t="s">
        <v>2202</v>
      </c>
      <c r="E376" s="7" t="s">
        <v>1739</v>
      </c>
      <c r="F376" s="36">
        <v>41129</v>
      </c>
      <c r="G376" s="36">
        <v>42954</v>
      </c>
      <c r="J376" s="7" t="s">
        <v>1239</v>
      </c>
      <c r="K376" s="8">
        <v>0</v>
      </c>
      <c r="L376" s="8">
        <v>-63840.207654046586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f t="shared" si="78"/>
        <v>-63840.207654046586</v>
      </c>
      <c r="S376" s="8">
        <v>0</v>
      </c>
      <c r="T376" s="8">
        <v>-63840.207654046586</v>
      </c>
      <c r="U376" s="8">
        <v>0</v>
      </c>
      <c r="V376" s="8">
        <v>-1170869.7923468545</v>
      </c>
      <c r="W376" s="8">
        <v>0</v>
      </c>
      <c r="X376" s="8">
        <v>0</v>
      </c>
      <c r="Y376" s="8">
        <v>0</v>
      </c>
      <c r="Z376" s="8">
        <v>0</v>
      </c>
      <c r="AA376" s="7">
        <v>0</v>
      </c>
      <c r="AB376" s="8">
        <v>0</v>
      </c>
      <c r="AC376" s="7">
        <v>2.181667</v>
      </c>
      <c r="AD376" s="7" t="s">
        <v>1226</v>
      </c>
      <c r="AE376" s="8">
        <v>0</v>
      </c>
      <c r="AF376" s="8">
        <v>0</v>
      </c>
      <c r="AG376" s="8">
        <v>0</v>
      </c>
      <c r="AH376" s="8">
        <v>0</v>
      </c>
      <c r="AI376" s="7" t="s">
        <v>1877</v>
      </c>
      <c r="AJ376" s="7">
        <f t="shared" ca="1" si="79"/>
        <v>1</v>
      </c>
      <c r="AL376" s="96">
        <f t="shared" si="80"/>
        <v>0</v>
      </c>
      <c r="AM376" s="97">
        <f t="shared" si="81"/>
        <v>0</v>
      </c>
    </row>
    <row r="377" spans="1:39" x14ac:dyDescent="0.3">
      <c r="A377" s="7" t="s">
        <v>2206</v>
      </c>
      <c r="B377" s="7" t="s">
        <v>1320</v>
      </c>
      <c r="D377" s="7" t="s">
        <v>2202</v>
      </c>
      <c r="E377" s="7" t="s">
        <v>1739</v>
      </c>
      <c r="F377" s="36">
        <v>41129</v>
      </c>
      <c r="G377" s="36">
        <v>42954</v>
      </c>
      <c r="J377" s="7" t="s">
        <v>1699</v>
      </c>
      <c r="K377" s="8">
        <v>0</v>
      </c>
      <c r="L377" s="8">
        <v>0</v>
      </c>
      <c r="M377" s="8">
        <v>0</v>
      </c>
      <c r="N377" s="8">
        <v>-98245.74196818535</v>
      </c>
      <c r="O377" s="8">
        <v>0</v>
      </c>
      <c r="P377" s="8">
        <v>0</v>
      </c>
      <c r="Q377" s="8">
        <v>0</v>
      </c>
      <c r="R377" s="8">
        <f t="shared" si="78"/>
        <v>-98245.74196818535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7">
        <v>0</v>
      </c>
      <c r="AB377" s="8">
        <v>0</v>
      </c>
      <c r="AC377" s="7">
        <v>2.181667</v>
      </c>
      <c r="AD377" s="7" t="s">
        <v>1226</v>
      </c>
      <c r="AE377" s="8">
        <v>0</v>
      </c>
      <c r="AF377" s="8">
        <v>0</v>
      </c>
      <c r="AG377" s="8">
        <v>0</v>
      </c>
      <c r="AH377" s="8">
        <v>0</v>
      </c>
      <c r="AI377" s="7" t="s">
        <v>1877</v>
      </c>
      <c r="AJ377" s="7">
        <f t="shared" ca="1" si="79"/>
        <v>2</v>
      </c>
      <c r="AL377" s="100">
        <f t="shared" ref="AL377:AL378" si="96">(+AA377*AB377)/$AB$613</f>
        <v>0</v>
      </c>
      <c r="AM377" s="97">
        <f t="shared" ref="AM377:AM378" si="97">AC377/$AE$613*AE377</f>
        <v>0</v>
      </c>
    </row>
    <row r="378" spans="1:39" x14ac:dyDescent="0.3">
      <c r="A378" s="7" t="s">
        <v>2208</v>
      </c>
      <c r="B378" s="7" t="s">
        <v>1320</v>
      </c>
      <c r="C378" s="7" t="s">
        <v>1769</v>
      </c>
      <c r="D378" s="7" t="s">
        <v>2209</v>
      </c>
      <c r="E378" s="7" t="s">
        <v>1739</v>
      </c>
      <c r="F378" s="36">
        <v>42078</v>
      </c>
      <c r="G378" s="36">
        <v>43538</v>
      </c>
      <c r="J378" s="7" t="s">
        <v>1699</v>
      </c>
      <c r="K378" s="8">
        <v>0</v>
      </c>
      <c r="L378" s="8">
        <v>0</v>
      </c>
      <c r="M378" s="8">
        <v>0</v>
      </c>
      <c r="N378" s="8">
        <v>45630</v>
      </c>
      <c r="O378" s="8">
        <v>0</v>
      </c>
      <c r="P378" s="8">
        <v>0</v>
      </c>
      <c r="Q378" s="8">
        <v>0</v>
      </c>
      <c r="R378" s="8">
        <f t="shared" si="78"/>
        <v>45630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7">
        <v>0</v>
      </c>
      <c r="AB378" s="8">
        <v>0</v>
      </c>
      <c r="AC378" s="7">
        <v>2.0449999999999999</v>
      </c>
      <c r="AD378" s="7" t="s">
        <v>1226</v>
      </c>
      <c r="AE378" s="8">
        <v>3802.5</v>
      </c>
      <c r="AF378" s="8">
        <v>0</v>
      </c>
      <c r="AG378" s="8">
        <v>3802.5</v>
      </c>
      <c r="AH378" s="8">
        <v>0</v>
      </c>
      <c r="AI378" s="7" t="s">
        <v>1730</v>
      </c>
      <c r="AJ378" s="7">
        <f t="shared" ca="1" si="79"/>
        <v>1</v>
      </c>
      <c r="AL378" s="100">
        <f t="shared" si="96"/>
        <v>0</v>
      </c>
      <c r="AM378" s="97">
        <f t="shared" si="97"/>
        <v>5.6796443586889537E-3</v>
      </c>
    </row>
    <row r="379" spans="1:39" x14ac:dyDescent="0.3">
      <c r="A379" s="7" t="s">
        <v>2210</v>
      </c>
      <c r="B379" s="7" t="s">
        <v>1320</v>
      </c>
      <c r="D379" s="7" t="s">
        <v>2195</v>
      </c>
      <c r="E379" s="7" t="s">
        <v>1322</v>
      </c>
      <c r="F379" s="36">
        <v>42826</v>
      </c>
      <c r="G379" s="36">
        <v>46477</v>
      </c>
      <c r="H379" s="36">
        <v>46477</v>
      </c>
      <c r="I379" s="36">
        <v>46477</v>
      </c>
      <c r="J379" s="7" t="s">
        <v>1239</v>
      </c>
      <c r="K379" s="8">
        <v>0</v>
      </c>
      <c r="L379" s="8">
        <v>13979.163492003769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f t="shared" si="78"/>
        <v>13979.163492003769</v>
      </c>
      <c r="S379" s="8">
        <v>0</v>
      </c>
      <c r="T379" s="8">
        <v>14171.435354003825</v>
      </c>
      <c r="U379" s="8">
        <v>0</v>
      </c>
      <c r="V379" s="8">
        <v>112824.56464603041</v>
      </c>
      <c r="W379" s="8">
        <v>0</v>
      </c>
      <c r="X379" s="8">
        <v>0</v>
      </c>
      <c r="Y379" s="8">
        <v>0</v>
      </c>
      <c r="Z379" s="8">
        <v>0</v>
      </c>
      <c r="AA379" s="7">
        <v>5.2493150000000002</v>
      </c>
      <c r="AB379" s="8">
        <v>631675.64524517022</v>
      </c>
      <c r="AC379" s="7">
        <v>2.0449999999999999</v>
      </c>
      <c r="AD379" s="7" t="s">
        <v>1226</v>
      </c>
      <c r="AE379" s="8">
        <v>666729.00000023074</v>
      </c>
      <c r="AF379" s="8">
        <v>0</v>
      </c>
      <c r="AG379" s="8">
        <v>666729.00000023074</v>
      </c>
      <c r="AH379" s="8">
        <v>0</v>
      </c>
      <c r="AI379" s="7" t="s">
        <v>1758</v>
      </c>
      <c r="AJ379" s="7">
        <f t="shared" ca="1" si="79"/>
        <v>1</v>
      </c>
      <c r="AL379" s="96">
        <f t="shared" si="80"/>
        <v>1.9880919294519649E-2</v>
      </c>
      <c r="AM379" s="97">
        <f t="shared" si="81"/>
        <v>8.873631548312829E-3</v>
      </c>
    </row>
    <row r="380" spans="1:39" x14ac:dyDescent="0.3">
      <c r="A380" s="7" t="s">
        <v>2211</v>
      </c>
      <c r="B380" s="7" t="s">
        <v>1735</v>
      </c>
      <c r="C380" s="7" t="s">
        <v>1323</v>
      </c>
      <c r="D380" s="7" t="s">
        <v>2202</v>
      </c>
      <c r="E380" s="7" t="s">
        <v>1322</v>
      </c>
      <c r="F380" s="36">
        <v>43617</v>
      </c>
      <c r="G380" s="36">
        <v>44712</v>
      </c>
      <c r="H380" s="36">
        <v>44712</v>
      </c>
      <c r="I380" s="36">
        <v>44712</v>
      </c>
      <c r="J380" s="7" t="s">
        <v>1696</v>
      </c>
      <c r="K380" s="8">
        <v>0</v>
      </c>
      <c r="L380" s="8">
        <v>0</v>
      </c>
      <c r="M380" s="8">
        <v>2222.2080000000001</v>
      </c>
      <c r="N380" s="8">
        <v>0</v>
      </c>
      <c r="O380" s="8">
        <v>0</v>
      </c>
      <c r="P380" s="8">
        <v>0</v>
      </c>
      <c r="Q380" s="8">
        <v>0</v>
      </c>
      <c r="R380" s="8">
        <f t="shared" si="78"/>
        <v>2222.2080000000001</v>
      </c>
      <c r="S380" s="8">
        <v>0</v>
      </c>
      <c r="T380" s="8">
        <v>0</v>
      </c>
      <c r="U380" s="8">
        <v>2222.2080000000001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7">
        <v>0.41369899999999998</v>
      </c>
      <c r="AB380" s="8">
        <v>922.79787399999998</v>
      </c>
      <c r="AC380" s="7">
        <v>2.0299999999999998</v>
      </c>
      <c r="AD380" s="7" t="s">
        <v>1226</v>
      </c>
      <c r="AE380" s="8">
        <v>925.92</v>
      </c>
      <c r="AF380" s="8">
        <v>0</v>
      </c>
      <c r="AG380" s="8">
        <v>925.92</v>
      </c>
      <c r="AH380" s="8">
        <v>0</v>
      </c>
      <c r="AI380" s="7" t="s">
        <v>1781</v>
      </c>
      <c r="AJ380" s="7">
        <f t="shared" ca="1" si="79"/>
        <v>1</v>
      </c>
      <c r="AL380" s="96">
        <f t="shared" ref="AL380:AL395" si="98">(+AA380*AB380)/$AB$612</f>
        <v>6.8846975840232443E-6</v>
      </c>
      <c r="AM380" s="97">
        <f t="shared" ref="AM380:AM395" si="99">AC380/$AE$612*AE380</f>
        <v>3.2493218631127581E-5</v>
      </c>
    </row>
    <row r="381" spans="1:39" x14ac:dyDescent="0.3">
      <c r="A381" s="7" t="s">
        <v>2212</v>
      </c>
      <c r="B381" s="7" t="s">
        <v>1735</v>
      </c>
      <c r="C381" s="7" t="s">
        <v>1323</v>
      </c>
      <c r="D381" s="7" t="s">
        <v>2202</v>
      </c>
      <c r="E381" s="7" t="s">
        <v>1322</v>
      </c>
      <c r="F381" s="36">
        <v>43617</v>
      </c>
      <c r="G381" s="36">
        <v>44712</v>
      </c>
      <c r="H381" s="36">
        <v>44712</v>
      </c>
      <c r="I381" s="36">
        <v>44712</v>
      </c>
      <c r="J381" s="7" t="s">
        <v>1696</v>
      </c>
      <c r="K381" s="8">
        <v>0</v>
      </c>
      <c r="L381" s="8">
        <v>0</v>
      </c>
      <c r="M381" s="8">
        <v>5400</v>
      </c>
      <c r="N381" s="8">
        <v>0</v>
      </c>
      <c r="O381" s="8">
        <v>0</v>
      </c>
      <c r="P381" s="8">
        <v>0</v>
      </c>
      <c r="Q381" s="8">
        <v>0</v>
      </c>
      <c r="R381" s="8">
        <f t="shared" si="78"/>
        <v>5400</v>
      </c>
      <c r="S381" s="8">
        <v>0</v>
      </c>
      <c r="T381" s="8">
        <v>0</v>
      </c>
      <c r="U381" s="8">
        <v>5400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7">
        <v>0.41369899999999998</v>
      </c>
      <c r="AB381" s="8">
        <v>2242.413176</v>
      </c>
      <c r="AC381" s="7">
        <v>2.0299999999999998</v>
      </c>
      <c r="AD381" s="7" t="s">
        <v>1226</v>
      </c>
      <c r="AE381" s="8">
        <v>2250</v>
      </c>
      <c r="AF381" s="8">
        <v>0</v>
      </c>
      <c r="AG381" s="8">
        <v>2250</v>
      </c>
      <c r="AH381" s="8">
        <v>0</v>
      </c>
      <c r="AI381" s="7" t="s">
        <v>1781</v>
      </c>
      <c r="AJ381" s="7">
        <f t="shared" ca="1" si="79"/>
        <v>1</v>
      </c>
      <c r="AL381" s="96">
        <f t="shared" si="98"/>
        <v>1.6729922131559972E-5</v>
      </c>
      <c r="AM381" s="97">
        <f t="shared" si="99"/>
        <v>7.8959026611410342E-5</v>
      </c>
    </row>
    <row r="382" spans="1:39" x14ac:dyDescent="0.3">
      <c r="A382" s="7" t="s">
        <v>2213</v>
      </c>
      <c r="B382" s="7" t="s">
        <v>1735</v>
      </c>
      <c r="C382" s="7" t="s">
        <v>1323</v>
      </c>
      <c r="D382" s="7" t="s">
        <v>2202</v>
      </c>
      <c r="E382" s="7" t="s">
        <v>1322</v>
      </c>
      <c r="F382" s="36">
        <v>43617</v>
      </c>
      <c r="G382" s="36">
        <v>47269</v>
      </c>
      <c r="H382" s="36">
        <v>47269</v>
      </c>
      <c r="I382" s="36">
        <v>47269</v>
      </c>
      <c r="J382" s="7" t="s">
        <v>1696</v>
      </c>
      <c r="K382" s="8">
        <v>0</v>
      </c>
      <c r="L382" s="8">
        <v>0</v>
      </c>
      <c r="M382" s="8">
        <v>60000</v>
      </c>
      <c r="N382" s="8">
        <v>0</v>
      </c>
      <c r="O382" s="8">
        <v>0</v>
      </c>
      <c r="P382" s="8">
        <v>0</v>
      </c>
      <c r="Q382" s="8">
        <v>0</v>
      </c>
      <c r="R382" s="8">
        <f t="shared" si="78"/>
        <v>60000</v>
      </c>
      <c r="S382" s="8">
        <v>0</v>
      </c>
      <c r="T382" s="8">
        <v>0</v>
      </c>
      <c r="U382" s="8">
        <v>60000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7">
        <v>7.4191779999999996</v>
      </c>
      <c r="AB382" s="8">
        <v>413274.21660699998</v>
      </c>
      <c r="AC382" s="7">
        <v>2.0449999999999999</v>
      </c>
      <c r="AD382" s="7" t="s">
        <v>1226</v>
      </c>
      <c r="AE382" s="8">
        <v>445000</v>
      </c>
      <c r="AF382" s="8">
        <v>0</v>
      </c>
      <c r="AG382" s="8">
        <v>445000</v>
      </c>
      <c r="AH382" s="8">
        <v>0</v>
      </c>
      <c r="AI382" s="7" t="s">
        <v>1758</v>
      </c>
      <c r="AJ382" s="7">
        <f t="shared" ca="1" si="79"/>
        <v>1</v>
      </c>
      <c r="AL382" s="96">
        <f t="shared" si="98"/>
        <v>5.5295261204469495E-2</v>
      </c>
      <c r="AM382" s="97">
        <f t="shared" si="99"/>
        <v>1.5731732499627518E-2</v>
      </c>
    </row>
    <row r="383" spans="1:39" x14ac:dyDescent="0.3">
      <c r="A383" s="7" t="s">
        <v>2214</v>
      </c>
      <c r="B383" s="7" t="s">
        <v>1320</v>
      </c>
      <c r="C383" s="7" t="s">
        <v>1432</v>
      </c>
      <c r="D383" s="7" t="s">
        <v>1324</v>
      </c>
      <c r="E383" s="7" t="s">
        <v>1322</v>
      </c>
      <c r="F383" s="36">
        <v>44440</v>
      </c>
      <c r="G383" s="36">
        <v>45535</v>
      </c>
      <c r="H383" s="36">
        <v>45535</v>
      </c>
      <c r="I383" s="36">
        <v>45535</v>
      </c>
      <c r="J383" s="7" t="s">
        <v>1696</v>
      </c>
      <c r="K383" s="8">
        <v>0</v>
      </c>
      <c r="L383" s="8">
        <v>0</v>
      </c>
      <c r="M383" s="8">
        <v>17283.84</v>
      </c>
      <c r="N383" s="8">
        <v>0</v>
      </c>
      <c r="O383" s="8">
        <v>0</v>
      </c>
      <c r="P383" s="8">
        <v>0</v>
      </c>
      <c r="Q383" s="8">
        <v>0</v>
      </c>
      <c r="R383" s="8">
        <f t="shared" si="78"/>
        <v>17283.84</v>
      </c>
      <c r="S383" s="8">
        <v>0</v>
      </c>
      <c r="T383" s="8">
        <v>0</v>
      </c>
      <c r="U383" s="8">
        <v>17283.84</v>
      </c>
      <c r="V383" s="8">
        <v>0</v>
      </c>
      <c r="W383" s="8">
        <v>0</v>
      </c>
      <c r="X383" s="8">
        <v>0</v>
      </c>
      <c r="Y383" s="8">
        <v>148953.99658499999</v>
      </c>
      <c r="Z383" s="8">
        <v>0</v>
      </c>
      <c r="AA383" s="7">
        <v>2.6684929999999998</v>
      </c>
      <c r="AB383" s="8">
        <v>133056.99724299999</v>
      </c>
      <c r="AC383" s="7">
        <v>3</v>
      </c>
      <c r="AD383" s="7" t="s">
        <v>1226</v>
      </c>
      <c r="AE383" s="8">
        <v>138270.72</v>
      </c>
      <c r="AF383" s="8">
        <v>0</v>
      </c>
      <c r="AG383" s="8">
        <v>138270.72</v>
      </c>
      <c r="AH383" s="8">
        <v>0</v>
      </c>
      <c r="AI383" s="7" t="s">
        <v>1781</v>
      </c>
      <c r="AJ383" s="7">
        <f t="shared" ca="1" si="79"/>
        <v>1</v>
      </c>
      <c r="AL383" s="96">
        <f t="shared" si="98"/>
        <v>6.4032078306053191E-3</v>
      </c>
      <c r="AM383" s="97">
        <f t="shared" si="99"/>
        <v>7.1709172151453978E-3</v>
      </c>
    </row>
    <row r="384" spans="1:39" x14ac:dyDescent="0.3">
      <c r="A384" s="7" t="s">
        <v>2215</v>
      </c>
      <c r="B384" s="7" t="s">
        <v>2216</v>
      </c>
      <c r="C384" s="7" t="s">
        <v>1323</v>
      </c>
      <c r="D384" s="7" t="s">
        <v>1324</v>
      </c>
      <c r="E384" s="7" t="s">
        <v>1322</v>
      </c>
      <c r="F384" s="36">
        <v>44440</v>
      </c>
      <c r="G384" s="36">
        <v>45535</v>
      </c>
      <c r="H384" s="36">
        <v>45535</v>
      </c>
      <c r="I384" s="36">
        <v>45535</v>
      </c>
      <c r="J384" s="7" t="s">
        <v>1696</v>
      </c>
      <c r="K384" s="8">
        <v>0</v>
      </c>
      <c r="L384" s="8">
        <v>0</v>
      </c>
      <c r="M384" s="8">
        <v>1378.1866600000001</v>
      </c>
      <c r="N384" s="8">
        <v>0</v>
      </c>
      <c r="O384" s="8">
        <v>0</v>
      </c>
      <c r="P384" s="8">
        <v>0</v>
      </c>
      <c r="Q384" s="8">
        <v>0</v>
      </c>
      <c r="R384" s="8">
        <f t="shared" si="78"/>
        <v>1378.1866600000001</v>
      </c>
      <c r="S384" s="8">
        <v>0</v>
      </c>
      <c r="T384" s="8">
        <v>0</v>
      </c>
      <c r="U384" s="8">
        <v>1234.56</v>
      </c>
      <c r="V384" s="8">
        <v>0</v>
      </c>
      <c r="W384" s="8">
        <v>0</v>
      </c>
      <c r="X384" s="8">
        <v>0</v>
      </c>
      <c r="Y384" s="8">
        <v>11854.489219999999</v>
      </c>
      <c r="Z384" s="8">
        <v>0</v>
      </c>
      <c r="AA384" s="7">
        <v>2.6684929999999998</v>
      </c>
      <c r="AB384" s="8">
        <v>10731.184090000001</v>
      </c>
      <c r="AC384" s="7">
        <v>3</v>
      </c>
      <c r="AD384" s="7" t="s">
        <v>1226</v>
      </c>
      <c r="AE384" s="8">
        <v>11169.12</v>
      </c>
      <c r="AF384" s="8">
        <v>0</v>
      </c>
      <c r="AG384" s="8">
        <v>11169.12</v>
      </c>
      <c r="AH384" s="8">
        <v>0</v>
      </c>
      <c r="AI384" s="7" t="s">
        <v>1781</v>
      </c>
      <c r="AJ384" s="7">
        <f t="shared" ca="1" si="79"/>
        <v>1</v>
      </c>
      <c r="AL384" s="96">
        <f t="shared" si="98"/>
        <v>5.1642531712378778E-4</v>
      </c>
      <c r="AM384" s="97">
        <f t="shared" si="99"/>
        <v>5.7924653090708409E-4</v>
      </c>
    </row>
    <row r="385" spans="1:39" x14ac:dyDescent="0.3">
      <c r="A385" s="7" t="s">
        <v>2217</v>
      </c>
      <c r="B385" s="7" t="s">
        <v>1320</v>
      </c>
      <c r="C385" s="7" t="s">
        <v>1323</v>
      </c>
      <c r="D385" s="7" t="s">
        <v>1324</v>
      </c>
      <c r="E385" s="7" t="s">
        <v>1322</v>
      </c>
      <c r="F385" s="36">
        <v>44075</v>
      </c>
      <c r="G385" s="36">
        <v>45169</v>
      </c>
      <c r="H385" s="36">
        <v>45169</v>
      </c>
      <c r="I385" s="36">
        <v>45169</v>
      </c>
      <c r="J385" s="7" t="s">
        <v>1696</v>
      </c>
      <c r="K385" s="8">
        <v>0</v>
      </c>
      <c r="L385" s="8">
        <v>0</v>
      </c>
      <c r="M385" s="8">
        <v>48147.839999999997</v>
      </c>
      <c r="N385" s="8">
        <v>0</v>
      </c>
      <c r="O385" s="8">
        <v>0</v>
      </c>
      <c r="P385" s="8">
        <v>0</v>
      </c>
      <c r="Q385" s="8">
        <v>0</v>
      </c>
      <c r="R385" s="8">
        <f t="shared" si="78"/>
        <v>48147.839999999997</v>
      </c>
      <c r="S385" s="8">
        <v>0</v>
      </c>
      <c r="T385" s="8">
        <v>0</v>
      </c>
      <c r="U385" s="8">
        <v>48147.839999999997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7">
        <v>1.665753</v>
      </c>
      <c r="AB385" s="8">
        <v>78971.903829999996</v>
      </c>
      <c r="AC385" s="7">
        <v>2.0299999999999998</v>
      </c>
      <c r="AD385" s="7" t="s">
        <v>1226</v>
      </c>
      <c r="AE385" s="8">
        <v>80246.399999999994</v>
      </c>
      <c r="AF385" s="8">
        <v>32500</v>
      </c>
      <c r="AG385" s="8">
        <v>112746.4</v>
      </c>
      <c r="AH385" s="8">
        <v>0</v>
      </c>
      <c r="AI385" s="7" t="s">
        <v>1730</v>
      </c>
      <c r="AJ385" s="7">
        <f t="shared" ca="1" si="79"/>
        <v>1</v>
      </c>
      <c r="AL385" s="96">
        <f t="shared" si="98"/>
        <v>2.3723405046804842E-3</v>
      </c>
      <c r="AM385" s="97">
        <f t="shared" si="99"/>
        <v>2.8160789480310569E-3</v>
      </c>
    </row>
    <row r="386" spans="1:39" x14ac:dyDescent="0.3">
      <c r="A386" s="7" t="s">
        <v>2218</v>
      </c>
      <c r="B386" s="7" t="s">
        <v>1320</v>
      </c>
      <c r="C386" s="7" t="s">
        <v>1323</v>
      </c>
      <c r="D386" s="7" t="s">
        <v>1324</v>
      </c>
      <c r="E386" s="7" t="s">
        <v>1750</v>
      </c>
      <c r="F386" s="36">
        <v>41913</v>
      </c>
      <c r="G386" s="36">
        <v>44104</v>
      </c>
      <c r="H386" s="36">
        <v>45199</v>
      </c>
      <c r="I386" s="36">
        <v>45199</v>
      </c>
      <c r="J386" s="7" t="s">
        <v>1696</v>
      </c>
      <c r="K386" s="8">
        <v>0</v>
      </c>
      <c r="L386" s="8">
        <v>0</v>
      </c>
      <c r="M386" s="8">
        <v>255333.33333600001</v>
      </c>
      <c r="N386" s="8">
        <v>0</v>
      </c>
      <c r="O386" s="8">
        <v>0</v>
      </c>
      <c r="P386" s="8">
        <v>0</v>
      </c>
      <c r="Q386" s="8">
        <v>0</v>
      </c>
      <c r="R386" s="8">
        <f t="shared" si="78"/>
        <v>255333.33333600001</v>
      </c>
      <c r="S386" s="8">
        <v>0</v>
      </c>
      <c r="T386" s="8">
        <v>0</v>
      </c>
      <c r="U386" s="8">
        <v>276000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7">
        <v>1.7479450000000001</v>
      </c>
      <c r="AB386" s="8">
        <v>510533.961473</v>
      </c>
      <c r="AC386" s="7">
        <v>2.318333</v>
      </c>
      <c r="AD386" s="7" t="s">
        <v>1226</v>
      </c>
      <c r="AE386" s="8">
        <v>520500</v>
      </c>
      <c r="AF386" s="8">
        <v>0</v>
      </c>
      <c r="AG386" s="8">
        <v>520500</v>
      </c>
      <c r="AH386" s="8">
        <v>0</v>
      </c>
      <c r="AI386" s="7" t="s">
        <v>1758</v>
      </c>
      <c r="AJ386" s="7">
        <f t="shared" ca="1" si="79"/>
        <v>1</v>
      </c>
      <c r="AL386" s="96">
        <f t="shared" si="98"/>
        <v>1.6093340954431986E-2</v>
      </c>
      <c r="AM386" s="97">
        <f t="shared" si="99"/>
        <v>2.086026305854366E-2</v>
      </c>
    </row>
    <row r="387" spans="1:39" x14ac:dyDescent="0.3">
      <c r="A387" s="7" t="s">
        <v>2219</v>
      </c>
      <c r="B387" s="7" t="s">
        <v>1735</v>
      </c>
      <c r="C387" s="7" t="s">
        <v>1323</v>
      </c>
      <c r="D387" s="7" t="s">
        <v>1324</v>
      </c>
      <c r="E387" s="7" t="s">
        <v>1322</v>
      </c>
      <c r="F387" s="36">
        <v>43831</v>
      </c>
      <c r="G387" s="36">
        <v>44926</v>
      </c>
      <c r="H387" s="36">
        <v>44926</v>
      </c>
      <c r="I387" s="36">
        <v>44926</v>
      </c>
      <c r="J387" s="7" t="s">
        <v>1696</v>
      </c>
      <c r="K387" s="8">
        <v>0</v>
      </c>
      <c r="L387" s="8">
        <v>0</v>
      </c>
      <c r="M387" s="8">
        <v>1481472</v>
      </c>
      <c r="N387" s="8">
        <v>0</v>
      </c>
      <c r="O387" s="8">
        <v>0</v>
      </c>
      <c r="P387" s="8">
        <v>0</v>
      </c>
      <c r="Q387" s="8">
        <v>0</v>
      </c>
      <c r="R387" s="8">
        <f t="shared" ref="R387:R450" si="100">K387+L387+M387+N387+O387+P387+Q387</f>
        <v>1481472</v>
      </c>
      <c r="S387" s="8">
        <v>0</v>
      </c>
      <c r="T387" s="8">
        <v>0</v>
      </c>
      <c r="U387" s="8">
        <v>1481472</v>
      </c>
      <c r="V387" s="8">
        <v>0</v>
      </c>
      <c r="W387" s="8">
        <v>0</v>
      </c>
      <c r="X387" s="8">
        <v>0</v>
      </c>
      <c r="Y387" s="8">
        <v>2127914.2369229998</v>
      </c>
      <c r="Z387" s="8">
        <v>0</v>
      </c>
      <c r="AA387" s="7">
        <v>1</v>
      </c>
      <c r="AB387" s="8">
        <v>730660.26052799996</v>
      </c>
      <c r="AC387" s="7">
        <v>3</v>
      </c>
      <c r="AD387" s="7" t="s">
        <v>1226</v>
      </c>
      <c r="AE387" s="8">
        <v>740736</v>
      </c>
      <c r="AF387" s="8">
        <v>0</v>
      </c>
      <c r="AG387" s="8">
        <v>740736</v>
      </c>
      <c r="AH387" s="8">
        <v>0</v>
      </c>
      <c r="AI387" s="7" t="s">
        <v>1758</v>
      </c>
      <c r="AJ387" s="7">
        <f t="shared" ref="AJ387:AJ450" ca="1" si="101">IF(A387=OFFSET(A387,-1,0),OFFSET(AJ387,-1,0)+1,1)</f>
        <v>1</v>
      </c>
      <c r="AL387" s="96">
        <f t="shared" si="98"/>
        <v>1.317678012894451E-2</v>
      </c>
      <c r="AM387" s="97">
        <f t="shared" si="99"/>
        <v>3.8415627938278921E-2</v>
      </c>
    </row>
    <row r="388" spans="1:39" x14ac:dyDescent="0.3">
      <c r="A388" s="7" t="s">
        <v>2220</v>
      </c>
      <c r="B388" s="7" t="s">
        <v>1320</v>
      </c>
      <c r="C388" s="7" t="s">
        <v>1323</v>
      </c>
      <c r="D388" s="7" t="s">
        <v>1324</v>
      </c>
      <c r="E388" s="7" t="s">
        <v>1322</v>
      </c>
      <c r="F388" s="36">
        <v>43831</v>
      </c>
      <c r="G388" s="36">
        <v>44926</v>
      </c>
      <c r="H388" s="36">
        <v>44926</v>
      </c>
      <c r="I388" s="36">
        <v>44926</v>
      </c>
      <c r="J388" s="7" t="s">
        <v>1696</v>
      </c>
      <c r="K388" s="8">
        <v>0</v>
      </c>
      <c r="L388" s="8">
        <v>0</v>
      </c>
      <c r="M388" s="8">
        <v>47407.199999999997</v>
      </c>
      <c r="N388" s="8">
        <v>0</v>
      </c>
      <c r="O388" s="8">
        <v>0</v>
      </c>
      <c r="P388" s="8">
        <v>0</v>
      </c>
      <c r="Q388" s="8">
        <v>0</v>
      </c>
      <c r="R388" s="8">
        <f t="shared" si="100"/>
        <v>47407.199999999997</v>
      </c>
      <c r="S388" s="8">
        <v>0</v>
      </c>
      <c r="T388" s="8">
        <v>0</v>
      </c>
      <c r="U388" s="8">
        <v>47407.199999999997</v>
      </c>
      <c r="V388" s="8">
        <v>0</v>
      </c>
      <c r="W388" s="8">
        <v>0</v>
      </c>
      <c r="X388" s="8">
        <v>0</v>
      </c>
      <c r="Y388" s="8">
        <v>68093.393469999995</v>
      </c>
      <c r="Z388" s="8">
        <v>0</v>
      </c>
      <c r="AA388" s="7">
        <v>1</v>
      </c>
      <c r="AB388" s="8">
        <v>23381.175670000001</v>
      </c>
      <c r="AC388" s="7">
        <v>3</v>
      </c>
      <c r="AD388" s="7" t="s">
        <v>1226</v>
      </c>
      <c r="AE388" s="8">
        <v>23703.599999999999</v>
      </c>
      <c r="AF388" s="8">
        <v>0</v>
      </c>
      <c r="AG388" s="8">
        <v>23703.599999999999</v>
      </c>
      <c r="AH388" s="8">
        <v>0</v>
      </c>
      <c r="AI388" s="7" t="s">
        <v>1730</v>
      </c>
      <c r="AJ388" s="7">
        <f t="shared" ca="1" si="101"/>
        <v>1</v>
      </c>
      <c r="AL388" s="96">
        <f t="shared" si="98"/>
        <v>4.2165781773485469E-4</v>
      </c>
      <c r="AM388" s="97">
        <f t="shared" si="99"/>
        <v>1.2293025833735474E-3</v>
      </c>
    </row>
    <row r="389" spans="1:39" x14ac:dyDescent="0.3">
      <c r="A389" s="7" t="s">
        <v>2221</v>
      </c>
      <c r="B389" s="7" t="s">
        <v>1320</v>
      </c>
      <c r="C389" s="7" t="s">
        <v>1323</v>
      </c>
      <c r="D389" s="7" t="s">
        <v>1324</v>
      </c>
      <c r="E389" s="7" t="s">
        <v>1322</v>
      </c>
      <c r="F389" s="36">
        <v>43831</v>
      </c>
      <c r="G389" s="36">
        <v>44926</v>
      </c>
      <c r="H389" s="36">
        <v>44926</v>
      </c>
      <c r="I389" s="36">
        <v>44926</v>
      </c>
      <c r="J389" s="7" t="s">
        <v>1696</v>
      </c>
      <c r="K389" s="8">
        <v>0</v>
      </c>
      <c r="L389" s="8">
        <v>0</v>
      </c>
      <c r="M389" s="8">
        <v>21349.748882</v>
      </c>
      <c r="N389" s="8">
        <v>0</v>
      </c>
      <c r="O389" s="8">
        <v>0</v>
      </c>
      <c r="P389" s="8">
        <v>0</v>
      </c>
      <c r="Q389" s="8">
        <v>0</v>
      </c>
      <c r="R389" s="8">
        <f t="shared" si="100"/>
        <v>21349.748882</v>
      </c>
      <c r="S389" s="8">
        <v>0</v>
      </c>
      <c r="T389" s="8">
        <v>0</v>
      </c>
      <c r="U389" s="8">
        <v>21777.6384</v>
      </c>
      <c r="V389" s="8">
        <v>0</v>
      </c>
      <c r="W389" s="8">
        <v>0</v>
      </c>
      <c r="X389" s="8">
        <v>0</v>
      </c>
      <c r="Y389" s="8">
        <v>31280.339284999998</v>
      </c>
      <c r="Z389" s="8">
        <v>0</v>
      </c>
      <c r="AA389" s="7">
        <v>1</v>
      </c>
      <c r="AB389" s="8">
        <v>10740.705824999999</v>
      </c>
      <c r="AC389" s="7">
        <v>3</v>
      </c>
      <c r="AD389" s="7" t="s">
        <v>1226</v>
      </c>
      <c r="AE389" s="8">
        <v>10888.8192</v>
      </c>
      <c r="AF389" s="8">
        <v>0</v>
      </c>
      <c r="AG389" s="8">
        <v>10888.8192</v>
      </c>
      <c r="AH389" s="8">
        <v>0</v>
      </c>
      <c r="AI389" s="7" t="s">
        <v>1736</v>
      </c>
      <c r="AJ389" s="7">
        <f t="shared" ca="1" si="101"/>
        <v>1</v>
      </c>
      <c r="AL389" s="96">
        <f t="shared" si="98"/>
        <v>1.9369866780961326E-4</v>
      </c>
      <c r="AM389" s="97">
        <f t="shared" si="99"/>
        <v>5.6470973069270008E-4</v>
      </c>
    </row>
    <row r="390" spans="1:39" x14ac:dyDescent="0.3">
      <c r="A390" s="7" t="s">
        <v>2222</v>
      </c>
      <c r="B390" s="7" t="s">
        <v>1735</v>
      </c>
      <c r="C390" s="7" t="s">
        <v>1323</v>
      </c>
      <c r="D390" s="7" t="s">
        <v>1324</v>
      </c>
      <c r="E390" s="7" t="s">
        <v>1322</v>
      </c>
      <c r="F390" s="36">
        <v>43831</v>
      </c>
      <c r="G390" s="36">
        <v>44926</v>
      </c>
      <c r="H390" s="36">
        <v>44926</v>
      </c>
      <c r="I390" s="36">
        <v>44926</v>
      </c>
      <c r="J390" s="7" t="s">
        <v>1696</v>
      </c>
      <c r="K390" s="8">
        <v>0</v>
      </c>
      <c r="L390" s="8">
        <v>0</v>
      </c>
      <c r="M390" s="8">
        <v>1481472</v>
      </c>
      <c r="N390" s="8">
        <v>0</v>
      </c>
      <c r="O390" s="8">
        <v>0</v>
      </c>
      <c r="P390" s="8">
        <v>0</v>
      </c>
      <c r="Q390" s="8">
        <v>0</v>
      </c>
      <c r="R390" s="8">
        <f t="shared" si="100"/>
        <v>1481472</v>
      </c>
      <c r="S390" s="8">
        <v>0</v>
      </c>
      <c r="T390" s="8">
        <v>0</v>
      </c>
      <c r="U390" s="8">
        <v>1481472</v>
      </c>
      <c r="V390" s="8">
        <v>0</v>
      </c>
      <c r="W390" s="8">
        <v>0</v>
      </c>
      <c r="X390" s="8">
        <v>0</v>
      </c>
      <c r="Y390" s="8">
        <v>2127914.2369229998</v>
      </c>
      <c r="Z390" s="8">
        <v>0</v>
      </c>
      <c r="AA390" s="7">
        <v>1</v>
      </c>
      <c r="AB390" s="8">
        <v>730660.26052799996</v>
      </c>
      <c r="AC390" s="7">
        <v>3</v>
      </c>
      <c r="AD390" s="7" t="s">
        <v>1226</v>
      </c>
      <c r="AE390" s="8">
        <v>740736</v>
      </c>
      <c r="AF390" s="8">
        <v>0</v>
      </c>
      <c r="AG390" s="8">
        <v>740736</v>
      </c>
      <c r="AH390" s="8">
        <v>0</v>
      </c>
      <c r="AI390" s="7" t="s">
        <v>1758</v>
      </c>
      <c r="AJ390" s="7">
        <f t="shared" ca="1" si="101"/>
        <v>1</v>
      </c>
      <c r="AL390" s="96">
        <f t="shared" si="98"/>
        <v>1.317678012894451E-2</v>
      </c>
      <c r="AM390" s="97">
        <f t="shared" si="99"/>
        <v>3.8415627938278921E-2</v>
      </c>
    </row>
    <row r="391" spans="1:39" x14ac:dyDescent="0.3">
      <c r="A391" s="7" t="s">
        <v>2223</v>
      </c>
      <c r="B391" s="7" t="s">
        <v>1735</v>
      </c>
      <c r="C391" s="7" t="s">
        <v>1323</v>
      </c>
      <c r="D391" s="7" t="s">
        <v>1324</v>
      </c>
      <c r="E391" s="7" t="s">
        <v>1322</v>
      </c>
      <c r="F391" s="36">
        <v>43831</v>
      </c>
      <c r="G391" s="36">
        <v>44926</v>
      </c>
      <c r="H391" s="36">
        <v>44926</v>
      </c>
      <c r="I391" s="36">
        <v>44926</v>
      </c>
      <c r="J391" s="7" t="s">
        <v>1696</v>
      </c>
      <c r="K391" s="8">
        <v>0</v>
      </c>
      <c r="L391" s="8">
        <v>0</v>
      </c>
      <c r="M391" s="8">
        <v>1481472</v>
      </c>
      <c r="N391" s="8">
        <v>0</v>
      </c>
      <c r="O391" s="8">
        <v>0</v>
      </c>
      <c r="P391" s="8">
        <v>0</v>
      </c>
      <c r="Q391" s="8">
        <v>0</v>
      </c>
      <c r="R391" s="8">
        <f t="shared" si="100"/>
        <v>1481472</v>
      </c>
      <c r="S391" s="8">
        <v>0</v>
      </c>
      <c r="T391" s="8">
        <v>0</v>
      </c>
      <c r="U391" s="8">
        <v>1481472</v>
      </c>
      <c r="V391" s="8">
        <v>0</v>
      </c>
      <c r="W391" s="8">
        <v>0</v>
      </c>
      <c r="X391" s="8">
        <v>0</v>
      </c>
      <c r="Y391" s="8">
        <v>2127914.2369229998</v>
      </c>
      <c r="Z391" s="8">
        <v>0</v>
      </c>
      <c r="AA391" s="7">
        <v>1</v>
      </c>
      <c r="AB391" s="8">
        <v>730660.26052799996</v>
      </c>
      <c r="AC391" s="7">
        <v>3</v>
      </c>
      <c r="AD391" s="7" t="s">
        <v>1226</v>
      </c>
      <c r="AE391" s="8">
        <v>740736</v>
      </c>
      <c r="AF391" s="8">
        <v>0</v>
      </c>
      <c r="AG391" s="8">
        <v>740736</v>
      </c>
      <c r="AH391" s="8">
        <v>0</v>
      </c>
      <c r="AI391" s="7" t="s">
        <v>1758</v>
      </c>
      <c r="AJ391" s="7">
        <f t="shared" ca="1" si="101"/>
        <v>1</v>
      </c>
      <c r="AL391" s="96">
        <f t="shared" si="98"/>
        <v>1.317678012894451E-2</v>
      </c>
      <c r="AM391" s="97">
        <f t="shared" si="99"/>
        <v>3.8415627938278921E-2</v>
      </c>
    </row>
    <row r="392" spans="1:39" x14ac:dyDescent="0.3">
      <c r="A392" s="7" t="s">
        <v>2224</v>
      </c>
      <c r="B392" s="7" t="s">
        <v>1768</v>
      </c>
      <c r="C392" s="7" t="s">
        <v>1323</v>
      </c>
      <c r="D392" s="7" t="s">
        <v>1324</v>
      </c>
      <c r="E392" s="7" t="s">
        <v>1322</v>
      </c>
      <c r="F392" s="36">
        <v>43831</v>
      </c>
      <c r="G392" s="36">
        <v>44926</v>
      </c>
      <c r="H392" s="36">
        <v>44926</v>
      </c>
      <c r="I392" s="36">
        <v>44926</v>
      </c>
      <c r="J392" s="7" t="s">
        <v>1696</v>
      </c>
      <c r="K392" s="8">
        <v>0</v>
      </c>
      <c r="L392" s="8">
        <v>0</v>
      </c>
      <c r="M392" s="8">
        <v>1481472</v>
      </c>
      <c r="N392" s="8">
        <v>0</v>
      </c>
      <c r="O392" s="8">
        <v>0</v>
      </c>
      <c r="P392" s="8">
        <v>0</v>
      </c>
      <c r="Q392" s="8">
        <v>0</v>
      </c>
      <c r="R392" s="8">
        <f t="shared" si="100"/>
        <v>1481472</v>
      </c>
      <c r="S392" s="8">
        <v>0</v>
      </c>
      <c r="T392" s="8">
        <v>0</v>
      </c>
      <c r="U392" s="8">
        <v>1481472</v>
      </c>
      <c r="V392" s="8">
        <v>0</v>
      </c>
      <c r="W392" s="8">
        <v>0</v>
      </c>
      <c r="X392" s="8">
        <v>0</v>
      </c>
      <c r="Y392" s="8">
        <v>2127914.2369229998</v>
      </c>
      <c r="Z392" s="8">
        <v>0</v>
      </c>
      <c r="AA392" s="7">
        <v>1</v>
      </c>
      <c r="AB392" s="8">
        <v>730660.26052799996</v>
      </c>
      <c r="AC392" s="7">
        <v>3</v>
      </c>
      <c r="AD392" s="7" t="s">
        <v>1226</v>
      </c>
      <c r="AE392" s="8">
        <v>740736</v>
      </c>
      <c r="AF392" s="8">
        <v>0</v>
      </c>
      <c r="AG392" s="8">
        <v>740736</v>
      </c>
      <c r="AH392" s="8">
        <v>0</v>
      </c>
      <c r="AI392" s="7" t="s">
        <v>1758</v>
      </c>
      <c r="AJ392" s="7">
        <f t="shared" ca="1" si="101"/>
        <v>1</v>
      </c>
      <c r="AL392" s="96">
        <f t="shared" si="98"/>
        <v>1.317678012894451E-2</v>
      </c>
      <c r="AM392" s="97">
        <f t="shared" si="99"/>
        <v>3.8415627938278921E-2</v>
      </c>
    </row>
    <row r="393" spans="1:39" x14ac:dyDescent="0.3">
      <c r="A393" s="7" t="s">
        <v>2225</v>
      </c>
      <c r="B393" s="7" t="s">
        <v>1320</v>
      </c>
      <c r="C393" s="7" t="s">
        <v>1323</v>
      </c>
      <c r="D393" s="7" t="s">
        <v>1324</v>
      </c>
      <c r="E393" s="7" t="s">
        <v>1739</v>
      </c>
      <c r="F393" s="36">
        <v>43374</v>
      </c>
      <c r="G393" s="36">
        <v>44469</v>
      </c>
      <c r="I393" s="36">
        <v>45565</v>
      </c>
      <c r="J393" s="7" t="s">
        <v>1696</v>
      </c>
      <c r="K393" s="8">
        <v>0</v>
      </c>
      <c r="L393" s="8">
        <v>0</v>
      </c>
      <c r="M393" s="8">
        <v>292500</v>
      </c>
      <c r="N393" s="8">
        <v>0</v>
      </c>
      <c r="O393" s="8">
        <v>0</v>
      </c>
      <c r="P393" s="8">
        <v>0</v>
      </c>
      <c r="Q393" s="8">
        <v>0</v>
      </c>
      <c r="R393" s="8">
        <f t="shared" si="100"/>
        <v>292500</v>
      </c>
      <c r="S393" s="8">
        <v>0</v>
      </c>
      <c r="T393" s="8">
        <v>0</v>
      </c>
      <c r="U393" s="8">
        <v>274500</v>
      </c>
      <c r="V393" s="8">
        <v>0</v>
      </c>
      <c r="W393" s="8">
        <v>0</v>
      </c>
      <c r="X393" s="8">
        <v>0</v>
      </c>
      <c r="Y393" s="8">
        <v>492719.87581599999</v>
      </c>
      <c r="Z393" s="8">
        <v>0</v>
      </c>
      <c r="AA393" s="7">
        <v>2.7506849999999998</v>
      </c>
      <c r="AB393" s="8">
        <v>254893.45263000001</v>
      </c>
      <c r="AC393" s="7">
        <v>3</v>
      </c>
      <c r="AD393" s="7" t="s">
        <v>1226</v>
      </c>
      <c r="AE393" s="8">
        <v>265500</v>
      </c>
      <c r="AF393" s="8">
        <v>0</v>
      </c>
      <c r="AG393" s="8">
        <v>265500</v>
      </c>
      <c r="AH393" s="8">
        <v>0</v>
      </c>
      <c r="AI393" s="7" t="s">
        <v>1758</v>
      </c>
      <c r="AJ393" s="7">
        <f t="shared" ca="1" si="101"/>
        <v>1</v>
      </c>
      <c r="AL393" s="96">
        <f t="shared" si="98"/>
        <v>1.2644258064783906E-2</v>
      </c>
      <c r="AM393" s="97">
        <f t="shared" si="99"/>
        <v>1.3769209566718848E-2</v>
      </c>
    </row>
    <row r="394" spans="1:39" x14ac:dyDescent="0.3">
      <c r="A394" s="7" t="s">
        <v>2226</v>
      </c>
      <c r="B394" s="7" t="s">
        <v>1320</v>
      </c>
      <c r="C394" s="7" t="s">
        <v>1323</v>
      </c>
      <c r="D394" s="7" t="s">
        <v>1694</v>
      </c>
      <c r="E394" s="7" t="s">
        <v>1739</v>
      </c>
      <c r="F394" s="36">
        <v>43101</v>
      </c>
      <c r="G394" s="36">
        <v>44196</v>
      </c>
      <c r="I394" s="36">
        <v>45291</v>
      </c>
      <c r="J394" s="7" t="s">
        <v>1696</v>
      </c>
      <c r="K394" s="8">
        <v>0</v>
      </c>
      <c r="L394" s="8">
        <v>0</v>
      </c>
      <c r="M394" s="8">
        <v>30540.181955</v>
      </c>
      <c r="N394" s="8">
        <v>0</v>
      </c>
      <c r="O394" s="8">
        <v>0</v>
      </c>
      <c r="P394" s="8">
        <v>0</v>
      </c>
      <c r="Q394" s="8">
        <v>0</v>
      </c>
      <c r="R394" s="8">
        <f t="shared" si="100"/>
        <v>30540.181955</v>
      </c>
      <c r="S394" s="8">
        <v>0</v>
      </c>
      <c r="T394" s="8">
        <v>0</v>
      </c>
      <c r="U394" s="8">
        <v>50000</v>
      </c>
      <c r="V394" s="8">
        <v>0</v>
      </c>
      <c r="W394" s="8">
        <v>0</v>
      </c>
      <c r="X394" s="8">
        <v>0</v>
      </c>
      <c r="Y394" s="8">
        <v>0</v>
      </c>
      <c r="Z394" s="8">
        <v>48429.101534000001</v>
      </c>
      <c r="AA394" s="7">
        <v>2</v>
      </c>
      <c r="AB394" s="8">
        <v>50000</v>
      </c>
      <c r="AC394" s="7">
        <v>2.920417</v>
      </c>
      <c r="AD394" s="7" t="s">
        <v>1697</v>
      </c>
      <c r="AE394" s="8">
        <v>50000</v>
      </c>
      <c r="AF394" s="8">
        <v>0</v>
      </c>
      <c r="AG394" s="8">
        <v>50000</v>
      </c>
      <c r="AH394" s="8">
        <v>0</v>
      </c>
      <c r="AI394" s="7" t="s">
        <v>1194</v>
      </c>
      <c r="AJ394" s="7">
        <f t="shared" ca="1" si="101"/>
        <v>1</v>
      </c>
      <c r="AL394" s="96">
        <f t="shared" si="98"/>
        <v>1.8034072524243374E-3</v>
      </c>
      <c r="AM394" s="97">
        <f t="shared" si="99"/>
        <v>2.5242833455874675E-3</v>
      </c>
    </row>
    <row r="395" spans="1:39" x14ac:dyDescent="0.3">
      <c r="A395" s="7" t="s">
        <v>2228</v>
      </c>
      <c r="B395" s="7" t="s">
        <v>1320</v>
      </c>
      <c r="C395" s="7" t="s">
        <v>1323</v>
      </c>
      <c r="D395" s="7" t="s">
        <v>1694</v>
      </c>
      <c r="E395" s="7" t="s">
        <v>1739</v>
      </c>
      <c r="F395" s="36">
        <v>43115</v>
      </c>
      <c r="G395" s="36">
        <v>44210</v>
      </c>
      <c r="J395" s="7" t="s">
        <v>1696</v>
      </c>
      <c r="K395" s="8">
        <v>0</v>
      </c>
      <c r="L395" s="8">
        <v>0</v>
      </c>
      <c r="M395" s="8">
        <v>22580.645</v>
      </c>
      <c r="N395" s="8">
        <v>0</v>
      </c>
      <c r="O395" s="8">
        <v>0</v>
      </c>
      <c r="P395" s="8">
        <v>0</v>
      </c>
      <c r="Q395" s="8">
        <v>0</v>
      </c>
      <c r="R395" s="8">
        <f t="shared" si="100"/>
        <v>22580.645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7">
        <v>0</v>
      </c>
      <c r="AB395" s="8">
        <v>0</v>
      </c>
      <c r="AC395" s="7">
        <v>7</v>
      </c>
      <c r="AD395" s="7" t="s">
        <v>1226</v>
      </c>
      <c r="AE395" s="8">
        <v>0</v>
      </c>
      <c r="AF395" s="8">
        <v>0</v>
      </c>
      <c r="AG395" s="8">
        <v>0</v>
      </c>
      <c r="AH395" s="8">
        <v>0</v>
      </c>
      <c r="AI395" s="7" t="s">
        <v>1194</v>
      </c>
      <c r="AJ395" s="7">
        <f t="shared" ca="1" si="101"/>
        <v>1</v>
      </c>
      <c r="AL395" s="96">
        <f t="shared" si="98"/>
        <v>0</v>
      </c>
      <c r="AM395" s="97">
        <f t="shared" si="99"/>
        <v>0</v>
      </c>
    </row>
    <row r="396" spans="1:39" x14ac:dyDescent="0.3">
      <c r="A396" s="7" t="s">
        <v>2228</v>
      </c>
      <c r="B396" s="7" t="s">
        <v>1320</v>
      </c>
      <c r="C396" s="7" t="s">
        <v>1323</v>
      </c>
      <c r="D396" s="7" t="s">
        <v>1694</v>
      </c>
      <c r="E396" s="7" t="s">
        <v>1739</v>
      </c>
      <c r="F396" s="36">
        <v>43115</v>
      </c>
      <c r="G396" s="36">
        <v>44210</v>
      </c>
      <c r="J396" s="7" t="s">
        <v>1699</v>
      </c>
      <c r="K396" s="8">
        <v>0</v>
      </c>
      <c r="L396" s="8">
        <v>0</v>
      </c>
      <c r="M396" s="8">
        <v>0</v>
      </c>
      <c r="N396" s="8">
        <v>577419.35499999998</v>
      </c>
      <c r="O396" s="8">
        <v>0</v>
      </c>
      <c r="P396" s="8">
        <v>0</v>
      </c>
      <c r="Q396" s="8">
        <v>0</v>
      </c>
      <c r="R396" s="8">
        <f t="shared" si="100"/>
        <v>577419.35499999998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7">
        <v>0</v>
      </c>
      <c r="AB396" s="8">
        <v>0</v>
      </c>
      <c r="AC396" s="7">
        <v>7</v>
      </c>
      <c r="AD396" s="7" t="s">
        <v>1226</v>
      </c>
      <c r="AE396" s="8">
        <v>50000</v>
      </c>
      <c r="AF396" s="8">
        <v>0</v>
      </c>
      <c r="AG396" s="8">
        <v>50000</v>
      </c>
      <c r="AH396" s="8">
        <v>0</v>
      </c>
      <c r="AI396" s="7" t="s">
        <v>1194</v>
      </c>
      <c r="AJ396" s="7">
        <f t="shared" ca="1" si="101"/>
        <v>2</v>
      </c>
      <c r="AL396" s="100">
        <f>(+AA396*AB396)/$AB$613</f>
        <v>0</v>
      </c>
      <c r="AM396" s="97">
        <f>AC396/$AE$613*AE396</f>
        <v>0.2556387302191338</v>
      </c>
    </row>
    <row r="397" spans="1:39" x14ac:dyDescent="0.3">
      <c r="A397" s="7" t="s">
        <v>2229</v>
      </c>
      <c r="B397" s="7" t="s">
        <v>1320</v>
      </c>
      <c r="C397" s="7" t="s">
        <v>1323</v>
      </c>
      <c r="D397" s="7" t="s">
        <v>1694</v>
      </c>
      <c r="E397" s="7" t="s">
        <v>1739</v>
      </c>
      <c r="F397" s="36">
        <v>43101</v>
      </c>
      <c r="G397" s="36">
        <v>44196</v>
      </c>
      <c r="I397" s="36">
        <v>45291</v>
      </c>
      <c r="J397" s="7" t="s">
        <v>1696</v>
      </c>
      <c r="K397" s="8">
        <v>0</v>
      </c>
      <c r="L397" s="8">
        <v>0</v>
      </c>
      <c r="M397" s="8">
        <v>43143.936581000002</v>
      </c>
      <c r="N397" s="8">
        <v>0</v>
      </c>
      <c r="O397" s="8">
        <v>0</v>
      </c>
      <c r="P397" s="8">
        <v>0</v>
      </c>
      <c r="Q397" s="8">
        <v>0</v>
      </c>
      <c r="R397" s="8">
        <f t="shared" si="100"/>
        <v>43143.936581000002</v>
      </c>
      <c r="S397" s="8">
        <v>0</v>
      </c>
      <c r="T397" s="8">
        <v>0</v>
      </c>
      <c r="U397" s="8">
        <v>200000</v>
      </c>
      <c r="V397" s="8">
        <v>0</v>
      </c>
      <c r="W397" s="8">
        <v>0</v>
      </c>
      <c r="X397" s="8">
        <v>0</v>
      </c>
      <c r="Y397" s="8">
        <v>0</v>
      </c>
      <c r="Z397" s="8">
        <v>146369.318616</v>
      </c>
      <c r="AA397" s="7">
        <v>2</v>
      </c>
      <c r="AB397" s="8">
        <v>50000.000001</v>
      </c>
      <c r="AC397" s="7">
        <v>2.920417</v>
      </c>
      <c r="AD397" s="7" t="s">
        <v>1697</v>
      </c>
      <c r="AE397" s="8">
        <v>50000</v>
      </c>
      <c r="AF397" s="8">
        <v>0</v>
      </c>
      <c r="AG397" s="8">
        <v>50000</v>
      </c>
      <c r="AH397" s="8">
        <v>0</v>
      </c>
      <c r="AI397" s="7" t="s">
        <v>1194</v>
      </c>
      <c r="AJ397" s="7">
        <f t="shared" ca="1" si="101"/>
        <v>1</v>
      </c>
      <c r="AL397" s="96">
        <f t="shared" ref="AL397:AL411" si="102">(+AA397*AB397)/$AB$612</f>
        <v>1.8034072524604056E-3</v>
      </c>
      <c r="AM397" s="97">
        <f t="shared" ref="AM397:AM411" si="103">AC397/$AE$612*AE397</f>
        <v>2.5242833455874675E-3</v>
      </c>
    </row>
    <row r="398" spans="1:39" x14ac:dyDescent="0.3">
      <c r="A398" s="7" t="s">
        <v>2230</v>
      </c>
      <c r="B398" s="7" t="s">
        <v>1320</v>
      </c>
      <c r="C398" s="7" t="s">
        <v>1323</v>
      </c>
      <c r="D398" s="7" t="s">
        <v>2231</v>
      </c>
      <c r="E398" s="7" t="s">
        <v>1322</v>
      </c>
      <c r="F398" s="36">
        <v>43709</v>
      </c>
      <c r="G398" s="36">
        <v>44681</v>
      </c>
      <c r="H398" s="36">
        <v>44681</v>
      </c>
      <c r="I398" s="36">
        <v>44681</v>
      </c>
      <c r="J398" s="7" t="s">
        <v>1696</v>
      </c>
      <c r="K398" s="8">
        <v>0</v>
      </c>
      <c r="L398" s="8">
        <v>0</v>
      </c>
      <c r="M398" s="8">
        <v>36650.167587281117</v>
      </c>
      <c r="N398" s="8">
        <v>0</v>
      </c>
      <c r="O398" s="8">
        <v>0</v>
      </c>
      <c r="P398" s="8">
        <v>0</v>
      </c>
      <c r="Q398" s="8">
        <v>0</v>
      </c>
      <c r="R398" s="8">
        <f t="shared" si="100"/>
        <v>36650.167587281117</v>
      </c>
      <c r="S398" s="8">
        <v>0</v>
      </c>
      <c r="T398" s="8">
        <v>0</v>
      </c>
      <c r="U398" s="8">
        <v>19939.7933553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7">
        <v>0.32876699999999998</v>
      </c>
      <c r="AB398" s="8">
        <v>6630.4047853624752</v>
      </c>
      <c r="AC398" s="7">
        <v>1.9543330000000001</v>
      </c>
      <c r="AD398" s="7" t="s">
        <v>1226</v>
      </c>
      <c r="AE398" s="8">
        <v>0</v>
      </c>
      <c r="AF398" s="8">
        <v>0</v>
      </c>
      <c r="AG398" s="8">
        <v>0</v>
      </c>
      <c r="AH398" s="8">
        <v>0</v>
      </c>
      <c r="AI398" s="7" t="s">
        <v>1781</v>
      </c>
      <c r="AJ398" s="7">
        <f t="shared" ca="1" si="101"/>
        <v>1</v>
      </c>
      <c r="AL398" s="96">
        <f t="shared" si="102"/>
        <v>3.931172249568227E-5</v>
      </c>
      <c r="AM398" s="97">
        <f t="shared" si="103"/>
        <v>0</v>
      </c>
    </row>
    <row r="399" spans="1:39" x14ac:dyDescent="0.3">
      <c r="A399" s="7" t="s">
        <v>2249</v>
      </c>
      <c r="B399" s="7" t="s">
        <v>1735</v>
      </c>
      <c r="C399" s="7" t="s">
        <v>1323</v>
      </c>
      <c r="D399" s="7" t="s">
        <v>1792</v>
      </c>
      <c r="E399" s="7" t="s">
        <v>1322</v>
      </c>
      <c r="F399" s="36">
        <v>43639</v>
      </c>
      <c r="G399" s="36">
        <v>44734</v>
      </c>
      <c r="H399" s="36">
        <v>44734</v>
      </c>
      <c r="I399" s="36">
        <v>44734</v>
      </c>
      <c r="J399" s="7" t="s">
        <v>1696</v>
      </c>
      <c r="K399" s="8">
        <v>0</v>
      </c>
      <c r="L399" s="8">
        <v>0</v>
      </c>
      <c r="M399" s="8">
        <v>6465.1024200000002</v>
      </c>
      <c r="N399" s="8">
        <v>0</v>
      </c>
      <c r="O399" s="8">
        <v>0</v>
      </c>
      <c r="P399" s="8">
        <v>0</v>
      </c>
      <c r="Q399" s="8">
        <v>0</v>
      </c>
      <c r="R399" s="8">
        <f t="shared" si="100"/>
        <v>6465.1024200000002</v>
      </c>
      <c r="S399" s="8">
        <v>0</v>
      </c>
      <c r="T399" s="8">
        <v>0</v>
      </c>
      <c r="U399" s="8">
        <v>6390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7">
        <v>0.47397299999999998</v>
      </c>
      <c r="AB399" s="8">
        <v>2650.3419720000002</v>
      </c>
      <c r="AC399" s="7">
        <v>2.0299999999999998</v>
      </c>
      <c r="AD399" s="7" t="s">
        <v>1226</v>
      </c>
      <c r="AE399" s="8">
        <v>2662.5</v>
      </c>
      <c r="AF399" s="8">
        <v>0</v>
      </c>
      <c r="AG399" s="8">
        <v>2662.5</v>
      </c>
      <c r="AH399" s="8">
        <v>0</v>
      </c>
      <c r="AI399" s="7" t="s">
        <v>1976</v>
      </c>
      <c r="AJ399" s="7">
        <f t="shared" ca="1" si="101"/>
        <v>1</v>
      </c>
      <c r="AL399" s="96">
        <f t="shared" si="102"/>
        <v>2.265423122138055E-5</v>
      </c>
      <c r="AM399" s="97">
        <f t="shared" si="103"/>
        <v>9.3434848156835577E-5</v>
      </c>
    </row>
    <row r="400" spans="1:39" x14ac:dyDescent="0.3">
      <c r="A400" s="7" t="s">
        <v>2250</v>
      </c>
      <c r="B400" s="7" t="s">
        <v>1320</v>
      </c>
      <c r="C400" s="7" t="s">
        <v>1323</v>
      </c>
      <c r="D400" s="7" t="s">
        <v>1792</v>
      </c>
      <c r="E400" s="7" t="s">
        <v>1322</v>
      </c>
      <c r="F400" s="36">
        <v>43831</v>
      </c>
      <c r="G400" s="36">
        <v>44926</v>
      </c>
      <c r="H400" s="36">
        <v>44926</v>
      </c>
      <c r="I400" s="36">
        <v>44926</v>
      </c>
      <c r="J400" s="7" t="s">
        <v>1696</v>
      </c>
      <c r="K400" s="8">
        <v>0</v>
      </c>
      <c r="L400" s="8">
        <v>0</v>
      </c>
      <c r="M400" s="8">
        <v>13500</v>
      </c>
      <c r="N400" s="8">
        <v>0</v>
      </c>
      <c r="O400" s="8">
        <v>0</v>
      </c>
      <c r="P400" s="8">
        <v>0</v>
      </c>
      <c r="Q400" s="8">
        <v>0</v>
      </c>
      <c r="R400" s="8">
        <f t="shared" si="100"/>
        <v>13500</v>
      </c>
      <c r="S400" s="8">
        <v>0</v>
      </c>
      <c r="T400" s="8">
        <v>0</v>
      </c>
      <c r="U400" s="8">
        <v>13500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7">
        <v>1</v>
      </c>
      <c r="AB400" s="8">
        <v>13375.309077</v>
      </c>
      <c r="AC400" s="7">
        <v>2.0299999999999998</v>
      </c>
      <c r="AD400" s="7" t="s">
        <v>1226</v>
      </c>
      <c r="AE400" s="8">
        <v>13500</v>
      </c>
      <c r="AF400" s="8">
        <v>0</v>
      </c>
      <c r="AG400" s="8">
        <v>13500</v>
      </c>
      <c r="AH400" s="8">
        <v>0</v>
      </c>
      <c r="AI400" s="7" t="s">
        <v>1760</v>
      </c>
      <c r="AJ400" s="7">
        <f t="shared" ca="1" si="101"/>
        <v>1</v>
      </c>
      <c r="AL400" s="96">
        <f t="shared" si="102"/>
        <v>2.4121129392878872E-4</v>
      </c>
      <c r="AM400" s="97">
        <f t="shared" si="103"/>
        <v>4.7375415966846205E-4</v>
      </c>
    </row>
    <row r="401" spans="1:39" x14ac:dyDescent="0.3">
      <c r="A401" s="7" t="s">
        <v>2251</v>
      </c>
      <c r="B401" s="7" t="s">
        <v>1320</v>
      </c>
      <c r="C401" s="7" t="s">
        <v>1323</v>
      </c>
      <c r="D401" s="7" t="s">
        <v>1792</v>
      </c>
      <c r="E401" s="7" t="s">
        <v>1322</v>
      </c>
      <c r="F401" s="36">
        <v>43831</v>
      </c>
      <c r="G401" s="36">
        <v>44926</v>
      </c>
      <c r="H401" s="36">
        <v>44926</v>
      </c>
      <c r="I401" s="36">
        <v>44926</v>
      </c>
      <c r="J401" s="7" t="s">
        <v>1696</v>
      </c>
      <c r="K401" s="8">
        <v>0</v>
      </c>
      <c r="L401" s="8">
        <v>0</v>
      </c>
      <c r="M401" s="8">
        <v>13500</v>
      </c>
      <c r="N401" s="8">
        <v>0</v>
      </c>
      <c r="O401" s="8">
        <v>0</v>
      </c>
      <c r="P401" s="8">
        <v>0</v>
      </c>
      <c r="Q401" s="8">
        <v>0</v>
      </c>
      <c r="R401" s="8">
        <f t="shared" si="100"/>
        <v>13500</v>
      </c>
      <c r="S401" s="8">
        <v>0</v>
      </c>
      <c r="T401" s="8">
        <v>0</v>
      </c>
      <c r="U401" s="8">
        <v>13500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7">
        <v>1</v>
      </c>
      <c r="AB401" s="8">
        <v>13375.309077</v>
      </c>
      <c r="AC401" s="7">
        <v>2.0299999999999998</v>
      </c>
      <c r="AD401" s="7" t="s">
        <v>1226</v>
      </c>
      <c r="AE401" s="8">
        <v>13500</v>
      </c>
      <c r="AF401" s="8">
        <v>0</v>
      </c>
      <c r="AG401" s="8">
        <v>13500</v>
      </c>
      <c r="AH401" s="8">
        <v>0</v>
      </c>
      <c r="AI401" s="7" t="s">
        <v>1760</v>
      </c>
      <c r="AJ401" s="7">
        <f t="shared" ca="1" si="101"/>
        <v>1</v>
      </c>
      <c r="AL401" s="96">
        <f t="shared" si="102"/>
        <v>2.4121129392878872E-4</v>
      </c>
      <c r="AM401" s="97">
        <f t="shared" si="103"/>
        <v>4.7375415966846205E-4</v>
      </c>
    </row>
    <row r="402" spans="1:39" x14ac:dyDescent="0.3">
      <c r="A402" s="7" t="s">
        <v>2252</v>
      </c>
      <c r="B402" s="7" t="s">
        <v>1320</v>
      </c>
      <c r="C402" s="7" t="s">
        <v>1323</v>
      </c>
      <c r="D402" s="7" t="s">
        <v>1792</v>
      </c>
      <c r="E402" s="7" t="s">
        <v>1322</v>
      </c>
      <c r="F402" s="36">
        <v>43831</v>
      </c>
      <c r="G402" s="36">
        <v>44926</v>
      </c>
      <c r="H402" s="36">
        <v>44926</v>
      </c>
      <c r="I402" s="36">
        <v>44926</v>
      </c>
      <c r="J402" s="7" t="s">
        <v>1696</v>
      </c>
      <c r="K402" s="8">
        <v>0</v>
      </c>
      <c r="L402" s="8">
        <v>0</v>
      </c>
      <c r="M402" s="8">
        <v>4500</v>
      </c>
      <c r="N402" s="8">
        <v>0</v>
      </c>
      <c r="O402" s="8">
        <v>0</v>
      </c>
      <c r="P402" s="8">
        <v>0</v>
      </c>
      <c r="Q402" s="8">
        <v>0</v>
      </c>
      <c r="R402" s="8">
        <f t="shared" si="100"/>
        <v>4500</v>
      </c>
      <c r="S402" s="8">
        <v>0</v>
      </c>
      <c r="T402" s="8">
        <v>0</v>
      </c>
      <c r="U402" s="8">
        <v>4500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7">
        <v>1</v>
      </c>
      <c r="AB402" s="8">
        <v>4458.4363590000003</v>
      </c>
      <c r="AC402" s="7">
        <v>2.0299999999999998</v>
      </c>
      <c r="AD402" s="7" t="s">
        <v>1226</v>
      </c>
      <c r="AE402" s="8">
        <v>4500</v>
      </c>
      <c r="AF402" s="8">
        <v>0</v>
      </c>
      <c r="AG402" s="8">
        <v>4500</v>
      </c>
      <c r="AH402" s="8">
        <v>0</v>
      </c>
      <c r="AI402" s="7" t="s">
        <v>1760</v>
      </c>
      <c r="AJ402" s="7">
        <f t="shared" ca="1" si="101"/>
        <v>1</v>
      </c>
      <c r="AL402" s="96">
        <f t="shared" si="102"/>
        <v>8.0403764642929577E-5</v>
      </c>
      <c r="AM402" s="97">
        <f t="shared" si="103"/>
        <v>1.5791805322282068E-4</v>
      </c>
    </row>
    <row r="403" spans="1:39" x14ac:dyDescent="0.3">
      <c r="A403" s="7" t="s">
        <v>2253</v>
      </c>
      <c r="B403" s="7" t="s">
        <v>1320</v>
      </c>
      <c r="C403" s="7" t="s">
        <v>1323</v>
      </c>
      <c r="D403" s="7" t="s">
        <v>1792</v>
      </c>
      <c r="E403" s="7" t="s">
        <v>1322</v>
      </c>
      <c r="F403" s="36">
        <v>43831</v>
      </c>
      <c r="G403" s="36">
        <v>44926</v>
      </c>
      <c r="H403" s="36">
        <v>44926</v>
      </c>
      <c r="I403" s="36">
        <v>44926</v>
      </c>
      <c r="J403" s="7" t="s">
        <v>1696</v>
      </c>
      <c r="K403" s="8">
        <v>0</v>
      </c>
      <c r="L403" s="8">
        <v>0</v>
      </c>
      <c r="M403" s="8">
        <v>4500</v>
      </c>
      <c r="N403" s="8">
        <v>0</v>
      </c>
      <c r="O403" s="8">
        <v>0</v>
      </c>
      <c r="P403" s="8">
        <v>0</v>
      </c>
      <c r="Q403" s="8">
        <v>0</v>
      </c>
      <c r="R403" s="8">
        <f t="shared" si="100"/>
        <v>4500</v>
      </c>
      <c r="S403" s="8">
        <v>0</v>
      </c>
      <c r="T403" s="8">
        <v>0</v>
      </c>
      <c r="U403" s="8">
        <v>4500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7">
        <v>1</v>
      </c>
      <c r="AB403" s="8">
        <v>4458.4363590000003</v>
      </c>
      <c r="AC403" s="7">
        <v>2.0299999999999998</v>
      </c>
      <c r="AD403" s="7" t="s">
        <v>1226</v>
      </c>
      <c r="AE403" s="8">
        <v>4500</v>
      </c>
      <c r="AF403" s="8">
        <v>0</v>
      </c>
      <c r="AG403" s="8">
        <v>4500</v>
      </c>
      <c r="AH403" s="8">
        <v>0</v>
      </c>
      <c r="AI403" s="7" t="s">
        <v>1760</v>
      </c>
      <c r="AJ403" s="7">
        <f t="shared" ca="1" si="101"/>
        <v>1</v>
      </c>
      <c r="AL403" s="96">
        <f t="shared" si="102"/>
        <v>8.0403764642929577E-5</v>
      </c>
      <c r="AM403" s="97">
        <f t="shared" si="103"/>
        <v>1.5791805322282068E-4</v>
      </c>
    </row>
    <row r="404" spans="1:39" x14ac:dyDescent="0.3">
      <c r="A404" s="7" t="s">
        <v>2254</v>
      </c>
      <c r="B404" s="7" t="s">
        <v>1320</v>
      </c>
      <c r="C404" s="7" t="s">
        <v>1323</v>
      </c>
      <c r="D404" s="7" t="s">
        <v>1792</v>
      </c>
      <c r="E404" s="7" t="s">
        <v>1322</v>
      </c>
      <c r="F404" s="36">
        <v>43831</v>
      </c>
      <c r="G404" s="36">
        <v>44926</v>
      </c>
      <c r="H404" s="36">
        <v>44926</v>
      </c>
      <c r="I404" s="36">
        <v>44926</v>
      </c>
      <c r="J404" s="7" t="s">
        <v>1696</v>
      </c>
      <c r="K404" s="8">
        <v>0</v>
      </c>
      <c r="L404" s="8">
        <v>0</v>
      </c>
      <c r="M404" s="8">
        <v>4500</v>
      </c>
      <c r="N404" s="8">
        <v>0</v>
      </c>
      <c r="O404" s="8">
        <v>0</v>
      </c>
      <c r="P404" s="8">
        <v>0</v>
      </c>
      <c r="Q404" s="8">
        <v>0</v>
      </c>
      <c r="R404" s="8">
        <f t="shared" si="100"/>
        <v>4500</v>
      </c>
      <c r="S404" s="8">
        <v>0</v>
      </c>
      <c r="T404" s="8">
        <v>0</v>
      </c>
      <c r="U404" s="8">
        <v>4500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7">
        <v>1</v>
      </c>
      <c r="AB404" s="8">
        <v>4458.4363590000003</v>
      </c>
      <c r="AC404" s="7">
        <v>2.0299999999999998</v>
      </c>
      <c r="AD404" s="7" t="s">
        <v>1226</v>
      </c>
      <c r="AE404" s="8">
        <v>4500</v>
      </c>
      <c r="AF404" s="8">
        <v>0</v>
      </c>
      <c r="AG404" s="8">
        <v>4500</v>
      </c>
      <c r="AH404" s="8">
        <v>0</v>
      </c>
      <c r="AI404" s="7" t="s">
        <v>1760</v>
      </c>
      <c r="AJ404" s="7">
        <f t="shared" ca="1" si="101"/>
        <v>1</v>
      </c>
      <c r="AL404" s="96">
        <f t="shared" si="102"/>
        <v>8.0403764642929577E-5</v>
      </c>
      <c r="AM404" s="97">
        <f t="shared" si="103"/>
        <v>1.5791805322282068E-4</v>
      </c>
    </row>
    <row r="405" spans="1:39" x14ac:dyDescent="0.3">
      <c r="A405" s="7" t="s">
        <v>2255</v>
      </c>
      <c r="B405" s="7" t="s">
        <v>1320</v>
      </c>
      <c r="C405" s="7" t="s">
        <v>1323</v>
      </c>
      <c r="D405" s="7" t="s">
        <v>1792</v>
      </c>
      <c r="E405" s="7" t="s">
        <v>1322</v>
      </c>
      <c r="F405" s="36">
        <v>43831</v>
      </c>
      <c r="G405" s="36">
        <v>44926</v>
      </c>
      <c r="H405" s="36">
        <v>44926</v>
      </c>
      <c r="I405" s="36">
        <v>44926</v>
      </c>
      <c r="J405" s="7" t="s">
        <v>1696</v>
      </c>
      <c r="K405" s="8">
        <v>0</v>
      </c>
      <c r="L405" s="8">
        <v>0</v>
      </c>
      <c r="M405" s="8">
        <v>4500</v>
      </c>
      <c r="N405" s="8">
        <v>0</v>
      </c>
      <c r="O405" s="8">
        <v>0</v>
      </c>
      <c r="P405" s="8">
        <v>299.99998799999997</v>
      </c>
      <c r="Q405" s="8">
        <v>0</v>
      </c>
      <c r="R405" s="8">
        <f t="shared" si="100"/>
        <v>4799.9999879999996</v>
      </c>
      <c r="S405" s="8">
        <v>0</v>
      </c>
      <c r="T405" s="8">
        <v>0</v>
      </c>
      <c r="U405" s="8">
        <v>4500</v>
      </c>
      <c r="V405" s="8">
        <v>0</v>
      </c>
      <c r="W405" s="8">
        <v>299.99998799999997</v>
      </c>
      <c r="X405" s="8">
        <v>0</v>
      </c>
      <c r="Y405" s="8">
        <v>0</v>
      </c>
      <c r="Z405" s="8">
        <v>0</v>
      </c>
      <c r="AA405" s="7">
        <v>1</v>
      </c>
      <c r="AB405" s="8">
        <v>4458.4363590000003</v>
      </c>
      <c r="AC405" s="7">
        <v>2.0299999999999998</v>
      </c>
      <c r="AD405" s="7" t="s">
        <v>1226</v>
      </c>
      <c r="AE405" s="8">
        <v>4500</v>
      </c>
      <c r="AF405" s="8">
        <v>0</v>
      </c>
      <c r="AG405" s="8">
        <v>4500</v>
      </c>
      <c r="AH405" s="8">
        <v>299.99998799999997</v>
      </c>
      <c r="AI405" s="7" t="s">
        <v>1760</v>
      </c>
      <c r="AJ405" s="7">
        <f t="shared" ca="1" si="101"/>
        <v>1</v>
      </c>
      <c r="AL405" s="96">
        <f t="shared" si="102"/>
        <v>8.0403764642929577E-5</v>
      </c>
      <c r="AM405" s="97">
        <f t="shared" si="103"/>
        <v>1.5791805322282068E-4</v>
      </c>
    </row>
    <row r="406" spans="1:39" x14ac:dyDescent="0.3">
      <c r="A406" s="7" t="s">
        <v>2256</v>
      </c>
      <c r="B406" s="7" t="s">
        <v>1320</v>
      </c>
      <c r="C406" s="7" t="s">
        <v>1323</v>
      </c>
      <c r="D406" s="7" t="s">
        <v>1792</v>
      </c>
      <c r="E406" s="7" t="s">
        <v>1322</v>
      </c>
      <c r="F406" s="36">
        <v>43832</v>
      </c>
      <c r="G406" s="36">
        <v>44927</v>
      </c>
      <c r="H406" s="36">
        <v>44927</v>
      </c>
      <c r="I406" s="36">
        <v>44927</v>
      </c>
      <c r="J406" s="7" t="s">
        <v>1696</v>
      </c>
      <c r="K406" s="8">
        <v>0</v>
      </c>
      <c r="L406" s="8">
        <v>0</v>
      </c>
      <c r="M406" s="8">
        <v>4500</v>
      </c>
      <c r="N406" s="8">
        <v>0</v>
      </c>
      <c r="O406" s="8">
        <v>0</v>
      </c>
      <c r="P406" s="8">
        <v>0</v>
      </c>
      <c r="Q406" s="8">
        <v>0</v>
      </c>
      <c r="R406" s="8">
        <f t="shared" si="100"/>
        <v>4500</v>
      </c>
      <c r="S406" s="8">
        <v>0</v>
      </c>
      <c r="T406" s="8">
        <v>0</v>
      </c>
      <c r="U406" s="8">
        <v>4500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7">
        <v>1.00274</v>
      </c>
      <c r="AB406" s="8">
        <v>4458.1934760000004</v>
      </c>
      <c r="AC406" s="7">
        <v>2.0299999999999998</v>
      </c>
      <c r="AD406" s="7" t="s">
        <v>1226</v>
      </c>
      <c r="AE406" s="8">
        <v>4500</v>
      </c>
      <c r="AF406" s="8">
        <v>0</v>
      </c>
      <c r="AG406" s="8">
        <v>4500</v>
      </c>
      <c r="AH406" s="8">
        <v>0</v>
      </c>
      <c r="AI406" s="7" t="s">
        <v>1760</v>
      </c>
      <c r="AJ406" s="7">
        <f t="shared" ca="1" si="101"/>
        <v>1</v>
      </c>
      <c r="AL406" s="96">
        <f t="shared" si="102"/>
        <v>8.0619678786749487E-5</v>
      </c>
      <c r="AM406" s="97">
        <f t="shared" si="103"/>
        <v>1.5791805322282068E-4</v>
      </c>
    </row>
    <row r="407" spans="1:39" x14ac:dyDescent="0.3">
      <c r="A407" s="7" t="s">
        <v>2257</v>
      </c>
      <c r="B407" s="7" t="s">
        <v>1320</v>
      </c>
      <c r="C407" s="7" t="s">
        <v>1323</v>
      </c>
      <c r="D407" s="7" t="s">
        <v>1792</v>
      </c>
      <c r="E407" s="7" t="s">
        <v>1322</v>
      </c>
      <c r="F407" s="36">
        <v>43832</v>
      </c>
      <c r="G407" s="36">
        <v>44927</v>
      </c>
      <c r="H407" s="36">
        <v>44927</v>
      </c>
      <c r="I407" s="36">
        <v>44927</v>
      </c>
      <c r="J407" s="7" t="s">
        <v>1696</v>
      </c>
      <c r="K407" s="8">
        <v>0</v>
      </c>
      <c r="L407" s="8">
        <v>0</v>
      </c>
      <c r="M407" s="8">
        <v>4500</v>
      </c>
      <c r="N407" s="8">
        <v>0</v>
      </c>
      <c r="O407" s="8">
        <v>0</v>
      </c>
      <c r="P407" s="8">
        <v>0</v>
      </c>
      <c r="Q407" s="8">
        <v>0</v>
      </c>
      <c r="R407" s="8">
        <f t="shared" si="100"/>
        <v>4500</v>
      </c>
      <c r="S407" s="8">
        <v>0</v>
      </c>
      <c r="T407" s="8">
        <v>0</v>
      </c>
      <c r="U407" s="8">
        <v>4500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7">
        <v>1.00274</v>
      </c>
      <c r="AB407" s="8">
        <v>4458.1934760000004</v>
      </c>
      <c r="AC407" s="7">
        <v>2.0299999999999998</v>
      </c>
      <c r="AD407" s="7" t="s">
        <v>1226</v>
      </c>
      <c r="AE407" s="8">
        <v>4500</v>
      </c>
      <c r="AF407" s="8">
        <v>0</v>
      </c>
      <c r="AG407" s="8">
        <v>4500</v>
      </c>
      <c r="AH407" s="8">
        <v>0</v>
      </c>
      <c r="AI407" s="7" t="s">
        <v>1760</v>
      </c>
      <c r="AJ407" s="7">
        <f t="shared" ca="1" si="101"/>
        <v>1</v>
      </c>
      <c r="AL407" s="96">
        <f t="shared" si="102"/>
        <v>8.0619678786749487E-5</v>
      </c>
      <c r="AM407" s="97">
        <f t="shared" si="103"/>
        <v>1.5791805322282068E-4</v>
      </c>
    </row>
    <row r="408" spans="1:39" x14ac:dyDescent="0.3">
      <c r="A408" s="7" t="s">
        <v>2258</v>
      </c>
      <c r="B408" s="7" t="s">
        <v>1320</v>
      </c>
      <c r="C408" s="7" t="s">
        <v>1323</v>
      </c>
      <c r="D408" s="7" t="s">
        <v>1792</v>
      </c>
      <c r="E408" s="7" t="s">
        <v>1322</v>
      </c>
      <c r="F408" s="36">
        <v>43832</v>
      </c>
      <c r="G408" s="36">
        <v>44927</v>
      </c>
      <c r="H408" s="36">
        <v>44927</v>
      </c>
      <c r="I408" s="36">
        <v>44927</v>
      </c>
      <c r="J408" s="7" t="s">
        <v>1696</v>
      </c>
      <c r="K408" s="8">
        <v>0</v>
      </c>
      <c r="L408" s="8">
        <v>0</v>
      </c>
      <c r="M408" s="8">
        <v>4500</v>
      </c>
      <c r="N408" s="8">
        <v>0</v>
      </c>
      <c r="O408" s="8">
        <v>0</v>
      </c>
      <c r="P408" s="8">
        <v>0</v>
      </c>
      <c r="Q408" s="8">
        <v>0</v>
      </c>
      <c r="R408" s="8">
        <f t="shared" si="100"/>
        <v>4500</v>
      </c>
      <c r="S408" s="8">
        <v>0</v>
      </c>
      <c r="T408" s="8">
        <v>0</v>
      </c>
      <c r="U408" s="8">
        <v>4500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7">
        <v>1.00274</v>
      </c>
      <c r="AB408" s="8">
        <v>4458.1934760000004</v>
      </c>
      <c r="AC408" s="7">
        <v>2.0299999999999998</v>
      </c>
      <c r="AD408" s="7" t="s">
        <v>1226</v>
      </c>
      <c r="AE408" s="8">
        <v>4500</v>
      </c>
      <c r="AF408" s="8">
        <v>0</v>
      </c>
      <c r="AG408" s="8">
        <v>4500</v>
      </c>
      <c r="AH408" s="8">
        <v>0</v>
      </c>
      <c r="AI408" s="7" t="s">
        <v>1760</v>
      </c>
      <c r="AJ408" s="7">
        <f t="shared" ca="1" si="101"/>
        <v>1</v>
      </c>
      <c r="AL408" s="96">
        <f t="shared" si="102"/>
        <v>8.0619678786749487E-5</v>
      </c>
      <c r="AM408" s="97">
        <f t="shared" si="103"/>
        <v>1.5791805322282068E-4</v>
      </c>
    </row>
    <row r="409" spans="1:39" x14ac:dyDescent="0.3">
      <c r="A409" s="7" t="s">
        <v>2259</v>
      </c>
      <c r="B409" s="7" t="s">
        <v>1320</v>
      </c>
      <c r="C409" s="7" t="s">
        <v>1323</v>
      </c>
      <c r="D409" s="7" t="s">
        <v>1792</v>
      </c>
      <c r="E409" s="7" t="s">
        <v>1322</v>
      </c>
      <c r="F409" s="36">
        <v>43832</v>
      </c>
      <c r="G409" s="36">
        <v>44927</v>
      </c>
      <c r="H409" s="36">
        <v>44927</v>
      </c>
      <c r="I409" s="36">
        <v>44927</v>
      </c>
      <c r="J409" s="7" t="s">
        <v>1696</v>
      </c>
      <c r="K409" s="8">
        <v>0</v>
      </c>
      <c r="L409" s="8">
        <v>0</v>
      </c>
      <c r="M409" s="8">
        <v>4500</v>
      </c>
      <c r="N409" s="8">
        <v>0</v>
      </c>
      <c r="O409" s="8">
        <v>0</v>
      </c>
      <c r="P409" s="8">
        <v>0</v>
      </c>
      <c r="Q409" s="8">
        <v>0</v>
      </c>
      <c r="R409" s="8">
        <f t="shared" si="100"/>
        <v>4500</v>
      </c>
      <c r="S409" s="8">
        <v>0</v>
      </c>
      <c r="T409" s="8">
        <v>0</v>
      </c>
      <c r="U409" s="8">
        <v>4500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7">
        <v>1.00274</v>
      </c>
      <c r="AB409" s="8">
        <v>4458.1934760000004</v>
      </c>
      <c r="AC409" s="7">
        <v>2.0299999999999998</v>
      </c>
      <c r="AD409" s="7" t="s">
        <v>1226</v>
      </c>
      <c r="AE409" s="8">
        <v>4500</v>
      </c>
      <c r="AF409" s="8">
        <v>0</v>
      </c>
      <c r="AG409" s="8">
        <v>4500</v>
      </c>
      <c r="AH409" s="8">
        <v>0</v>
      </c>
      <c r="AI409" s="7" t="s">
        <v>1760</v>
      </c>
      <c r="AJ409" s="7">
        <f t="shared" ca="1" si="101"/>
        <v>1</v>
      </c>
      <c r="AL409" s="96">
        <f t="shared" si="102"/>
        <v>8.0619678786749487E-5</v>
      </c>
      <c r="AM409" s="97">
        <f t="shared" si="103"/>
        <v>1.5791805322282068E-4</v>
      </c>
    </row>
    <row r="410" spans="1:39" x14ac:dyDescent="0.3">
      <c r="A410" s="7" t="s">
        <v>2260</v>
      </c>
      <c r="B410" s="7" t="s">
        <v>1320</v>
      </c>
      <c r="C410" s="7" t="s">
        <v>1323</v>
      </c>
      <c r="D410" s="7" t="s">
        <v>1792</v>
      </c>
      <c r="E410" s="7" t="s">
        <v>1322</v>
      </c>
      <c r="F410" s="36">
        <v>43831</v>
      </c>
      <c r="G410" s="36">
        <v>44926</v>
      </c>
      <c r="H410" s="36">
        <v>44926</v>
      </c>
      <c r="I410" s="36">
        <v>44926</v>
      </c>
      <c r="J410" s="7" t="s">
        <v>1696</v>
      </c>
      <c r="K410" s="8">
        <v>0</v>
      </c>
      <c r="L410" s="8">
        <v>0</v>
      </c>
      <c r="M410" s="8">
        <v>4500</v>
      </c>
      <c r="N410" s="8">
        <v>0</v>
      </c>
      <c r="O410" s="8">
        <v>0</v>
      </c>
      <c r="P410" s="8">
        <v>0</v>
      </c>
      <c r="Q410" s="8">
        <v>0</v>
      </c>
      <c r="R410" s="8">
        <f t="shared" si="100"/>
        <v>4500</v>
      </c>
      <c r="S410" s="8">
        <v>0</v>
      </c>
      <c r="T410" s="8">
        <v>0</v>
      </c>
      <c r="U410" s="8">
        <v>4500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7">
        <v>1</v>
      </c>
      <c r="AB410" s="8">
        <v>4458.4363590000003</v>
      </c>
      <c r="AC410" s="7">
        <v>2.0299999999999998</v>
      </c>
      <c r="AD410" s="7" t="s">
        <v>1226</v>
      </c>
      <c r="AE410" s="8">
        <v>4500</v>
      </c>
      <c r="AF410" s="8">
        <v>0</v>
      </c>
      <c r="AG410" s="8">
        <v>4500</v>
      </c>
      <c r="AH410" s="8">
        <v>0</v>
      </c>
      <c r="AI410" s="7" t="s">
        <v>1760</v>
      </c>
      <c r="AJ410" s="7">
        <f t="shared" ca="1" si="101"/>
        <v>1</v>
      </c>
      <c r="AL410" s="96">
        <f t="shared" si="102"/>
        <v>8.0403764642929577E-5</v>
      </c>
      <c r="AM410" s="97">
        <f t="shared" si="103"/>
        <v>1.5791805322282068E-4</v>
      </c>
    </row>
    <row r="411" spans="1:39" x14ac:dyDescent="0.3">
      <c r="A411" s="7" t="s">
        <v>2261</v>
      </c>
      <c r="B411" s="7" t="s">
        <v>1320</v>
      </c>
      <c r="C411" s="7" t="s">
        <v>1323</v>
      </c>
      <c r="D411" s="7" t="s">
        <v>1792</v>
      </c>
      <c r="E411" s="7" t="s">
        <v>1322</v>
      </c>
      <c r="F411" s="36">
        <v>43831</v>
      </c>
      <c r="G411" s="36">
        <v>44926</v>
      </c>
      <c r="H411" s="36">
        <v>44926</v>
      </c>
      <c r="I411" s="36">
        <v>44926</v>
      </c>
      <c r="J411" s="7" t="s">
        <v>1696</v>
      </c>
      <c r="K411" s="8">
        <v>0</v>
      </c>
      <c r="L411" s="8">
        <v>0</v>
      </c>
      <c r="M411" s="8">
        <v>4500</v>
      </c>
      <c r="N411" s="8">
        <v>0</v>
      </c>
      <c r="O411" s="8">
        <v>0</v>
      </c>
      <c r="P411" s="8">
        <v>0</v>
      </c>
      <c r="Q411" s="8">
        <v>0</v>
      </c>
      <c r="R411" s="8">
        <f t="shared" si="100"/>
        <v>4500</v>
      </c>
      <c r="S411" s="8">
        <v>0</v>
      </c>
      <c r="T411" s="8">
        <v>0</v>
      </c>
      <c r="U411" s="8">
        <v>4500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7">
        <v>1</v>
      </c>
      <c r="AB411" s="8">
        <v>4458.4363590000003</v>
      </c>
      <c r="AC411" s="7">
        <v>2.0299999999999998</v>
      </c>
      <c r="AD411" s="7" t="s">
        <v>1226</v>
      </c>
      <c r="AE411" s="8">
        <v>4500</v>
      </c>
      <c r="AF411" s="8">
        <v>0</v>
      </c>
      <c r="AG411" s="8">
        <v>4500</v>
      </c>
      <c r="AH411" s="8">
        <v>0</v>
      </c>
      <c r="AI411" s="7" t="s">
        <v>1760</v>
      </c>
      <c r="AJ411" s="7">
        <f t="shared" ca="1" si="101"/>
        <v>1</v>
      </c>
      <c r="AL411" s="96">
        <f t="shared" si="102"/>
        <v>8.0403764642929577E-5</v>
      </c>
      <c r="AM411" s="97">
        <f t="shared" si="103"/>
        <v>1.5791805322282068E-4</v>
      </c>
    </row>
    <row r="412" spans="1:39" x14ac:dyDescent="0.3">
      <c r="A412" s="7" t="s">
        <v>2262</v>
      </c>
      <c r="B412" s="7" t="s">
        <v>1320</v>
      </c>
      <c r="C412" s="7" t="s">
        <v>1323</v>
      </c>
      <c r="D412" s="7" t="s">
        <v>1792</v>
      </c>
      <c r="E412" s="7" t="s">
        <v>1322</v>
      </c>
      <c r="F412" s="36">
        <v>43831</v>
      </c>
      <c r="G412" s="36">
        <v>44926</v>
      </c>
      <c r="H412" s="36">
        <v>44926</v>
      </c>
      <c r="I412" s="36">
        <v>44926</v>
      </c>
      <c r="J412" s="7" t="s">
        <v>1239</v>
      </c>
      <c r="K412" s="8">
        <v>4369.5166319999998</v>
      </c>
      <c r="L412" s="8">
        <v>131.08251000000001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f t="shared" si="100"/>
        <v>4500.599142</v>
      </c>
      <c r="S412" s="8">
        <v>0</v>
      </c>
      <c r="T412" s="8">
        <v>138.460779</v>
      </c>
      <c r="U412" s="8">
        <v>0</v>
      </c>
      <c r="V412" s="8">
        <v>4361.539221</v>
      </c>
      <c r="W412" s="8">
        <v>0</v>
      </c>
      <c r="X412" s="8">
        <v>0</v>
      </c>
      <c r="Y412" s="8">
        <v>0</v>
      </c>
      <c r="Z412" s="8">
        <v>0</v>
      </c>
      <c r="AA412" s="7">
        <v>1</v>
      </c>
      <c r="AB412" s="8">
        <v>4450.9069079999999</v>
      </c>
      <c r="AC412" s="7">
        <v>2.0299999999999998</v>
      </c>
      <c r="AD412" s="7" t="s">
        <v>1226</v>
      </c>
      <c r="AE412" s="8">
        <v>4500</v>
      </c>
      <c r="AF412" s="8">
        <v>0</v>
      </c>
      <c r="AG412" s="8">
        <v>4500</v>
      </c>
      <c r="AH412" s="8">
        <v>0</v>
      </c>
      <c r="AI412" s="7" t="s">
        <v>1760</v>
      </c>
      <c r="AJ412" s="7">
        <f t="shared" ca="1" si="101"/>
        <v>1</v>
      </c>
      <c r="AL412" s="96">
        <f t="shared" ref="AL412:AL451" si="104">(+AA412*AB412)/$AB$611</f>
        <v>2.6686290297451403E-5</v>
      </c>
      <c r="AM412" s="97">
        <f t="shared" ref="AM412:AM451" si="105">AC412/$AE$611*AE412</f>
        <v>5.9452111785354647E-5</v>
      </c>
    </row>
    <row r="413" spans="1:39" x14ac:dyDescent="0.3">
      <c r="A413" s="7" t="s">
        <v>2263</v>
      </c>
      <c r="B413" s="7" t="s">
        <v>1320</v>
      </c>
      <c r="C413" s="7" t="s">
        <v>1323</v>
      </c>
      <c r="D413" s="7" t="s">
        <v>1792</v>
      </c>
      <c r="E413" s="7" t="s">
        <v>1322</v>
      </c>
      <c r="F413" s="36">
        <v>43831</v>
      </c>
      <c r="G413" s="36">
        <v>44926</v>
      </c>
      <c r="H413" s="36">
        <v>44926</v>
      </c>
      <c r="I413" s="36">
        <v>44926</v>
      </c>
      <c r="J413" s="7" t="s">
        <v>1696</v>
      </c>
      <c r="K413" s="8">
        <v>0</v>
      </c>
      <c r="L413" s="8">
        <v>0</v>
      </c>
      <c r="M413" s="8">
        <v>4500</v>
      </c>
      <c r="N413" s="8">
        <v>0</v>
      </c>
      <c r="O413" s="8">
        <v>0</v>
      </c>
      <c r="P413" s="8">
        <v>0</v>
      </c>
      <c r="Q413" s="8">
        <v>0</v>
      </c>
      <c r="R413" s="8">
        <f t="shared" si="100"/>
        <v>4500</v>
      </c>
      <c r="S413" s="8">
        <v>0</v>
      </c>
      <c r="T413" s="8">
        <v>0</v>
      </c>
      <c r="U413" s="8">
        <v>4500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7">
        <v>1</v>
      </c>
      <c r="AB413" s="8">
        <v>4458.4363590000003</v>
      </c>
      <c r="AC413" s="7">
        <v>2.0299999999999998</v>
      </c>
      <c r="AD413" s="7" t="s">
        <v>1226</v>
      </c>
      <c r="AE413" s="8">
        <v>4500</v>
      </c>
      <c r="AF413" s="8">
        <v>0</v>
      </c>
      <c r="AG413" s="8">
        <v>4500</v>
      </c>
      <c r="AH413" s="8">
        <v>0</v>
      </c>
      <c r="AI413" s="7" t="s">
        <v>1760</v>
      </c>
      <c r="AJ413" s="7">
        <f t="shared" ca="1" si="101"/>
        <v>1</v>
      </c>
      <c r="AL413" s="96">
        <f t="shared" ref="AL413:AL434" si="106">(+AA413*AB413)/$AB$612</f>
        <v>8.0403764642929577E-5</v>
      </c>
      <c r="AM413" s="97">
        <f t="shared" ref="AM413:AM434" si="107">AC413/$AE$612*AE413</f>
        <v>1.5791805322282068E-4</v>
      </c>
    </row>
    <row r="414" spans="1:39" x14ac:dyDescent="0.3">
      <c r="A414" s="7" t="s">
        <v>2264</v>
      </c>
      <c r="B414" s="7" t="s">
        <v>1320</v>
      </c>
      <c r="C414" s="7" t="s">
        <v>1323</v>
      </c>
      <c r="D414" s="7" t="s">
        <v>1792</v>
      </c>
      <c r="E414" s="7" t="s">
        <v>1322</v>
      </c>
      <c r="F414" s="36">
        <v>43831</v>
      </c>
      <c r="G414" s="36">
        <v>44926</v>
      </c>
      <c r="H414" s="36">
        <v>44926</v>
      </c>
      <c r="I414" s="36">
        <v>44926</v>
      </c>
      <c r="J414" s="7" t="s">
        <v>1696</v>
      </c>
      <c r="K414" s="8">
        <v>0</v>
      </c>
      <c r="L414" s="8">
        <v>0</v>
      </c>
      <c r="M414" s="8">
        <v>4500</v>
      </c>
      <c r="N414" s="8">
        <v>0</v>
      </c>
      <c r="O414" s="8">
        <v>0</v>
      </c>
      <c r="P414" s="8">
        <v>0</v>
      </c>
      <c r="Q414" s="8">
        <v>0</v>
      </c>
      <c r="R414" s="8">
        <f t="shared" si="100"/>
        <v>4500</v>
      </c>
      <c r="S414" s="8">
        <v>0</v>
      </c>
      <c r="T414" s="8">
        <v>0</v>
      </c>
      <c r="U414" s="8">
        <v>4500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7">
        <v>1</v>
      </c>
      <c r="AB414" s="8">
        <v>4459.8594929999999</v>
      </c>
      <c r="AC414" s="7">
        <v>1.96</v>
      </c>
      <c r="AD414" s="7" t="s">
        <v>1226</v>
      </c>
      <c r="AE414" s="8">
        <v>4500</v>
      </c>
      <c r="AF414" s="8">
        <v>0</v>
      </c>
      <c r="AG414" s="8">
        <v>4500</v>
      </c>
      <c r="AH414" s="8">
        <v>0</v>
      </c>
      <c r="AI414" s="7" t="s">
        <v>1760</v>
      </c>
      <c r="AJ414" s="7">
        <f t="shared" ca="1" si="101"/>
        <v>1</v>
      </c>
      <c r="AL414" s="96">
        <f t="shared" si="106"/>
        <v>8.0429429544697282E-5</v>
      </c>
      <c r="AM414" s="97">
        <f t="shared" si="107"/>
        <v>1.5247260311168894E-4</v>
      </c>
    </row>
    <row r="415" spans="1:39" x14ac:dyDescent="0.3">
      <c r="A415" s="7" t="s">
        <v>2265</v>
      </c>
      <c r="B415" s="7" t="s">
        <v>1320</v>
      </c>
      <c r="C415" s="7" t="s">
        <v>1323</v>
      </c>
      <c r="D415" s="7" t="s">
        <v>1792</v>
      </c>
      <c r="E415" s="7" t="s">
        <v>1322</v>
      </c>
      <c r="F415" s="36">
        <v>43831</v>
      </c>
      <c r="G415" s="36">
        <v>44926</v>
      </c>
      <c r="H415" s="36">
        <v>44926</v>
      </c>
      <c r="I415" s="36">
        <v>44926</v>
      </c>
      <c r="J415" s="7" t="s">
        <v>1696</v>
      </c>
      <c r="K415" s="8">
        <v>0</v>
      </c>
      <c r="L415" s="8">
        <v>0</v>
      </c>
      <c r="M415" s="8">
        <v>4500</v>
      </c>
      <c r="N415" s="8">
        <v>0</v>
      </c>
      <c r="O415" s="8">
        <v>0</v>
      </c>
      <c r="P415" s="8">
        <v>0</v>
      </c>
      <c r="Q415" s="8">
        <v>0</v>
      </c>
      <c r="R415" s="8">
        <f t="shared" si="100"/>
        <v>4500</v>
      </c>
      <c r="S415" s="8">
        <v>0</v>
      </c>
      <c r="T415" s="8">
        <v>0</v>
      </c>
      <c r="U415" s="8">
        <v>4500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7">
        <v>1</v>
      </c>
      <c r="AB415" s="8">
        <v>4458.4363590000003</v>
      </c>
      <c r="AC415" s="7">
        <v>1.96</v>
      </c>
      <c r="AD415" s="7" t="s">
        <v>1226</v>
      </c>
      <c r="AE415" s="8">
        <v>4500</v>
      </c>
      <c r="AF415" s="8">
        <v>0</v>
      </c>
      <c r="AG415" s="8">
        <v>4500</v>
      </c>
      <c r="AH415" s="8">
        <v>0</v>
      </c>
      <c r="AI415" s="7" t="s">
        <v>1760</v>
      </c>
      <c r="AJ415" s="7">
        <f t="shared" ca="1" si="101"/>
        <v>1</v>
      </c>
      <c r="AL415" s="96">
        <f t="shared" si="106"/>
        <v>8.0403764642929577E-5</v>
      </c>
      <c r="AM415" s="97">
        <f t="shared" si="107"/>
        <v>1.5247260311168894E-4</v>
      </c>
    </row>
    <row r="416" spans="1:39" x14ac:dyDescent="0.3">
      <c r="A416" s="7" t="s">
        <v>2266</v>
      </c>
      <c r="B416" s="7" t="s">
        <v>1320</v>
      </c>
      <c r="C416" s="7" t="s">
        <v>1323</v>
      </c>
      <c r="D416" s="7" t="s">
        <v>1792</v>
      </c>
      <c r="E416" s="7" t="s">
        <v>1322</v>
      </c>
      <c r="F416" s="36">
        <v>43831</v>
      </c>
      <c r="G416" s="36">
        <v>44926</v>
      </c>
      <c r="H416" s="36">
        <v>44926</v>
      </c>
      <c r="I416" s="36">
        <v>44926</v>
      </c>
      <c r="J416" s="7" t="s">
        <v>1696</v>
      </c>
      <c r="K416" s="8">
        <v>0</v>
      </c>
      <c r="L416" s="8">
        <v>0</v>
      </c>
      <c r="M416" s="8">
        <v>4500</v>
      </c>
      <c r="N416" s="8">
        <v>0</v>
      </c>
      <c r="O416" s="8">
        <v>0</v>
      </c>
      <c r="P416" s="8">
        <v>0</v>
      </c>
      <c r="Q416" s="8">
        <v>0</v>
      </c>
      <c r="R416" s="8">
        <f t="shared" si="100"/>
        <v>4500</v>
      </c>
      <c r="S416" s="8">
        <v>0</v>
      </c>
      <c r="T416" s="8">
        <v>0</v>
      </c>
      <c r="U416" s="8">
        <v>4500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7">
        <v>1</v>
      </c>
      <c r="AB416" s="8">
        <v>4458.4363590000003</v>
      </c>
      <c r="AC416" s="7">
        <v>2.0299999999999998</v>
      </c>
      <c r="AD416" s="7" t="s">
        <v>1226</v>
      </c>
      <c r="AE416" s="8">
        <v>4500</v>
      </c>
      <c r="AF416" s="8">
        <v>0</v>
      </c>
      <c r="AG416" s="8">
        <v>4500</v>
      </c>
      <c r="AH416" s="8">
        <v>0</v>
      </c>
      <c r="AI416" s="7" t="s">
        <v>1760</v>
      </c>
      <c r="AJ416" s="7">
        <f t="shared" ca="1" si="101"/>
        <v>1</v>
      </c>
      <c r="AL416" s="96">
        <f t="shared" si="106"/>
        <v>8.0403764642929577E-5</v>
      </c>
      <c r="AM416" s="97">
        <f t="shared" si="107"/>
        <v>1.5791805322282068E-4</v>
      </c>
    </row>
    <row r="417" spans="1:39" x14ac:dyDescent="0.3">
      <c r="A417" s="7" t="s">
        <v>2267</v>
      </c>
      <c r="B417" s="7" t="s">
        <v>1320</v>
      </c>
      <c r="C417" s="7" t="s">
        <v>1323</v>
      </c>
      <c r="D417" s="7" t="s">
        <v>1792</v>
      </c>
      <c r="E417" s="7" t="s">
        <v>1322</v>
      </c>
      <c r="F417" s="36">
        <v>43831</v>
      </c>
      <c r="G417" s="36">
        <v>44926</v>
      </c>
      <c r="H417" s="36">
        <v>44926</v>
      </c>
      <c r="I417" s="36">
        <v>44926</v>
      </c>
      <c r="J417" s="7" t="s">
        <v>1696</v>
      </c>
      <c r="K417" s="8">
        <v>0</v>
      </c>
      <c r="L417" s="8">
        <v>0</v>
      </c>
      <c r="M417" s="8">
        <v>4500</v>
      </c>
      <c r="N417" s="8">
        <v>0</v>
      </c>
      <c r="O417" s="8">
        <v>0</v>
      </c>
      <c r="P417" s="8">
        <v>0</v>
      </c>
      <c r="Q417" s="8">
        <v>0</v>
      </c>
      <c r="R417" s="8">
        <f t="shared" si="100"/>
        <v>4500</v>
      </c>
      <c r="S417" s="8">
        <v>0</v>
      </c>
      <c r="T417" s="8">
        <v>0</v>
      </c>
      <c r="U417" s="8">
        <v>4500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7">
        <v>1</v>
      </c>
      <c r="AB417" s="8">
        <v>4458.4363590000003</v>
      </c>
      <c r="AC417" s="7">
        <v>2.0299999999999998</v>
      </c>
      <c r="AD417" s="7" t="s">
        <v>1226</v>
      </c>
      <c r="AE417" s="8">
        <v>4500</v>
      </c>
      <c r="AF417" s="8">
        <v>0</v>
      </c>
      <c r="AG417" s="8">
        <v>4500</v>
      </c>
      <c r="AH417" s="8">
        <v>0</v>
      </c>
      <c r="AI417" s="7" t="s">
        <v>1760</v>
      </c>
      <c r="AJ417" s="7">
        <f t="shared" ca="1" si="101"/>
        <v>1</v>
      </c>
      <c r="AL417" s="96">
        <f t="shared" si="106"/>
        <v>8.0403764642929577E-5</v>
      </c>
      <c r="AM417" s="97">
        <f t="shared" si="107"/>
        <v>1.5791805322282068E-4</v>
      </c>
    </row>
    <row r="418" spans="1:39" x14ac:dyDescent="0.3">
      <c r="A418" s="7" t="s">
        <v>2268</v>
      </c>
      <c r="B418" s="7" t="s">
        <v>1320</v>
      </c>
      <c r="C418" s="7" t="s">
        <v>1323</v>
      </c>
      <c r="D418" s="7" t="s">
        <v>1792</v>
      </c>
      <c r="E418" s="7" t="s">
        <v>1322</v>
      </c>
      <c r="F418" s="36">
        <v>43831</v>
      </c>
      <c r="G418" s="36">
        <v>44926</v>
      </c>
      <c r="H418" s="36">
        <v>44926</v>
      </c>
      <c r="I418" s="36">
        <v>44926</v>
      </c>
      <c r="J418" s="7" t="s">
        <v>1696</v>
      </c>
      <c r="K418" s="8">
        <v>0</v>
      </c>
      <c r="L418" s="8">
        <v>0</v>
      </c>
      <c r="M418" s="8">
        <v>4500</v>
      </c>
      <c r="N418" s="8">
        <v>0</v>
      </c>
      <c r="O418" s="8">
        <v>0</v>
      </c>
      <c r="P418" s="8">
        <v>0</v>
      </c>
      <c r="Q418" s="8">
        <v>0</v>
      </c>
      <c r="R418" s="8">
        <f t="shared" si="100"/>
        <v>4500</v>
      </c>
      <c r="S418" s="8">
        <v>0</v>
      </c>
      <c r="T418" s="8">
        <v>0</v>
      </c>
      <c r="U418" s="8">
        <v>4500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7">
        <v>1</v>
      </c>
      <c r="AB418" s="8">
        <v>4458.4363590000003</v>
      </c>
      <c r="AC418" s="7">
        <v>2.0299999999999998</v>
      </c>
      <c r="AD418" s="7" t="s">
        <v>1226</v>
      </c>
      <c r="AE418" s="8">
        <v>4500</v>
      </c>
      <c r="AF418" s="8">
        <v>0</v>
      </c>
      <c r="AG418" s="8">
        <v>4500</v>
      </c>
      <c r="AH418" s="8">
        <v>0</v>
      </c>
      <c r="AI418" s="7" t="s">
        <v>1760</v>
      </c>
      <c r="AJ418" s="7">
        <f t="shared" ca="1" si="101"/>
        <v>1</v>
      </c>
      <c r="AL418" s="96">
        <f t="shared" si="106"/>
        <v>8.0403764642929577E-5</v>
      </c>
      <c r="AM418" s="97">
        <f t="shared" si="107"/>
        <v>1.5791805322282068E-4</v>
      </c>
    </row>
    <row r="419" spans="1:39" x14ac:dyDescent="0.3">
      <c r="A419" s="7" t="s">
        <v>2269</v>
      </c>
      <c r="B419" s="7" t="s">
        <v>1320</v>
      </c>
      <c r="C419" s="7" t="s">
        <v>1323</v>
      </c>
      <c r="D419" s="7" t="s">
        <v>1792</v>
      </c>
      <c r="E419" s="7" t="s">
        <v>1322</v>
      </c>
      <c r="F419" s="36">
        <v>43831</v>
      </c>
      <c r="G419" s="36">
        <v>44926</v>
      </c>
      <c r="H419" s="36">
        <v>44926</v>
      </c>
      <c r="I419" s="36">
        <v>44926</v>
      </c>
      <c r="J419" s="7" t="s">
        <v>1696</v>
      </c>
      <c r="K419" s="8">
        <v>0</v>
      </c>
      <c r="L419" s="8">
        <v>0</v>
      </c>
      <c r="M419" s="8">
        <v>4500</v>
      </c>
      <c r="N419" s="8">
        <v>0</v>
      </c>
      <c r="O419" s="8">
        <v>0</v>
      </c>
      <c r="P419" s="8">
        <v>0</v>
      </c>
      <c r="Q419" s="8">
        <v>0</v>
      </c>
      <c r="R419" s="8">
        <f t="shared" si="100"/>
        <v>4500</v>
      </c>
      <c r="S419" s="8">
        <v>0</v>
      </c>
      <c r="T419" s="8">
        <v>0</v>
      </c>
      <c r="U419" s="8">
        <v>4500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7">
        <v>1</v>
      </c>
      <c r="AB419" s="8">
        <v>4458.4363590000003</v>
      </c>
      <c r="AC419" s="7">
        <v>2.0299999999999998</v>
      </c>
      <c r="AD419" s="7" t="s">
        <v>1226</v>
      </c>
      <c r="AE419" s="8">
        <v>4500</v>
      </c>
      <c r="AF419" s="8">
        <v>0</v>
      </c>
      <c r="AG419" s="8">
        <v>4500</v>
      </c>
      <c r="AH419" s="8">
        <v>0</v>
      </c>
      <c r="AI419" s="7" t="s">
        <v>1760</v>
      </c>
      <c r="AJ419" s="7">
        <f t="shared" ca="1" si="101"/>
        <v>1</v>
      </c>
      <c r="AL419" s="96">
        <f t="shared" si="106"/>
        <v>8.0403764642929577E-5</v>
      </c>
      <c r="AM419" s="97">
        <f t="shared" si="107"/>
        <v>1.5791805322282068E-4</v>
      </c>
    </row>
    <row r="420" spans="1:39" x14ac:dyDescent="0.3">
      <c r="A420" s="7" t="s">
        <v>2270</v>
      </c>
      <c r="B420" s="7" t="s">
        <v>1320</v>
      </c>
      <c r="C420" s="7" t="s">
        <v>1323</v>
      </c>
      <c r="D420" s="7" t="s">
        <v>1792</v>
      </c>
      <c r="E420" s="7" t="s">
        <v>1322</v>
      </c>
      <c r="F420" s="36">
        <v>43831</v>
      </c>
      <c r="G420" s="36">
        <v>44926</v>
      </c>
      <c r="H420" s="36">
        <v>44926</v>
      </c>
      <c r="I420" s="36">
        <v>44926</v>
      </c>
      <c r="J420" s="7" t="s">
        <v>1696</v>
      </c>
      <c r="K420" s="8">
        <v>0</v>
      </c>
      <c r="L420" s="8">
        <v>0</v>
      </c>
      <c r="M420" s="8">
        <v>4500</v>
      </c>
      <c r="N420" s="8">
        <v>0</v>
      </c>
      <c r="O420" s="8">
        <v>0</v>
      </c>
      <c r="P420" s="8">
        <v>0</v>
      </c>
      <c r="Q420" s="8">
        <v>0</v>
      </c>
      <c r="R420" s="8">
        <f t="shared" si="100"/>
        <v>4500</v>
      </c>
      <c r="S420" s="8">
        <v>0</v>
      </c>
      <c r="T420" s="8">
        <v>0</v>
      </c>
      <c r="U420" s="8">
        <v>4500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7">
        <v>1</v>
      </c>
      <c r="AB420" s="8">
        <v>4458.4363590000003</v>
      </c>
      <c r="AC420" s="7">
        <v>2.0299999999999998</v>
      </c>
      <c r="AD420" s="7" t="s">
        <v>1226</v>
      </c>
      <c r="AE420" s="8">
        <v>4500</v>
      </c>
      <c r="AF420" s="8">
        <v>0</v>
      </c>
      <c r="AG420" s="8">
        <v>4500</v>
      </c>
      <c r="AH420" s="8">
        <v>0</v>
      </c>
      <c r="AI420" s="7" t="s">
        <v>1760</v>
      </c>
      <c r="AJ420" s="7">
        <f t="shared" ca="1" si="101"/>
        <v>1</v>
      </c>
      <c r="AL420" s="96">
        <f t="shared" si="106"/>
        <v>8.0403764642929577E-5</v>
      </c>
      <c r="AM420" s="97">
        <f t="shared" si="107"/>
        <v>1.5791805322282068E-4</v>
      </c>
    </row>
    <row r="421" spans="1:39" x14ac:dyDescent="0.3">
      <c r="A421" s="7" t="s">
        <v>2271</v>
      </c>
      <c r="B421" s="7" t="s">
        <v>1320</v>
      </c>
      <c r="C421" s="7" t="s">
        <v>1323</v>
      </c>
      <c r="D421" s="7" t="s">
        <v>1792</v>
      </c>
      <c r="E421" s="7" t="s">
        <v>1322</v>
      </c>
      <c r="F421" s="36">
        <v>43831</v>
      </c>
      <c r="G421" s="36">
        <v>44926</v>
      </c>
      <c r="H421" s="36">
        <v>44926</v>
      </c>
      <c r="I421" s="36">
        <v>44926</v>
      </c>
      <c r="J421" s="7" t="s">
        <v>1696</v>
      </c>
      <c r="K421" s="8">
        <v>0</v>
      </c>
      <c r="L421" s="8">
        <v>0</v>
      </c>
      <c r="M421" s="8">
        <v>4500</v>
      </c>
      <c r="N421" s="8">
        <v>0</v>
      </c>
      <c r="O421" s="8">
        <v>0</v>
      </c>
      <c r="P421" s="8">
        <v>0</v>
      </c>
      <c r="Q421" s="8">
        <v>0</v>
      </c>
      <c r="R421" s="8">
        <f t="shared" si="100"/>
        <v>4500</v>
      </c>
      <c r="S421" s="8">
        <v>0</v>
      </c>
      <c r="T421" s="8">
        <v>0</v>
      </c>
      <c r="U421" s="8">
        <v>4500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7">
        <v>1</v>
      </c>
      <c r="AB421" s="8">
        <v>4458.4363590000003</v>
      </c>
      <c r="AC421" s="7">
        <v>2.0299999999999998</v>
      </c>
      <c r="AD421" s="7" t="s">
        <v>1226</v>
      </c>
      <c r="AE421" s="8">
        <v>4500</v>
      </c>
      <c r="AF421" s="8">
        <v>0</v>
      </c>
      <c r="AG421" s="8">
        <v>4500</v>
      </c>
      <c r="AH421" s="8">
        <v>0</v>
      </c>
      <c r="AI421" s="7" t="s">
        <v>1781</v>
      </c>
      <c r="AJ421" s="7">
        <f t="shared" ca="1" si="101"/>
        <v>1</v>
      </c>
      <c r="AL421" s="96">
        <f t="shared" si="106"/>
        <v>8.0403764642929577E-5</v>
      </c>
      <c r="AM421" s="97">
        <f t="shared" si="107"/>
        <v>1.5791805322282068E-4</v>
      </c>
    </row>
    <row r="422" spans="1:39" x14ac:dyDescent="0.3">
      <c r="A422" s="7" t="s">
        <v>2272</v>
      </c>
      <c r="B422" s="7" t="s">
        <v>1320</v>
      </c>
      <c r="C422" s="7" t="s">
        <v>1323</v>
      </c>
      <c r="D422" s="7" t="s">
        <v>1792</v>
      </c>
      <c r="E422" s="7" t="s">
        <v>1322</v>
      </c>
      <c r="F422" s="36">
        <v>44378</v>
      </c>
      <c r="G422" s="36">
        <v>45473</v>
      </c>
      <c r="H422" s="36">
        <v>45473</v>
      </c>
      <c r="I422" s="36">
        <v>45473</v>
      </c>
      <c r="J422" s="7" t="s">
        <v>1696</v>
      </c>
      <c r="K422" s="8">
        <v>0</v>
      </c>
      <c r="L422" s="8">
        <v>0</v>
      </c>
      <c r="M422" s="8">
        <v>6750</v>
      </c>
      <c r="N422" s="8">
        <v>0</v>
      </c>
      <c r="O422" s="8">
        <v>0</v>
      </c>
      <c r="P422" s="8">
        <v>0</v>
      </c>
      <c r="Q422" s="8">
        <v>0</v>
      </c>
      <c r="R422" s="8">
        <f t="shared" si="100"/>
        <v>6750</v>
      </c>
      <c r="S422" s="8">
        <v>0</v>
      </c>
      <c r="T422" s="8">
        <v>0</v>
      </c>
      <c r="U422" s="8">
        <v>6750</v>
      </c>
      <c r="V422" s="8">
        <v>0</v>
      </c>
      <c r="W422" s="8">
        <v>0</v>
      </c>
      <c r="X422" s="8">
        <v>0</v>
      </c>
      <c r="Y422" s="8">
        <v>38781.485172000001</v>
      </c>
      <c r="Z422" s="8">
        <v>0</v>
      </c>
      <c r="AA422" s="7">
        <v>2.4986299999999999</v>
      </c>
      <c r="AB422" s="8">
        <v>32557.546151999999</v>
      </c>
      <c r="AC422" s="7">
        <v>3</v>
      </c>
      <c r="AD422" s="7" t="s">
        <v>1226</v>
      </c>
      <c r="AE422" s="8">
        <v>33750</v>
      </c>
      <c r="AF422" s="8">
        <v>0</v>
      </c>
      <c r="AG422" s="8">
        <v>33750</v>
      </c>
      <c r="AH422" s="8">
        <v>0</v>
      </c>
      <c r="AI422" s="7" t="s">
        <v>1760</v>
      </c>
      <c r="AJ422" s="7">
        <f t="shared" ca="1" si="101"/>
        <v>1</v>
      </c>
      <c r="AL422" s="96">
        <f t="shared" si="106"/>
        <v>1.4670584824379544E-3</v>
      </c>
      <c r="AM422" s="97">
        <f t="shared" si="107"/>
        <v>1.7503232500066333E-3</v>
      </c>
    </row>
    <row r="423" spans="1:39" x14ac:dyDescent="0.3">
      <c r="A423" s="7" t="s">
        <v>2273</v>
      </c>
      <c r="B423" s="7" t="s">
        <v>1320</v>
      </c>
      <c r="C423" s="7" t="s">
        <v>1323</v>
      </c>
      <c r="D423" s="7" t="s">
        <v>1792</v>
      </c>
      <c r="E423" s="7" t="s">
        <v>1322</v>
      </c>
      <c r="F423" s="36">
        <v>44378</v>
      </c>
      <c r="G423" s="36">
        <v>45473</v>
      </c>
      <c r="H423" s="36">
        <v>45473</v>
      </c>
      <c r="I423" s="36">
        <v>45473</v>
      </c>
      <c r="J423" s="7" t="s">
        <v>1696</v>
      </c>
      <c r="K423" s="8">
        <v>0</v>
      </c>
      <c r="L423" s="8">
        <v>0</v>
      </c>
      <c r="M423" s="8">
        <v>2250</v>
      </c>
      <c r="N423" s="8">
        <v>0</v>
      </c>
      <c r="O423" s="8">
        <v>0</v>
      </c>
      <c r="P423" s="8">
        <v>0</v>
      </c>
      <c r="Q423" s="8">
        <v>0</v>
      </c>
      <c r="R423" s="8">
        <f t="shared" si="100"/>
        <v>2250</v>
      </c>
      <c r="S423" s="8">
        <v>0</v>
      </c>
      <c r="T423" s="8">
        <v>0</v>
      </c>
      <c r="U423" s="8">
        <v>2250</v>
      </c>
      <c r="V423" s="8">
        <v>0</v>
      </c>
      <c r="W423" s="8">
        <v>0</v>
      </c>
      <c r="X423" s="8">
        <v>0</v>
      </c>
      <c r="Y423" s="8">
        <v>12927.161724</v>
      </c>
      <c r="Z423" s="8">
        <v>0</v>
      </c>
      <c r="AA423" s="7">
        <v>2.4986299999999999</v>
      </c>
      <c r="AB423" s="8">
        <v>10852.515384</v>
      </c>
      <c r="AC423" s="7">
        <v>3</v>
      </c>
      <c r="AD423" s="7" t="s">
        <v>1226</v>
      </c>
      <c r="AE423" s="8">
        <v>11250</v>
      </c>
      <c r="AF423" s="8">
        <v>0</v>
      </c>
      <c r="AG423" s="8">
        <v>11250</v>
      </c>
      <c r="AH423" s="8">
        <v>0</v>
      </c>
      <c r="AI423" s="7" t="s">
        <v>1760</v>
      </c>
      <c r="AJ423" s="7">
        <f t="shared" ca="1" si="101"/>
        <v>1</v>
      </c>
      <c r="AL423" s="96">
        <f t="shared" si="106"/>
        <v>4.8901949414598481E-4</v>
      </c>
      <c r="AM423" s="97">
        <f t="shared" si="107"/>
        <v>5.8344108333554438E-4</v>
      </c>
    </row>
    <row r="424" spans="1:39" x14ac:dyDescent="0.3">
      <c r="A424" s="7" t="s">
        <v>2274</v>
      </c>
      <c r="B424" s="7" t="s">
        <v>1320</v>
      </c>
      <c r="C424" s="7" t="s">
        <v>1323</v>
      </c>
      <c r="D424" s="7" t="s">
        <v>1792</v>
      </c>
      <c r="E424" s="7" t="s">
        <v>1322</v>
      </c>
      <c r="F424" s="36">
        <v>44378</v>
      </c>
      <c r="G424" s="36">
        <v>45473</v>
      </c>
      <c r="H424" s="36">
        <v>45473</v>
      </c>
      <c r="I424" s="36">
        <v>45473</v>
      </c>
      <c r="J424" s="7" t="s">
        <v>1696</v>
      </c>
      <c r="K424" s="8">
        <v>0</v>
      </c>
      <c r="L424" s="8">
        <v>0</v>
      </c>
      <c r="M424" s="8">
        <v>2250</v>
      </c>
      <c r="N424" s="8">
        <v>0</v>
      </c>
      <c r="O424" s="8">
        <v>0</v>
      </c>
      <c r="P424" s="8">
        <v>0</v>
      </c>
      <c r="Q424" s="8">
        <v>0</v>
      </c>
      <c r="R424" s="8">
        <f t="shared" si="100"/>
        <v>2250</v>
      </c>
      <c r="S424" s="8">
        <v>0</v>
      </c>
      <c r="T424" s="8">
        <v>0</v>
      </c>
      <c r="U424" s="8">
        <v>2250</v>
      </c>
      <c r="V424" s="8">
        <v>0</v>
      </c>
      <c r="W424" s="8">
        <v>0</v>
      </c>
      <c r="X424" s="8">
        <v>0</v>
      </c>
      <c r="Y424" s="8">
        <v>12927.161724</v>
      </c>
      <c r="Z424" s="8">
        <v>0</v>
      </c>
      <c r="AA424" s="7">
        <v>2.4986299999999999</v>
      </c>
      <c r="AB424" s="8">
        <v>10852.515384</v>
      </c>
      <c r="AC424" s="7">
        <v>3</v>
      </c>
      <c r="AD424" s="7" t="s">
        <v>1226</v>
      </c>
      <c r="AE424" s="8">
        <v>11250</v>
      </c>
      <c r="AF424" s="8">
        <v>0</v>
      </c>
      <c r="AG424" s="8">
        <v>11250</v>
      </c>
      <c r="AH424" s="8">
        <v>0</v>
      </c>
      <c r="AI424" s="7" t="s">
        <v>1760</v>
      </c>
      <c r="AJ424" s="7">
        <f t="shared" ca="1" si="101"/>
        <v>1</v>
      </c>
      <c r="AL424" s="96">
        <f t="shared" si="106"/>
        <v>4.8901949414598481E-4</v>
      </c>
      <c r="AM424" s="97">
        <f t="shared" si="107"/>
        <v>5.8344108333554438E-4</v>
      </c>
    </row>
    <row r="425" spans="1:39" x14ac:dyDescent="0.3">
      <c r="A425" s="7" t="s">
        <v>2275</v>
      </c>
      <c r="B425" s="7" t="s">
        <v>1320</v>
      </c>
      <c r="C425" s="7" t="s">
        <v>1323</v>
      </c>
      <c r="D425" s="7" t="s">
        <v>1792</v>
      </c>
      <c r="E425" s="7" t="s">
        <v>1322</v>
      </c>
      <c r="F425" s="36">
        <v>44378</v>
      </c>
      <c r="G425" s="36">
        <v>45473</v>
      </c>
      <c r="H425" s="36">
        <v>45473</v>
      </c>
      <c r="I425" s="36">
        <v>45473</v>
      </c>
      <c r="J425" s="7" t="s">
        <v>1696</v>
      </c>
      <c r="K425" s="8">
        <v>0</v>
      </c>
      <c r="L425" s="8">
        <v>0</v>
      </c>
      <c r="M425" s="8">
        <v>2250</v>
      </c>
      <c r="N425" s="8">
        <v>0</v>
      </c>
      <c r="O425" s="8">
        <v>0</v>
      </c>
      <c r="P425" s="8">
        <v>0</v>
      </c>
      <c r="Q425" s="8">
        <v>0</v>
      </c>
      <c r="R425" s="8">
        <f t="shared" si="100"/>
        <v>2250</v>
      </c>
      <c r="S425" s="8">
        <v>0</v>
      </c>
      <c r="T425" s="8">
        <v>0</v>
      </c>
      <c r="U425" s="8">
        <v>2250</v>
      </c>
      <c r="V425" s="8">
        <v>0</v>
      </c>
      <c r="W425" s="8">
        <v>0</v>
      </c>
      <c r="X425" s="8">
        <v>0</v>
      </c>
      <c r="Y425" s="8">
        <v>12927.161724</v>
      </c>
      <c r="Z425" s="8">
        <v>0</v>
      </c>
      <c r="AA425" s="7">
        <v>2.4986299999999999</v>
      </c>
      <c r="AB425" s="8">
        <v>10852.515384</v>
      </c>
      <c r="AC425" s="7">
        <v>3</v>
      </c>
      <c r="AD425" s="7" t="s">
        <v>1226</v>
      </c>
      <c r="AE425" s="8">
        <v>11250</v>
      </c>
      <c r="AF425" s="8">
        <v>0</v>
      </c>
      <c r="AG425" s="8">
        <v>11250</v>
      </c>
      <c r="AH425" s="8">
        <v>0</v>
      </c>
      <c r="AI425" s="7" t="s">
        <v>1760</v>
      </c>
      <c r="AJ425" s="7">
        <f t="shared" ca="1" si="101"/>
        <v>1</v>
      </c>
      <c r="AL425" s="96">
        <f t="shared" si="106"/>
        <v>4.8901949414598481E-4</v>
      </c>
      <c r="AM425" s="97">
        <f t="shared" si="107"/>
        <v>5.8344108333554438E-4</v>
      </c>
    </row>
    <row r="426" spans="1:39" x14ac:dyDescent="0.3">
      <c r="A426" s="7" t="s">
        <v>2276</v>
      </c>
      <c r="B426" s="7" t="s">
        <v>1320</v>
      </c>
      <c r="C426" s="7" t="s">
        <v>1323</v>
      </c>
      <c r="D426" s="7" t="s">
        <v>1792</v>
      </c>
      <c r="E426" s="7" t="s">
        <v>1322</v>
      </c>
      <c r="F426" s="36">
        <v>44378</v>
      </c>
      <c r="G426" s="36">
        <v>45473</v>
      </c>
      <c r="H426" s="36">
        <v>45473</v>
      </c>
      <c r="I426" s="36">
        <v>45473</v>
      </c>
      <c r="J426" s="7" t="s">
        <v>1696</v>
      </c>
      <c r="K426" s="8">
        <v>0</v>
      </c>
      <c r="L426" s="8">
        <v>0</v>
      </c>
      <c r="M426" s="8">
        <v>2250</v>
      </c>
      <c r="N426" s="8">
        <v>0</v>
      </c>
      <c r="O426" s="8">
        <v>0</v>
      </c>
      <c r="P426" s="8">
        <v>0</v>
      </c>
      <c r="Q426" s="8">
        <v>0</v>
      </c>
      <c r="R426" s="8">
        <f t="shared" si="100"/>
        <v>2250</v>
      </c>
      <c r="S426" s="8">
        <v>0</v>
      </c>
      <c r="T426" s="8">
        <v>0</v>
      </c>
      <c r="U426" s="8">
        <v>2250</v>
      </c>
      <c r="V426" s="8">
        <v>0</v>
      </c>
      <c r="W426" s="8">
        <v>0</v>
      </c>
      <c r="X426" s="8">
        <v>0</v>
      </c>
      <c r="Y426" s="8">
        <v>12927.161724</v>
      </c>
      <c r="Z426" s="8">
        <v>0</v>
      </c>
      <c r="AA426" s="7">
        <v>2.4986299999999999</v>
      </c>
      <c r="AB426" s="8">
        <v>10852.515384</v>
      </c>
      <c r="AC426" s="7">
        <v>3</v>
      </c>
      <c r="AD426" s="7" t="s">
        <v>1226</v>
      </c>
      <c r="AE426" s="8">
        <v>11250</v>
      </c>
      <c r="AF426" s="8">
        <v>0</v>
      </c>
      <c r="AG426" s="8">
        <v>11250</v>
      </c>
      <c r="AH426" s="8">
        <v>0</v>
      </c>
      <c r="AI426" s="7" t="s">
        <v>1760</v>
      </c>
      <c r="AJ426" s="7">
        <f t="shared" ca="1" si="101"/>
        <v>1</v>
      </c>
      <c r="AL426" s="96">
        <f t="shared" si="106"/>
        <v>4.8901949414598481E-4</v>
      </c>
      <c r="AM426" s="97">
        <f t="shared" si="107"/>
        <v>5.8344108333554438E-4</v>
      </c>
    </row>
    <row r="427" spans="1:39" x14ac:dyDescent="0.3">
      <c r="A427" s="7" t="s">
        <v>2277</v>
      </c>
      <c r="B427" s="7" t="s">
        <v>1320</v>
      </c>
      <c r="C427" s="7" t="s">
        <v>1323</v>
      </c>
      <c r="D427" s="7" t="s">
        <v>1792</v>
      </c>
      <c r="E427" s="7" t="s">
        <v>1322</v>
      </c>
      <c r="F427" s="36">
        <v>44378</v>
      </c>
      <c r="G427" s="36">
        <v>45473</v>
      </c>
      <c r="H427" s="36">
        <v>45473</v>
      </c>
      <c r="I427" s="36">
        <v>45473</v>
      </c>
      <c r="J427" s="7" t="s">
        <v>1696</v>
      </c>
      <c r="K427" s="8">
        <v>0</v>
      </c>
      <c r="L427" s="8">
        <v>0</v>
      </c>
      <c r="M427" s="8">
        <v>2250</v>
      </c>
      <c r="N427" s="8">
        <v>0</v>
      </c>
      <c r="O427" s="8">
        <v>0</v>
      </c>
      <c r="P427" s="8">
        <v>0</v>
      </c>
      <c r="Q427" s="8">
        <v>0</v>
      </c>
      <c r="R427" s="8">
        <f t="shared" si="100"/>
        <v>2250</v>
      </c>
      <c r="S427" s="8">
        <v>0</v>
      </c>
      <c r="T427" s="8">
        <v>0</v>
      </c>
      <c r="U427" s="8">
        <v>2250</v>
      </c>
      <c r="V427" s="8">
        <v>0</v>
      </c>
      <c r="W427" s="8">
        <v>0</v>
      </c>
      <c r="X427" s="8">
        <v>0</v>
      </c>
      <c r="Y427" s="8">
        <v>12927.161724</v>
      </c>
      <c r="Z427" s="8">
        <v>0</v>
      </c>
      <c r="AA427" s="7">
        <v>2.4986299999999999</v>
      </c>
      <c r="AB427" s="8">
        <v>10852.515384</v>
      </c>
      <c r="AC427" s="7">
        <v>3</v>
      </c>
      <c r="AD427" s="7" t="s">
        <v>1226</v>
      </c>
      <c r="AE427" s="8">
        <v>11250</v>
      </c>
      <c r="AF427" s="8">
        <v>0</v>
      </c>
      <c r="AG427" s="8">
        <v>11250</v>
      </c>
      <c r="AH427" s="8">
        <v>0</v>
      </c>
      <c r="AI427" s="7" t="s">
        <v>1760</v>
      </c>
      <c r="AJ427" s="7">
        <f t="shared" ca="1" si="101"/>
        <v>1</v>
      </c>
      <c r="AL427" s="96">
        <f t="shared" si="106"/>
        <v>4.8901949414598481E-4</v>
      </c>
      <c r="AM427" s="97">
        <f t="shared" si="107"/>
        <v>5.8344108333554438E-4</v>
      </c>
    </row>
    <row r="428" spans="1:39" x14ac:dyDescent="0.3">
      <c r="A428" s="7" t="s">
        <v>2278</v>
      </c>
      <c r="B428" s="7" t="s">
        <v>1320</v>
      </c>
      <c r="C428" s="7" t="s">
        <v>1323</v>
      </c>
      <c r="D428" s="7" t="s">
        <v>1792</v>
      </c>
      <c r="E428" s="7" t="s">
        <v>1322</v>
      </c>
      <c r="F428" s="36">
        <v>44378</v>
      </c>
      <c r="G428" s="36">
        <v>45473</v>
      </c>
      <c r="H428" s="36">
        <v>45473</v>
      </c>
      <c r="I428" s="36">
        <v>45473</v>
      </c>
      <c r="J428" s="7" t="s">
        <v>1696</v>
      </c>
      <c r="K428" s="8">
        <v>0</v>
      </c>
      <c r="L428" s="8">
        <v>0</v>
      </c>
      <c r="M428" s="8">
        <v>2250</v>
      </c>
      <c r="N428" s="8">
        <v>0</v>
      </c>
      <c r="O428" s="8">
        <v>0</v>
      </c>
      <c r="P428" s="8">
        <v>0</v>
      </c>
      <c r="Q428" s="8">
        <v>0</v>
      </c>
      <c r="R428" s="8">
        <f t="shared" si="100"/>
        <v>2250</v>
      </c>
      <c r="S428" s="8">
        <v>0</v>
      </c>
      <c r="T428" s="8">
        <v>0</v>
      </c>
      <c r="U428" s="8">
        <v>2250</v>
      </c>
      <c r="V428" s="8">
        <v>0</v>
      </c>
      <c r="W428" s="8">
        <v>0</v>
      </c>
      <c r="X428" s="8">
        <v>0</v>
      </c>
      <c r="Y428" s="8">
        <v>12927.161724</v>
      </c>
      <c r="Z428" s="8">
        <v>0</v>
      </c>
      <c r="AA428" s="7">
        <v>2.4986299999999999</v>
      </c>
      <c r="AB428" s="8">
        <v>10852.515384</v>
      </c>
      <c r="AC428" s="7">
        <v>3</v>
      </c>
      <c r="AD428" s="7" t="s">
        <v>1226</v>
      </c>
      <c r="AE428" s="8">
        <v>11250</v>
      </c>
      <c r="AF428" s="8">
        <v>0</v>
      </c>
      <c r="AG428" s="8">
        <v>11250</v>
      </c>
      <c r="AH428" s="8">
        <v>0</v>
      </c>
      <c r="AI428" s="7" t="s">
        <v>1760</v>
      </c>
      <c r="AJ428" s="7">
        <f t="shared" ca="1" si="101"/>
        <v>1</v>
      </c>
      <c r="AL428" s="96">
        <f t="shared" si="106"/>
        <v>4.8901949414598481E-4</v>
      </c>
      <c r="AM428" s="97">
        <f t="shared" si="107"/>
        <v>5.8344108333554438E-4</v>
      </c>
    </row>
    <row r="429" spans="1:39" x14ac:dyDescent="0.3">
      <c r="A429" s="7" t="s">
        <v>2279</v>
      </c>
      <c r="B429" s="7" t="s">
        <v>1320</v>
      </c>
      <c r="C429" s="7" t="s">
        <v>1323</v>
      </c>
      <c r="D429" s="7" t="s">
        <v>1792</v>
      </c>
      <c r="E429" s="7" t="s">
        <v>1322</v>
      </c>
      <c r="F429" s="36">
        <v>44378</v>
      </c>
      <c r="G429" s="36">
        <v>45473</v>
      </c>
      <c r="H429" s="36">
        <v>45473</v>
      </c>
      <c r="I429" s="36">
        <v>45473</v>
      </c>
      <c r="J429" s="7" t="s">
        <v>1696</v>
      </c>
      <c r="K429" s="8">
        <v>0</v>
      </c>
      <c r="L429" s="8">
        <v>0</v>
      </c>
      <c r="M429" s="8">
        <v>2250</v>
      </c>
      <c r="N429" s="8">
        <v>0</v>
      </c>
      <c r="O429" s="8">
        <v>0</v>
      </c>
      <c r="P429" s="8">
        <v>0</v>
      </c>
      <c r="Q429" s="8">
        <v>0</v>
      </c>
      <c r="R429" s="8">
        <f t="shared" si="100"/>
        <v>2250</v>
      </c>
      <c r="S429" s="8">
        <v>0</v>
      </c>
      <c r="T429" s="8">
        <v>0</v>
      </c>
      <c r="U429" s="8">
        <v>2250</v>
      </c>
      <c r="V429" s="8">
        <v>0</v>
      </c>
      <c r="W429" s="8">
        <v>0</v>
      </c>
      <c r="X429" s="8">
        <v>0</v>
      </c>
      <c r="Y429" s="8">
        <v>12927.161724</v>
      </c>
      <c r="Z429" s="8">
        <v>0</v>
      </c>
      <c r="AA429" s="7">
        <v>2.4986299999999999</v>
      </c>
      <c r="AB429" s="8">
        <v>10852.515384</v>
      </c>
      <c r="AC429" s="7">
        <v>3</v>
      </c>
      <c r="AD429" s="7" t="s">
        <v>1226</v>
      </c>
      <c r="AE429" s="8">
        <v>11250</v>
      </c>
      <c r="AF429" s="8">
        <v>0</v>
      </c>
      <c r="AG429" s="8">
        <v>11250</v>
      </c>
      <c r="AH429" s="8">
        <v>0</v>
      </c>
      <c r="AI429" s="7" t="s">
        <v>1760</v>
      </c>
      <c r="AJ429" s="7">
        <f t="shared" ca="1" si="101"/>
        <v>1</v>
      </c>
      <c r="AL429" s="96">
        <f t="shared" si="106"/>
        <v>4.8901949414598481E-4</v>
      </c>
      <c r="AM429" s="97">
        <f t="shared" si="107"/>
        <v>5.8344108333554438E-4</v>
      </c>
    </row>
    <row r="430" spans="1:39" x14ac:dyDescent="0.3">
      <c r="A430" s="7" t="s">
        <v>2280</v>
      </c>
      <c r="B430" s="7" t="s">
        <v>1320</v>
      </c>
      <c r="C430" s="7" t="s">
        <v>1323</v>
      </c>
      <c r="D430" s="7" t="s">
        <v>1792</v>
      </c>
      <c r="E430" s="7" t="s">
        <v>1322</v>
      </c>
      <c r="F430" s="36">
        <v>44378</v>
      </c>
      <c r="G430" s="36">
        <v>45473</v>
      </c>
      <c r="H430" s="36">
        <v>45473</v>
      </c>
      <c r="I430" s="36">
        <v>45473</v>
      </c>
      <c r="J430" s="7" t="s">
        <v>1696</v>
      </c>
      <c r="K430" s="8">
        <v>0</v>
      </c>
      <c r="L430" s="8">
        <v>0</v>
      </c>
      <c r="M430" s="8">
        <v>2250</v>
      </c>
      <c r="N430" s="8">
        <v>0</v>
      </c>
      <c r="O430" s="8">
        <v>0</v>
      </c>
      <c r="P430" s="8">
        <v>0</v>
      </c>
      <c r="Q430" s="8">
        <v>0</v>
      </c>
      <c r="R430" s="8">
        <f t="shared" si="100"/>
        <v>2250</v>
      </c>
      <c r="S430" s="8">
        <v>0</v>
      </c>
      <c r="T430" s="8">
        <v>0</v>
      </c>
      <c r="U430" s="8">
        <v>2250</v>
      </c>
      <c r="V430" s="8">
        <v>0</v>
      </c>
      <c r="W430" s="8">
        <v>0</v>
      </c>
      <c r="X430" s="8">
        <v>0</v>
      </c>
      <c r="Y430" s="8">
        <v>12927.161724</v>
      </c>
      <c r="Z430" s="8">
        <v>0</v>
      </c>
      <c r="AA430" s="7">
        <v>2.4986299999999999</v>
      </c>
      <c r="AB430" s="8">
        <v>10852.515384</v>
      </c>
      <c r="AC430" s="7">
        <v>3</v>
      </c>
      <c r="AD430" s="7" t="s">
        <v>1226</v>
      </c>
      <c r="AE430" s="8">
        <v>11250</v>
      </c>
      <c r="AF430" s="8">
        <v>0</v>
      </c>
      <c r="AG430" s="8">
        <v>11250</v>
      </c>
      <c r="AH430" s="8">
        <v>0</v>
      </c>
      <c r="AI430" s="7" t="s">
        <v>1760</v>
      </c>
      <c r="AJ430" s="7">
        <f t="shared" ca="1" si="101"/>
        <v>1</v>
      </c>
      <c r="AL430" s="96">
        <f t="shared" si="106"/>
        <v>4.8901949414598481E-4</v>
      </c>
      <c r="AM430" s="97">
        <f t="shared" si="107"/>
        <v>5.8344108333554438E-4</v>
      </c>
    </row>
    <row r="431" spans="1:39" x14ac:dyDescent="0.3">
      <c r="A431" s="7" t="s">
        <v>2281</v>
      </c>
      <c r="B431" s="7" t="s">
        <v>1320</v>
      </c>
      <c r="C431" s="7" t="s">
        <v>1323</v>
      </c>
      <c r="D431" s="7" t="s">
        <v>1792</v>
      </c>
      <c r="E431" s="7" t="s">
        <v>1322</v>
      </c>
      <c r="F431" s="36">
        <v>44378</v>
      </c>
      <c r="G431" s="36">
        <v>45473</v>
      </c>
      <c r="H431" s="36">
        <v>45473</v>
      </c>
      <c r="I431" s="36">
        <v>45473</v>
      </c>
      <c r="J431" s="7" t="s">
        <v>1696</v>
      </c>
      <c r="K431" s="8">
        <v>0</v>
      </c>
      <c r="L431" s="8">
        <v>0</v>
      </c>
      <c r="M431" s="8">
        <v>2250</v>
      </c>
      <c r="N431" s="8">
        <v>0</v>
      </c>
      <c r="O431" s="8">
        <v>0</v>
      </c>
      <c r="P431" s="8">
        <v>0</v>
      </c>
      <c r="Q431" s="8">
        <v>0</v>
      </c>
      <c r="R431" s="8">
        <f t="shared" si="100"/>
        <v>2250</v>
      </c>
      <c r="S431" s="8">
        <v>0</v>
      </c>
      <c r="T431" s="8">
        <v>0</v>
      </c>
      <c r="U431" s="8">
        <v>2250</v>
      </c>
      <c r="V431" s="8">
        <v>0</v>
      </c>
      <c r="W431" s="8">
        <v>0</v>
      </c>
      <c r="X431" s="8">
        <v>0</v>
      </c>
      <c r="Y431" s="8">
        <v>12927.161724</v>
      </c>
      <c r="Z431" s="8">
        <v>0</v>
      </c>
      <c r="AA431" s="7">
        <v>2.4986299999999999</v>
      </c>
      <c r="AB431" s="8">
        <v>10852.515384</v>
      </c>
      <c r="AC431" s="7">
        <v>3</v>
      </c>
      <c r="AD431" s="7" t="s">
        <v>1226</v>
      </c>
      <c r="AE431" s="8">
        <v>11250</v>
      </c>
      <c r="AF431" s="8">
        <v>0</v>
      </c>
      <c r="AG431" s="8">
        <v>11250</v>
      </c>
      <c r="AH431" s="8">
        <v>0</v>
      </c>
      <c r="AI431" s="7" t="s">
        <v>1760</v>
      </c>
      <c r="AJ431" s="7">
        <f t="shared" ca="1" si="101"/>
        <v>1</v>
      </c>
      <c r="AL431" s="96">
        <f t="shared" si="106"/>
        <v>4.8901949414598481E-4</v>
      </c>
      <c r="AM431" s="97">
        <f t="shared" si="107"/>
        <v>5.8344108333554438E-4</v>
      </c>
    </row>
    <row r="432" spans="1:39" x14ac:dyDescent="0.3">
      <c r="A432" s="7" t="s">
        <v>2282</v>
      </c>
      <c r="B432" s="7" t="s">
        <v>1320</v>
      </c>
      <c r="C432" s="7" t="s">
        <v>1323</v>
      </c>
      <c r="D432" s="7" t="s">
        <v>1792</v>
      </c>
      <c r="E432" s="7" t="s">
        <v>1322</v>
      </c>
      <c r="F432" s="36">
        <v>44378</v>
      </c>
      <c r="G432" s="36">
        <v>45473</v>
      </c>
      <c r="H432" s="36">
        <v>45473</v>
      </c>
      <c r="I432" s="36">
        <v>45473</v>
      </c>
      <c r="J432" s="7" t="s">
        <v>1696</v>
      </c>
      <c r="K432" s="8">
        <v>0</v>
      </c>
      <c r="L432" s="8">
        <v>0</v>
      </c>
      <c r="M432" s="8">
        <v>2250</v>
      </c>
      <c r="N432" s="8">
        <v>0</v>
      </c>
      <c r="O432" s="8">
        <v>0</v>
      </c>
      <c r="P432" s="8">
        <v>0</v>
      </c>
      <c r="Q432" s="8">
        <v>0</v>
      </c>
      <c r="R432" s="8">
        <f t="shared" si="100"/>
        <v>2250</v>
      </c>
      <c r="S432" s="8">
        <v>0</v>
      </c>
      <c r="T432" s="8">
        <v>0</v>
      </c>
      <c r="U432" s="8">
        <v>2250</v>
      </c>
      <c r="V432" s="8">
        <v>0</v>
      </c>
      <c r="W432" s="8">
        <v>0</v>
      </c>
      <c r="X432" s="8">
        <v>0</v>
      </c>
      <c r="Y432" s="8">
        <v>12927.161724</v>
      </c>
      <c r="Z432" s="8">
        <v>0</v>
      </c>
      <c r="AA432" s="7">
        <v>2.4986299999999999</v>
      </c>
      <c r="AB432" s="8">
        <v>10852.515384</v>
      </c>
      <c r="AC432" s="7">
        <v>3</v>
      </c>
      <c r="AD432" s="7" t="s">
        <v>1226</v>
      </c>
      <c r="AE432" s="8">
        <v>11250</v>
      </c>
      <c r="AF432" s="8">
        <v>0</v>
      </c>
      <c r="AG432" s="8">
        <v>11250</v>
      </c>
      <c r="AH432" s="8">
        <v>0</v>
      </c>
      <c r="AI432" s="7" t="s">
        <v>1760</v>
      </c>
      <c r="AJ432" s="7">
        <f t="shared" ca="1" si="101"/>
        <v>1</v>
      </c>
      <c r="AL432" s="96">
        <f t="shared" si="106"/>
        <v>4.8901949414598481E-4</v>
      </c>
      <c r="AM432" s="97">
        <f t="shared" si="107"/>
        <v>5.8344108333554438E-4</v>
      </c>
    </row>
    <row r="433" spans="1:39" x14ac:dyDescent="0.3">
      <c r="A433" s="7" t="s">
        <v>2283</v>
      </c>
      <c r="B433" s="7" t="s">
        <v>1320</v>
      </c>
      <c r="C433" s="7" t="s">
        <v>1323</v>
      </c>
      <c r="D433" s="7" t="s">
        <v>1792</v>
      </c>
      <c r="E433" s="7" t="s">
        <v>1322</v>
      </c>
      <c r="F433" s="36">
        <v>44378</v>
      </c>
      <c r="G433" s="36">
        <v>45473</v>
      </c>
      <c r="H433" s="36">
        <v>45473</v>
      </c>
      <c r="I433" s="36">
        <v>45473</v>
      </c>
      <c r="J433" s="7" t="s">
        <v>1696</v>
      </c>
      <c r="K433" s="8">
        <v>0</v>
      </c>
      <c r="L433" s="8">
        <v>0</v>
      </c>
      <c r="M433" s="8">
        <v>2250</v>
      </c>
      <c r="N433" s="8">
        <v>0</v>
      </c>
      <c r="O433" s="8">
        <v>0</v>
      </c>
      <c r="P433" s="8">
        <v>0</v>
      </c>
      <c r="Q433" s="8">
        <v>0</v>
      </c>
      <c r="R433" s="8">
        <f t="shared" si="100"/>
        <v>2250</v>
      </c>
      <c r="S433" s="8">
        <v>0</v>
      </c>
      <c r="T433" s="8">
        <v>0</v>
      </c>
      <c r="U433" s="8">
        <v>2250</v>
      </c>
      <c r="V433" s="8">
        <v>0</v>
      </c>
      <c r="W433" s="8">
        <v>0</v>
      </c>
      <c r="X433" s="8">
        <v>0</v>
      </c>
      <c r="Y433" s="8">
        <v>12927.161724</v>
      </c>
      <c r="Z433" s="8">
        <v>0</v>
      </c>
      <c r="AA433" s="7">
        <v>2.4986299999999999</v>
      </c>
      <c r="AB433" s="8">
        <v>10852.515384</v>
      </c>
      <c r="AC433" s="7">
        <v>3</v>
      </c>
      <c r="AD433" s="7" t="s">
        <v>1226</v>
      </c>
      <c r="AE433" s="8">
        <v>11250</v>
      </c>
      <c r="AF433" s="8">
        <v>0</v>
      </c>
      <c r="AG433" s="8">
        <v>11250</v>
      </c>
      <c r="AH433" s="8">
        <v>0</v>
      </c>
      <c r="AI433" s="7" t="s">
        <v>1781</v>
      </c>
      <c r="AJ433" s="7">
        <f t="shared" ca="1" si="101"/>
        <v>1</v>
      </c>
      <c r="AL433" s="96">
        <f t="shared" si="106"/>
        <v>4.8901949414598481E-4</v>
      </c>
      <c r="AM433" s="97">
        <f t="shared" si="107"/>
        <v>5.8344108333554438E-4</v>
      </c>
    </row>
    <row r="434" spans="1:39" x14ac:dyDescent="0.3">
      <c r="A434" s="7" t="s">
        <v>2288</v>
      </c>
      <c r="B434" s="7" t="s">
        <v>1320</v>
      </c>
      <c r="D434" s="7" t="s">
        <v>1324</v>
      </c>
      <c r="E434" s="7" t="s">
        <v>1322</v>
      </c>
      <c r="F434" s="36">
        <v>43770</v>
      </c>
      <c r="G434" s="36">
        <v>44865</v>
      </c>
      <c r="H434" s="36">
        <v>44865</v>
      </c>
      <c r="I434" s="36">
        <v>44865</v>
      </c>
      <c r="J434" s="7" t="s">
        <v>1696</v>
      </c>
      <c r="K434" s="8">
        <v>0</v>
      </c>
      <c r="L434" s="8">
        <v>0</v>
      </c>
      <c r="M434" s="8">
        <v>33333.120000000003</v>
      </c>
      <c r="N434" s="8">
        <v>0</v>
      </c>
      <c r="O434" s="8">
        <v>0</v>
      </c>
      <c r="P434" s="8">
        <v>0</v>
      </c>
      <c r="Q434" s="8">
        <v>0</v>
      </c>
      <c r="R434" s="8">
        <f t="shared" si="100"/>
        <v>33333.120000000003</v>
      </c>
      <c r="S434" s="8">
        <v>0</v>
      </c>
      <c r="T434" s="8">
        <v>0</v>
      </c>
      <c r="U434" s="8">
        <v>33333.120000000003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7">
        <v>0.83287699999999998</v>
      </c>
      <c r="AB434" s="8">
        <v>27567.448025000002</v>
      </c>
      <c r="AC434" s="7">
        <v>2.0299999999999998</v>
      </c>
      <c r="AD434" s="7" t="s">
        <v>1226</v>
      </c>
      <c r="AE434" s="8">
        <v>27777.599999999999</v>
      </c>
      <c r="AF434" s="8">
        <v>0</v>
      </c>
      <c r="AG434" s="8">
        <v>27777.599999999999</v>
      </c>
      <c r="AH434" s="8">
        <v>0</v>
      </c>
      <c r="AI434" s="7" t="s">
        <v>1730</v>
      </c>
      <c r="AJ434" s="7">
        <f t="shared" ca="1" si="101"/>
        <v>1</v>
      </c>
      <c r="AL434" s="96">
        <f t="shared" si="106"/>
        <v>4.1406759651072624E-4</v>
      </c>
      <c r="AM434" s="97">
        <f t="shared" si="107"/>
        <v>9.7479655893382749E-4</v>
      </c>
    </row>
    <row r="435" spans="1:39" x14ac:dyDescent="0.3">
      <c r="A435" s="7" t="s">
        <v>2292</v>
      </c>
      <c r="B435" s="7" t="s">
        <v>2293</v>
      </c>
      <c r="C435" s="7" t="s">
        <v>1323</v>
      </c>
      <c r="D435" s="7" t="s">
        <v>1324</v>
      </c>
      <c r="E435" s="7" t="s">
        <v>1322</v>
      </c>
      <c r="F435" s="36">
        <v>43709</v>
      </c>
      <c r="G435" s="36">
        <v>44804</v>
      </c>
      <c r="H435" s="36">
        <v>44804</v>
      </c>
      <c r="I435" s="36">
        <v>45169</v>
      </c>
      <c r="J435" s="7" t="s">
        <v>1239</v>
      </c>
      <c r="K435" s="8">
        <v>14972.13708</v>
      </c>
      <c r="L435" s="8">
        <v>614.92159000000004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f t="shared" si="100"/>
        <v>15587.05867</v>
      </c>
      <c r="S435" s="8">
        <v>0</v>
      </c>
      <c r="T435" s="8">
        <v>641.17956000000004</v>
      </c>
      <c r="U435" s="8">
        <v>0</v>
      </c>
      <c r="V435" s="8">
        <v>15408.10044</v>
      </c>
      <c r="W435" s="8">
        <v>0</v>
      </c>
      <c r="X435" s="8">
        <v>0</v>
      </c>
      <c r="Y435" s="8">
        <v>0</v>
      </c>
      <c r="Z435" s="8">
        <v>0</v>
      </c>
      <c r="AA435" s="7">
        <v>1.665753</v>
      </c>
      <c r="AB435" s="8">
        <v>21645.494640000001</v>
      </c>
      <c r="AC435" s="7">
        <v>2.0449999999999999</v>
      </c>
      <c r="AD435" s="7" t="s">
        <v>1226</v>
      </c>
      <c r="AE435" s="8">
        <v>22024.639999999999</v>
      </c>
      <c r="AF435" s="8">
        <v>0</v>
      </c>
      <c r="AG435" s="8">
        <v>22024.639999999999</v>
      </c>
      <c r="AH435" s="8">
        <v>0</v>
      </c>
      <c r="AI435" s="7" t="s">
        <v>1730</v>
      </c>
      <c r="AJ435" s="7">
        <f t="shared" ca="1" si="101"/>
        <v>1</v>
      </c>
      <c r="AL435" s="96">
        <f t="shared" si="104"/>
        <v>2.1618114555153471E-4</v>
      </c>
      <c r="AM435" s="97">
        <f t="shared" si="105"/>
        <v>2.9313040282358352E-4</v>
      </c>
    </row>
    <row r="436" spans="1:39" x14ac:dyDescent="0.3">
      <c r="A436" s="7" t="s">
        <v>2294</v>
      </c>
      <c r="B436" s="7" t="s">
        <v>1320</v>
      </c>
      <c r="C436" s="7" t="s">
        <v>1323</v>
      </c>
      <c r="D436" s="7" t="s">
        <v>1324</v>
      </c>
      <c r="E436" s="7" t="s">
        <v>1322</v>
      </c>
      <c r="F436" s="36">
        <v>43770</v>
      </c>
      <c r="G436" s="36">
        <v>44865</v>
      </c>
      <c r="H436" s="36">
        <v>44865</v>
      </c>
      <c r="I436" s="36">
        <v>44865</v>
      </c>
      <c r="J436" s="7" t="s">
        <v>1696</v>
      </c>
      <c r="K436" s="8">
        <v>0</v>
      </c>
      <c r="L436" s="8">
        <v>0</v>
      </c>
      <c r="M436" s="8">
        <v>17632.68</v>
      </c>
      <c r="N436" s="8">
        <v>0</v>
      </c>
      <c r="O436" s="8">
        <v>0</v>
      </c>
      <c r="P436" s="8">
        <v>0</v>
      </c>
      <c r="Q436" s="8">
        <v>0</v>
      </c>
      <c r="R436" s="8">
        <f t="shared" si="100"/>
        <v>17632.68</v>
      </c>
      <c r="S436" s="8">
        <v>0</v>
      </c>
      <c r="T436" s="8">
        <v>0</v>
      </c>
      <c r="U436" s="8">
        <v>17632.68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7">
        <v>0.83287699999999998</v>
      </c>
      <c r="AB436" s="8">
        <v>14582.733007999999</v>
      </c>
      <c r="AC436" s="7">
        <v>2.0299999999999998</v>
      </c>
      <c r="AD436" s="7" t="s">
        <v>1226</v>
      </c>
      <c r="AE436" s="8">
        <v>14693.9</v>
      </c>
      <c r="AF436" s="8">
        <v>0</v>
      </c>
      <c r="AG436" s="8">
        <v>14693.9</v>
      </c>
      <c r="AH436" s="8">
        <v>0</v>
      </c>
      <c r="AI436" s="7" t="s">
        <v>1730</v>
      </c>
      <c r="AJ436" s="7">
        <f t="shared" ca="1" si="101"/>
        <v>1</v>
      </c>
      <c r="AL436" s="96">
        <f>(+AA436*AB436)/$AB$612</f>
        <v>2.1903504458244797E-4</v>
      </c>
      <c r="AM436" s="97">
        <f>AC436/$AE$612*AE436</f>
        <v>5.1565157383351217E-4</v>
      </c>
    </row>
    <row r="437" spans="1:39" x14ac:dyDescent="0.3">
      <c r="A437" s="7" t="s">
        <v>2295</v>
      </c>
      <c r="B437" s="7" t="s">
        <v>1320</v>
      </c>
      <c r="C437" s="7" t="s">
        <v>1323</v>
      </c>
      <c r="D437" s="7" t="s">
        <v>1324</v>
      </c>
      <c r="E437" s="7" t="s">
        <v>1322</v>
      </c>
      <c r="F437" s="36">
        <v>43770</v>
      </c>
      <c r="G437" s="36">
        <v>44865</v>
      </c>
      <c r="H437" s="36">
        <v>44865</v>
      </c>
      <c r="I437" s="36">
        <v>44865</v>
      </c>
      <c r="J437" s="7" t="s">
        <v>1239</v>
      </c>
      <c r="K437" s="8">
        <v>17121.397428</v>
      </c>
      <c r="L437" s="8">
        <v>455.66176899999999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f t="shared" si="100"/>
        <v>17577.059196999999</v>
      </c>
      <c r="S437" s="8">
        <v>0</v>
      </c>
      <c r="T437" s="8">
        <v>484.67048499999999</v>
      </c>
      <c r="U437" s="8">
        <v>0</v>
      </c>
      <c r="V437" s="8">
        <v>17148.009515000002</v>
      </c>
      <c r="W437" s="8">
        <v>0</v>
      </c>
      <c r="X437" s="8">
        <v>0</v>
      </c>
      <c r="Y437" s="8">
        <v>0</v>
      </c>
      <c r="Z437" s="8">
        <v>0</v>
      </c>
      <c r="AA437" s="7">
        <v>0.83287699999999998</v>
      </c>
      <c r="AB437" s="8">
        <v>14558.105546000001</v>
      </c>
      <c r="AC437" s="7">
        <v>2.0299999999999998</v>
      </c>
      <c r="AD437" s="7" t="s">
        <v>1226</v>
      </c>
      <c r="AE437" s="8">
        <v>14693.9</v>
      </c>
      <c r="AF437" s="8">
        <v>0</v>
      </c>
      <c r="AG437" s="8">
        <v>14693.9</v>
      </c>
      <c r="AH437" s="8">
        <v>0</v>
      </c>
      <c r="AI437" s="7" t="s">
        <v>1730</v>
      </c>
      <c r="AJ437" s="7">
        <f t="shared" ca="1" si="101"/>
        <v>1</v>
      </c>
      <c r="AL437" s="96">
        <f t="shared" si="104"/>
        <v>7.2698496284927868E-5</v>
      </c>
      <c r="AM437" s="97">
        <f t="shared" si="105"/>
        <v>1.9412964119173837E-4</v>
      </c>
    </row>
    <row r="438" spans="1:39" x14ac:dyDescent="0.3">
      <c r="A438" s="7" t="s">
        <v>2326</v>
      </c>
      <c r="B438" s="7" t="s">
        <v>1735</v>
      </c>
      <c r="C438" s="7" t="s">
        <v>1323</v>
      </c>
      <c r="D438" s="7" t="s">
        <v>2327</v>
      </c>
      <c r="E438" s="7" t="s">
        <v>1739</v>
      </c>
      <c r="F438" s="36">
        <v>43873</v>
      </c>
      <c r="G438" s="36">
        <v>44572</v>
      </c>
      <c r="I438" s="36">
        <v>45333</v>
      </c>
      <c r="J438" s="7" t="s">
        <v>1696</v>
      </c>
      <c r="K438" s="8">
        <v>0</v>
      </c>
      <c r="L438" s="8">
        <v>0</v>
      </c>
      <c r="M438" s="8">
        <v>16210.907913999999</v>
      </c>
      <c r="N438" s="8">
        <v>0</v>
      </c>
      <c r="O438" s="8">
        <v>0</v>
      </c>
      <c r="P438" s="8">
        <v>0</v>
      </c>
      <c r="Q438" s="8">
        <v>0</v>
      </c>
      <c r="R438" s="8">
        <f t="shared" si="100"/>
        <v>16210.907913999999</v>
      </c>
      <c r="S438" s="8">
        <v>0</v>
      </c>
      <c r="T438" s="8">
        <v>0</v>
      </c>
      <c r="U438" s="8">
        <v>21031.919999999998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7">
        <v>2.1150679999999999</v>
      </c>
      <c r="AB438" s="8">
        <v>43022.074958999998</v>
      </c>
      <c r="AC438" s="7">
        <v>1.7840830000000001</v>
      </c>
      <c r="AD438" s="7" t="s">
        <v>1226</v>
      </c>
      <c r="AE438" s="8">
        <v>43816.5</v>
      </c>
      <c r="AF438" s="8">
        <v>0</v>
      </c>
      <c r="AG438" s="8">
        <v>43816.5</v>
      </c>
      <c r="AH438" s="8">
        <v>0</v>
      </c>
      <c r="AI438" s="7" t="s">
        <v>1730</v>
      </c>
      <c r="AJ438" s="7">
        <f t="shared" ca="1" si="101"/>
        <v>1</v>
      </c>
      <c r="AL438" s="96">
        <f>(+AA438*AB438)/$AB$612</f>
        <v>1.641003468901753E-3</v>
      </c>
      <c r="AM438" s="97">
        <f>AC438/$AE$612*AE438</f>
        <v>1.3513752744130003E-3</v>
      </c>
    </row>
    <row r="439" spans="1:39" x14ac:dyDescent="0.3">
      <c r="A439" s="7" t="s">
        <v>2328</v>
      </c>
      <c r="B439" s="7" t="s">
        <v>1735</v>
      </c>
      <c r="C439" s="7" t="s">
        <v>1323</v>
      </c>
      <c r="D439" s="7" t="s">
        <v>2327</v>
      </c>
      <c r="E439" s="7" t="s">
        <v>1322</v>
      </c>
      <c r="F439" s="36">
        <v>43855</v>
      </c>
      <c r="G439" s="36">
        <v>45223</v>
      </c>
      <c r="H439" s="36">
        <v>45223</v>
      </c>
      <c r="I439" s="36">
        <v>45315</v>
      </c>
      <c r="J439" s="7" t="s">
        <v>1239</v>
      </c>
      <c r="K439" s="8">
        <v>31066.440180000001</v>
      </c>
      <c r="L439" s="8">
        <v>1646.5741290000001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f t="shared" si="100"/>
        <v>32713.014309000002</v>
      </c>
      <c r="S439" s="8">
        <v>0</v>
      </c>
      <c r="T439" s="8">
        <v>1658.0366100000001</v>
      </c>
      <c r="U439" s="8">
        <v>0</v>
      </c>
      <c r="V439" s="8">
        <v>29841.963369000001</v>
      </c>
      <c r="W439" s="8">
        <v>0</v>
      </c>
      <c r="X439" s="8">
        <v>0</v>
      </c>
      <c r="Y439" s="8">
        <v>0</v>
      </c>
      <c r="Z439" s="8">
        <v>0</v>
      </c>
      <c r="AA439" s="7">
        <v>2.065753</v>
      </c>
      <c r="AB439" s="8">
        <v>64899.557584000002</v>
      </c>
      <c r="AC439" s="7">
        <v>2.0412499999999998</v>
      </c>
      <c r="AD439" s="7" t="s">
        <v>1226</v>
      </c>
      <c r="AE439" s="8">
        <v>66300.000006000002</v>
      </c>
      <c r="AF439" s="8">
        <v>0</v>
      </c>
      <c r="AG439" s="8">
        <v>66300.000006000002</v>
      </c>
      <c r="AH439" s="8">
        <v>0</v>
      </c>
      <c r="AI439" s="7" t="s">
        <v>1730</v>
      </c>
      <c r="AJ439" s="7">
        <f t="shared" ca="1" si="101"/>
        <v>1</v>
      </c>
      <c r="AL439" s="96">
        <f t="shared" si="104"/>
        <v>8.038218798975059E-4</v>
      </c>
      <c r="AM439" s="97">
        <f t="shared" si="105"/>
        <v>8.8078205995458544E-4</v>
      </c>
    </row>
    <row r="440" spans="1:39" x14ac:dyDescent="0.3">
      <c r="A440" s="7" t="s">
        <v>2329</v>
      </c>
      <c r="B440" s="7" t="s">
        <v>1735</v>
      </c>
      <c r="C440" s="7" t="s">
        <v>1323</v>
      </c>
      <c r="D440" s="7" t="s">
        <v>2327</v>
      </c>
      <c r="E440" s="7" t="s">
        <v>1322</v>
      </c>
      <c r="F440" s="36">
        <v>43831</v>
      </c>
      <c r="G440" s="36">
        <v>44926</v>
      </c>
      <c r="H440" s="36">
        <v>44926</v>
      </c>
      <c r="I440" s="36">
        <v>44926</v>
      </c>
      <c r="J440" s="7" t="s">
        <v>1696</v>
      </c>
      <c r="K440" s="8">
        <v>0</v>
      </c>
      <c r="L440" s="8">
        <v>0</v>
      </c>
      <c r="M440" s="8">
        <v>18880.733663818901</v>
      </c>
      <c r="N440" s="8">
        <v>0</v>
      </c>
      <c r="O440" s="8">
        <v>0</v>
      </c>
      <c r="P440" s="8">
        <v>0</v>
      </c>
      <c r="Q440" s="8">
        <v>0</v>
      </c>
      <c r="R440" s="8">
        <f t="shared" si="100"/>
        <v>18880.733663818901</v>
      </c>
      <c r="S440" s="8">
        <v>0</v>
      </c>
      <c r="T440" s="8">
        <v>0</v>
      </c>
      <c r="U440" s="8">
        <v>34104.326400009195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7">
        <v>1</v>
      </c>
      <c r="AB440" s="8">
        <v>33789.326448009109</v>
      </c>
      <c r="AC440" s="7">
        <v>2.0299999999999998</v>
      </c>
      <c r="AD440" s="7" t="s">
        <v>1226</v>
      </c>
      <c r="AE440" s="8">
        <v>17052.163200002808</v>
      </c>
      <c r="AF440" s="8">
        <v>0</v>
      </c>
      <c r="AG440" s="8">
        <v>17052.163200002808</v>
      </c>
      <c r="AH440" s="8">
        <v>0</v>
      </c>
      <c r="AI440" s="7" t="s">
        <v>1730</v>
      </c>
      <c r="AJ440" s="7">
        <f t="shared" ca="1" si="101"/>
        <v>1</v>
      </c>
      <c r="AL440" s="96">
        <f>(+AA440*AB440)/$AB$612</f>
        <v>6.0935916370873111E-4</v>
      </c>
      <c r="AM440" s="97">
        <f>AC440/$AE$612*AE440</f>
        <v>5.9840987017383722E-4</v>
      </c>
    </row>
    <row r="441" spans="1:39" x14ac:dyDescent="0.3">
      <c r="A441" s="7" t="s">
        <v>2330</v>
      </c>
      <c r="B441" s="7" t="s">
        <v>1735</v>
      </c>
      <c r="C441" s="7" t="s">
        <v>1769</v>
      </c>
      <c r="D441" s="7" t="s">
        <v>1324</v>
      </c>
      <c r="E441" s="7" t="s">
        <v>1322</v>
      </c>
      <c r="F441" s="36">
        <v>43466</v>
      </c>
      <c r="G441" s="36">
        <v>44926</v>
      </c>
      <c r="H441" s="36">
        <v>44926</v>
      </c>
      <c r="I441" s="36">
        <v>44926</v>
      </c>
      <c r="J441" s="7" t="s">
        <v>1239</v>
      </c>
      <c r="K441" s="8">
        <v>32616.854220000001</v>
      </c>
      <c r="L441" s="8">
        <v>995.81087000000002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f t="shared" si="100"/>
        <v>33612.665090000002</v>
      </c>
      <c r="S441" s="8">
        <v>0</v>
      </c>
      <c r="T441" s="8">
        <v>1051.856045</v>
      </c>
      <c r="U441" s="8">
        <v>0</v>
      </c>
      <c r="V441" s="8">
        <v>32887.143955</v>
      </c>
      <c r="W441" s="8">
        <v>0</v>
      </c>
      <c r="X441" s="8">
        <v>0</v>
      </c>
      <c r="Y441" s="8">
        <v>0</v>
      </c>
      <c r="Z441" s="8">
        <v>0</v>
      </c>
      <c r="AA441" s="7">
        <v>1</v>
      </c>
      <c r="AB441" s="8">
        <v>33566.025685000001</v>
      </c>
      <c r="AC441" s="7">
        <v>2.0449999999999999</v>
      </c>
      <c r="AD441" s="7" t="s">
        <v>1226</v>
      </c>
      <c r="AE441" s="8">
        <v>33939</v>
      </c>
      <c r="AF441" s="8">
        <v>0</v>
      </c>
      <c r="AG441" s="8">
        <v>33939</v>
      </c>
      <c r="AH441" s="8">
        <v>0</v>
      </c>
      <c r="AI441" s="7" t="s">
        <v>1730</v>
      </c>
      <c r="AJ441" s="7">
        <f t="shared" ca="1" si="101"/>
        <v>1</v>
      </c>
      <c r="AL441" s="96">
        <f t="shared" si="104"/>
        <v>2.0125172781115827E-4</v>
      </c>
      <c r="AM441" s="97">
        <f t="shared" si="105"/>
        <v>4.5170103763010887E-4</v>
      </c>
    </row>
    <row r="442" spans="1:39" x14ac:dyDescent="0.3">
      <c r="A442" s="7" t="s">
        <v>2332</v>
      </c>
      <c r="B442" s="7" t="s">
        <v>1735</v>
      </c>
      <c r="C442" s="7" t="s">
        <v>1756</v>
      </c>
      <c r="D442" s="7" t="s">
        <v>2333</v>
      </c>
      <c r="E442" s="7" t="s">
        <v>1322</v>
      </c>
      <c r="F442" s="36">
        <v>43205</v>
      </c>
      <c r="G442" s="36">
        <v>44665</v>
      </c>
      <c r="H442" s="36">
        <v>44665</v>
      </c>
      <c r="I442" s="36">
        <v>44665</v>
      </c>
      <c r="J442" s="7" t="s">
        <v>1239</v>
      </c>
      <c r="K442" s="8">
        <v>0</v>
      </c>
      <c r="L442" s="8">
        <v>1215.679580000331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f t="shared" si="100"/>
        <v>1215.679580000331</v>
      </c>
      <c r="S442" s="8">
        <v>0</v>
      </c>
      <c r="T442" s="8">
        <v>1289.667660000342</v>
      </c>
      <c r="U442" s="8">
        <v>0</v>
      </c>
      <c r="V442" s="8">
        <v>79170.332340021341</v>
      </c>
      <c r="W442" s="8">
        <v>0</v>
      </c>
      <c r="X442" s="8">
        <v>0</v>
      </c>
      <c r="Y442" s="8">
        <v>0</v>
      </c>
      <c r="Z442" s="8">
        <v>0</v>
      </c>
      <c r="AA442" s="7">
        <v>0.28493200000000002</v>
      </c>
      <c r="AB442" s="8">
        <v>20046.635620005403</v>
      </c>
      <c r="AC442" s="7">
        <v>2.0449999999999999</v>
      </c>
      <c r="AD442" s="7" t="s">
        <v>1226</v>
      </c>
      <c r="AE442" s="8">
        <v>0</v>
      </c>
      <c r="AF442" s="8">
        <v>0</v>
      </c>
      <c r="AG442" s="8">
        <v>0</v>
      </c>
      <c r="AH442" s="8">
        <v>0</v>
      </c>
      <c r="AI442" s="7" t="s">
        <v>1730</v>
      </c>
      <c r="AJ442" s="7">
        <f t="shared" ca="1" si="101"/>
        <v>1</v>
      </c>
      <c r="AL442" s="96">
        <f t="shared" si="104"/>
        <v>3.4246990870834016E-5</v>
      </c>
      <c r="AM442" s="97">
        <f t="shared" si="105"/>
        <v>0</v>
      </c>
    </row>
    <row r="443" spans="1:39" x14ac:dyDescent="0.3">
      <c r="A443" s="7" t="s">
        <v>2334</v>
      </c>
      <c r="B443" s="7" t="s">
        <v>1735</v>
      </c>
      <c r="C443" s="7" t="s">
        <v>1769</v>
      </c>
      <c r="D443" s="7" t="s">
        <v>2335</v>
      </c>
      <c r="E443" s="7" t="s">
        <v>1322</v>
      </c>
      <c r="F443" s="36">
        <v>43582</v>
      </c>
      <c r="G443" s="36">
        <v>44677</v>
      </c>
      <c r="H443" s="36">
        <v>44677</v>
      </c>
      <c r="I443" s="36">
        <v>44677</v>
      </c>
      <c r="J443" s="7" t="s">
        <v>1696</v>
      </c>
      <c r="K443" s="8">
        <v>0</v>
      </c>
      <c r="L443" s="8">
        <v>0</v>
      </c>
      <c r="M443" s="8">
        <v>42768</v>
      </c>
      <c r="N443" s="8">
        <v>0</v>
      </c>
      <c r="O443" s="8">
        <v>0</v>
      </c>
      <c r="P443" s="8">
        <v>0</v>
      </c>
      <c r="Q443" s="8">
        <v>0</v>
      </c>
      <c r="R443" s="8">
        <f t="shared" si="100"/>
        <v>42768</v>
      </c>
      <c r="S443" s="8">
        <v>0</v>
      </c>
      <c r="T443" s="8">
        <v>0</v>
      </c>
      <c r="U443" s="8">
        <v>42768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7">
        <v>0.31780799999999998</v>
      </c>
      <c r="AB443" s="8">
        <v>10658.834607999999</v>
      </c>
      <c r="AC443" s="7">
        <v>2.0299999999999998</v>
      </c>
      <c r="AD443" s="7" t="s">
        <v>1226</v>
      </c>
      <c r="AE443" s="8">
        <v>10692</v>
      </c>
      <c r="AF443" s="8">
        <v>0</v>
      </c>
      <c r="AG443" s="8">
        <v>10692</v>
      </c>
      <c r="AH443" s="8">
        <v>0</v>
      </c>
      <c r="AI443" s="7" t="s">
        <v>1730</v>
      </c>
      <c r="AJ443" s="7">
        <f t="shared" ca="1" si="101"/>
        <v>1</v>
      </c>
      <c r="AL443" s="96">
        <f>(+AA443*AB443)/$AB$612</f>
        <v>6.1089751775880559E-5</v>
      </c>
      <c r="AM443" s="97">
        <f>AC443/$AE$612*AE443</f>
        <v>3.7521329445742193E-4</v>
      </c>
    </row>
    <row r="444" spans="1:39" x14ac:dyDescent="0.3">
      <c r="A444" s="7" t="s">
        <v>2336</v>
      </c>
      <c r="B444" s="7" t="s">
        <v>1735</v>
      </c>
      <c r="C444" s="7" t="s">
        <v>1756</v>
      </c>
      <c r="D444" s="7" t="s">
        <v>2337</v>
      </c>
      <c r="E444" s="7" t="s">
        <v>1322</v>
      </c>
      <c r="F444" s="36">
        <v>43221</v>
      </c>
      <c r="G444" s="36">
        <v>44681</v>
      </c>
      <c r="H444" s="36">
        <v>44681</v>
      </c>
      <c r="I444" s="36">
        <v>44681</v>
      </c>
      <c r="J444" s="7" t="s">
        <v>1239</v>
      </c>
      <c r="K444" s="8">
        <v>0</v>
      </c>
      <c r="L444" s="8">
        <v>438.83322300011503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f t="shared" si="100"/>
        <v>438.83322300011503</v>
      </c>
      <c r="S444" s="8">
        <v>0</v>
      </c>
      <c r="T444" s="8">
        <v>484.66395000012801</v>
      </c>
      <c r="U444" s="8">
        <v>0</v>
      </c>
      <c r="V444" s="8">
        <v>26893.336050007252</v>
      </c>
      <c r="W444" s="8">
        <v>0</v>
      </c>
      <c r="X444" s="8">
        <v>0</v>
      </c>
      <c r="Y444" s="8">
        <v>0</v>
      </c>
      <c r="Z444" s="8">
        <v>0</v>
      </c>
      <c r="AA444" s="7">
        <v>0.32876699999999998</v>
      </c>
      <c r="AB444" s="8">
        <v>9087.2515590024486</v>
      </c>
      <c r="AC444" s="7">
        <v>2.0449999999999999</v>
      </c>
      <c r="AD444" s="7" t="s">
        <v>1226</v>
      </c>
      <c r="AE444" s="8">
        <v>0</v>
      </c>
      <c r="AF444" s="8">
        <v>0</v>
      </c>
      <c r="AG444" s="8">
        <v>0</v>
      </c>
      <c r="AH444" s="8">
        <v>0</v>
      </c>
      <c r="AI444" s="7" t="s">
        <v>1730</v>
      </c>
      <c r="AJ444" s="7">
        <f t="shared" ca="1" si="101"/>
        <v>1</v>
      </c>
      <c r="AL444" s="96">
        <f t="shared" si="104"/>
        <v>1.7912675746376977E-5</v>
      </c>
      <c r="AM444" s="97">
        <f t="shared" si="105"/>
        <v>0</v>
      </c>
    </row>
    <row r="445" spans="1:39" x14ac:dyDescent="0.3">
      <c r="A445" s="7" t="s">
        <v>2338</v>
      </c>
      <c r="B445" s="7" t="s">
        <v>1735</v>
      </c>
      <c r="C445" s="7" t="s">
        <v>1769</v>
      </c>
      <c r="D445" s="7" t="s">
        <v>1770</v>
      </c>
      <c r="E445" s="7" t="s">
        <v>1322</v>
      </c>
      <c r="F445" s="36">
        <v>43600</v>
      </c>
      <c r="G445" s="36">
        <v>44695</v>
      </c>
      <c r="H445" s="36">
        <v>44695</v>
      </c>
      <c r="I445" s="36">
        <v>44695</v>
      </c>
      <c r="J445" s="7" t="s">
        <v>1239</v>
      </c>
      <c r="K445" s="8">
        <v>142201.54908</v>
      </c>
      <c r="L445" s="8">
        <v>2440.2375179999999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f t="shared" si="100"/>
        <v>144641.78659800001</v>
      </c>
      <c r="S445" s="8">
        <v>0</v>
      </c>
      <c r="T445" s="8">
        <v>2573.7079979999999</v>
      </c>
      <c r="U445" s="8">
        <v>0</v>
      </c>
      <c r="V445" s="8">
        <v>143874.292002</v>
      </c>
      <c r="W445" s="8">
        <v>0</v>
      </c>
      <c r="X445" s="8">
        <v>0</v>
      </c>
      <c r="Y445" s="8">
        <v>0</v>
      </c>
      <c r="Z445" s="8">
        <v>0</v>
      </c>
      <c r="AA445" s="7">
        <v>0.36712299999999998</v>
      </c>
      <c r="AB445" s="8">
        <v>48610.245426000001</v>
      </c>
      <c r="AC445" s="7">
        <v>2.0299999999999998</v>
      </c>
      <c r="AD445" s="7" t="s">
        <v>1226</v>
      </c>
      <c r="AE445" s="8">
        <v>48816</v>
      </c>
      <c r="AF445" s="8">
        <v>0</v>
      </c>
      <c r="AG445" s="8">
        <v>48816</v>
      </c>
      <c r="AH445" s="8">
        <v>0</v>
      </c>
      <c r="AI445" s="7" t="s">
        <v>1730</v>
      </c>
      <c r="AJ445" s="7">
        <f t="shared" ca="1" si="101"/>
        <v>1</v>
      </c>
      <c r="AL445" s="96">
        <f t="shared" si="104"/>
        <v>1.0699884813107425E-4</v>
      </c>
      <c r="AM445" s="97">
        <f t="shared" si="105"/>
        <v>6.4493650864752723E-4</v>
      </c>
    </row>
    <row r="446" spans="1:39" x14ac:dyDescent="0.3">
      <c r="A446" s="7" t="s">
        <v>2339</v>
      </c>
      <c r="B446" s="7" t="s">
        <v>1735</v>
      </c>
      <c r="C446" s="7" t="s">
        <v>1756</v>
      </c>
      <c r="D446" s="7" t="s">
        <v>1792</v>
      </c>
      <c r="E446" s="7" t="s">
        <v>1322</v>
      </c>
      <c r="F446" s="36">
        <v>42880</v>
      </c>
      <c r="G446" s="36">
        <v>44705</v>
      </c>
      <c r="H446" s="36">
        <v>44705</v>
      </c>
      <c r="I446" s="36">
        <v>44705</v>
      </c>
      <c r="J446" s="7" t="s">
        <v>1239</v>
      </c>
      <c r="K446" s="8">
        <v>0</v>
      </c>
      <c r="L446" s="8">
        <v>5561.2286560015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f t="shared" si="100"/>
        <v>5561.2286560015</v>
      </c>
      <c r="S446" s="8">
        <v>0</v>
      </c>
      <c r="T446" s="8">
        <v>5682.5076640015359</v>
      </c>
      <c r="U446" s="8">
        <v>0</v>
      </c>
      <c r="V446" s="8">
        <v>295421.49233607965</v>
      </c>
      <c r="W446" s="8">
        <v>0</v>
      </c>
      <c r="X446" s="8">
        <v>0</v>
      </c>
      <c r="Y446" s="8">
        <v>0</v>
      </c>
      <c r="Z446" s="8">
        <v>0</v>
      </c>
      <c r="AA446" s="7">
        <v>0.39452100000000001</v>
      </c>
      <c r="AB446" s="8">
        <v>99913.466936026933</v>
      </c>
      <c r="AC446" s="7">
        <v>2.181667</v>
      </c>
      <c r="AD446" s="7" t="s">
        <v>1226</v>
      </c>
      <c r="AE446" s="8">
        <v>75276.000000012398</v>
      </c>
      <c r="AF446" s="8">
        <v>0</v>
      </c>
      <c r="AG446" s="8">
        <v>75276.000000012398</v>
      </c>
      <c r="AH446" s="8">
        <v>0</v>
      </c>
      <c r="AI446" s="7" t="s">
        <v>1877</v>
      </c>
      <c r="AJ446" s="7">
        <f t="shared" ca="1" si="101"/>
        <v>1</v>
      </c>
      <c r="AL446" s="96">
        <f t="shared" si="104"/>
        <v>2.3633815960710309E-4</v>
      </c>
      <c r="AM446" s="97">
        <f t="shared" si="105"/>
        <v>1.0688179285433044E-3</v>
      </c>
    </row>
    <row r="447" spans="1:39" x14ac:dyDescent="0.3">
      <c r="A447" s="7" t="s">
        <v>2340</v>
      </c>
      <c r="B447" s="7" t="s">
        <v>1735</v>
      </c>
      <c r="C447" s="7" t="s">
        <v>1769</v>
      </c>
      <c r="D447" s="7" t="s">
        <v>2341</v>
      </c>
      <c r="E447" s="7" t="s">
        <v>1322</v>
      </c>
      <c r="F447" s="36">
        <v>43252</v>
      </c>
      <c r="G447" s="36">
        <v>44712</v>
      </c>
      <c r="H447" s="36">
        <v>44712</v>
      </c>
      <c r="I447" s="36">
        <v>44712</v>
      </c>
      <c r="J447" s="7" t="s">
        <v>1239</v>
      </c>
      <c r="K447" s="8">
        <v>135760.844304</v>
      </c>
      <c r="L447" s="8">
        <v>2500.751268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f t="shared" si="100"/>
        <v>138261.59557199999</v>
      </c>
      <c r="S447" s="8">
        <v>0</v>
      </c>
      <c r="T447" s="8">
        <v>2736.8246640000002</v>
      </c>
      <c r="U447" s="8">
        <v>0</v>
      </c>
      <c r="V447" s="8">
        <v>138527.17533599999</v>
      </c>
      <c r="W447" s="8">
        <v>0</v>
      </c>
      <c r="X447" s="8">
        <v>0</v>
      </c>
      <c r="Y447" s="8">
        <v>0</v>
      </c>
      <c r="Z447" s="8">
        <v>0</v>
      </c>
      <c r="AA447" s="7">
        <v>0.41369899999999998</v>
      </c>
      <c r="AB447" s="8">
        <v>58560.270759999999</v>
      </c>
      <c r="AC447" s="7">
        <v>2.0449999999999999</v>
      </c>
      <c r="AD447" s="7" t="s">
        <v>1226</v>
      </c>
      <c r="AE447" s="8">
        <v>58860</v>
      </c>
      <c r="AF447" s="8">
        <v>0</v>
      </c>
      <c r="AG447" s="8">
        <v>58860</v>
      </c>
      <c r="AH447" s="8">
        <v>0</v>
      </c>
      <c r="AI447" s="7" t="s">
        <v>1730</v>
      </c>
      <c r="AJ447" s="7">
        <f t="shared" ca="1" si="101"/>
        <v>1</v>
      </c>
      <c r="AL447" s="96">
        <f t="shared" si="104"/>
        <v>1.452537128379462E-4</v>
      </c>
      <c r="AM447" s="97">
        <f t="shared" si="105"/>
        <v>7.8337968339987061E-4</v>
      </c>
    </row>
    <row r="448" spans="1:39" x14ac:dyDescent="0.3">
      <c r="A448" s="7" t="s">
        <v>2342</v>
      </c>
      <c r="B448" s="7" t="s">
        <v>1735</v>
      </c>
      <c r="C448" s="7" t="s">
        <v>1756</v>
      </c>
      <c r="D448" s="7" t="s">
        <v>2343</v>
      </c>
      <c r="E448" s="7" t="s">
        <v>1322</v>
      </c>
      <c r="F448" s="36">
        <v>43621</v>
      </c>
      <c r="G448" s="36">
        <v>45081</v>
      </c>
      <c r="H448" s="36">
        <v>45081</v>
      </c>
      <c r="I448" s="36">
        <v>45081</v>
      </c>
      <c r="J448" s="7" t="s">
        <v>1239</v>
      </c>
      <c r="K448" s="8">
        <v>26998.330263749496</v>
      </c>
      <c r="L448" s="8">
        <v>1964.696538000529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f t="shared" si="100"/>
        <v>28963.026801750024</v>
      </c>
      <c r="S448" s="8">
        <v>0</v>
      </c>
      <c r="T448" s="8">
        <v>2038.855542000548</v>
      </c>
      <c r="U448" s="8">
        <v>0</v>
      </c>
      <c r="V448" s="8">
        <v>49963.14445801347</v>
      </c>
      <c r="W448" s="8">
        <v>0</v>
      </c>
      <c r="X448" s="8">
        <v>0</v>
      </c>
      <c r="Y448" s="8">
        <v>0</v>
      </c>
      <c r="Z448" s="8">
        <v>0</v>
      </c>
      <c r="AA448" s="7">
        <v>1.424658</v>
      </c>
      <c r="AB448" s="8">
        <v>72551.68600201956</v>
      </c>
      <c r="AC448" s="7">
        <v>2.0449999999999999</v>
      </c>
      <c r="AD448" s="7" t="s">
        <v>1226</v>
      </c>
      <c r="AE448" s="8">
        <v>26001.000000004286</v>
      </c>
      <c r="AF448" s="8">
        <v>0</v>
      </c>
      <c r="AG448" s="8">
        <v>26001.000000004286</v>
      </c>
      <c r="AH448" s="8">
        <v>0</v>
      </c>
      <c r="AI448" s="7" t="s">
        <v>1730</v>
      </c>
      <c r="AJ448" s="7">
        <f t="shared" ca="1" si="101"/>
        <v>1</v>
      </c>
      <c r="AL448" s="96">
        <f t="shared" si="104"/>
        <v>6.1972330100046932E-4</v>
      </c>
      <c r="AM448" s="97">
        <f t="shared" si="105"/>
        <v>3.4605258491477055E-4</v>
      </c>
    </row>
    <row r="449" spans="1:39" x14ac:dyDescent="0.3">
      <c r="A449" s="7" t="s">
        <v>2344</v>
      </c>
      <c r="B449" s="7" t="s">
        <v>1735</v>
      </c>
      <c r="C449" s="7" t="s">
        <v>1769</v>
      </c>
      <c r="E449" s="7" t="s">
        <v>1322</v>
      </c>
      <c r="F449" s="36">
        <v>43631</v>
      </c>
      <c r="G449" s="36">
        <v>44726</v>
      </c>
      <c r="H449" s="36">
        <v>44726</v>
      </c>
      <c r="I449" s="36">
        <v>44726</v>
      </c>
      <c r="J449" s="7" t="s">
        <v>1696</v>
      </c>
      <c r="K449" s="8">
        <v>0</v>
      </c>
      <c r="L449" s="8">
        <v>0</v>
      </c>
      <c r="M449" s="8">
        <v>39852</v>
      </c>
      <c r="N449" s="8">
        <v>0</v>
      </c>
      <c r="O449" s="8">
        <v>0</v>
      </c>
      <c r="P449" s="8">
        <v>0</v>
      </c>
      <c r="Q449" s="8">
        <v>0</v>
      </c>
      <c r="R449" s="8">
        <f t="shared" si="100"/>
        <v>39852</v>
      </c>
      <c r="S449" s="8">
        <v>0</v>
      </c>
      <c r="T449" s="8">
        <v>0</v>
      </c>
      <c r="U449" s="8">
        <v>39852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7">
        <v>0.45205499999999998</v>
      </c>
      <c r="AB449" s="8">
        <v>16536.387552</v>
      </c>
      <c r="AC449" s="7">
        <v>2.0299999999999998</v>
      </c>
      <c r="AD449" s="7" t="s">
        <v>1226</v>
      </c>
      <c r="AE449" s="8">
        <v>16605</v>
      </c>
      <c r="AF449" s="8">
        <v>0</v>
      </c>
      <c r="AG449" s="8">
        <v>16605</v>
      </c>
      <c r="AH449" s="8">
        <v>0</v>
      </c>
      <c r="AI449" s="7" t="s">
        <v>1730</v>
      </c>
      <c r="AJ449" s="7">
        <f t="shared" ca="1" si="101"/>
        <v>1</v>
      </c>
      <c r="AL449" s="96">
        <f>(+AA449*AB449)/$AB$612</f>
        <v>1.3481112441827913E-4</v>
      </c>
      <c r="AM449" s="97">
        <f>AC449/$AE$612*AE449</f>
        <v>5.8271761639220828E-4</v>
      </c>
    </row>
    <row r="450" spans="1:39" x14ac:dyDescent="0.3">
      <c r="A450" s="7" t="s">
        <v>2345</v>
      </c>
      <c r="B450" s="7" t="s">
        <v>1735</v>
      </c>
      <c r="C450" s="7" t="s">
        <v>1756</v>
      </c>
      <c r="E450" s="7" t="s">
        <v>1322</v>
      </c>
      <c r="F450" s="36">
        <v>43282</v>
      </c>
      <c r="G450" s="36">
        <v>44742</v>
      </c>
      <c r="H450" s="36">
        <v>44742</v>
      </c>
      <c r="I450" s="36">
        <v>44742</v>
      </c>
      <c r="J450" s="7" t="s">
        <v>1239</v>
      </c>
      <c r="K450" s="8">
        <v>0</v>
      </c>
      <c r="L450" s="8">
        <v>768.94729500020799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f t="shared" si="100"/>
        <v>768.94729500020799</v>
      </c>
      <c r="S450" s="8">
        <v>0</v>
      </c>
      <c r="T450" s="8">
        <v>835.16241000023001</v>
      </c>
      <c r="U450" s="8">
        <v>0</v>
      </c>
      <c r="V450" s="8">
        <v>38854.837590010473</v>
      </c>
      <c r="W450" s="8">
        <v>0</v>
      </c>
      <c r="X450" s="8">
        <v>0</v>
      </c>
      <c r="Y450" s="8">
        <v>0</v>
      </c>
      <c r="Z450" s="8">
        <v>0</v>
      </c>
      <c r="AA450" s="7">
        <v>0.49589</v>
      </c>
      <c r="AB450" s="8">
        <v>19727.168685005319</v>
      </c>
      <c r="AC450" s="7">
        <v>2.0449999999999999</v>
      </c>
      <c r="AD450" s="7" t="s">
        <v>1226</v>
      </c>
      <c r="AE450" s="8">
        <v>13230.000000002179</v>
      </c>
      <c r="AF450" s="8">
        <v>0</v>
      </c>
      <c r="AG450" s="8">
        <v>13230.000000002179</v>
      </c>
      <c r="AH450" s="8">
        <v>0</v>
      </c>
      <c r="AI450" s="7" t="s">
        <v>1730</v>
      </c>
      <c r="AJ450" s="7">
        <f t="shared" ca="1" si="101"/>
        <v>1</v>
      </c>
      <c r="AL450" s="96">
        <f t="shared" si="104"/>
        <v>5.8652942375085214E-5</v>
      </c>
      <c r="AM450" s="97">
        <f t="shared" si="105"/>
        <v>1.76080754525688E-4</v>
      </c>
    </row>
    <row r="451" spans="1:39" x14ac:dyDescent="0.3">
      <c r="A451" s="7" t="s">
        <v>2346</v>
      </c>
      <c r="B451" s="7" t="s">
        <v>1735</v>
      </c>
      <c r="C451" s="7" t="s">
        <v>1769</v>
      </c>
      <c r="E451" s="7" t="s">
        <v>1322</v>
      </c>
      <c r="F451" s="36">
        <v>43650</v>
      </c>
      <c r="G451" s="36">
        <v>44745</v>
      </c>
      <c r="H451" s="36">
        <v>44745</v>
      </c>
      <c r="I451" s="36">
        <v>44745</v>
      </c>
      <c r="J451" s="7" t="s">
        <v>1239</v>
      </c>
      <c r="K451" s="8">
        <v>54112.093871999998</v>
      </c>
      <c r="L451" s="8">
        <v>1080.7682560000001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f t="shared" ref="R451:R514" si="108">K451+L451+M451+N451+O451+P451+Q451</f>
        <v>55192.862128000001</v>
      </c>
      <c r="S451" s="8">
        <v>0</v>
      </c>
      <c r="T451" s="8">
        <v>1164.139488</v>
      </c>
      <c r="U451" s="8">
        <v>0</v>
      </c>
      <c r="V451" s="8">
        <v>54563.860511999999</v>
      </c>
      <c r="W451" s="8">
        <v>0</v>
      </c>
      <c r="X451" s="8">
        <v>0</v>
      </c>
      <c r="Y451" s="8">
        <v>0</v>
      </c>
      <c r="Z451" s="8">
        <v>0</v>
      </c>
      <c r="AA451" s="7">
        <v>0.50410999999999995</v>
      </c>
      <c r="AB451" s="8">
        <v>27699.763304</v>
      </c>
      <c r="AC451" s="7">
        <v>2.0299999999999998</v>
      </c>
      <c r="AD451" s="7" t="s">
        <v>1226</v>
      </c>
      <c r="AE451" s="8">
        <v>27864</v>
      </c>
      <c r="AF451" s="8">
        <v>0</v>
      </c>
      <c r="AG451" s="8">
        <v>27864</v>
      </c>
      <c r="AH451" s="8">
        <v>0</v>
      </c>
      <c r="AI451" s="7" t="s">
        <v>1730</v>
      </c>
      <c r="AJ451" s="7">
        <f t="shared" ref="AJ451:AJ514" ca="1" si="109">IF(A451=OFFSET(A451,-1,0),OFFSET(AJ451,-1,0)+1,1)</f>
        <v>1</v>
      </c>
      <c r="AL451" s="96">
        <f t="shared" si="104"/>
        <v>8.3722283611764969E-5</v>
      </c>
      <c r="AM451" s="97">
        <f t="shared" si="105"/>
        <v>3.6812747617491601E-4</v>
      </c>
    </row>
    <row r="452" spans="1:39" x14ac:dyDescent="0.3">
      <c r="A452" s="7" t="s">
        <v>2347</v>
      </c>
      <c r="B452" s="7" t="s">
        <v>1735</v>
      </c>
      <c r="C452" s="7" t="s">
        <v>1756</v>
      </c>
      <c r="D452" s="7" t="s">
        <v>2191</v>
      </c>
      <c r="E452" s="7" t="s">
        <v>1322</v>
      </c>
      <c r="F452" s="36">
        <v>43661</v>
      </c>
      <c r="G452" s="36">
        <v>45121</v>
      </c>
      <c r="H452" s="36">
        <v>45121</v>
      </c>
      <c r="I452" s="36">
        <v>45121</v>
      </c>
      <c r="J452" s="7" t="s">
        <v>1239</v>
      </c>
      <c r="K452" s="8">
        <v>13373.004717897107</v>
      </c>
      <c r="L452" s="8">
        <v>1028.914734000278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f t="shared" si="108"/>
        <v>14401.919451897385</v>
      </c>
      <c r="S452" s="8">
        <v>0</v>
      </c>
      <c r="T452" s="8">
        <v>1052.0035500002889</v>
      </c>
      <c r="U452" s="8">
        <v>0</v>
      </c>
      <c r="V452" s="8">
        <v>24705.99645000666</v>
      </c>
      <c r="W452" s="8">
        <v>0</v>
      </c>
      <c r="X452" s="8">
        <v>0</v>
      </c>
      <c r="Y452" s="8">
        <v>0</v>
      </c>
      <c r="Z452" s="8">
        <v>0</v>
      </c>
      <c r="AA452" s="7">
        <v>1.5342469999999999</v>
      </c>
      <c r="AB452" s="8">
        <v>38018.526534010249</v>
      </c>
      <c r="AC452" s="7">
        <v>2.0449999999999999</v>
      </c>
      <c r="AD452" s="7" t="s">
        <v>1226</v>
      </c>
      <c r="AE452" s="8">
        <v>12879.000000002117</v>
      </c>
      <c r="AF452" s="8">
        <v>0</v>
      </c>
      <c r="AG452" s="8">
        <v>12879.000000002117</v>
      </c>
      <c r="AH452" s="8">
        <v>0</v>
      </c>
      <c r="AI452" s="7" t="s">
        <v>1730</v>
      </c>
      <c r="AJ452" s="7">
        <f t="shared" ca="1" si="109"/>
        <v>1</v>
      </c>
      <c r="AL452" s="96">
        <f t="shared" ref="AL452:AL515" si="110">(+AA452*AB452)/$AB$611</f>
        <v>3.4972788294198123E-4</v>
      </c>
      <c r="AM452" s="97">
        <f t="shared" ref="AM452:AM515" si="111">AC452/$AE$611*AE452</f>
        <v>1.7140922430357785E-4</v>
      </c>
    </row>
    <row r="453" spans="1:39" x14ac:dyDescent="0.3">
      <c r="A453" s="7" t="s">
        <v>2348</v>
      </c>
      <c r="B453" s="7" t="s">
        <v>1735</v>
      </c>
      <c r="C453" s="7" t="s">
        <v>1756</v>
      </c>
      <c r="D453" s="7" t="s">
        <v>2198</v>
      </c>
      <c r="E453" s="7" t="s">
        <v>1322</v>
      </c>
      <c r="F453" s="36">
        <v>43320</v>
      </c>
      <c r="G453" s="36">
        <v>45145</v>
      </c>
      <c r="H453" s="36">
        <v>45145</v>
      </c>
      <c r="I453" s="36">
        <v>45145</v>
      </c>
      <c r="J453" s="7" t="s">
        <v>1239</v>
      </c>
      <c r="K453" s="8">
        <v>0</v>
      </c>
      <c r="L453" s="8">
        <v>10840.604337002924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f t="shared" si="108"/>
        <v>10840.604337002924</v>
      </c>
      <c r="S453" s="8">
        <v>0</v>
      </c>
      <c r="T453" s="8">
        <v>11172.456360003012</v>
      </c>
      <c r="U453" s="8">
        <v>0</v>
      </c>
      <c r="V453" s="8">
        <v>235769.54364006355</v>
      </c>
      <c r="W453" s="8">
        <v>0</v>
      </c>
      <c r="X453" s="8">
        <v>0</v>
      </c>
      <c r="Y453" s="8">
        <v>0</v>
      </c>
      <c r="Z453" s="8">
        <v>0</v>
      </c>
      <c r="AA453" s="7">
        <v>1.6</v>
      </c>
      <c r="AB453" s="8">
        <v>383972.62394710351</v>
      </c>
      <c r="AC453" s="7">
        <v>2.181667</v>
      </c>
      <c r="AD453" s="7" t="s">
        <v>1226</v>
      </c>
      <c r="AE453" s="8">
        <v>123471.00000002033</v>
      </c>
      <c r="AF453" s="8">
        <v>0</v>
      </c>
      <c r="AG453" s="8">
        <v>123471.00000002033</v>
      </c>
      <c r="AH453" s="8">
        <v>0</v>
      </c>
      <c r="AI453" s="7" t="s">
        <v>1877</v>
      </c>
      <c r="AJ453" s="7">
        <f t="shared" ca="1" si="109"/>
        <v>1</v>
      </c>
      <c r="AL453" s="96">
        <f t="shared" si="110"/>
        <v>3.683493767262245E-3</v>
      </c>
      <c r="AM453" s="97">
        <f t="shared" si="111"/>
        <v>1.7531220901106639E-3</v>
      </c>
    </row>
    <row r="454" spans="1:39" x14ac:dyDescent="0.3">
      <c r="A454" s="7" t="s">
        <v>2349</v>
      </c>
      <c r="B454" s="7" t="s">
        <v>1735</v>
      </c>
      <c r="C454" s="7" t="s">
        <v>1769</v>
      </c>
      <c r="D454" s="7" t="s">
        <v>2193</v>
      </c>
      <c r="E454" s="7" t="s">
        <v>1322</v>
      </c>
      <c r="F454" s="36">
        <v>43692</v>
      </c>
      <c r="G454" s="36">
        <v>44787</v>
      </c>
      <c r="H454" s="36">
        <v>44787</v>
      </c>
      <c r="I454" s="36">
        <v>44787</v>
      </c>
      <c r="J454" s="7" t="s">
        <v>1696</v>
      </c>
      <c r="K454" s="8">
        <v>0</v>
      </c>
      <c r="L454" s="8">
        <v>0</v>
      </c>
      <c r="M454" s="8">
        <v>80028</v>
      </c>
      <c r="N454" s="8">
        <v>0</v>
      </c>
      <c r="O454" s="8">
        <v>0</v>
      </c>
      <c r="P454" s="8">
        <v>0</v>
      </c>
      <c r="Q454" s="8">
        <v>0</v>
      </c>
      <c r="R454" s="8">
        <f t="shared" si="108"/>
        <v>80028</v>
      </c>
      <c r="S454" s="8">
        <v>0</v>
      </c>
      <c r="T454" s="8">
        <v>0</v>
      </c>
      <c r="U454" s="8">
        <v>80028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7">
        <v>0.61917800000000001</v>
      </c>
      <c r="AB454" s="8">
        <v>46411.723769999997</v>
      </c>
      <c r="AC454" s="7">
        <v>2.0299999999999998</v>
      </c>
      <c r="AD454" s="7" t="s">
        <v>1226</v>
      </c>
      <c r="AE454" s="8">
        <v>46683</v>
      </c>
      <c r="AF454" s="8">
        <v>0</v>
      </c>
      <c r="AG454" s="8">
        <v>46683</v>
      </c>
      <c r="AH454" s="8">
        <v>0</v>
      </c>
      <c r="AI454" s="7" t="s">
        <v>1730</v>
      </c>
      <c r="AJ454" s="7">
        <f t="shared" ca="1" si="109"/>
        <v>1</v>
      </c>
      <c r="AL454" s="96">
        <f>(+AA454*AB454)/$AB$612</f>
        <v>5.1824727556827621E-4</v>
      </c>
      <c r="AM454" s="97">
        <f>AC454/$AE$612*AE454</f>
        <v>1.6382418841335417E-3</v>
      </c>
    </row>
    <row r="455" spans="1:39" x14ac:dyDescent="0.3">
      <c r="A455" s="7" t="s">
        <v>2350</v>
      </c>
      <c r="B455" s="7" t="s">
        <v>1735</v>
      </c>
      <c r="C455" s="7" t="s">
        <v>1756</v>
      </c>
      <c r="D455" s="7" t="s">
        <v>2200</v>
      </c>
      <c r="E455" s="7" t="s">
        <v>1322</v>
      </c>
      <c r="F455" s="36">
        <v>43344</v>
      </c>
      <c r="G455" s="36">
        <v>44804</v>
      </c>
      <c r="H455" s="36">
        <v>44804</v>
      </c>
      <c r="I455" s="36">
        <v>44804</v>
      </c>
      <c r="J455" s="7" t="s">
        <v>1239</v>
      </c>
      <c r="K455" s="8">
        <v>0</v>
      </c>
      <c r="L455" s="8">
        <v>1294.878528000349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f t="shared" si="108"/>
        <v>1294.878528000349</v>
      </c>
      <c r="S455" s="8">
        <v>0</v>
      </c>
      <c r="T455" s="8">
        <v>1389.688668000377</v>
      </c>
      <c r="U455" s="8">
        <v>0</v>
      </c>
      <c r="V455" s="8">
        <v>55634.311332014993</v>
      </c>
      <c r="W455" s="8">
        <v>0</v>
      </c>
      <c r="X455" s="8">
        <v>0</v>
      </c>
      <c r="Y455" s="8">
        <v>0</v>
      </c>
      <c r="Z455" s="8">
        <v>0</v>
      </c>
      <c r="AA455" s="7">
        <v>0.66575300000000004</v>
      </c>
      <c r="AB455" s="8">
        <v>37726.11315201017</v>
      </c>
      <c r="AC455" s="7">
        <v>2.0449999999999999</v>
      </c>
      <c r="AD455" s="7" t="s">
        <v>1226</v>
      </c>
      <c r="AE455" s="8">
        <v>28512.000000004697</v>
      </c>
      <c r="AF455" s="8">
        <v>0</v>
      </c>
      <c r="AG455" s="8">
        <v>28512.000000004697</v>
      </c>
      <c r="AH455" s="8">
        <v>0</v>
      </c>
      <c r="AI455" s="7" t="s">
        <v>1730</v>
      </c>
      <c r="AJ455" s="7">
        <f t="shared" ca="1" si="109"/>
        <v>1</v>
      </c>
      <c r="AL455" s="96">
        <f t="shared" si="110"/>
        <v>1.5058956895082343E-4</v>
      </c>
      <c r="AM455" s="97">
        <f t="shared" si="111"/>
        <v>3.7947199342678884E-4</v>
      </c>
    </row>
    <row r="456" spans="1:39" x14ac:dyDescent="0.3">
      <c r="A456" s="7" t="s">
        <v>2351</v>
      </c>
      <c r="B456" s="7" t="s">
        <v>1735</v>
      </c>
      <c r="C456" s="7" t="s">
        <v>1769</v>
      </c>
      <c r="D456" s="7" t="s">
        <v>2202</v>
      </c>
      <c r="E456" s="7" t="s">
        <v>1322</v>
      </c>
      <c r="F456" s="36">
        <v>43723</v>
      </c>
      <c r="G456" s="36">
        <v>44818</v>
      </c>
      <c r="H456" s="36">
        <v>44818</v>
      </c>
      <c r="I456" s="36">
        <v>44818</v>
      </c>
      <c r="J456" s="7" t="s">
        <v>1696</v>
      </c>
      <c r="K456" s="8">
        <v>0</v>
      </c>
      <c r="L456" s="8">
        <v>0</v>
      </c>
      <c r="M456" s="8">
        <v>27054</v>
      </c>
      <c r="N456" s="8">
        <v>0</v>
      </c>
      <c r="O456" s="8">
        <v>0</v>
      </c>
      <c r="P456" s="8">
        <v>0</v>
      </c>
      <c r="Q456" s="8">
        <v>0</v>
      </c>
      <c r="R456" s="8">
        <f t="shared" si="108"/>
        <v>27054</v>
      </c>
      <c r="S456" s="8">
        <v>0</v>
      </c>
      <c r="T456" s="8">
        <v>0</v>
      </c>
      <c r="U456" s="8">
        <v>27054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7">
        <v>0.70411000000000001</v>
      </c>
      <c r="AB456" s="8">
        <v>17916.076710000001</v>
      </c>
      <c r="AC456" s="7">
        <v>2.0299999999999998</v>
      </c>
      <c r="AD456" s="7" t="s">
        <v>1226</v>
      </c>
      <c r="AE456" s="8">
        <v>18036</v>
      </c>
      <c r="AF456" s="8">
        <v>0</v>
      </c>
      <c r="AG456" s="8">
        <v>18036</v>
      </c>
      <c r="AH456" s="8">
        <v>0</v>
      </c>
      <c r="AI456" s="7" t="s">
        <v>1730</v>
      </c>
      <c r="AJ456" s="7">
        <f t="shared" ca="1" si="109"/>
        <v>1</v>
      </c>
      <c r="AL456" s="96">
        <f>(+AA456*AB456)/$AB$612</f>
        <v>2.2749781900452675E-4</v>
      </c>
      <c r="AM456" s="97">
        <f>AC456/$AE$612*AE456</f>
        <v>6.3293555731706527E-4</v>
      </c>
    </row>
    <row r="457" spans="1:39" x14ac:dyDescent="0.3">
      <c r="A457" s="7" t="s">
        <v>2352</v>
      </c>
      <c r="B457" s="7" t="s">
        <v>1735</v>
      </c>
      <c r="C457" s="7" t="s">
        <v>1769</v>
      </c>
      <c r="D457" s="7" t="s">
        <v>2353</v>
      </c>
      <c r="E457" s="7" t="s">
        <v>1322</v>
      </c>
      <c r="F457" s="36">
        <v>43466</v>
      </c>
      <c r="G457" s="36">
        <v>44926</v>
      </c>
      <c r="H457" s="36">
        <v>44926</v>
      </c>
      <c r="I457" s="36">
        <v>44926</v>
      </c>
      <c r="J457" s="7" t="s">
        <v>1239</v>
      </c>
      <c r="K457" s="8">
        <v>32616.854220000001</v>
      </c>
      <c r="L457" s="8">
        <v>995.81087000000002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f t="shared" si="108"/>
        <v>33612.665090000002</v>
      </c>
      <c r="S457" s="8">
        <v>0</v>
      </c>
      <c r="T457" s="8">
        <v>1051.856045</v>
      </c>
      <c r="U457" s="8">
        <v>0</v>
      </c>
      <c r="V457" s="8">
        <v>32887.143955</v>
      </c>
      <c r="W457" s="8">
        <v>0</v>
      </c>
      <c r="X457" s="8">
        <v>0</v>
      </c>
      <c r="Y457" s="8">
        <v>0</v>
      </c>
      <c r="Z457" s="8">
        <v>0</v>
      </c>
      <c r="AA457" s="7">
        <v>1</v>
      </c>
      <c r="AB457" s="8">
        <v>33566.025685000001</v>
      </c>
      <c r="AC457" s="7">
        <v>2.0449999999999999</v>
      </c>
      <c r="AD457" s="7" t="s">
        <v>1226</v>
      </c>
      <c r="AE457" s="8">
        <v>33939</v>
      </c>
      <c r="AF457" s="8">
        <v>0</v>
      </c>
      <c r="AG457" s="8">
        <v>33939</v>
      </c>
      <c r="AH457" s="8">
        <v>0</v>
      </c>
      <c r="AI457" s="7" t="s">
        <v>1730</v>
      </c>
      <c r="AJ457" s="7">
        <f t="shared" ca="1" si="109"/>
        <v>1</v>
      </c>
      <c r="AL457" s="96">
        <f t="shared" si="110"/>
        <v>2.0125172781115827E-4</v>
      </c>
      <c r="AM457" s="97">
        <f t="shared" si="111"/>
        <v>4.5170103763010887E-4</v>
      </c>
    </row>
    <row r="458" spans="1:39" x14ac:dyDescent="0.3">
      <c r="A458" s="7" t="s">
        <v>2354</v>
      </c>
      <c r="B458" s="7" t="s">
        <v>1735</v>
      </c>
      <c r="C458" s="7" t="s">
        <v>1769</v>
      </c>
      <c r="D458" s="7" t="s">
        <v>2195</v>
      </c>
      <c r="E458" s="7" t="s">
        <v>1322</v>
      </c>
      <c r="F458" s="36">
        <v>43498</v>
      </c>
      <c r="G458" s="36">
        <v>44958</v>
      </c>
      <c r="H458" s="36">
        <v>44958</v>
      </c>
      <c r="I458" s="36">
        <v>44958</v>
      </c>
      <c r="J458" s="7" t="s">
        <v>1239</v>
      </c>
      <c r="K458" s="8">
        <v>19850.352803999998</v>
      </c>
      <c r="L458" s="8">
        <v>641.24946299999999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f t="shared" si="108"/>
        <v>20491.602266999998</v>
      </c>
      <c r="S458" s="8">
        <v>0</v>
      </c>
      <c r="T458" s="8">
        <v>674.20166700000004</v>
      </c>
      <c r="U458" s="8">
        <v>0</v>
      </c>
      <c r="V458" s="8">
        <v>19980.798332999999</v>
      </c>
      <c r="W458" s="8">
        <v>0</v>
      </c>
      <c r="X458" s="8">
        <v>0</v>
      </c>
      <c r="Y458" s="8">
        <v>0</v>
      </c>
      <c r="Z458" s="8">
        <v>0</v>
      </c>
      <c r="AA458" s="7">
        <v>1.0876710000000001</v>
      </c>
      <c r="AB458" s="8">
        <v>22111.579041000001</v>
      </c>
      <c r="AC458" s="7">
        <v>2.0449999999999999</v>
      </c>
      <c r="AD458" s="7" t="s">
        <v>1226</v>
      </c>
      <c r="AE458" s="8">
        <v>22376.25</v>
      </c>
      <c r="AF458" s="8">
        <v>0</v>
      </c>
      <c r="AG458" s="8">
        <v>22376.25</v>
      </c>
      <c r="AH458" s="8">
        <v>0</v>
      </c>
      <c r="AI458" s="7" t="s">
        <v>1730</v>
      </c>
      <c r="AJ458" s="7">
        <f t="shared" ca="1" si="109"/>
        <v>1</v>
      </c>
      <c r="AL458" s="96">
        <f t="shared" si="110"/>
        <v>1.4419725799601931E-4</v>
      </c>
      <c r="AM458" s="97">
        <f t="shared" si="111"/>
        <v>2.9781005165946915E-4</v>
      </c>
    </row>
    <row r="459" spans="1:39" x14ac:dyDescent="0.3">
      <c r="A459" s="7" t="s">
        <v>2355</v>
      </c>
      <c r="B459" s="7" t="s">
        <v>1735</v>
      </c>
      <c r="C459" s="7" t="s">
        <v>1756</v>
      </c>
      <c r="D459" s="7" t="s">
        <v>2356</v>
      </c>
      <c r="E459" s="7" t="s">
        <v>1322</v>
      </c>
      <c r="F459" s="36">
        <v>43510</v>
      </c>
      <c r="G459" s="36">
        <v>44970</v>
      </c>
      <c r="H459" s="36">
        <v>44970</v>
      </c>
      <c r="I459" s="36">
        <v>44970</v>
      </c>
      <c r="J459" s="7" t="s">
        <v>1239</v>
      </c>
      <c r="K459" s="8">
        <v>18924.063263530574</v>
      </c>
      <c r="L459" s="8">
        <v>1154.8770800003099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f t="shared" si="108"/>
        <v>20078.940343530885</v>
      </c>
      <c r="S459" s="8">
        <v>0</v>
      </c>
      <c r="T459" s="8">
        <v>1189.7676450003239</v>
      </c>
      <c r="U459" s="8">
        <v>0</v>
      </c>
      <c r="V459" s="8">
        <v>35260.232355009502</v>
      </c>
      <c r="W459" s="8">
        <v>0</v>
      </c>
      <c r="X459" s="8">
        <v>0</v>
      </c>
      <c r="Y459" s="8">
        <v>0</v>
      </c>
      <c r="Z459" s="8">
        <v>0</v>
      </c>
      <c r="AA459" s="7">
        <v>1.1205480000000001</v>
      </c>
      <c r="AB459" s="8">
        <v>39020.433595010516</v>
      </c>
      <c r="AC459" s="7">
        <v>2.0449999999999999</v>
      </c>
      <c r="AD459" s="7" t="s">
        <v>1226</v>
      </c>
      <c r="AE459" s="8">
        <v>18225.000000003001</v>
      </c>
      <c r="AF459" s="8">
        <v>0</v>
      </c>
      <c r="AG459" s="8">
        <v>18225.000000003001</v>
      </c>
      <c r="AH459" s="8">
        <v>0</v>
      </c>
      <c r="AI459" s="7" t="s">
        <v>1730</v>
      </c>
      <c r="AJ459" s="7">
        <f t="shared" ca="1" si="109"/>
        <v>1</v>
      </c>
      <c r="AL459" s="96">
        <f t="shared" si="110"/>
        <v>2.6215747823985966E-4</v>
      </c>
      <c r="AM459" s="97">
        <f t="shared" si="111"/>
        <v>2.425602230711008E-4</v>
      </c>
    </row>
    <row r="460" spans="1:39" x14ac:dyDescent="0.3">
      <c r="A460" s="7" t="s">
        <v>2357</v>
      </c>
      <c r="B460" s="7" t="s">
        <v>1735</v>
      </c>
      <c r="C460" s="7" t="s">
        <v>1769</v>
      </c>
      <c r="D460" s="7" t="s">
        <v>2193</v>
      </c>
      <c r="E460" s="7" t="s">
        <v>1322</v>
      </c>
      <c r="F460" s="36">
        <v>43498</v>
      </c>
      <c r="G460" s="36">
        <v>44958</v>
      </c>
      <c r="H460" s="36">
        <v>44958</v>
      </c>
      <c r="I460" s="36">
        <v>44958</v>
      </c>
      <c r="J460" s="7" t="s">
        <v>1239</v>
      </c>
      <c r="K460" s="8">
        <v>19850.352803999998</v>
      </c>
      <c r="L460" s="8">
        <v>641.24946299999999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f t="shared" si="108"/>
        <v>20491.602266999998</v>
      </c>
      <c r="S460" s="8">
        <v>0</v>
      </c>
      <c r="T460" s="8">
        <v>674.20166700000004</v>
      </c>
      <c r="U460" s="8">
        <v>0</v>
      </c>
      <c r="V460" s="8">
        <v>19980.798332999999</v>
      </c>
      <c r="W460" s="8">
        <v>0</v>
      </c>
      <c r="X460" s="8">
        <v>0</v>
      </c>
      <c r="Y460" s="8">
        <v>0</v>
      </c>
      <c r="Z460" s="8">
        <v>0</v>
      </c>
      <c r="AA460" s="7">
        <v>1.0876710000000001</v>
      </c>
      <c r="AB460" s="8">
        <v>22111.579041000001</v>
      </c>
      <c r="AC460" s="7">
        <v>2.0449999999999999</v>
      </c>
      <c r="AD460" s="7" t="s">
        <v>1226</v>
      </c>
      <c r="AE460" s="8">
        <v>22376.25</v>
      </c>
      <c r="AF460" s="8">
        <v>0</v>
      </c>
      <c r="AG460" s="8">
        <v>22376.25</v>
      </c>
      <c r="AH460" s="8">
        <v>0</v>
      </c>
      <c r="AI460" s="7" t="s">
        <v>1730</v>
      </c>
      <c r="AJ460" s="7">
        <f t="shared" ca="1" si="109"/>
        <v>1</v>
      </c>
      <c r="AL460" s="96">
        <f t="shared" si="110"/>
        <v>1.4419725799601931E-4</v>
      </c>
      <c r="AM460" s="97">
        <f t="shared" si="111"/>
        <v>2.9781005165946915E-4</v>
      </c>
    </row>
    <row r="461" spans="1:39" x14ac:dyDescent="0.3">
      <c r="A461" s="7" t="s">
        <v>2358</v>
      </c>
      <c r="B461" s="7" t="s">
        <v>1735</v>
      </c>
      <c r="C461" s="7" t="s">
        <v>1769</v>
      </c>
      <c r="D461" s="7" t="s">
        <v>2333</v>
      </c>
      <c r="E461" s="7" t="s">
        <v>1322</v>
      </c>
      <c r="F461" s="36">
        <v>43511</v>
      </c>
      <c r="G461" s="36">
        <v>44606</v>
      </c>
      <c r="H461" s="36">
        <v>44606</v>
      </c>
      <c r="I461" s="36">
        <v>44606</v>
      </c>
      <c r="J461" s="7" t="s">
        <v>1696</v>
      </c>
      <c r="K461" s="8">
        <v>0</v>
      </c>
      <c r="L461" s="8">
        <v>0</v>
      </c>
      <c r="M461" s="8">
        <v>55512</v>
      </c>
      <c r="N461" s="8">
        <v>0</v>
      </c>
      <c r="O461" s="8">
        <v>0</v>
      </c>
      <c r="P461" s="8">
        <v>0</v>
      </c>
      <c r="Q461" s="8">
        <v>0</v>
      </c>
      <c r="R461" s="8">
        <f t="shared" si="108"/>
        <v>55512</v>
      </c>
      <c r="S461" s="8">
        <v>0</v>
      </c>
      <c r="T461" s="8">
        <v>0</v>
      </c>
      <c r="U461" s="8">
        <v>55512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7">
        <v>0.12328799999999999</v>
      </c>
      <c r="AB461" s="8">
        <v>4622.4718039999998</v>
      </c>
      <c r="AC461" s="7">
        <v>2.0299999999999998</v>
      </c>
      <c r="AD461" s="7" t="s">
        <v>1226</v>
      </c>
      <c r="AE461" s="8">
        <v>4626</v>
      </c>
      <c r="AF461" s="8">
        <v>0</v>
      </c>
      <c r="AG461" s="8">
        <v>4626</v>
      </c>
      <c r="AH461" s="8">
        <v>0</v>
      </c>
      <c r="AI461" s="7" t="s">
        <v>1730</v>
      </c>
      <c r="AJ461" s="7">
        <f t="shared" ca="1" si="109"/>
        <v>1</v>
      </c>
      <c r="AL461" s="96">
        <f>(+AA461*AB461)/$AB$612</f>
        <v>1.0277533239441877E-5</v>
      </c>
      <c r="AM461" s="97">
        <f>AC461/$AE$612*AE461</f>
        <v>1.6233975871305967E-4</v>
      </c>
    </row>
    <row r="462" spans="1:39" x14ac:dyDescent="0.3">
      <c r="A462" s="7" t="s">
        <v>2359</v>
      </c>
      <c r="B462" s="7" t="s">
        <v>1735</v>
      </c>
      <c r="C462" s="7" t="s">
        <v>1756</v>
      </c>
      <c r="D462" s="7" t="s">
        <v>2335</v>
      </c>
      <c r="E462" s="7" t="s">
        <v>1322</v>
      </c>
      <c r="F462" s="36">
        <v>43525</v>
      </c>
      <c r="G462" s="36">
        <v>44985</v>
      </c>
      <c r="H462" s="36">
        <v>44985</v>
      </c>
      <c r="I462" s="36">
        <v>44985</v>
      </c>
      <c r="J462" s="7" t="s">
        <v>1239</v>
      </c>
      <c r="K462" s="8">
        <v>10639.528893716844</v>
      </c>
      <c r="L462" s="8">
        <v>668.91381600017996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f t="shared" si="108"/>
        <v>11308.442709717025</v>
      </c>
      <c r="S462" s="8">
        <v>0</v>
      </c>
      <c r="T462" s="8">
        <v>702.63988800018603</v>
      </c>
      <c r="U462" s="8">
        <v>0</v>
      </c>
      <c r="V462" s="8">
        <v>19790.360112005335</v>
      </c>
      <c r="W462" s="8">
        <v>0</v>
      </c>
      <c r="X462" s="8">
        <v>0</v>
      </c>
      <c r="Y462" s="8">
        <v>0</v>
      </c>
      <c r="Z462" s="8">
        <v>0</v>
      </c>
      <c r="AA462" s="7">
        <v>1.1616439999999999</v>
      </c>
      <c r="AB462" s="8">
        <v>23605.676889006361</v>
      </c>
      <c r="AC462" s="7">
        <v>2.0449999999999999</v>
      </c>
      <c r="AD462" s="7" t="s">
        <v>1226</v>
      </c>
      <c r="AE462" s="8">
        <v>10246.500000001686</v>
      </c>
      <c r="AF462" s="8">
        <v>0</v>
      </c>
      <c r="AG462" s="8">
        <v>10246.500000001686</v>
      </c>
      <c r="AH462" s="8">
        <v>0</v>
      </c>
      <c r="AI462" s="7" t="s">
        <v>1730</v>
      </c>
      <c r="AJ462" s="7">
        <f t="shared" ca="1" si="109"/>
        <v>1</v>
      </c>
      <c r="AL462" s="96">
        <f t="shared" si="110"/>
        <v>1.6441037007906693E-4</v>
      </c>
      <c r="AM462" s="97">
        <f t="shared" si="111"/>
        <v>1.3637274763775222E-4</v>
      </c>
    </row>
    <row r="463" spans="1:39" x14ac:dyDescent="0.3">
      <c r="A463" s="7" t="s">
        <v>2360</v>
      </c>
      <c r="B463" s="7" t="s">
        <v>1735</v>
      </c>
      <c r="C463" s="7" t="s">
        <v>1769</v>
      </c>
      <c r="D463" s="7" t="s">
        <v>2337</v>
      </c>
      <c r="E463" s="7" t="s">
        <v>1322</v>
      </c>
      <c r="F463" s="36">
        <v>43174</v>
      </c>
      <c r="G463" s="36">
        <v>44634</v>
      </c>
      <c r="H463" s="36">
        <v>44634</v>
      </c>
      <c r="I463" s="36">
        <v>44634</v>
      </c>
      <c r="J463" s="7" t="s">
        <v>1239</v>
      </c>
      <c r="K463" s="8">
        <v>43852.413419999997</v>
      </c>
      <c r="L463" s="8">
        <v>612.842805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f t="shared" si="108"/>
        <v>44465.256224999997</v>
      </c>
      <c r="S463" s="8">
        <v>0</v>
      </c>
      <c r="T463" s="8">
        <v>654.87399500000004</v>
      </c>
      <c r="U463" s="8">
        <v>0</v>
      </c>
      <c r="V463" s="8">
        <v>44975.126004999998</v>
      </c>
      <c r="W463" s="8">
        <v>0</v>
      </c>
      <c r="X463" s="8">
        <v>0</v>
      </c>
      <c r="Y463" s="8">
        <v>0</v>
      </c>
      <c r="Z463" s="8">
        <v>0</v>
      </c>
      <c r="AA463" s="7">
        <v>0.2</v>
      </c>
      <c r="AB463" s="8">
        <v>7585.603795</v>
      </c>
      <c r="AC463" s="7">
        <v>2.0449999999999999</v>
      </c>
      <c r="AD463" s="7" t="s">
        <v>1226</v>
      </c>
      <c r="AE463" s="8">
        <v>7605</v>
      </c>
      <c r="AF463" s="8">
        <v>0</v>
      </c>
      <c r="AG463" s="8">
        <v>7605</v>
      </c>
      <c r="AH463" s="8">
        <v>0</v>
      </c>
      <c r="AI463" s="7" t="s">
        <v>1730</v>
      </c>
      <c r="AJ463" s="7">
        <f t="shared" ca="1" si="109"/>
        <v>1</v>
      </c>
      <c r="AL463" s="96">
        <f t="shared" si="110"/>
        <v>9.096196758955851E-6</v>
      </c>
      <c r="AM463" s="97">
        <f t="shared" si="111"/>
        <v>1.0121648814570193E-4</v>
      </c>
    </row>
    <row r="464" spans="1:39" x14ac:dyDescent="0.3">
      <c r="A464" s="7" t="s">
        <v>2361</v>
      </c>
      <c r="B464" s="7" t="s">
        <v>1735</v>
      </c>
      <c r="C464" s="7" t="s">
        <v>1756</v>
      </c>
      <c r="D464" s="7" t="s">
        <v>2341</v>
      </c>
      <c r="E464" s="7" t="s">
        <v>1322</v>
      </c>
      <c r="F464" s="36">
        <v>43205</v>
      </c>
      <c r="G464" s="36">
        <v>44665</v>
      </c>
      <c r="H464" s="36">
        <v>44665</v>
      </c>
      <c r="I464" s="36">
        <v>44665</v>
      </c>
      <c r="J464" s="7" t="s">
        <v>1239</v>
      </c>
      <c r="K464" s="8">
        <v>0</v>
      </c>
      <c r="L464" s="8">
        <v>1215.679580000331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f t="shared" si="108"/>
        <v>1215.679580000331</v>
      </c>
      <c r="S464" s="8">
        <v>0</v>
      </c>
      <c r="T464" s="8">
        <v>1289.667660000342</v>
      </c>
      <c r="U464" s="8">
        <v>0</v>
      </c>
      <c r="V464" s="8">
        <v>79170.332340021341</v>
      </c>
      <c r="W464" s="8">
        <v>0</v>
      </c>
      <c r="X464" s="8">
        <v>0</v>
      </c>
      <c r="Y464" s="8">
        <v>0</v>
      </c>
      <c r="Z464" s="8">
        <v>0</v>
      </c>
      <c r="AA464" s="7">
        <v>0.28493200000000002</v>
      </c>
      <c r="AB464" s="8">
        <v>20046.635620005403</v>
      </c>
      <c r="AC464" s="7">
        <v>2.0449999999999999</v>
      </c>
      <c r="AD464" s="7" t="s">
        <v>1226</v>
      </c>
      <c r="AE464" s="8">
        <v>0</v>
      </c>
      <c r="AF464" s="8">
        <v>0</v>
      </c>
      <c r="AG464" s="8">
        <v>0</v>
      </c>
      <c r="AH464" s="8">
        <v>0</v>
      </c>
      <c r="AI464" s="7" t="s">
        <v>1730</v>
      </c>
      <c r="AJ464" s="7">
        <f t="shared" ca="1" si="109"/>
        <v>1</v>
      </c>
      <c r="AL464" s="96">
        <f t="shared" si="110"/>
        <v>3.4246990870834016E-5</v>
      </c>
      <c r="AM464" s="97">
        <f t="shared" si="111"/>
        <v>0</v>
      </c>
    </row>
    <row r="465" spans="1:39" x14ac:dyDescent="0.3">
      <c r="A465" s="7" t="s">
        <v>2362</v>
      </c>
      <c r="B465" s="7" t="s">
        <v>1735</v>
      </c>
      <c r="C465" s="7" t="s">
        <v>1769</v>
      </c>
      <c r="D465" s="7" t="s">
        <v>2343</v>
      </c>
      <c r="E465" s="7" t="s">
        <v>1322</v>
      </c>
      <c r="F465" s="36">
        <v>43582</v>
      </c>
      <c r="G465" s="36">
        <v>44677</v>
      </c>
      <c r="H465" s="36">
        <v>44677</v>
      </c>
      <c r="I465" s="36">
        <v>44677</v>
      </c>
      <c r="J465" s="7" t="s">
        <v>1696</v>
      </c>
      <c r="K465" s="8">
        <v>0</v>
      </c>
      <c r="L465" s="8">
        <v>0</v>
      </c>
      <c r="M465" s="8">
        <v>42768</v>
      </c>
      <c r="N465" s="8">
        <v>0</v>
      </c>
      <c r="O465" s="8">
        <v>0</v>
      </c>
      <c r="P465" s="8">
        <v>0</v>
      </c>
      <c r="Q465" s="8">
        <v>0</v>
      </c>
      <c r="R465" s="8">
        <f t="shared" si="108"/>
        <v>42768</v>
      </c>
      <c r="S465" s="8">
        <v>0</v>
      </c>
      <c r="T465" s="8">
        <v>0</v>
      </c>
      <c r="U465" s="8">
        <v>42768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7">
        <v>0.31780799999999998</v>
      </c>
      <c r="AB465" s="8">
        <v>10658.834607999999</v>
      </c>
      <c r="AC465" s="7">
        <v>2.0299999999999998</v>
      </c>
      <c r="AD465" s="7" t="s">
        <v>1226</v>
      </c>
      <c r="AE465" s="8">
        <v>10692</v>
      </c>
      <c r="AF465" s="8">
        <v>0</v>
      </c>
      <c r="AG465" s="8">
        <v>10692</v>
      </c>
      <c r="AH465" s="8">
        <v>0</v>
      </c>
      <c r="AI465" s="7" t="s">
        <v>1730</v>
      </c>
      <c r="AJ465" s="7">
        <f t="shared" ca="1" si="109"/>
        <v>1</v>
      </c>
      <c r="AL465" s="96">
        <f>(+AA465*AB465)/$AB$612</f>
        <v>6.1089751775880559E-5</v>
      </c>
      <c r="AM465" s="97">
        <f>AC465/$AE$612*AE465</f>
        <v>3.7521329445742193E-4</v>
      </c>
    </row>
    <row r="466" spans="1:39" x14ac:dyDescent="0.3">
      <c r="A466" s="7" t="s">
        <v>2363</v>
      </c>
      <c r="B466" s="7" t="s">
        <v>1735</v>
      </c>
      <c r="C466" s="7" t="s">
        <v>1756</v>
      </c>
      <c r="E466" s="7" t="s">
        <v>1322</v>
      </c>
      <c r="F466" s="36">
        <v>43221</v>
      </c>
      <c r="G466" s="36">
        <v>44681</v>
      </c>
      <c r="H466" s="36">
        <v>44681</v>
      </c>
      <c r="I466" s="36">
        <v>44681</v>
      </c>
      <c r="J466" s="7" t="s">
        <v>1239</v>
      </c>
      <c r="K466" s="8">
        <v>0</v>
      </c>
      <c r="L466" s="8">
        <v>438.83322300011503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f t="shared" si="108"/>
        <v>438.83322300011503</v>
      </c>
      <c r="S466" s="8">
        <v>0</v>
      </c>
      <c r="T466" s="8">
        <v>484.66395000012801</v>
      </c>
      <c r="U466" s="8">
        <v>0</v>
      </c>
      <c r="V466" s="8">
        <v>26893.336050007252</v>
      </c>
      <c r="W466" s="8">
        <v>0</v>
      </c>
      <c r="X466" s="8">
        <v>0</v>
      </c>
      <c r="Y466" s="8">
        <v>0</v>
      </c>
      <c r="Z466" s="8">
        <v>0</v>
      </c>
      <c r="AA466" s="7">
        <v>0.32876699999999998</v>
      </c>
      <c r="AB466" s="8">
        <v>9087.2515590024486</v>
      </c>
      <c r="AC466" s="7">
        <v>2.0449999999999999</v>
      </c>
      <c r="AD466" s="7" t="s">
        <v>1226</v>
      </c>
      <c r="AE466" s="8">
        <v>0</v>
      </c>
      <c r="AF466" s="8">
        <v>0</v>
      </c>
      <c r="AG466" s="8">
        <v>0</v>
      </c>
      <c r="AH466" s="8">
        <v>0</v>
      </c>
      <c r="AI466" s="7" t="s">
        <v>1730</v>
      </c>
      <c r="AJ466" s="7">
        <f t="shared" ca="1" si="109"/>
        <v>1</v>
      </c>
      <c r="AL466" s="96">
        <f t="shared" si="110"/>
        <v>1.7912675746376977E-5</v>
      </c>
      <c r="AM466" s="97">
        <f t="shared" si="111"/>
        <v>0</v>
      </c>
    </row>
    <row r="467" spans="1:39" x14ac:dyDescent="0.3">
      <c r="A467" s="7" t="s">
        <v>2364</v>
      </c>
      <c r="B467" s="7" t="s">
        <v>1735</v>
      </c>
      <c r="C467" s="7" t="s">
        <v>1769</v>
      </c>
      <c r="E467" s="7" t="s">
        <v>1322</v>
      </c>
      <c r="F467" s="36">
        <v>43600</v>
      </c>
      <c r="G467" s="36">
        <v>44695</v>
      </c>
      <c r="H467" s="36">
        <v>44695</v>
      </c>
      <c r="I467" s="36">
        <v>44695</v>
      </c>
      <c r="J467" s="7" t="s">
        <v>1239</v>
      </c>
      <c r="K467" s="8">
        <v>142201.54908</v>
      </c>
      <c r="L467" s="8">
        <v>2440.2375179999999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f t="shared" si="108"/>
        <v>144641.78659800001</v>
      </c>
      <c r="S467" s="8">
        <v>0</v>
      </c>
      <c r="T467" s="8">
        <v>2573.7079979999999</v>
      </c>
      <c r="U467" s="8">
        <v>0</v>
      </c>
      <c r="V467" s="8">
        <v>143874.292002</v>
      </c>
      <c r="W467" s="8">
        <v>0</v>
      </c>
      <c r="X467" s="8">
        <v>0</v>
      </c>
      <c r="Y467" s="8">
        <v>0</v>
      </c>
      <c r="Z467" s="8">
        <v>0</v>
      </c>
      <c r="AA467" s="7">
        <v>0.36712299999999998</v>
      </c>
      <c r="AB467" s="8">
        <v>48610.245426000001</v>
      </c>
      <c r="AC467" s="7">
        <v>2.0299999999999998</v>
      </c>
      <c r="AD467" s="7" t="s">
        <v>1226</v>
      </c>
      <c r="AE467" s="8">
        <v>48816</v>
      </c>
      <c r="AF467" s="8">
        <v>0</v>
      </c>
      <c r="AG467" s="8">
        <v>48816</v>
      </c>
      <c r="AH467" s="8">
        <v>0</v>
      </c>
      <c r="AI467" s="7" t="s">
        <v>1730</v>
      </c>
      <c r="AJ467" s="7">
        <f t="shared" ca="1" si="109"/>
        <v>1</v>
      </c>
      <c r="AL467" s="96">
        <f t="shared" si="110"/>
        <v>1.0699884813107425E-4</v>
      </c>
      <c r="AM467" s="97">
        <f t="shared" si="111"/>
        <v>6.4493650864752723E-4</v>
      </c>
    </row>
    <row r="468" spans="1:39" x14ac:dyDescent="0.3">
      <c r="A468" s="7" t="s">
        <v>2365</v>
      </c>
      <c r="B468" s="7" t="s">
        <v>1735</v>
      </c>
      <c r="C468" s="7" t="s">
        <v>1756</v>
      </c>
      <c r="E468" s="7" t="s">
        <v>1322</v>
      </c>
      <c r="F468" s="36">
        <v>42880</v>
      </c>
      <c r="G468" s="36">
        <v>44705</v>
      </c>
      <c r="H468" s="36">
        <v>44705</v>
      </c>
      <c r="I468" s="36">
        <v>44705</v>
      </c>
      <c r="J468" s="7" t="s">
        <v>1239</v>
      </c>
      <c r="K468" s="8">
        <v>0</v>
      </c>
      <c r="L468" s="8">
        <v>5561.2286560015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f t="shared" si="108"/>
        <v>5561.2286560015</v>
      </c>
      <c r="S468" s="8">
        <v>0</v>
      </c>
      <c r="T468" s="8">
        <v>5682.5076640015359</v>
      </c>
      <c r="U468" s="8">
        <v>0</v>
      </c>
      <c r="V468" s="8">
        <v>295421.49233607965</v>
      </c>
      <c r="W468" s="8">
        <v>0</v>
      </c>
      <c r="X468" s="8">
        <v>0</v>
      </c>
      <c r="Y468" s="8">
        <v>0</v>
      </c>
      <c r="Z468" s="8">
        <v>0</v>
      </c>
      <c r="AA468" s="7">
        <v>0.39452100000000001</v>
      </c>
      <c r="AB468" s="8">
        <v>99913.466936026933</v>
      </c>
      <c r="AC468" s="7">
        <v>2.181667</v>
      </c>
      <c r="AD468" s="7" t="s">
        <v>1226</v>
      </c>
      <c r="AE468" s="8">
        <v>75276.000000012398</v>
      </c>
      <c r="AF468" s="8">
        <v>0</v>
      </c>
      <c r="AG468" s="8">
        <v>75276.000000012398</v>
      </c>
      <c r="AH468" s="8">
        <v>0</v>
      </c>
      <c r="AI468" s="7" t="s">
        <v>1877</v>
      </c>
      <c r="AJ468" s="7">
        <f t="shared" ca="1" si="109"/>
        <v>1</v>
      </c>
      <c r="AL468" s="96">
        <f t="shared" si="110"/>
        <v>2.3633815960710309E-4</v>
      </c>
      <c r="AM468" s="97">
        <f t="shared" si="111"/>
        <v>1.0688179285433044E-3</v>
      </c>
    </row>
    <row r="469" spans="1:39" x14ac:dyDescent="0.3">
      <c r="A469" s="7" t="s">
        <v>2366</v>
      </c>
      <c r="B469" s="7" t="s">
        <v>1735</v>
      </c>
      <c r="C469" s="7" t="s">
        <v>1756</v>
      </c>
      <c r="D469" s="7" t="s">
        <v>2200</v>
      </c>
      <c r="E469" s="7" t="s">
        <v>1322</v>
      </c>
      <c r="F469" s="36">
        <v>43510</v>
      </c>
      <c r="G469" s="36">
        <v>44970</v>
      </c>
      <c r="H469" s="36">
        <v>44970</v>
      </c>
      <c r="I469" s="36">
        <v>44970</v>
      </c>
      <c r="J469" s="7" t="s">
        <v>1239</v>
      </c>
      <c r="K469" s="8">
        <v>18924.063263530574</v>
      </c>
      <c r="L469" s="8">
        <v>1154.8770800003099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f t="shared" si="108"/>
        <v>20078.940343530885</v>
      </c>
      <c r="S469" s="8">
        <v>0</v>
      </c>
      <c r="T469" s="8">
        <v>1189.7676450003239</v>
      </c>
      <c r="U469" s="8">
        <v>0</v>
      </c>
      <c r="V469" s="8">
        <v>35260.232355009502</v>
      </c>
      <c r="W469" s="8">
        <v>0</v>
      </c>
      <c r="X469" s="8">
        <v>0</v>
      </c>
      <c r="Y469" s="8">
        <v>0</v>
      </c>
      <c r="Z469" s="8">
        <v>0</v>
      </c>
      <c r="AA469" s="7">
        <v>1.1205480000000001</v>
      </c>
      <c r="AB469" s="8">
        <v>39020.433595010516</v>
      </c>
      <c r="AC469" s="7">
        <v>2.0449999999999999</v>
      </c>
      <c r="AD469" s="7" t="s">
        <v>1226</v>
      </c>
      <c r="AE469" s="8">
        <v>18225.000000003001</v>
      </c>
      <c r="AF469" s="8">
        <v>0</v>
      </c>
      <c r="AG469" s="8">
        <v>18225.000000003001</v>
      </c>
      <c r="AH469" s="8">
        <v>0</v>
      </c>
      <c r="AI469" s="7" t="s">
        <v>1730</v>
      </c>
      <c r="AJ469" s="7">
        <f t="shared" ca="1" si="109"/>
        <v>1</v>
      </c>
      <c r="AL469" s="96">
        <f t="shared" si="110"/>
        <v>2.6215747823985966E-4</v>
      </c>
      <c r="AM469" s="97">
        <f t="shared" si="111"/>
        <v>2.425602230711008E-4</v>
      </c>
    </row>
    <row r="470" spans="1:39" x14ac:dyDescent="0.3">
      <c r="A470" s="7" t="s">
        <v>2367</v>
      </c>
      <c r="B470" s="7" t="s">
        <v>1735</v>
      </c>
      <c r="C470" s="7" t="s">
        <v>1769</v>
      </c>
      <c r="D470" s="7" t="s">
        <v>2191</v>
      </c>
      <c r="E470" s="7" t="s">
        <v>1322</v>
      </c>
      <c r="F470" s="36">
        <v>43252</v>
      </c>
      <c r="G470" s="36">
        <v>44712</v>
      </c>
      <c r="H470" s="36">
        <v>44712</v>
      </c>
      <c r="I470" s="36">
        <v>44712</v>
      </c>
      <c r="J470" s="7" t="s">
        <v>1239</v>
      </c>
      <c r="K470" s="8">
        <v>135760.844304</v>
      </c>
      <c r="L470" s="8">
        <v>2500.751268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f t="shared" si="108"/>
        <v>138261.59557199999</v>
      </c>
      <c r="S470" s="8">
        <v>0</v>
      </c>
      <c r="T470" s="8">
        <v>2736.8246640000002</v>
      </c>
      <c r="U470" s="8">
        <v>0</v>
      </c>
      <c r="V470" s="8">
        <v>138527.17533599999</v>
      </c>
      <c r="W470" s="8">
        <v>0</v>
      </c>
      <c r="X470" s="8">
        <v>0</v>
      </c>
      <c r="Y470" s="8">
        <v>0</v>
      </c>
      <c r="Z470" s="8">
        <v>0</v>
      </c>
      <c r="AA470" s="7">
        <v>0.41369899999999998</v>
      </c>
      <c r="AB470" s="8">
        <v>58560.270759999999</v>
      </c>
      <c r="AC470" s="7">
        <v>2.0449999999999999</v>
      </c>
      <c r="AD470" s="7" t="s">
        <v>1226</v>
      </c>
      <c r="AE470" s="8">
        <v>58860</v>
      </c>
      <c r="AF470" s="8">
        <v>0</v>
      </c>
      <c r="AG470" s="8">
        <v>58860</v>
      </c>
      <c r="AH470" s="8">
        <v>0</v>
      </c>
      <c r="AI470" s="7" t="s">
        <v>1730</v>
      </c>
      <c r="AJ470" s="7">
        <f t="shared" ca="1" si="109"/>
        <v>1</v>
      </c>
      <c r="AL470" s="96">
        <f t="shared" si="110"/>
        <v>1.452537128379462E-4</v>
      </c>
      <c r="AM470" s="97">
        <f t="shared" si="111"/>
        <v>7.8337968339987061E-4</v>
      </c>
    </row>
    <row r="471" spans="1:39" x14ac:dyDescent="0.3">
      <c r="A471" s="7" t="s">
        <v>2368</v>
      </c>
      <c r="B471" s="7" t="s">
        <v>1735</v>
      </c>
      <c r="C471" s="7" t="s">
        <v>1756</v>
      </c>
      <c r="D471" s="7" t="s">
        <v>1324</v>
      </c>
      <c r="E471" s="7" t="s">
        <v>1322</v>
      </c>
      <c r="F471" s="36">
        <v>43621</v>
      </c>
      <c r="G471" s="36">
        <v>45081</v>
      </c>
      <c r="H471" s="36">
        <v>45081</v>
      </c>
      <c r="I471" s="36">
        <v>45081</v>
      </c>
      <c r="J471" s="7" t="s">
        <v>1239</v>
      </c>
      <c r="K471" s="8">
        <v>26998.330263749496</v>
      </c>
      <c r="L471" s="8">
        <v>1964.696538000529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f t="shared" si="108"/>
        <v>28963.026801750024</v>
      </c>
      <c r="S471" s="8">
        <v>0</v>
      </c>
      <c r="T471" s="8">
        <v>2038.855542000548</v>
      </c>
      <c r="U471" s="8">
        <v>0</v>
      </c>
      <c r="V471" s="8">
        <v>49963.14445801347</v>
      </c>
      <c r="W471" s="8">
        <v>0</v>
      </c>
      <c r="X471" s="8">
        <v>0</v>
      </c>
      <c r="Y471" s="8">
        <v>0</v>
      </c>
      <c r="Z471" s="8">
        <v>0</v>
      </c>
      <c r="AA471" s="7">
        <v>1.424658</v>
      </c>
      <c r="AB471" s="8">
        <v>72551.68600201956</v>
      </c>
      <c r="AC471" s="7">
        <v>2.0449999999999999</v>
      </c>
      <c r="AD471" s="7" t="s">
        <v>1226</v>
      </c>
      <c r="AE471" s="8">
        <v>26001.000000004286</v>
      </c>
      <c r="AF471" s="8">
        <v>0</v>
      </c>
      <c r="AG471" s="8">
        <v>26001.000000004286</v>
      </c>
      <c r="AH471" s="8">
        <v>0</v>
      </c>
      <c r="AI471" s="7" t="s">
        <v>1730</v>
      </c>
      <c r="AJ471" s="7">
        <f t="shared" ca="1" si="109"/>
        <v>1</v>
      </c>
      <c r="AL471" s="96">
        <f t="shared" si="110"/>
        <v>6.1972330100046932E-4</v>
      </c>
      <c r="AM471" s="97">
        <f t="shared" si="111"/>
        <v>3.4605258491477055E-4</v>
      </c>
    </row>
    <row r="472" spans="1:39" x14ac:dyDescent="0.3">
      <c r="A472" s="7" t="s">
        <v>2369</v>
      </c>
      <c r="B472" s="7" t="s">
        <v>1735</v>
      </c>
      <c r="C472" s="7" t="s">
        <v>1769</v>
      </c>
      <c r="D472" s="7" t="s">
        <v>2198</v>
      </c>
      <c r="E472" s="7" t="s">
        <v>1322</v>
      </c>
      <c r="F472" s="36">
        <v>43631</v>
      </c>
      <c r="G472" s="36">
        <v>44726</v>
      </c>
      <c r="H472" s="36">
        <v>44726</v>
      </c>
      <c r="I472" s="36">
        <v>44726</v>
      </c>
      <c r="J472" s="7" t="s">
        <v>1696</v>
      </c>
      <c r="K472" s="8">
        <v>0</v>
      </c>
      <c r="L472" s="8">
        <v>0</v>
      </c>
      <c r="M472" s="8">
        <v>39852</v>
      </c>
      <c r="N472" s="8">
        <v>0</v>
      </c>
      <c r="O472" s="8">
        <v>0</v>
      </c>
      <c r="P472" s="8">
        <v>0</v>
      </c>
      <c r="Q472" s="8">
        <v>0</v>
      </c>
      <c r="R472" s="8">
        <f t="shared" si="108"/>
        <v>39852</v>
      </c>
      <c r="S472" s="8">
        <v>0</v>
      </c>
      <c r="T472" s="8">
        <v>0</v>
      </c>
      <c r="U472" s="8">
        <v>39852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7">
        <v>0.45205499999999998</v>
      </c>
      <c r="AB472" s="8">
        <v>16536.387552</v>
      </c>
      <c r="AC472" s="7">
        <v>2.0299999999999998</v>
      </c>
      <c r="AD472" s="7" t="s">
        <v>1226</v>
      </c>
      <c r="AE472" s="8">
        <v>16605</v>
      </c>
      <c r="AF472" s="8">
        <v>0</v>
      </c>
      <c r="AG472" s="8">
        <v>16605</v>
      </c>
      <c r="AH472" s="8">
        <v>0</v>
      </c>
      <c r="AI472" s="7" t="s">
        <v>1730</v>
      </c>
      <c r="AJ472" s="7">
        <f t="shared" ca="1" si="109"/>
        <v>1</v>
      </c>
      <c r="AL472" s="96">
        <f>(+AA472*AB472)/$AB$612</f>
        <v>1.3481112441827913E-4</v>
      </c>
      <c r="AM472" s="97">
        <f>AC472/$AE$612*AE472</f>
        <v>5.8271761639220828E-4</v>
      </c>
    </row>
    <row r="473" spans="1:39" x14ac:dyDescent="0.3">
      <c r="A473" s="7" t="s">
        <v>2370</v>
      </c>
      <c r="B473" s="7" t="s">
        <v>1735</v>
      </c>
      <c r="C473" s="7" t="s">
        <v>1756</v>
      </c>
      <c r="D473" s="7" t="s">
        <v>2193</v>
      </c>
      <c r="E473" s="7" t="s">
        <v>1322</v>
      </c>
      <c r="F473" s="36">
        <v>43282</v>
      </c>
      <c r="G473" s="36">
        <v>44742</v>
      </c>
      <c r="H473" s="36">
        <v>44742</v>
      </c>
      <c r="I473" s="36">
        <v>44742</v>
      </c>
      <c r="J473" s="7" t="s">
        <v>1239</v>
      </c>
      <c r="K473" s="8">
        <v>0</v>
      </c>
      <c r="L473" s="8">
        <v>768.94729500020799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f t="shared" si="108"/>
        <v>768.94729500020799</v>
      </c>
      <c r="S473" s="8">
        <v>0</v>
      </c>
      <c r="T473" s="8">
        <v>835.16241000023001</v>
      </c>
      <c r="U473" s="8">
        <v>0</v>
      </c>
      <c r="V473" s="8">
        <v>38854.837590010473</v>
      </c>
      <c r="W473" s="8">
        <v>0</v>
      </c>
      <c r="X473" s="8">
        <v>0</v>
      </c>
      <c r="Y473" s="8">
        <v>0</v>
      </c>
      <c r="Z473" s="8">
        <v>0</v>
      </c>
      <c r="AA473" s="7">
        <v>0.49589</v>
      </c>
      <c r="AB473" s="8">
        <v>19727.168685005319</v>
      </c>
      <c r="AC473" s="7">
        <v>2.0449999999999999</v>
      </c>
      <c r="AD473" s="7" t="s">
        <v>1226</v>
      </c>
      <c r="AE473" s="8">
        <v>13230.000000002179</v>
      </c>
      <c r="AF473" s="8">
        <v>0</v>
      </c>
      <c r="AG473" s="8">
        <v>13230.000000002179</v>
      </c>
      <c r="AH473" s="8">
        <v>0</v>
      </c>
      <c r="AI473" s="7" t="s">
        <v>1730</v>
      </c>
      <c r="AJ473" s="7">
        <f t="shared" ca="1" si="109"/>
        <v>1</v>
      </c>
      <c r="AL473" s="96">
        <f t="shared" si="110"/>
        <v>5.8652942375085214E-5</v>
      </c>
      <c r="AM473" s="97">
        <f t="shared" si="111"/>
        <v>1.76080754525688E-4</v>
      </c>
    </row>
    <row r="474" spans="1:39" x14ac:dyDescent="0.3">
      <c r="A474" s="7" t="s">
        <v>2371</v>
      </c>
      <c r="B474" s="7" t="s">
        <v>1735</v>
      </c>
      <c r="C474" s="7" t="s">
        <v>1769</v>
      </c>
      <c r="D474" s="7" t="s">
        <v>2200</v>
      </c>
      <c r="E474" s="7" t="s">
        <v>1322</v>
      </c>
      <c r="F474" s="36">
        <v>43650</v>
      </c>
      <c r="G474" s="36">
        <v>44745</v>
      </c>
      <c r="H474" s="36">
        <v>44745</v>
      </c>
      <c r="I474" s="36">
        <v>44745</v>
      </c>
      <c r="J474" s="7" t="s">
        <v>1239</v>
      </c>
      <c r="K474" s="8">
        <v>54112.093871999998</v>
      </c>
      <c r="L474" s="8">
        <v>1080.7682560000001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f t="shared" si="108"/>
        <v>55192.862128000001</v>
      </c>
      <c r="S474" s="8">
        <v>0</v>
      </c>
      <c r="T474" s="8">
        <v>1164.139488</v>
      </c>
      <c r="U474" s="8">
        <v>0</v>
      </c>
      <c r="V474" s="8">
        <v>54563.860511999999</v>
      </c>
      <c r="W474" s="8">
        <v>0</v>
      </c>
      <c r="X474" s="8">
        <v>0</v>
      </c>
      <c r="Y474" s="8">
        <v>0</v>
      </c>
      <c r="Z474" s="8">
        <v>0</v>
      </c>
      <c r="AA474" s="7">
        <v>0.50410999999999995</v>
      </c>
      <c r="AB474" s="8">
        <v>27699.763304</v>
      </c>
      <c r="AC474" s="7">
        <v>2.0299999999999998</v>
      </c>
      <c r="AD474" s="7" t="s">
        <v>1226</v>
      </c>
      <c r="AE474" s="8">
        <v>27864</v>
      </c>
      <c r="AF474" s="8">
        <v>0</v>
      </c>
      <c r="AG474" s="8">
        <v>27864</v>
      </c>
      <c r="AH474" s="8">
        <v>0</v>
      </c>
      <c r="AI474" s="7" t="s">
        <v>1730</v>
      </c>
      <c r="AJ474" s="7">
        <f t="shared" ca="1" si="109"/>
        <v>1</v>
      </c>
      <c r="AL474" s="96">
        <f t="shared" si="110"/>
        <v>8.3722283611764969E-5</v>
      </c>
      <c r="AM474" s="97">
        <f t="shared" si="111"/>
        <v>3.6812747617491601E-4</v>
      </c>
    </row>
    <row r="475" spans="1:39" x14ac:dyDescent="0.3">
      <c r="A475" s="7" t="s">
        <v>2372</v>
      </c>
      <c r="B475" s="7" t="s">
        <v>1735</v>
      </c>
      <c r="C475" s="7" t="s">
        <v>1756</v>
      </c>
      <c r="D475" s="7" t="s">
        <v>2202</v>
      </c>
      <c r="E475" s="7" t="s">
        <v>1322</v>
      </c>
      <c r="F475" s="36">
        <v>43661</v>
      </c>
      <c r="G475" s="36">
        <v>45121</v>
      </c>
      <c r="H475" s="36">
        <v>45121</v>
      </c>
      <c r="I475" s="36">
        <v>45121</v>
      </c>
      <c r="J475" s="7" t="s">
        <v>1239</v>
      </c>
      <c r="K475" s="8">
        <v>13373.004717897107</v>
      </c>
      <c r="L475" s="8">
        <v>1028.914734000278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f t="shared" si="108"/>
        <v>14401.919451897385</v>
      </c>
      <c r="S475" s="8">
        <v>0</v>
      </c>
      <c r="T475" s="8">
        <v>1052.0035500002889</v>
      </c>
      <c r="U475" s="8">
        <v>0</v>
      </c>
      <c r="V475" s="8">
        <v>24705.99645000666</v>
      </c>
      <c r="W475" s="8">
        <v>0</v>
      </c>
      <c r="X475" s="8">
        <v>0</v>
      </c>
      <c r="Y475" s="8">
        <v>0</v>
      </c>
      <c r="Z475" s="8">
        <v>0</v>
      </c>
      <c r="AA475" s="7">
        <v>1.5342469999999999</v>
      </c>
      <c r="AB475" s="8">
        <v>38018.526534010249</v>
      </c>
      <c r="AC475" s="7">
        <v>2.0449999999999999</v>
      </c>
      <c r="AD475" s="7" t="s">
        <v>1226</v>
      </c>
      <c r="AE475" s="8">
        <v>12879.000000002117</v>
      </c>
      <c r="AF475" s="8">
        <v>0</v>
      </c>
      <c r="AG475" s="8">
        <v>12879.000000002117</v>
      </c>
      <c r="AH475" s="8">
        <v>0</v>
      </c>
      <c r="AI475" s="7" t="s">
        <v>1730</v>
      </c>
      <c r="AJ475" s="7">
        <f t="shared" ca="1" si="109"/>
        <v>1</v>
      </c>
      <c r="AL475" s="96">
        <f t="shared" si="110"/>
        <v>3.4972788294198123E-4</v>
      </c>
      <c r="AM475" s="97">
        <f t="shared" si="111"/>
        <v>1.7140922430357785E-4</v>
      </c>
    </row>
    <row r="476" spans="1:39" x14ac:dyDescent="0.3">
      <c r="A476" s="7" t="s">
        <v>2373</v>
      </c>
      <c r="B476" s="7" t="s">
        <v>1735</v>
      </c>
      <c r="C476" s="7" t="s">
        <v>1756</v>
      </c>
      <c r="D476" s="7" t="s">
        <v>2209</v>
      </c>
      <c r="E476" s="7" t="s">
        <v>1322</v>
      </c>
      <c r="F476" s="36">
        <v>43320</v>
      </c>
      <c r="G476" s="36">
        <v>45145</v>
      </c>
      <c r="H476" s="36">
        <v>45145</v>
      </c>
      <c r="I476" s="36">
        <v>45145</v>
      </c>
      <c r="J476" s="7" t="s">
        <v>1239</v>
      </c>
      <c r="K476" s="8">
        <v>0</v>
      </c>
      <c r="L476" s="8">
        <v>10840.604337002924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f t="shared" si="108"/>
        <v>10840.604337002924</v>
      </c>
      <c r="S476" s="8">
        <v>0</v>
      </c>
      <c r="T476" s="8">
        <v>11172.456360003012</v>
      </c>
      <c r="U476" s="8">
        <v>0</v>
      </c>
      <c r="V476" s="8">
        <v>235769.54364006355</v>
      </c>
      <c r="W476" s="8">
        <v>0</v>
      </c>
      <c r="X476" s="8">
        <v>0</v>
      </c>
      <c r="Y476" s="8">
        <v>0</v>
      </c>
      <c r="Z476" s="8">
        <v>0</v>
      </c>
      <c r="AA476" s="7">
        <v>1.6</v>
      </c>
      <c r="AB476" s="8">
        <v>383972.62394710351</v>
      </c>
      <c r="AC476" s="7">
        <v>2.181667</v>
      </c>
      <c r="AD476" s="7" t="s">
        <v>1226</v>
      </c>
      <c r="AE476" s="8">
        <v>123471.00000002033</v>
      </c>
      <c r="AF476" s="8">
        <v>0</v>
      </c>
      <c r="AG476" s="8">
        <v>123471.00000002033</v>
      </c>
      <c r="AH476" s="8">
        <v>0</v>
      </c>
      <c r="AI476" s="7" t="s">
        <v>1877</v>
      </c>
      <c r="AJ476" s="7">
        <f t="shared" ca="1" si="109"/>
        <v>1</v>
      </c>
      <c r="AL476" s="96">
        <f t="shared" si="110"/>
        <v>3.683493767262245E-3</v>
      </c>
      <c r="AM476" s="97">
        <f t="shared" si="111"/>
        <v>1.7531220901106639E-3</v>
      </c>
    </row>
    <row r="477" spans="1:39" x14ac:dyDescent="0.3">
      <c r="A477" s="7" t="s">
        <v>2374</v>
      </c>
      <c r="B477" s="7" t="s">
        <v>1735</v>
      </c>
      <c r="C477" s="7" t="s">
        <v>1769</v>
      </c>
      <c r="D477" s="7" t="s">
        <v>2195</v>
      </c>
      <c r="E477" s="7" t="s">
        <v>1322</v>
      </c>
      <c r="F477" s="36">
        <v>43692</v>
      </c>
      <c r="G477" s="36">
        <v>44787</v>
      </c>
      <c r="H477" s="36">
        <v>44787</v>
      </c>
      <c r="I477" s="36">
        <v>44787</v>
      </c>
      <c r="J477" s="7" t="s">
        <v>1696</v>
      </c>
      <c r="K477" s="8">
        <v>0</v>
      </c>
      <c r="L477" s="8">
        <v>0</v>
      </c>
      <c r="M477" s="8">
        <v>80028</v>
      </c>
      <c r="N477" s="8">
        <v>0</v>
      </c>
      <c r="O477" s="8">
        <v>0</v>
      </c>
      <c r="P477" s="8">
        <v>0</v>
      </c>
      <c r="Q477" s="8">
        <v>0</v>
      </c>
      <c r="R477" s="8">
        <f t="shared" si="108"/>
        <v>80028</v>
      </c>
      <c r="S477" s="8">
        <v>0</v>
      </c>
      <c r="T477" s="8">
        <v>0</v>
      </c>
      <c r="U477" s="8">
        <v>80028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7">
        <v>0.61917800000000001</v>
      </c>
      <c r="AB477" s="8">
        <v>46411.723769999997</v>
      </c>
      <c r="AC477" s="7">
        <v>2.0299999999999998</v>
      </c>
      <c r="AD477" s="7" t="s">
        <v>1226</v>
      </c>
      <c r="AE477" s="8">
        <v>46683</v>
      </c>
      <c r="AF477" s="8">
        <v>0</v>
      </c>
      <c r="AG477" s="8">
        <v>46683</v>
      </c>
      <c r="AH477" s="8">
        <v>0</v>
      </c>
      <c r="AI477" s="7" t="s">
        <v>1730</v>
      </c>
      <c r="AJ477" s="7">
        <f t="shared" ca="1" si="109"/>
        <v>1</v>
      </c>
      <c r="AL477" s="96">
        <f>(+AA477*AB477)/$AB$612</f>
        <v>5.1824727556827621E-4</v>
      </c>
      <c r="AM477" s="97">
        <f>AC477/$AE$612*AE477</f>
        <v>1.6382418841335417E-3</v>
      </c>
    </row>
    <row r="478" spans="1:39" x14ac:dyDescent="0.3">
      <c r="A478" s="7" t="s">
        <v>2375</v>
      </c>
      <c r="B478" s="7" t="s">
        <v>1735</v>
      </c>
      <c r="C478" s="7" t="s">
        <v>1756</v>
      </c>
      <c r="D478" s="7" t="s">
        <v>2356</v>
      </c>
      <c r="E478" s="7" t="s">
        <v>1322</v>
      </c>
      <c r="F478" s="36">
        <v>43344</v>
      </c>
      <c r="G478" s="36">
        <v>44804</v>
      </c>
      <c r="H478" s="36">
        <v>44804</v>
      </c>
      <c r="I478" s="36">
        <v>44804</v>
      </c>
      <c r="J478" s="7" t="s">
        <v>1239</v>
      </c>
      <c r="K478" s="8">
        <v>0</v>
      </c>
      <c r="L478" s="8">
        <v>1294.878528000349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f t="shared" si="108"/>
        <v>1294.878528000349</v>
      </c>
      <c r="S478" s="8">
        <v>0</v>
      </c>
      <c r="T478" s="8">
        <v>1389.688668000377</v>
      </c>
      <c r="U478" s="8">
        <v>0</v>
      </c>
      <c r="V478" s="8">
        <v>55634.311332014993</v>
      </c>
      <c r="W478" s="8">
        <v>0</v>
      </c>
      <c r="X478" s="8">
        <v>0</v>
      </c>
      <c r="Y478" s="8">
        <v>0</v>
      </c>
      <c r="Z478" s="8">
        <v>0</v>
      </c>
      <c r="AA478" s="7">
        <v>0.66575300000000004</v>
      </c>
      <c r="AB478" s="8">
        <v>37726.11315201017</v>
      </c>
      <c r="AC478" s="7">
        <v>2.0449999999999999</v>
      </c>
      <c r="AD478" s="7" t="s">
        <v>1226</v>
      </c>
      <c r="AE478" s="8">
        <v>28512.000000004697</v>
      </c>
      <c r="AF478" s="8">
        <v>0</v>
      </c>
      <c r="AG478" s="8">
        <v>28512.000000004697</v>
      </c>
      <c r="AH478" s="8">
        <v>0</v>
      </c>
      <c r="AI478" s="7" t="s">
        <v>1730</v>
      </c>
      <c r="AJ478" s="7">
        <f t="shared" ca="1" si="109"/>
        <v>1</v>
      </c>
      <c r="AL478" s="96">
        <f t="shared" si="110"/>
        <v>1.5058956895082343E-4</v>
      </c>
      <c r="AM478" s="97">
        <f t="shared" si="111"/>
        <v>3.7947199342678884E-4</v>
      </c>
    </row>
    <row r="479" spans="1:39" x14ac:dyDescent="0.3">
      <c r="A479" s="7" t="s">
        <v>2376</v>
      </c>
      <c r="B479" s="7" t="s">
        <v>1735</v>
      </c>
      <c r="C479" s="7" t="s">
        <v>1769</v>
      </c>
      <c r="D479" s="7" t="s">
        <v>2202</v>
      </c>
      <c r="E479" s="7" t="s">
        <v>1322</v>
      </c>
      <c r="F479" s="36">
        <v>43511</v>
      </c>
      <c r="G479" s="36">
        <v>44606</v>
      </c>
      <c r="H479" s="36">
        <v>44606</v>
      </c>
      <c r="I479" s="36">
        <v>44606</v>
      </c>
      <c r="J479" s="7" t="s">
        <v>1696</v>
      </c>
      <c r="K479" s="8">
        <v>0</v>
      </c>
      <c r="L479" s="8">
        <v>0</v>
      </c>
      <c r="M479" s="8">
        <v>55512</v>
      </c>
      <c r="N479" s="8">
        <v>0</v>
      </c>
      <c r="O479" s="8">
        <v>0</v>
      </c>
      <c r="P479" s="8">
        <v>0</v>
      </c>
      <c r="Q479" s="8">
        <v>0</v>
      </c>
      <c r="R479" s="8">
        <f t="shared" si="108"/>
        <v>55512</v>
      </c>
      <c r="S479" s="8">
        <v>0</v>
      </c>
      <c r="T479" s="8">
        <v>0</v>
      </c>
      <c r="U479" s="8">
        <v>55512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7">
        <v>0.12328799999999999</v>
      </c>
      <c r="AB479" s="8">
        <v>4622.4718039999998</v>
      </c>
      <c r="AC479" s="7">
        <v>2.0299999999999998</v>
      </c>
      <c r="AD479" s="7" t="s">
        <v>1226</v>
      </c>
      <c r="AE479" s="8">
        <v>4626</v>
      </c>
      <c r="AF479" s="8">
        <v>0</v>
      </c>
      <c r="AG479" s="8">
        <v>4626</v>
      </c>
      <c r="AH479" s="8">
        <v>0</v>
      </c>
      <c r="AI479" s="7" t="s">
        <v>1730</v>
      </c>
      <c r="AJ479" s="7">
        <f t="shared" ca="1" si="109"/>
        <v>1</v>
      </c>
      <c r="AL479" s="96">
        <f t="shared" ref="AL479:AL480" si="112">(+AA479*AB479)/$AB$612</f>
        <v>1.0277533239441877E-5</v>
      </c>
      <c r="AM479" s="97">
        <f t="shared" ref="AM479:AM480" si="113">AC479/$AE$612*AE479</f>
        <v>1.6233975871305967E-4</v>
      </c>
    </row>
    <row r="480" spans="1:39" x14ac:dyDescent="0.3">
      <c r="A480" s="7" t="s">
        <v>2377</v>
      </c>
      <c r="B480" s="7" t="s">
        <v>1735</v>
      </c>
      <c r="C480" s="7" t="s">
        <v>1769</v>
      </c>
      <c r="D480" s="7" t="s">
        <v>2333</v>
      </c>
      <c r="E480" s="7" t="s">
        <v>1322</v>
      </c>
      <c r="F480" s="36">
        <v>43723</v>
      </c>
      <c r="G480" s="36">
        <v>44818</v>
      </c>
      <c r="H480" s="36">
        <v>44818</v>
      </c>
      <c r="I480" s="36">
        <v>44818</v>
      </c>
      <c r="J480" s="7" t="s">
        <v>1696</v>
      </c>
      <c r="K480" s="8">
        <v>0</v>
      </c>
      <c r="L480" s="8">
        <v>0</v>
      </c>
      <c r="M480" s="8">
        <v>27054</v>
      </c>
      <c r="N480" s="8">
        <v>0</v>
      </c>
      <c r="O480" s="8">
        <v>0</v>
      </c>
      <c r="P480" s="8">
        <v>0</v>
      </c>
      <c r="Q480" s="8">
        <v>0</v>
      </c>
      <c r="R480" s="8">
        <f t="shared" si="108"/>
        <v>27054</v>
      </c>
      <c r="S480" s="8">
        <v>0</v>
      </c>
      <c r="T480" s="8">
        <v>0</v>
      </c>
      <c r="U480" s="8">
        <v>27054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7">
        <v>0.70411000000000001</v>
      </c>
      <c r="AB480" s="8">
        <v>17916.076710000001</v>
      </c>
      <c r="AC480" s="7">
        <v>2.0299999999999998</v>
      </c>
      <c r="AD480" s="7" t="s">
        <v>1226</v>
      </c>
      <c r="AE480" s="8">
        <v>18036</v>
      </c>
      <c r="AF480" s="8">
        <v>0</v>
      </c>
      <c r="AG480" s="8">
        <v>18036</v>
      </c>
      <c r="AH480" s="8">
        <v>0</v>
      </c>
      <c r="AI480" s="7" t="s">
        <v>1730</v>
      </c>
      <c r="AJ480" s="7">
        <f t="shared" ca="1" si="109"/>
        <v>1</v>
      </c>
      <c r="AL480" s="96">
        <f t="shared" si="112"/>
        <v>2.2749781900452675E-4</v>
      </c>
      <c r="AM480" s="97">
        <f t="shared" si="113"/>
        <v>6.3293555731706527E-4</v>
      </c>
    </row>
    <row r="481" spans="1:39" x14ac:dyDescent="0.3">
      <c r="A481" s="7" t="s">
        <v>2378</v>
      </c>
      <c r="B481" s="7" t="s">
        <v>1735</v>
      </c>
      <c r="C481" s="7" t="s">
        <v>1756</v>
      </c>
      <c r="D481" s="7" t="s">
        <v>2353</v>
      </c>
      <c r="E481" s="7" t="s">
        <v>1322</v>
      </c>
      <c r="F481" s="36">
        <v>43525</v>
      </c>
      <c r="G481" s="36">
        <v>44985</v>
      </c>
      <c r="H481" s="36">
        <v>44985</v>
      </c>
      <c r="I481" s="36">
        <v>44985</v>
      </c>
      <c r="J481" s="7" t="s">
        <v>1239</v>
      </c>
      <c r="K481" s="8">
        <v>10639.528893716844</v>
      </c>
      <c r="L481" s="8">
        <v>668.91381600017996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f t="shared" si="108"/>
        <v>11308.442709717025</v>
      </c>
      <c r="S481" s="8">
        <v>0</v>
      </c>
      <c r="T481" s="8">
        <v>702.63988800018603</v>
      </c>
      <c r="U481" s="8">
        <v>0</v>
      </c>
      <c r="V481" s="8">
        <v>19790.360112005335</v>
      </c>
      <c r="W481" s="8">
        <v>0</v>
      </c>
      <c r="X481" s="8">
        <v>0</v>
      </c>
      <c r="Y481" s="8">
        <v>0</v>
      </c>
      <c r="Z481" s="8">
        <v>0</v>
      </c>
      <c r="AA481" s="7">
        <v>1.1616439999999999</v>
      </c>
      <c r="AB481" s="8">
        <v>23605.676889006361</v>
      </c>
      <c r="AC481" s="7">
        <v>2.0449999999999999</v>
      </c>
      <c r="AD481" s="7" t="s">
        <v>1226</v>
      </c>
      <c r="AE481" s="8">
        <v>10246.500000001686</v>
      </c>
      <c r="AF481" s="8">
        <v>0</v>
      </c>
      <c r="AG481" s="8">
        <v>10246.500000001686</v>
      </c>
      <c r="AH481" s="8">
        <v>0</v>
      </c>
      <c r="AI481" s="7" t="s">
        <v>1730</v>
      </c>
      <c r="AJ481" s="7">
        <f t="shared" ca="1" si="109"/>
        <v>1</v>
      </c>
      <c r="AL481" s="96">
        <f t="shared" si="110"/>
        <v>1.6441037007906693E-4</v>
      </c>
      <c r="AM481" s="97">
        <f t="shared" si="111"/>
        <v>1.3637274763775222E-4</v>
      </c>
    </row>
    <row r="482" spans="1:39" x14ac:dyDescent="0.3">
      <c r="A482" s="7" t="s">
        <v>2379</v>
      </c>
      <c r="B482" s="7" t="s">
        <v>1735</v>
      </c>
      <c r="C482" s="7" t="s">
        <v>1769</v>
      </c>
      <c r="D482" s="7" t="s">
        <v>2209</v>
      </c>
      <c r="E482" s="7" t="s">
        <v>1322</v>
      </c>
      <c r="F482" s="36">
        <v>43174</v>
      </c>
      <c r="G482" s="36">
        <v>44634</v>
      </c>
      <c r="H482" s="36">
        <v>44634</v>
      </c>
      <c r="I482" s="36">
        <v>44634</v>
      </c>
      <c r="J482" s="7" t="s">
        <v>1239</v>
      </c>
      <c r="K482" s="8">
        <v>43852.413419999997</v>
      </c>
      <c r="L482" s="8">
        <v>612.842805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f t="shared" si="108"/>
        <v>44465.256224999997</v>
      </c>
      <c r="S482" s="8">
        <v>0</v>
      </c>
      <c r="T482" s="8">
        <v>654.87399500000004</v>
      </c>
      <c r="U482" s="8">
        <v>0</v>
      </c>
      <c r="V482" s="8">
        <v>44975.126004999998</v>
      </c>
      <c r="W482" s="8">
        <v>0</v>
      </c>
      <c r="X482" s="8">
        <v>0</v>
      </c>
      <c r="Y482" s="8">
        <v>0</v>
      </c>
      <c r="Z482" s="8">
        <v>0</v>
      </c>
      <c r="AA482" s="7">
        <v>0.2</v>
      </c>
      <c r="AB482" s="8">
        <v>7585.603795</v>
      </c>
      <c r="AC482" s="7">
        <v>2.0449999999999999</v>
      </c>
      <c r="AD482" s="7" t="s">
        <v>1226</v>
      </c>
      <c r="AE482" s="8">
        <v>7605</v>
      </c>
      <c r="AF482" s="8">
        <v>0</v>
      </c>
      <c r="AG482" s="8">
        <v>7605</v>
      </c>
      <c r="AH482" s="8">
        <v>0</v>
      </c>
      <c r="AI482" s="7" t="s">
        <v>1730</v>
      </c>
      <c r="AJ482" s="7">
        <f t="shared" ca="1" si="109"/>
        <v>1</v>
      </c>
      <c r="AL482" s="96">
        <f t="shared" si="110"/>
        <v>9.096196758955851E-6</v>
      </c>
      <c r="AM482" s="97">
        <f t="shared" si="111"/>
        <v>1.0121648814570193E-4</v>
      </c>
    </row>
    <row r="483" spans="1:39" x14ac:dyDescent="0.3">
      <c r="A483" s="7" t="s">
        <v>2382</v>
      </c>
      <c r="B483" s="7" t="s">
        <v>1735</v>
      </c>
      <c r="C483" s="7" t="s">
        <v>1756</v>
      </c>
      <c r="D483" s="7" t="s">
        <v>2381</v>
      </c>
      <c r="E483" s="7" t="s">
        <v>1322</v>
      </c>
      <c r="F483" s="36">
        <v>43657</v>
      </c>
      <c r="G483" s="36">
        <v>44875</v>
      </c>
      <c r="H483" s="36">
        <v>44875</v>
      </c>
      <c r="I483" s="36">
        <v>44875</v>
      </c>
      <c r="J483" s="7" t="s">
        <v>1696</v>
      </c>
      <c r="K483" s="8">
        <v>0</v>
      </c>
      <c r="L483" s="8">
        <v>0</v>
      </c>
      <c r="M483" s="8">
        <v>11457.891356565489</v>
      </c>
      <c r="N483" s="8">
        <v>0</v>
      </c>
      <c r="O483" s="8">
        <v>0</v>
      </c>
      <c r="P483" s="8">
        <v>0</v>
      </c>
      <c r="Q483" s="8">
        <v>0</v>
      </c>
      <c r="R483" s="8">
        <f t="shared" si="108"/>
        <v>11457.891356565489</v>
      </c>
      <c r="S483" s="8">
        <v>0</v>
      </c>
      <c r="T483" s="8">
        <v>0</v>
      </c>
      <c r="U483" s="8">
        <v>27151.20000000732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7">
        <v>0.86027399999999998</v>
      </c>
      <c r="AB483" s="8">
        <v>22442.140812006048</v>
      </c>
      <c r="AC483" s="7">
        <v>2.0350000000000001</v>
      </c>
      <c r="AD483" s="7" t="s">
        <v>1226</v>
      </c>
      <c r="AE483" s="8">
        <v>4525.2000000007456</v>
      </c>
      <c r="AF483" s="8">
        <v>0</v>
      </c>
      <c r="AG483" s="8">
        <v>4525.2000000007456</v>
      </c>
      <c r="AH483" s="8">
        <v>0</v>
      </c>
      <c r="AI483" s="7" t="s">
        <v>1730</v>
      </c>
      <c r="AJ483" s="7">
        <f t="shared" ca="1" si="109"/>
        <v>1</v>
      </c>
      <c r="AL483" s="96">
        <f t="shared" ref="AL483:AL484" si="114">(+AA483*AB483)/$AB$612</f>
        <v>3.4817284185801006E-4</v>
      </c>
      <c r="AM483" s="97">
        <f t="shared" ref="AM483:AM484" si="115">AC483/$AE$612*AE483</f>
        <v>1.5919353322316288E-4</v>
      </c>
    </row>
    <row r="484" spans="1:39" x14ac:dyDescent="0.3">
      <c r="A484" s="7" t="s">
        <v>2383</v>
      </c>
      <c r="B484" s="7" t="s">
        <v>1735</v>
      </c>
      <c r="C484" s="7" t="s">
        <v>1323</v>
      </c>
      <c r="D484" s="7" t="s">
        <v>2381</v>
      </c>
      <c r="E484" s="7" t="s">
        <v>1322</v>
      </c>
      <c r="F484" s="36">
        <v>43691</v>
      </c>
      <c r="G484" s="36">
        <v>44786</v>
      </c>
      <c r="H484" s="36">
        <v>44786</v>
      </c>
      <c r="I484" s="36">
        <v>44786</v>
      </c>
      <c r="J484" s="7" t="s">
        <v>1696</v>
      </c>
      <c r="K484" s="8">
        <v>0</v>
      </c>
      <c r="L484" s="8">
        <v>0</v>
      </c>
      <c r="M484" s="8">
        <v>19021.686762819249</v>
      </c>
      <c r="N484" s="8">
        <v>0</v>
      </c>
      <c r="O484" s="8">
        <v>0</v>
      </c>
      <c r="P484" s="8">
        <v>0</v>
      </c>
      <c r="Q484" s="8">
        <v>0</v>
      </c>
      <c r="R484" s="8">
        <f t="shared" si="108"/>
        <v>19021.686762819249</v>
      </c>
      <c r="S484" s="8">
        <v>0</v>
      </c>
      <c r="T484" s="8">
        <v>0</v>
      </c>
      <c r="U484" s="8">
        <v>34762.510000009366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7">
        <v>0.61643800000000004</v>
      </c>
      <c r="AB484" s="8">
        <v>21367.608160005759</v>
      </c>
      <c r="AC484" s="7">
        <v>2.0299999999999998</v>
      </c>
      <c r="AD484" s="7" t="s">
        <v>1726</v>
      </c>
      <c r="AE484" s="8">
        <v>18421.14000000303</v>
      </c>
      <c r="AF484" s="8">
        <v>0</v>
      </c>
      <c r="AG484" s="8">
        <v>18421.14000000303</v>
      </c>
      <c r="AH484" s="8">
        <v>0</v>
      </c>
      <c r="AI484" s="7" t="s">
        <v>1730</v>
      </c>
      <c r="AJ484" s="7">
        <f t="shared" ca="1" si="109"/>
        <v>1</v>
      </c>
      <c r="AL484" s="96">
        <f t="shared" si="114"/>
        <v>2.3754129816783907E-4</v>
      </c>
      <c r="AM484" s="97">
        <f t="shared" si="115"/>
        <v>6.4645123709900214E-4</v>
      </c>
    </row>
    <row r="485" spans="1:39" x14ac:dyDescent="0.3">
      <c r="A485" s="7" t="s">
        <v>2384</v>
      </c>
      <c r="B485" s="7" t="s">
        <v>1320</v>
      </c>
      <c r="C485" s="7" t="s">
        <v>1769</v>
      </c>
      <c r="D485" s="7" t="s">
        <v>1324</v>
      </c>
      <c r="E485" s="7" t="s">
        <v>1322</v>
      </c>
      <c r="F485" s="36">
        <v>43466</v>
      </c>
      <c r="G485" s="36">
        <v>44926</v>
      </c>
      <c r="H485" s="36">
        <v>44926</v>
      </c>
      <c r="I485" s="36">
        <v>44926</v>
      </c>
      <c r="J485" s="7" t="s">
        <v>1239</v>
      </c>
      <c r="K485" s="8">
        <v>32616.854220000001</v>
      </c>
      <c r="L485" s="8">
        <v>995.81087000000002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f t="shared" si="108"/>
        <v>33612.665090000002</v>
      </c>
      <c r="S485" s="8">
        <v>0</v>
      </c>
      <c r="T485" s="8">
        <v>1051.856045</v>
      </c>
      <c r="U485" s="8">
        <v>0</v>
      </c>
      <c r="V485" s="8">
        <v>32887.143955</v>
      </c>
      <c r="W485" s="8">
        <v>0</v>
      </c>
      <c r="X485" s="8">
        <v>0</v>
      </c>
      <c r="Y485" s="8">
        <v>0</v>
      </c>
      <c r="Z485" s="8">
        <v>0</v>
      </c>
      <c r="AA485" s="7">
        <v>1</v>
      </c>
      <c r="AB485" s="8">
        <v>33566.025685000001</v>
      </c>
      <c r="AC485" s="7">
        <v>2.0449999999999999</v>
      </c>
      <c r="AD485" s="7" t="s">
        <v>1226</v>
      </c>
      <c r="AE485" s="8">
        <v>33939</v>
      </c>
      <c r="AF485" s="8">
        <v>0</v>
      </c>
      <c r="AG485" s="8">
        <v>33939</v>
      </c>
      <c r="AH485" s="8">
        <v>0</v>
      </c>
      <c r="AI485" s="7" t="s">
        <v>1730</v>
      </c>
      <c r="AJ485" s="7">
        <f t="shared" ca="1" si="109"/>
        <v>1</v>
      </c>
      <c r="AL485" s="96">
        <f t="shared" si="110"/>
        <v>2.0125172781115827E-4</v>
      </c>
      <c r="AM485" s="97">
        <f t="shared" si="111"/>
        <v>4.5170103763010887E-4</v>
      </c>
    </row>
    <row r="486" spans="1:39" x14ac:dyDescent="0.3">
      <c r="A486" s="7" t="s">
        <v>2385</v>
      </c>
      <c r="B486" s="7" t="s">
        <v>1320</v>
      </c>
      <c r="C486" s="7" t="s">
        <v>1756</v>
      </c>
      <c r="D486" s="7" t="s">
        <v>1770</v>
      </c>
      <c r="E486" s="7" t="s">
        <v>1322</v>
      </c>
      <c r="F486" s="36">
        <v>43205</v>
      </c>
      <c r="G486" s="36">
        <v>44665</v>
      </c>
      <c r="H486" s="36">
        <v>44665</v>
      </c>
      <c r="I486" s="36">
        <v>44665</v>
      </c>
      <c r="J486" s="7" t="s">
        <v>1239</v>
      </c>
      <c r="K486" s="8">
        <v>0</v>
      </c>
      <c r="L486" s="8">
        <v>1215.679580000331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f t="shared" si="108"/>
        <v>1215.679580000331</v>
      </c>
      <c r="S486" s="8">
        <v>0</v>
      </c>
      <c r="T486" s="8">
        <v>1289.667660000342</v>
      </c>
      <c r="U486" s="8">
        <v>0</v>
      </c>
      <c r="V486" s="8">
        <v>79170.332340021341</v>
      </c>
      <c r="W486" s="8">
        <v>0</v>
      </c>
      <c r="X486" s="8">
        <v>0</v>
      </c>
      <c r="Y486" s="8">
        <v>0</v>
      </c>
      <c r="Z486" s="8">
        <v>0</v>
      </c>
      <c r="AA486" s="7">
        <v>0.28493200000000002</v>
      </c>
      <c r="AB486" s="8">
        <v>20046.635620005403</v>
      </c>
      <c r="AC486" s="7">
        <v>2.0449999999999999</v>
      </c>
      <c r="AD486" s="7" t="s">
        <v>1226</v>
      </c>
      <c r="AE486" s="8">
        <v>0</v>
      </c>
      <c r="AF486" s="8">
        <v>0</v>
      </c>
      <c r="AG486" s="8">
        <v>0</v>
      </c>
      <c r="AH486" s="8">
        <v>0</v>
      </c>
      <c r="AI486" s="7" t="s">
        <v>1730</v>
      </c>
      <c r="AJ486" s="7">
        <f t="shared" ca="1" si="109"/>
        <v>1</v>
      </c>
      <c r="AL486" s="96">
        <f t="shared" si="110"/>
        <v>3.4246990870834016E-5</v>
      </c>
      <c r="AM486" s="97">
        <f t="shared" si="111"/>
        <v>0</v>
      </c>
    </row>
    <row r="487" spans="1:39" x14ac:dyDescent="0.3">
      <c r="A487" s="7" t="s">
        <v>2386</v>
      </c>
      <c r="B487" s="7" t="s">
        <v>1320</v>
      </c>
      <c r="C487" s="7" t="s">
        <v>1769</v>
      </c>
      <c r="D487" s="7" t="s">
        <v>1792</v>
      </c>
      <c r="E487" s="7" t="s">
        <v>1322</v>
      </c>
      <c r="F487" s="36">
        <v>43582</v>
      </c>
      <c r="G487" s="36">
        <v>44677</v>
      </c>
      <c r="H487" s="36">
        <v>44677</v>
      </c>
      <c r="I487" s="36">
        <v>44677</v>
      </c>
      <c r="J487" s="7" t="s">
        <v>1696</v>
      </c>
      <c r="K487" s="8">
        <v>0</v>
      </c>
      <c r="L487" s="8">
        <v>0</v>
      </c>
      <c r="M487" s="8">
        <v>42768</v>
      </c>
      <c r="N487" s="8">
        <v>0</v>
      </c>
      <c r="O487" s="8">
        <v>0</v>
      </c>
      <c r="P487" s="8">
        <v>0</v>
      </c>
      <c r="Q487" s="8">
        <v>0</v>
      </c>
      <c r="R487" s="8">
        <f t="shared" si="108"/>
        <v>42768</v>
      </c>
      <c r="S487" s="8">
        <v>0</v>
      </c>
      <c r="T487" s="8">
        <v>0</v>
      </c>
      <c r="U487" s="8">
        <v>42768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7">
        <v>0.31780799999999998</v>
      </c>
      <c r="AB487" s="8">
        <v>10658.834607999999</v>
      </c>
      <c r="AC487" s="7">
        <v>2.0299999999999998</v>
      </c>
      <c r="AD487" s="7" t="s">
        <v>1226</v>
      </c>
      <c r="AE487" s="8">
        <v>10692</v>
      </c>
      <c r="AF487" s="8">
        <v>0</v>
      </c>
      <c r="AG487" s="8">
        <v>10692</v>
      </c>
      <c r="AH487" s="8">
        <v>0</v>
      </c>
      <c r="AI487" s="7" t="s">
        <v>1730</v>
      </c>
      <c r="AJ487" s="7">
        <f t="shared" ca="1" si="109"/>
        <v>1</v>
      </c>
      <c r="AL487" s="96">
        <f>(+AA487*AB487)/$AB$612</f>
        <v>6.1089751775880559E-5</v>
      </c>
      <c r="AM487" s="97">
        <f>AC487/$AE$612*AE487</f>
        <v>3.7521329445742193E-4</v>
      </c>
    </row>
    <row r="488" spans="1:39" x14ac:dyDescent="0.3">
      <c r="A488" s="7" t="s">
        <v>2387</v>
      </c>
      <c r="B488" s="7" t="s">
        <v>1320</v>
      </c>
      <c r="C488" s="7" t="s">
        <v>1756</v>
      </c>
      <c r="D488" s="7" t="s">
        <v>2341</v>
      </c>
      <c r="E488" s="7" t="s">
        <v>1322</v>
      </c>
      <c r="F488" s="36">
        <v>43221</v>
      </c>
      <c r="G488" s="36">
        <v>44681</v>
      </c>
      <c r="H488" s="36">
        <v>44681</v>
      </c>
      <c r="I488" s="36">
        <v>44681</v>
      </c>
      <c r="J488" s="7" t="s">
        <v>1239</v>
      </c>
      <c r="K488" s="8">
        <v>0</v>
      </c>
      <c r="L488" s="8">
        <v>438.83322300011503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f t="shared" si="108"/>
        <v>438.83322300011503</v>
      </c>
      <c r="S488" s="8">
        <v>0</v>
      </c>
      <c r="T488" s="8">
        <v>484.66395000012801</v>
      </c>
      <c r="U488" s="8">
        <v>0</v>
      </c>
      <c r="V488" s="8">
        <v>26893.336050007252</v>
      </c>
      <c r="W488" s="8">
        <v>0</v>
      </c>
      <c r="X488" s="8">
        <v>0</v>
      </c>
      <c r="Y488" s="8">
        <v>0</v>
      </c>
      <c r="Z488" s="8">
        <v>0</v>
      </c>
      <c r="AA488" s="7">
        <v>0.32876699999999998</v>
      </c>
      <c r="AB488" s="8">
        <v>9087.2515590024486</v>
      </c>
      <c r="AC488" s="7">
        <v>2.0449999999999999</v>
      </c>
      <c r="AD488" s="7" t="s">
        <v>1226</v>
      </c>
      <c r="AE488" s="8">
        <v>0</v>
      </c>
      <c r="AF488" s="8">
        <v>0</v>
      </c>
      <c r="AG488" s="8">
        <v>0</v>
      </c>
      <c r="AH488" s="8">
        <v>0</v>
      </c>
      <c r="AI488" s="7" t="s">
        <v>1730</v>
      </c>
      <c r="AJ488" s="7">
        <f t="shared" ca="1" si="109"/>
        <v>1</v>
      </c>
      <c r="AL488" s="96">
        <f t="shared" si="110"/>
        <v>1.7912675746376977E-5</v>
      </c>
      <c r="AM488" s="97">
        <f t="shared" si="111"/>
        <v>0</v>
      </c>
    </row>
    <row r="489" spans="1:39" x14ac:dyDescent="0.3">
      <c r="A489" s="7" t="s">
        <v>2388</v>
      </c>
      <c r="B489" s="7" t="s">
        <v>1320</v>
      </c>
      <c r="C489" s="7" t="s">
        <v>1769</v>
      </c>
      <c r="D489" s="7" t="s">
        <v>2343</v>
      </c>
      <c r="E489" s="7" t="s">
        <v>1322</v>
      </c>
      <c r="F489" s="36">
        <v>43600</v>
      </c>
      <c r="G489" s="36">
        <v>44695</v>
      </c>
      <c r="H489" s="36">
        <v>44695</v>
      </c>
      <c r="I489" s="36">
        <v>44695</v>
      </c>
      <c r="J489" s="7" t="s">
        <v>1239</v>
      </c>
      <c r="K489" s="8">
        <v>142201.54908</v>
      </c>
      <c r="L489" s="8">
        <v>2440.2375179999999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f t="shared" si="108"/>
        <v>144641.78659800001</v>
      </c>
      <c r="S489" s="8">
        <v>0</v>
      </c>
      <c r="T489" s="8">
        <v>2573.7079979999999</v>
      </c>
      <c r="U489" s="8">
        <v>0</v>
      </c>
      <c r="V489" s="8">
        <v>143874.292002</v>
      </c>
      <c r="W489" s="8">
        <v>0</v>
      </c>
      <c r="X489" s="8">
        <v>0</v>
      </c>
      <c r="Y489" s="8">
        <v>0</v>
      </c>
      <c r="Z489" s="8">
        <v>0</v>
      </c>
      <c r="AA489" s="7">
        <v>0.36712299999999998</v>
      </c>
      <c r="AB489" s="8">
        <v>48610.245426000001</v>
      </c>
      <c r="AC489" s="7">
        <v>2.0299999999999998</v>
      </c>
      <c r="AD489" s="7" t="s">
        <v>1226</v>
      </c>
      <c r="AE489" s="8">
        <v>48816</v>
      </c>
      <c r="AF489" s="8">
        <v>0</v>
      </c>
      <c r="AG489" s="8">
        <v>48816</v>
      </c>
      <c r="AH489" s="8">
        <v>0</v>
      </c>
      <c r="AI489" s="7" t="s">
        <v>1730</v>
      </c>
      <c r="AJ489" s="7">
        <f t="shared" ca="1" si="109"/>
        <v>1</v>
      </c>
      <c r="AL489" s="96">
        <f t="shared" si="110"/>
        <v>1.0699884813107425E-4</v>
      </c>
      <c r="AM489" s="97">
        <f t="shared" si="111"/>
        <v>6.4493650864752723E-4</v>
      </c>
    </row>
    <row r="490" spans="1:39" x14ac:dyDescent="0.3">
      <c r="A490" s="7" t="s">
        <v>2389</v>
      </c>
      <c r="B490" s="7" t="s">
        <v>1320</v>
      </c>
      <c r="C490" s="7" t="s">
        <v>1756</v>
      </c>
      <c r="D490" s="7" t="s">
        <v>2191</v>
      </c>
      <c r="E490" s="7" t="s">
        <v>1322</v>
      </c>
      <c r="F490" s="36">
        <v>42880</v>
      </c>
      <c r="G490" s="36">
        <v>44705</v>
      </c>
      <c r="H490" s="36">
        <v>44705</v>
      </c>
      <c r="I490" s="36">
        <v>44705</v>
      </c>
      <c r="J490" s="7" t="s">
        <v>1239</v>
      </c>
      <c r="K490" s="8">
        <v>0</v>
      </c>
      <c r="L490" s="8">
        <v>5561.2286560015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f t="shared" si="108"/>
        <v>5561.2286560015</v>
      </c>
      <c r="S490" s="8">
        <v>0</v>
      </c>
      <c r="T490" s="8">
        <v>5682.5076640015359</v>
      </c>
      <c r="U490" s="8">
        <v>0</v>
      </c>
      <c r="V490" s="8">
        <v>295421.49233607965</v>
      </c>
      <c r="W490" s="8">
        <v>0</v>
      </c>
      <c r="X490" s="8">
        <v>0</v>
      </c>
      <c r="Y490" s="8">
        <v>0</v>
      </c>
      <c r="Z490" s="8">
        <v>0</v>
      </c>
      <c r="AA490" s="7">
        <v>0.39452100000000001</v>
      </c>
      <c r="AB490" s="8">
        <v>99913.466936026933</v>
      </c>
      <c r="AC490" s="7">
        <v>2.181667</v>
      </c>
      <c r="AD490" s="7" t="s">
        <v>1226</v>
      </c>
      <c r="AE490" s="8">
        <v>75276.000000012398</v>
      </c>
      <c r="AF490" s="8">
        <v>0</v>
      </c>
      <c r="AG490" s="8">
        <v>75276.000000012398</v>
      </c>
      <c r="AH490" s="8">
        <v>0</v>
      </c>
      <c r="AI490" s="7" t="s">
        <v>1877</v>
      </c>
      <c r="AJ490" s="7">
        <f t="shared" ca="1" si="109"/>
        <v>1</v>
      </c>
      <c r="AL490" s="96">
        <f t="shared" si="110"/>
        <v>2.3633815960710309E-4</v>
      </c>
      <c r="AM490" s="97">
        <f t="shared" si="111"/>
        <v>1.0688179285433044E-3</v>
      </c>
    </row>
    <row r="491" spans="1:39" x14ac:dyDescent="0.3">
      <c r="A491" s="7" t="s">
        <v>2390</v>
      </c>
      <c r="B491" s="7" t="s">
        <v>1320</v>
      </c>
      <c r="C491" s="7" t="s">
        <v>1769</v>
      </c>
      <c r="D491" s="7" t="s">
        <v>1324</v>
      </c>
      <c r="E491" s="7" t="s">
        <v>1322</v>
      </c>
      <c r="F491" s="36">
        <v>43252</v>
      </c>
      <c r="G491" s="36">
        <v>44712</v>
      </c>
      <c r="H491" s="36">
        <v>44712</v>
      </c>
      <c r="I491" s="36">
        <v>44712</v>
      </c>
      <c r="J491" s="7" t="s">
        <v>1239</v>
      </c>
      <c r="K491" s="8">
        <v>135760.844304</v>
      </c>
      <c r="L491" s="8">
        <v>2500.751268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f t="shared" si="108"/>
        <v>138261.59557199999</v>
      </c>
      <c r="S491" s="8">
        <v>0</v>
      </c>
      <c r="T491" s="8">
        <v>2736.8246640000002</v>
      </c>
      <c r="U491" s="8">
        <v>0</v>
      </c>
      <c r="V491" s="8">
        <v>138527.17533599999</v>
      </c>
      <c r="W491" s="8">
        <v>0</v>
      </c>
      <c r="X491" s="8">
        <v>0</v>
      </c>
      <c r="Y491" s="8">
        <v>0</v>
      </c>
      <c r="Z491" s="8">
        <v>0</v>
      </c>
      <c r="AA491" s="7">
        <v>0.41369899999999998</v>
      </c>
      <c r="AB491" s="8">
        <v>58560.270759999999</v>
      </c>
      <c r="AC491" s="7">
        <v>2.0449999999999999</v>
      </c>
      <c r="AD491" s="7" t="s">
        <v>1226</v>
      </c>
      <c r="AE491" s="8">
        <v>58860</v>
      </c>
      <c r="AF491" s="8">
        <v>0</v>
      </c>
      <c r="AG491" s="8">
        <v>58860</v>
      </c>
      <c r="AH491" s="8">
        <v>0</v>
      </c>
      <c r="AI491" s="7" t="s">
        <v>1730</v>
      </c>
      <c r="AJ491" s="7">
        <f t="shared" ca="1" si="109"/>
        <v>1</v>
      </c>
      <c r="AL491" s="96">
        <f t="shared" si="110"/>
        <v>1.452537128379462E-4</v>
      </c>
      <c r="AM491" s="97">
        <f t="shared" si="111"/>
        <v>7.8337968339987061E-4</v>
      </c>
    </row>
    <row r="492" spans="1:39" x14ac:dyDescent="0.3">
      <c r="A492" s="7" t="s">
        <v>2391</v>
      </c>
      <c r="B492" s="7" t="s">
        <v>1320</v>
      </c>
      <c r="C492" s="7" t="s">
        <v>1756</v>
      </c>
      <c r="D492" s="7" t="s">
        <v>2198</v>
      </c>
      <c r="E492" s="7" t="s">
        <v>1322</v>
      </c>
      <c r="F492" s="36">
        <v>43621</v>
      </c>
      <c r="G492" s="36">
        <v>45081</v>
      </c>
      <c r="H492" s="36">
        <v>45081</v>
      </c>
      <c r="I492" s="36">
        <v>45081</v>
      </c>
      <c r="J492" s="7" t="s">
        <v>1239</v>
      </c>
      <c r="K492" s="8">
        <v>26998.330263749496</v>
      </c>
      <c r="L492" s="8">
        <v>1964.696538000529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f t="shared" si="108"/>
        <v>28963.026801750024</v>
      </c>
      <c r="S492" s="8">
        <v>0</v>
      </c>
      <c r="T492" s="8">
        <v>2038.855542000548</v>
      </c>
      <c r="U492" s="8">
        <v>0</v>
      </c>
      <c r="V492" s="8">
        <v>49963.14445801347</v>
      </c>
      <c r="W492" s="8">
        <v>0</v>
      </c>
      <c r="X492" s="8">
        <v>0</v>
      </c>
      <c r="Y492" s="8">
        <v>0</v>
      </c>
      <c r="Z492" s="8">
        <v>0</v>
      </c>
      <c r="AA492" s="7">
        <v>1.424658</v>
      </c>
      <c r="AB492" s="8">
        <v>72551.68600201956</v>
      </c>
      <c r="AC492" s="7">
        <v>2.0449999999999999</v>
      </c>
      <c r="AD492" s="7" t="s">
        <v>1226</v>
      </c>
      <c r="AE492" s="8">
        <v>26001.000000004286</v>
      </c>
      <c r="AF492" s="8">
        <v>0</v>
      </c>
      <c r="AG492" s="8">
        <v>26001.000000004286</v>
      </c>
      <c r="AH492" s="8">
        <v>0</v>
      </c>
      <c r="AI492" s="7" t="s">
        <v>1730</v>
      </c>
      <c r="AJ492" s="7">
        <f t="shared" ca="1" si="109"/>
        <v>1</v>
      </c>
      <c r="AL492" s="96">
        <f t="shared" si="110"/>
        <v>6.1972330100046932E-4</v>
      </c>
      <c r="AM492" s="97">
        <f t="shared" si="111"/>
        <v>3.4605258491477055E-4</v>
      </c>
    </row>
    <row r="493" spans="1:39" x14ac:dyDescent="0.3">
      <c r="A493" s="7" t="s">
        <v>2392</v>
      </c>
      <c r="B493" s="7" t="s">
        <v>1320</v>
      </c>
      <c r="C493" s="7" t="s">
        <v>1769</v>
      </c>
      <c r="D493" s="7" t="s">
        <v>2193</v>
      </c>
      <c r="E493" s="7" t="s">
        <v>1322</v>
      </c>
      <c r="F493" s="36">
        <v>43631</v>
      </c>
      <c r="G493" s="36">
        <v>44726</v>
      </c>
      <c r="H493" s="36">
        <v>44726</v>
      </c>
      <c r="I493" s="36">
        <v>44726</v>
      </c>
      <c r="J493" s="7" t="s">
        <v>1696</v>
      </c>
      <c r="K493" s="8">
        <v>0</v>
      </c>
      <c r="L493" s="8">
        <v>0</v>
      </c>
      <c r="M493" s="8">
        <v>39852</v>
      </c>
      <c r="N493" s="8">
        <v>0</v>
      </c>
      <c r="O493" s="8">
        <v>0</v>
      </c>
      <c r="P493" s="8">
        <v>0</v>
      </c>
      <c r="Q493" s="8">
        <v>0</v>
      </c>
      <c r="R493" s="8">
        <f t="shared" si="108"/>
        <v>39852</v>
      </c>
      <c r="S493" s="8">
        <v>0</v>
      </c>
      <c r="T493" s="8">
        <v>0</v>
      </c>
      <c r="U493" s="8">
        <v>39852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7">
        <v>0.45205499999999998</v>
      </c>
      <c r="AB493" s="8">
        <v>16536.387552</v>
      </c>
      <c r="AC493" s="7">
        <v>2.0299999999999998</v>
      </c>
      <c r="AD493" s="7" t="s">
        <v>1226</v>
      </c>
      <c r="AE493" s="8">
        <v>16605</v>
      </c>
      <c r="AF493" s="8">
        <v>0</v>
      </c>
      <c r="AG493" s="8">
        <v>16605</v>
      </c>
      <c r="AH493" s="8">
        <v>0</v>
      </c>
      <c r="AI493" s="7" t="s">
        <v>1730</v>
      </c>
      <c r="AJ493" s="7">
        <f t="shared" ca="1" si="109"/>
        <v>1</v>
      </c>
      <c r="AL493" s="96">
        <f>(+AA493*AB493)/$AB$612</f>
        <v>1.3481112441827913E-4</v>
      </c>
      <c r="AM493" s="97">
        <f>AC493/$AE$612*AE493</f>
        <v>5.8271761639220828E-4</v>
      </c>
    </row>
    <row r="494" spans="1:39" x14ac:dyDescent="0.3">
      <c r="A494" s="7" t="s">
        <v>2393</v>
      </c>
      <c r="B494" s="7" t="s">
        <v>1320</v>
      </c>
      <c r="C494" s="7" t="s">
        <v>1756</v>
      </c>
      <c r="D494" s="7" t="s">
        <v>2200</v>
      </c>
      <c r="E494" s="7" t="s">
        <v>1322</v>
      </c>
      <c r="F494" s="36">
        <v>43282</v>
      </c>
      <c r="G494" s="36">
        <v>44742</v>
      </c>
      <c r="H494" s="36">
        <v>44742</v>
      </c>
      <c r="I494" s="36">
        <v>44742</v>
      </c>
      <c r="J494" s="7" t="s">
        <v>1239</v>
      </c>
      <c r="K494" s="8">
        <v>0</v>
      </c>
      <c r="L494" s="8">
        <v>768.94729500020799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f t="shared" si="108"/>
        <v>768.94729500020799</v>
      </c>
      <c r="S494" s="8">
        <v>0</v>
      </c>
      <c r="T494" s="8">
        <v>835.16241000023001</v>
      </c>
      <c r="U494" s="8">
        <v>0</v>
      </c>
      <c r="V494" s="8">
        <v>38854.837590010473</v>
      </c>
      <c r="W494" s="8">
        <v>0</v>
      </c>
      <c r="X494" s="8">
        <v>0</v>
      </c>
      <c r="Y494" s="8">
        <v>0</v>
      </c>
      <c r="Z494" s="8">
        <v>0</v>
      </c>
      <c r="AA494" s="7">
        <v>0.49589</v>
      </c>
      <c r="AB494" s="8">
        <v>19727.168685005319</v>
      </c>
      <c r="AC494" s="7">
        <v>2.0449999999999999</v>
      </c>
      <c r="AD494" s="7" t="s">
        <v>1226</v>
      </c>
      <c r="AE494" s="8">
        <v>13230.000000002179</v>
      </c>
      <c r="AF494" s="8">
        <v>0</v>
      </c>
      <c r="AG494" s="8">
        <v>13230.000000002179</v>
      </c>
      <c r="AH494" s="8">
        <v>0</v>
      </c>
      <c r="AI494" s="7" t="s">
        <v>1730</v>
      </c>
      <c r="AJ494" s="7">
        <f t="shared" ca="1" si="109"/>
        <v>1</v>
      </c>
      <c r="AL494" s="96">
        <f t="shared" si="110"/>
        <v>5.8652942375085214E-5</v>
      </c>
      <c r="AM494" s="97">
        <f t="shared" si="111"/>
        <v>1.76080754525688E-4</v>
      </c>
    </row>
    <row r="495" spans="1:39" x14ac:dyDescent="0.3">
      <c r="A495" s="7" t="s">
        <v>2394</v>
      </c>
      <c r="B495" s="7" t="s">
        <v>1320</v>
      </c>
      <c r="C495" s="7" t="s">
        <v>1769</v>
      </c>
      <c r="D495" s="7" t="s">
        <v>2202</v>
      </c>
      <c r="E495" s="7" t="s">
        <v>1322</v>
      </c>
      <c r="F495" s="36">
        <v>43650</v>
      </c>
      <c r="G495" s="36">
        <v>44745</v>
      </c>
      <c r="H495" s="36">
        <v>44745</v>
      </c>
      <c r="I495" s="36">
        <v>44745</v>
      </c>
      <c r="J495" s="7" t="s">
        <v>1239</v>
      </c>
      <c r="K495" s="8">
        <v>54112.093871999998</v>
      </c>
      <c r="L495" s="8">
        <v>1080.7682560000001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f t="shared" si="108"/>
        <v>55192.862128000001</v>
      </c>
      <c r="S495" s="8">
        <v>0</v>
      </c>
      <c r="T495" s="8">
        <v>1164.139488</v>
      </c>
      <c r="U495" s="8">
        <v>0</v>
      </c>
      <c r="V495" s="8">
        <v>54563.860511999999</v>
      </c>
      <c r="W495" s="8">
        <v>0</v>
      </c>
      <c r="X495" s="8">
        <v>0</v>
      </c>
      <c r="Y495" s="8">
        <v>0</v>
      </c>
      <c r="Z495" s="8">
        <v>0</v>
      </c>
      <c r="AA495" s="7">
        <v>0.50410999999999995</v>
      </c>
      <c r="AB495" s="8">
        <v>27699.763304</v>
      </c>
      <c r="AC495" s="7">
        <v>2.0299999999999998</v>
      </c>
      <c r="AD495" s="7" t="s">
        <v>1226</v>
      </c>
      <c r="AE495" s="8">
        <v>27864</v>
      </c>
      <c r="AF495" s="8">
        <v>0</v>
      </c>
      <c r="AG495" s="8">
        <v>27864</v>
      </c>
      <c r="AH495" s="8">
        <v>0</v>
      </c>
      <c r="AI495" s="7" t="s">
        <v>1730</v>
      </c>
      <c r="AJ495" s="7">
        <f t="shared" ca="1" si="109"/>
        <v>1</v>
      </c>
      <c r="AL495" s="96">
        <f t="shared" si="110"/>
        <v>8.3722283611764969E-5</v>
      </c>
      <c r="AM495" s="97">
        <f t="shared" si="111"/>
        <v>3.6812747617491601E-4</v>
      </c>
    </row>
    <row r="496" spans="1:39" x14ac:dyDescent="0.3">
      <c r="A496" s="7" t="s">
        <v>2395</v>
      </c>
      <c r="B496" s="7" t="s">
        <v>1320</v>
      </c>
      <c r="C496" s="7" t="s">
        <v>1756</v>
      </c>
      <c r="D496" s="7" t="s">
        <v>2353</v>
      </c>
      <c r="E496" s="7" t="s">
        <v>1322</v>
      </c>
      <c r="F496" s="36">
        <v>43661</v>
      </c>
      <c r="G496" s="36">
        <v>45121</v>
      </c>
      <c r="H496" s="36">
        <v>45121</v>
      </c>
      <c r="I496" s="36">
        <v>45121</v>
      </c>
      <c r="J496" s="7" t="s">
        <v>1239</v>
      </c>
      <c r="K496" s="8">
        <v>13373.004717897107</v>
      </c>
      <c r="L496" s="8">
        <v>1028.914734000278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f t="shared" si="108"/>
        <v>14401.919451897385</v>
      </c>
      <c r="S496" s="8">
        <v>0</v>
      </c>
      <c r="T496" s="8">
        <v>1052.0035500002889</v>
      </c>
      <c r="U496" s="8">
        <v>0</v>
      </c>
      <c r="V496" s="8">
        <v>24705.99645000666</v>
      </c>
      <c r="W496" s="8">
        <v>0</v>
      </c>
      <c r="X496" s="8">
        <v>0</v>
      </c>
      <c r="Y496" s="8">
        <v>0</v>
      </c>
      <c r="Z496" s="8">
        <v>0</v>
      </c>
      <c r="AA496" s="7">
        <v>1.5342469999999999</v>
      </c>
      <c r="AB496" s="8">
        <v>38018.526534010249</v>
      </c>
      <c r="AC496" s="7">
        <v>2.0449999999999999</v>
      </c>
      <c r="AD496" s="7" t="s">
        <v>1226</v>
      </c>
      <c r="AE496" s="8">
        <v>12879.000000002117</v>
      </c>
      <c r="AF496" s="8">
        <v>0</v>
      </c>
      <c r="AG496" s="8">
        <v>12879.000000002117</v>
      </c>
      <c r="AH496" s="8">
        <v>0</v>
      </c>
      <c r="AI496" s="7" t="s">
        <v>1730</v>
      </c>
      <c r="AJ496" s="7">
        <f t="shared" ca="1" si="109"/>
        <v>1</v>
      </c>
      <c r="AL496" s="96">
        <f t="shared" si="110"/>
        <v>3.4972788294198123E-4</v>
      </c>
      <c r="AM496" s="97">
        <f t="shared" si="111"/>
        <v>1.7140922430357785E-4</v>
      </c>
    </row>
    <row r="497" spans="1:39" x14ac:dyDescent="0.3">
      <c r="A497" s="7" t="s">
        <v>2396</v>
      </c>
      <c r="B497" s="7" t="s">
        <v>1320</v>
      </c>
      <c r="C497" s="7" t="s">
        <v>1756</v>
      </c>
      <c r="D497" s="7" t="s">
        <v>2195</v>
      </c>
      <c r="E497" s="7" t="s">
        <v>1322</v>
      </c>
      <c r="F497" s="36">
        <v>43320</v>
      </c>
      <c r="G497" s="36">
        <v>45145</v>
      </c>
      <c r="H497" s="36">
        <v>45145</v>
      </c>
      <c r="I497" s="36">
        <v>45145</v>
      </c>
      <c r="J497" s="7" t="s">
        <v>1239</v>
      </c>
      <c r="K497" s="8">
        <v>0</v>
      </c>
      <c r="L497" s="8">
        <v>10840.604337002924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f t="shared" si="108"/>
        <v>10840.604337002924</v>
      </c>
      <c r="S497" s="8">
        <v>0</v>
      </c>
      <c r="T497" s="8">
        <v>11172.456360003012</v>
      </c>
      <c r="U497" s="8">
        <v>0</v>
      </c>
      <c r="V497" s="8">
        <v>235769.54364006355</v>
      </c>
      <c r="W497" s="8">
        <v>0</v>
      </c>
      <c r="X497" s="8">
        <v>0</v>
      </c>
      <c r="Y497" s="8">
        <v>0</v>
      </c>
      <c r="Z497" s="8">
        <v>0</v>
      </c>
      <c r="AA497" s="7">
        <v>1.6</v>
      </c>
      <c r="AB497" s="8">
        <v>383972.62394710351</v>
      </c>
      <c r="AC497" s="7">
        <v>2.181667</v>
      </c>
      <c r="AD497" s="7" t="s">
        <v>1226</v>
      </c>
      <c r="AE497" s="8">
        <v>123471.00000002033</v>
      </c>
      <c r="AF497" s="8">
        <v>0</v>
      </c>
      <c r="AG497" s="8">
        <v>123471.00000002033</v>
      </c>
      <c r="AH497" s="8">
        <v>0</v>
      </c>
      <c r="AI497" s="7" t="s">
        <v>1877</v>
      </c>
      <c r="AJ497" s="7">
        <f t="shared" ca="1" si="109"/>
        <v>1</v>
      </c>
      <c r="AL497" s="96">
        <f t="shared" si="110"/>
        <v>3.683493767262245E-3</v>
      </c>
      <c r="AM497" s="97">
        <f t="shared" si="111"/>
        <v>1.7531220901106639E-3</v>
      </c>
    </row>
    <row r="498" spans="1:39" x14ac:dyDescent="0.3">
      <c r="A498" s="7" t="s">
        <v>2397</v>
      </c>
      <c r="B498" s="7" t="s">
        <v>1320</v>
      </c>
      <c r="C498" s="7" t="s">
        <v>1769</v>
      </c>
      <c r="D498" s="7" t="s">
        <v>2356</v>
      </c>
      <c r="E498" s="7" t="s">
        <v>1322</v>
      </c>
      <c r="F498" s="36">
        <v>43692</v>
      </c>
      <c r="G498" s="36">
        <v>44787</v>
      </c>
      <c r="H498" s="36">
        <v>44787</v>
      </c>
      <c r="I498" s="36">
        <v>44787</v>
      </c>
      <c r="J498" s="7" t="s">
        <v>1696</v>
      </c>
      <c r="K498" s="8">
        <v>0</v>
      </c>
      <c r="L498" s="8">
        <v>0</v>
      </c>
      <c r="M498" s="8">
        <v>80028</v>
      </c>
      <c r="N498" s="8">
        <v>0</v>
      </c>
      <c r="O498" s="8">
        <v>0</v>
      </c>
      <c r="P498" s="8">
        <v>0</v>
      </c>
      <c r="Q498" s="8">
        <v>0</v>
      </c>
      <c r="R498" s="8">
        <f t="shared" si="108"/>
        <v>80028</v>
      </c>
      <c r="S498" s="8">
        <v>0</v>
      </c>
      <c r="T498" s="8">
        <v>0</v>
      </c>
      <c r="U498" s="8">
        <v>80028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7">
        <v>0.61917800000000001</v>
      </c>
      <c r="AB498" s="8">
        <v>46411.723769999997</v>
      </c>
      <c r="AC498" s="7">
        <v>2.0299999999999998</v>
      </c>
      <c r="AD498" s="7" t="s">
        <v>1226</v>
      </c>
      <c r="AE498" s="8">
        <v>46683</v>
      </c>
      <c r="AF498" s="8">
        <v>0</v>
      </c>
      <c r="AG498" s="8">
        <v>46683</v>
      </c>
      <c r="AH498" s="8">
        <v>0</v>
      </c>
      <c r="AI498" s="7" t="s">
        <v>1730</v>
      </c>
      <c r="AJ498" s="7">
        <f t="shared" ca="1" si="109"/>
        <v>1</v>
      </c>
      <c r="AL498" s="96">
        <f>(+AA498*AB498)/$AB$612</f>
        <v>5.1824727556827621E-4</v>
      </c>
      <c r="AM498" s="97">
        <f>AC498/$AE$612*AE498</f>
        <v>1.6382418841335417E-3</v>
      </c>
    </row>
    <row r="499" spans="1:39" x14ac:dyDescent="0.3">
      <c r="A499" s="7" t="s">
        <v>2398</v>
      </c>
      <c r="B499" s="7" t="s">
        <v>1320</v>
      </c>
      <c r="C499" s="7" t="s">
        <v>1756</v>
      </c>
      <c r="D499" s="7" t="s">
        <v>1770</v>
      </c>
      <c r="E499" s="7" t="s">
        <v>1322</v>
      </c>
      <c r="F499" s="36">
        <v>43344</v>
      </c>
      <c r="G499" s="36">
        <v>44804</v>
      </c>
      <c r="H499" s="36">
        <v>44804</v>
      </c>
      <c r="I499" s="36">
        <v>44804</v>
      </c>
      <c r="J499" s="7" t="s">
        <v>1239</v>
      </c>
      <c r="K499" s="8">
        <v>0</v>
      </c>
      <c r="L499" s="8">
        <v>1294.878528000349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f t="shared" si="108"/>
        <v>1294.878528000349</v>
      </c>
      <c r="S499" s="8">
        <v>0</v>
      </c>
      <c r="T499" s="8">
        <v>1389.688668000377</v>
      </c>
      <c r="U499" s="8">
        <v>0</v>
      </c>
      <c r="V499" s="8">
        <v>55634.311332014993</v>
      </c>
      <c r="W499" s="8">
        <v>0</v>
      </c>
      <c r="X499" s="8">
        <v>0</v>
      </c>
      <c r="Y499" s="8">
        <v>0</v>
      </c>
      <c r="Z499" s="8">
        <v>0</v>
      </c>
      <c r="AA499" s="7">
        <v>0.66575300000000004</v>
      </c>
      <c r="AB499" s="8">
        <v>37726.11315201017</v>
      </c>
      <c r="AC499" s="7">
        <v>2.0449999999999999</v>
      </c>
      <c r="AD499" s="7" t="s">
        <v>1226</v>
      </c>
      <c r="AE499" s="8">
        <v>28512.000000004697</v>
      </c>
      <c r="AF499" s="8">
        <v>0</v>
      </c>
      <c r="AG499" s="8">
        <v>28512.000000004697</v>
      </c>
      <c r="AH499" s="8">
        <v>0</v>
      </c>
      <c r="AI499" s="7" t="s">
        <v>1730</v>
      </c>
      <c r="AJ499" s="7">
        <f t="shared" ca="1" si="109"/>
        <v>1</v>
      </c>
      <c r="AL499" s="96">
        <f t="shared" si="110"/>
        <v>1.5058956895082343E-4</v>
      </c>
      <c r="AM499" s="97">
        <f t="shared" si="111"/>
        <v>3.7947199342678884E-4</v>
      </c>
    </row>
    <row r="500" spans="1:39" x14ac:dyDescent="0.3">
      <c r="A500" s="7" t="s">
        <v>2399</v>
      </c>
      <c r="B500" s="7" t="s">
        <v>1320</v>
      </c>
      <c r="C500" s="7" t="s">
        <v>1756</v>
      </c>
      <c r="D500" s="7" t="s">
        <v>1324</v>
      </c>
      <c r="E500" s="7" t="s">
        <v>1322</v>
      </c>
      <c r="F500" s="36">
        <v>43510</v>
      </c>
      <c r="G500" s="36">
        <v>44970</v>
      </c>
      <c r="H500" s="36">
        <v>44970</v>
      </c>
      <c r="I500" s="36">
        <v>44970</v>
      </c>
      <c r="J500" s="7" t="s">
        <v>1239</v>
      </c>
      <c r="K500" s="8">
        <v>18924.063263530574</v>
      </c>
      <c r="L500" s="8">
        <v>1154.8770800003099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f t="shared" si="108"/>
        <v>20078.940343530885</v>
      </c>
      <c r="S500" s="8">
        <v>0</v>
      </c>
      <c r="T500" s="8">
        <v>1189.7676450003239</v>
      </c>
      <c r="U500" s="8">
        <v>0</v>
      </c>
      <c r="V500" s="8">
        <v>35260.232355009502</v>
      </c>
      <c r="W500" s="8">
        <v>0</v>
      </c>
      <c r="X500" s="8">
        <v>0</v>
      </c>
      <c r="Y500" s="8">
        <v>0</v>
      </c>
      <c r="Z500" s="8">
        <v>0</v>
      </c>
      <c r="AA500" s="7">
        <v>1.1205480000000001</v>
      </c>
      <c r="AB500" s="8">
        <v>39020.433595010516</v>
      </c>
      <c r="AC500" s="7">
        <v>2.0449999999999999</v>
      </c>
      <c r="AD500" s="7" t="s">
        <v>1226</v>
      </c>
      <c r="AE500" s="8">
        <v>18225.000000003001</v>
      </c>
      <c r="AF500" s="8">
        <v>0</v>
      </c>
      <c r="AG500" s="8">
        <v>18225.000000003001</v>
      </c>
      <c r="AH500" s="8">
        <v>0</v>
      </c>
      <c r="AI500" s="7" t="s">
        <v>1730</v>
      </c>
      <c r="AJ500" s="7">
        <f t="shared" ca="1" si="109"/>
        <v>1</v>
      </c>
      <c r="AL500" s="96">
        <f t="shared" si="110"/>
        <v>2.6215747823985966E-4</v>
      </c>
      <c r="AM500" s="97">
        <f t="shared" si="111"/>
        <v>2.425602230711008E-4</v>
      </c>
    </row>
    <row r="501" spans="1:39" x14ac:dyDescent="0.3">
      <c r="A501" s="7" t="s">
        <v>2400</v>
      </c>
      <c r="B501" s="7" t="s">
        <v>1320</v>
      </c>
      <c r="C501" s="7" t="s">
        <v>1769</v>
      </c>
      <c r="D501" s="7" t="s">
        <v>2193</v>
      </c>
      <c r="E501" s="7" t="s">
        <v>1322</v>
      </c>
      <c r="F501" s="36">
        <v>43498</v>
      </c>
      <c r="G501" s="36">
        <v>44958</v>
      </c>
      <c r="H501" s="36">
        <v>44958</v>
      </c>
      <c r="I501" s="36">
        <v>44958</v>
      </c>
      <c r="J501" s="7" t="s">
        <v>1239</v>
      </c>
      <c r="K501" s="8">
        <v>19850.352803999998</v>
      </c>
      <c r="L501" s="8">
        <v>641.24946299999999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f t="shared" si="108"/>
        <v>20491.602266999998</v>
      </c>
      <c r="S501" s="8">
        <v>0</v>
      </c>
      <c r="T501" s="8">
        <v>674.20166700000004</v>
      </c>
      <c r="U501" s="8">
        <v>0</v>
      </c>
      <c r="V501" s="8">
        <v>19980.798332999999</v>
      </c>
      <c r="W501" s="8">
        <v>0</v>
      </c>
      <c r="X501" s="8">
        <v>0</v>
      </c>
      <c r="Y501" s="8">
        <v>0</v>
      </c>
      <c r="Z501" s="8">
        <v>0</v>
      </c>
      <c r="AA501" s="7">
        <v>1.0876710000000001</v>
      </c>
      <c r="AB501" s="8">
        <v>22111.579041000001</v>
      </c>
      <c r="AC501" s="7">
        <v>2.0449999999999999</v>
      </c>
      <c r="AD501" s="7" t="s">
        <v>1226</v>
      </c>
      <c r="AE501" s="8">
        <v>22376.25</v>
      </c>
      <c r="AF501" s="8">
        <v>0</v>
      </c>
      <c r="AG501" s="8">
        <v>22376.25</v>
      </c>
      <c r="AH501" s="8">
        <v>0</v>
      </c>
      <c r="AI501" s="7" t="s">
        <v>1730</v>
      </c>
      <c r="AJ501" s="7">
        <f t="shared" ca="1" si="109"/>
        <v>1</v>
      </c>
      <c r="AL501" s="96">
        <f t="shared" si="110"/>
        <v>1.4419725799601931E-4</v>
      </c>
      <c r="AM501" s="97">
        <f t="shared" si="111"/>
        <v>2.9781005165946915E-4</v>
      </c>
    </row>
    <row r="502" spans="1:39" x14ac:dyDescent="0.3">
      <c r="A502" s="7" t="s">
        <v>2401</v>
      </c>
      <c r="B502" s="7" t="s">
        <v>1320</v>
      </c>
      <c r="C502" s="7" t="s">
        <v>1769</v>
      </c>
      <c r="D502" s="7" t="s">
        <v>2198</v>
      </c>
      <c r="E502" s="7" t="s">
        <v>1322</v>
      </c>
      <c r="F502" s="36">
        <v>43511</v>
      </c>
      <c r="G502" s="36">
        <v>44606</v>
      </c>
      <c r="H502" s="36">
        <v>44606</v>
      </c>
      <c r="I502" s="36">
        <v>44606</v>
      </c>
      <c r="J502" s="7" t="s">
        <v>1696</v>
      </c>
      <c r="K502" s="8">
        <v>0</v>
      </c>
      <c r="L502" s="8">
        <v>0</v>
      </c>
      <c r="M502" s="8">
        <v>55512</v>
      </c>
      <c r="N502" s="8">
        <v>0</v>
      </c>
      <c r="O502" s="8">
        <v>0</v>
      </c>
      <c r="P502" s="8">
        <v>0</v>
      </c>
      <c r="Q502" s="8">
        <v>0</v>
      </c>
      <c r="R502" s="8">
        <f t="shared" si="108"/>
        <v>55512</v>
      </c>
      <c r="S502" s="8">
        <v>0</v>
      </c>
      <c r="T502" s="8">
        <v>0</v>
      </c>
      <c r="U502" s="8">
        <v>55512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7">
        <v>0.12328799999999999</v>
      </c>
      <c r="AB502" s="8">
        <v>4622.4718039999998</v>
      </c>
      <c r="AC502" s="7">
        <v>2.0299999999999998</v>
      </c>
      <c r="AD502" s="7" t="s">
        <v>1226</v>
      </c>
      <c r="AE502" s="8">
        <v>4626</v>
      </c>
      <c r="AF502" s="8">
        <v>0</v>
      </c>
      <c r="AG502" s="8">
        <v>4626</v>
      </c>
      <c r="AH502" s="8">
        <v>0</v>
      </c>
      <c r="AI502" s="7" t="s">
        <v>1730</v>
      </c>
      <c r="AJ502" s="7">
        <f t="shared" ca="1" si="109"/>
        <v>1</v>
      </c>
      <c r="AL502" s="96">
        <f>(+AA502*AB502)/$AB$612</f>
        <v>1.0277533239441877E-5</v>
      </c>
      <c r="AM502" s="97">
        <f>AC502/$AE$612*AE502</f>
        <v>1.6233975871305967E-4</v>
      </c>
    </row>
    <row r="503" spans="1:39" x14ac:dyDescent="0.3">
      <c r="A503" s="7" t="s">
        <v>2402</v>
      </c>
      <c r="B503" s="7" t="s">
        <v>1320</v>
      </c>
      <c r="C503" s="7" t="s">
        <v>1756</v>
      </c>
      <c r="D503" s="7" t="s">
        <v>2193</v>
      </c>
      <c r="E503" s="7" t="s">
        <v>1322</v>
      </c>
      <c r="F503" s="36">
        <v>43525</v>
      </c>
      <c r="G503" s="36">
        <v>44985</v>
      </c>
      <c r="H503" s="36">
        <v>44985</v>
      </c>
      <c r="I503" s="36">
        <v>44985</v>
      </c>
      <c r="J503" s="7" t="s">
        <v>1239</v>
      </c>
      <c r="K503" s="8">
        <v>10639.528893716844</v>
      </c>
      <c r="L503" s="8">
        <v>668.91381600017996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f t="shared" si="108"/>
        <v>11308.442709717025</v>
      </c>
      <c r="S503" s="8">
        <v>0</v>
      </c>
      <c r="T503" s="8">
        <v>702.63988800018603</v>
      </c>
      <c r="U503" s="8">
        <v>0</v>
      </c>
      <c r="V503" s="8">
        <v>19790.360112005335</v>
      </c>
      <c r="W503" s="8">
        <v>0</v>
      </c>
      <c r="X503" s="8">
        <v>0</v>
      </c>
      <c r="Y503" s="8">
        <v>0</v>
      </c>
      <c r="Z503" s="8">
        <v>0</v>
      </c>
      <c r="AA503" s="7">
        <v>1.1616439999999999</v>
      </c>
      <c r="AB503" s="8">
        <v>23605.676889006361</v>
      </c>
      <c r="AC503" s="7">
        <v>2.0449999999999999</v>
      </c>
      <c r="AD503" s="7" t="s">
        <v>1226</v>
      </c>
      <c r="AE503" s="8">
        <v>10246.500000001686</v>
      </c>
      <c r="AF503" s="8">
        <v>0</v>
      </c>
      <c r="AG503" s="8">
        <v>10246.500000001686</v>
      </c>
      <c r="AH503" s="8">
        <v>0</v>
      </c>
      <c r="AI503" s="7" t="s">
        <v>1730</v>
      </c>
      <c r="AJ503" s="7">
        <f t="shared" ca="1" si="109"/>
        <v>1</v>
      </c>
      <c r="AL503" s="96">
        <f t="shared" si="110"/>
        <v>1.6441037007906693E-4</v>
      </c>
      <c r="AM503" s="97">
        <f t="shared" si="111"/>
        <v>1.3637274763775222E-4</v>
      </c>
    </row>
    <row r="504" spans="1:39" x14ac:dyDescent="0.3">
      <c r="A504" s="7" t="s">
        <v>2403</v>
      </c>
      <c r="B504" s="7" t="s">
        <v>1320</v>
      </c>
      <c r="C504" s="7" t="s">
        <v>1769</v>
      </c>
      <c r="D504" s="7" t="s">
        <v>2200</v>
      </c>
      <c r="E504" s="7" t="s">
        <v>1322</v>
      </c>
      <c r="F504" s="36">
        <v>43174</v>
      </c>
      <c r="G504" s="36">
        <v>44634</v>
      </c>
      <c r="H504" s="36">
        <v>44634</v>
      </c>
      <c r="I504" s="36">
        <v>44634</v>
      </c>
      <c r="J504" s="7" t="s">
        <v>1239</v>
      </c>
      <c r="K504" s="8">
        <v>43852.413419999997</v>
      </c>
      <c r="L504" s="8">
        <v>612.842805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f t="shared" si="108"/>
        <v>44465.256224999997</v>
      </c>
      <c r="S504" s="8">
        <v>0</v>
      </c>
      <c r="T504" s="8">
        <v>654.87399500000004</v>
      </c>
      <c r="U504" s="8">
        <v>0</v>
      </c>
      <c r="V504" s="8">
        <v>44975.126004999998</v>
      </c>
      <c r="W504" s="8">
        <v>0</v>
      </c>
      <c r="X504" s="8">
        <v>0</v>
      </c>
      <c r="Y504" s="8">
        <v>0</v>
      </c>
      <c r="Z504" s="8">
        <v>0</v>
      </c>
      <c r="AA504" s="7">
        <v>0.2</v>
      </c>
      <c r="AB504" s="8">
        <v>7585.603795</v>
      </c>
      <c r="AC504" s="7">
        <v>2.0449999999999999</v>
      </c>
      <c r="AD504" s="7" t="s">
        <v>1226</v>
      </c>
      <c r="AE504" s="8">
        <v>7605</v>
      </c>
      <c r="AF504" s="8">
        <v>0</v>
      </c>
      <c r="AG504" s="8">
        <v>7605</v>
      </c>
      <c r="AH504" s="8">
        <v>0</v>
      </c>
      <c r="AI504" s="7" t="s">
        <v>1730</v>
      </c>
      <c r="AJ504" s="7">
        <f t="shared" ca="1" si="109"/>
        <v>1</v>
      </c>
      <c r="AL504" s="96">
        <f t="shared" si="110"/>
        <v>9.096196758955851E-6</v>
      </c>
      <c r="AM504" s="97">
        <f t="shared" si="111"/>
        <v>1.0121648814570193E-4</v>
      </c>
    </row>
    <row r="505" spans="1:39" x14ac:dyDescent="0.3">
      <c r="A505" s="7" t="s">
        <v>2404</v>
      </c>
      <c r="B505" s="7" t="s">
        <v>1320</v>
      </c>
      <c r="C505" s="7" t="s">
        <v>1756</v>
      </c>
      <c r="D505" s="7" t="s">
        <v>2209</v>
      </c>
      <c r="E505" s="7" t="s">
        <v>1322</v>
      </c>
      <c r="F505" s="36">
        <v>43205</v>
      </c>
      <c r="G505" s="36">
        <v>44665</v>
      </c>
      <c r="H505" s="36">
        <v>44665</v>
      </c>
      <c r="I505" s="36">
        <v>44665</v>
      </c>
      <c r="J505" s="7" t="s">
        <v>1239</v>
      </c>
      <c r="K505" s="8">
        <v>0</v>
      </c>
      <c r="L505" s="8">
        <v>1215.679580000331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f t="shared" si="108"/>
        <v>1215.679580000331</v>
      </c>
      <c r="S505" s="8">
        <v>0</v>
      </c>
      <c r="T505" s="8">
        <v>1289.667660000342</v>
      </c>
      <c r="U505" s="8">
        <v>0</v>
      </c>
      <c r="V505" s="8">
        <v>79170.332340021341</v>
      </c>
      <c r="W505" s="8">
        <v>0</v>
      </c>
      <c r="X505" s="8">
        <v>0</v>
      </c>
      <c r="Y505" s="8">
        <v>0</v>
      </c>
      <c r="Z505" s="8">
        <v>0</v>
      </c>
      <c r="AA505" s="7">
        <v>0.28493200000000002</v>
      </c>
      <c r="AB505" s="8">
        <v>20046.635620005403</v>
      </c>
      <c r="AC505" s="7">
        <v>2.0449999999999999</v>
      </c>
      <c r="AD505" s="7" t="s">
        <v>1226</v>
      </c>
      <c r="AE505" s="8">
        <v>0</v>
      </c>
      <c r="AF505" s="8">
        <v>0</v>
      </c>
      <c r="AG505" s="8">
        <v>0</v>
      </c>
      <c r="AH505" s="8">
        <v>0</v>
      </c>
      <c r="AI505" s="7" t="s">
        <v>1730</v>
      </c>
      <c r="AJ505" s="7">
        <f t="shared" ca="1" si="109"/>
        <v>1</v>
      </c>
      <c r="AL505" s="96">
        <f t="shared" si="110"/>
        <v>3.4246990870834016E-5</v>
      </c>
      <c r="AM505" s="97">
        <f t="shared" si="111"/>
        <v>0</v>
      </c>
    </row>
    <row r="506" spans="1:39" x14ac:dyDescent="0.3">
      <c r="A506" s="7" t="s">
        <v>2405</v>
      </c>
      <c r="B506" s="7" t="s">
        <v>1320</v>
      </c>
      <c r="C506" s="7" t="s">
        <v>1769</v>
      </c>
      <c r="D506" s="7" t="s">
        <v>2195</v>
      </c>
      <c r="E506" s="7" t="s">
        <v>1322</v>
      </c>
      <c r="F506" s="36">
        <v>43582</v>
      </c>
      <c r="G506" s="36">
        <v>44677</v>
      </c>
      <c r="H506" s="36">
        <v>44677</v>
      </c>
      <c r="I506" s="36">
        <v>44677</v>
      </c>
      <c r="J506" s="7" t="s">
        <v>1696</v>
      </c>
      <c r="K506" s="8">
        <v>0</v>
      </c>
      <c r="L506" s="8">
        <v>0</v>
      </c>
      <c r="M506" s="8">
        <v>42768</v>
      </c>
      <c r="N506" s="8">
        <v>0</v>
      </c>
      <c r="O506" s="8">
        <v>0</v>
      </c>
      <c r="P506" s="8">
        <v>0</v>
      </c>
      <c r="Q506" s="8">
        <v>0</v>
      </c>
      <c r="R506" s="8">
        <f t="shared" si="108"/>
        <v>42768</v>
      </c>
      <c r="S506" s="8">
        <v>0</v>
      </c>
      <c r="T506" s="8">
        <v>0</v>
      </c>
      <c r="U506" s="8">
        <v>42768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7">
        <v>0.31780799999999998</v>
      </c>
      <c r="AB506" s="8">
        <v>10658.834607999999</v>
      </c>
      <c r="AC506" s="7">
        <v>2.0299999999999998</v>
      </c>
      <c r="AD506" s="7" t="s">
        <v>1226</v>
      </c>
      <c r="AE506" s="8">
        <v>10692</v>
      </c>
      <c r="AF506" s="8">
        <v>0</v>
      </c>
      <c r="AG506" s="8">
        <v>10692</v>
      </c>
      <c r="AH506" s="8">
        <v>0</v>
      </c>
      <c r="AI506" s="7" t="s">
        <v>1730</v>
      </c>
      <c r="AJ506" s="7">
        <f t="shared" ca="1" si="109"/>
        <v>1</v>
      </c>
      <c r="AL506" s="96">
        <f>(+AA506*AB506)/$AB$612</f>
        <v>6.1089751775880559E-5</v>
      </c>
      <c r="AM506" s="97">
        <f>AC506/$AE$612*AE506</f>
        <v>3.7521329445742193E-4</v>
      </c>
    </row>
    <row r="507" spans="1:39" x14ac:dyDescent="0.3">
      <c r="A507" s="7" t="s">
        <v>2406</v>
      </c>
      <c r="B507" s="7" t="s">
        <v>1320</v>
      </c>
      <c r="C507" s="7" t="s">
        <v>1769</v>
      </c>
      <c r="D507" s="7" t="s">
        <v>1770</v>
      </c>
      <c r="E507" s="7" t="s">
        <v>1322</v>
      </c>
      <c r="F507" s="36">
        <v>43600</v>
      </c>
      <c r="G507" s="36">
        <v>44695</v>
      </c>
      <c r="H507" s="36">
        <v>44695</v>
      </c>
      <c r="I507" s="36">
        <v>44695</v>
      </c>
      <c r="J507" s="7" t="s">
        <v>1239</v>
      </c>
      <c r="K507" s="8">
        <v>142201.54908</v>
      </c>
      <c r="L507" s="8">
        <v>2440.2375179999999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f t="shared" si="108"/>
        <v>144641.78659800001</v>
      </c>
      <c r="S507" s="8">
        <v>0</v>
      </c>
      <c r="T507" s="8">
        <v>2573.7079979999999</v>
      </c>
      <c r="U507" s="8">
        <v>0</v>
      </c>
      <c r="V507" s="8">
        <v>143874.292002</v>
      </c>
      <c r="W507" s="8">
        <v>0</v>
      </c>
      <c r="X507" s="8">
        <v>0</v>
      </c>
      <c r="Y507" s="8">
        <v>0</v>
      </c>
      <c r="Z507" s="8">
        <v>0</v>
      </c>
      <c r="AA507" s="7">
        <v>0.36712299999999998</v>
      </c>
      <c r="AB507" s="8">
        <v>48610.245426000001</v>
      </c>
      <c r="AC507" s="7">
        <v>2.0299999999999998</v>
      </c>
      <c r="AD507" s="7" t="s">
        <v>1226</v>
      </c>
      <c r="AE507" s="8">
        <v>48816</v>
      </c>
      <c r="AF507" s="8">
        <v>0</v>
      </c>
      <c r="AG507" s="8">
        <v>48816</v>
      </c>
      <c r="AH507" s="8">
        <v>0</v>
      </c>
      <c r="AI507" s="7" t="s">
        <v>1730</v>
      </c>
      <c r="AJ507" s="7">
        <f t="shared" ca="1" si="109"/>
        <v>1</v>
      </c>
      <c r="AL507" s="96">
        <f t="shared" si="110"/>
        <v>1.0699884813107425E-4</v>
      </c>
      <c r="AM507" s="97">
        <f t="shared" si="111"/>
        <v>6.4493650864752723E-4</v>
      </c>
    </row>
    <row r="508" spans="1:39" x14ac:dyDescent="0.3">
      <c r="A508" s="7" t="s">
        <v>2407</v>
      </c>
      <c r="B508" s="7" t="s">
        <v>1320</v>
      </c>
      <c r="C508" s="7" t="s">
        <v>1756</v>
      </c>
      <c r="D508" s="7" t="s">
        <v>1792</v>
      </c>
      <c r="E508" s="7" t="s">
        <v>1322</v>
      </c>
      <c r="F508" s="36">
        <v>42880</v>
      </c>
      <c r="G508" s="36">
        <v>44705</v>
      </c>
      <c r="H508" s="36">
        <v>44705</v>
      </c>
      <c r="I508" s="36">
        <v>44705</v>
      </c>
      <c r="J508" s="7" t="s">
        <v>1239</v>
      </c>
      <c r="K508" s="8">
        <v>0</v>
      </c>
      <c r="L508" s="8">
        <v>5561.2286560015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f t="shared" si="108"/>
        <v>5561.2286560015</v>
      </c>
      <c r="S508" s="8">
        <v>0</v>
      </c>
      <c r="T508" s="8">
        <v>5682.5076640015359</v>
      </c>
      <c r="U508" s="8">
        <v>0</v>
      </c>
      <c r="V508" s="8">
        <v>295421.49233607965</v>
      </c>
      <c r="W508" s="8">
        <v>0</v>
      </c>
      <c r="X508" s="8">
        <v>0</v>
      </c>
      <c r="Y508" s="8">
        <v>0</v>
      </c>
      <c r="Z508" s="8">
        <v>0</v>
      </c>
      <c r="AA508" s="7">
        <v>0.39452100000000001</v>
      </c>
      <c r="AB508" s="8">
        <v>99913.466936026933</v>
      </c>
      <c r="AC508" s="7">
        <v>2.181667</v>
      </c>
      <c r="AD508" s="7" t="s">
        <v>1226</v>
      </c>
      <c r="AE508" s="8">
        <v>75276.000000012398</v>
      </c>
      <c r="AF508" s="8">
        <v>0</v>
      </c>
      <c r="AG508" s="8">
        <v>75276.000000012398</v>
      </c>
      <c r="AH508" s="8">
        <v>0</v>
      </c>
      <c r="AI508" s="7" t="s">
        <v>1877</v>
      </c>
      <c r="AJ508" s="7">
        <f t="shared" ca="1" si="109"/>
        <v>1</v>
      </c>
      <c r="AL508" s="96">
        <f t="shared" si="110"/>
        <v>2.3633815960710309E-4</v>
      </c>
      <c r="AM508" s="97">
        <f t="shared" si="111"/>
        <v>1.0688179285433044E-3</v>
      </c>
    </row>
    <row r="509" spans="1:39" x14ac:dyDescent="0.3">
      <c r="A509" s="7" t="s">
        <v>2408</v>
      </c>
      <c r="B509" s="7" t="s">
        <v>1320</v>
      </c>
      <c r="C509" s="7" t="s">
        <v>1756</v>
      </c>
      <c r="D509" s="7" t="s">
        <v>2200</v>
      </c>
      <c r="E509" s="7" t="s">
        <v>1322</v>
      </c>
      <c r="F509" s="36">
        <v>43510</v>
      </c>
      <c r="G509" s="36">
        <v>44970</v>
      </c>
      <c r="H509" s="36">
        <v>44970</v>
      </c>
      <c r="I509" s="36">
        <v>44970</v>
      </c>
      <c r="J509" s="7" t="s">
        <v>1239</v>
      </c>
      <c r="K509" s="8">
        <v>18924.063263530574</v>
      </c>
      <c r="L509" s="8">
        <v>1154.8770800003099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f t="shared" si="108"/>
        <v>20078.940343530885</v>
      </c>
      <c r="S509" s="8">
        <v>0</v>
      </c>
      <c r="T509" s="8">
        <v>1189.7676450003239</v>
      </c>
      <c r="U509" s="8">
        <v>0</v>
      </c>
      <c r="V509" s="8">
        <v>35260.232355009502</v>
      </c>
      <c r="W509" s="8">
        <v>0</v>
      </c>
      <c r="X509" s="8">
        <v>0</v>
      </c>
      <c r="Y509" s="8">
        <v>0</v>
      </c>
      <c r="Z509" s="8">
        <v>0</v>
      </c>
      <c r="AA509" s="7">
        <v>1.1205480000000001</v>
      </c>
      <c r="AB509" s="8">
        <v>39020.433595010516</v>
      </c>
      <c r="AC509" s="7">
        <v>2.0449999999999999</v>
      </c>
      <c r="AD509" s="7" t="s">
        <v>1226</v>
      </c>
      <c r="AE509" s="8">
        <v>18225.000000003001</v>
      </c>
      <c r="AF509" s="8">
        <v>0</v>
      </c>
      <c r="AG509" s="8">
        <v>18225.000000003001</v>
      </c>
      <c r="AH509" s="8">
        <v>0</v>
      </c>
      <c r="AI509" s="7" t="s">
        <v>1730</v>
      </c>
      <c r="AJ509" s="7">
        <f t="shared" ca="1" si="109"/>
        <v>1</v>
      </c>
      <c r="AL509" s="96">
        <f t="shared" si="110"/>
        <v>2.6215747823985966E-4</v>
      </c>
      <c r="AM509" s="97">
        <f t="shared" si="111"/>
        <v>2.425602230711008E-4</v>
      </c>
    </row>
    <row r="510" spans="1:39" x14ac:dyDescent="0.3">
      <c r="A510" s="7" t="s">
        <v>2409</v>
      </c>
      <c r="B510" s="7" t="s">
        <v>1320</v>
      </c>
      <c r="C510" s="7" t="s">
        <v>1769</v>
      </c>
      <c r="D510" s="7" t="s">
        <v>2341</v>
      </c>
      <c r="E510" s="7" t="s">
        <v>1322</v>
      </c>
      <c r="F510" s="36">
        <v>43252</v>
      </c>
      <c r="G510" s="36">
        <v>44712</v>
      </c>
      <c r="H510" s="36">
        <v>44712</v>
      </c>
      <c r="I510" s="36">
        <v>44712</v>
      </c>
      <c r="J510" s="7" t="s">
        <v>1239</v>
      </c>
      <c r="K510" s="8">
        <v>135760.844304</v>
      </c>
      <c r="L510" s="8">
        <v>2500.751268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f t="shared" si="108"/>
        <v>138261.59557199999</v>
      </c>
      <c r="S510" s="8">
        <v>0</v>
      </c>
      <c r="T510" s="8">
        <v>2736.8246640000002</v>
      </c>
      <c r="U510" s="8">
        <v>0</v>
      </c>
      <c r="V510" s="8">
        <v>138527.17533599999</v>
      </c>
      <c r="W510" s="8">
        <v>0</v>
      </c>
      <c r="X510" s="8">
        <v>0</v>
      </c>
      <c r="Y510" s="8">
        <v>0</v>
      </c>
      <c r="Z510" s="8">
        <v>0</v>
      </c>
      <c r="AA510" s="7">
        <v>0.41369899999999998</v>
      </c>
      <c r="AB510" s="8">
        <v>58560.270759999999</v>
      </c>
      <c r="AC510" s="7">
        <v>2.0449999999999999</v>
      </c>
      <c r="AD510" s="7" t="s">
        <v>1226</v>
      </c>
      <c r="AE510" s="8">
        <v>58860</v>
      </c>
      <c r="AF510" s="8">
        <v>0</v>
      </c>
      <c r="AG510" s="8">
        <v>58860</v>
      </c>
      <c r="AH510" s="8">
        <v>0</v>
      </c>
      <c r="AI510" s="7" t="s">
        <v>1730</v>
      </c>
      <c r="AJ510" s="7">
        <f t="shared" ca="1" si="109"/>
        <v>1</v>
      </c>
      <c r="AL510" s="96">
        <f t="shared" si="110"/>
        <v>1.452537128379462E-4</v>
      </c>
      <c r="AM510" s="97">
        <f t="shared" si="111"/>
        <v>7.8337968339987061E-4</v>
      </c>
    </row>
    <row r="511" spans="1:39" x14ac:dyDescent="0.3">
      <c r="A511" s="7" t="s">
        <v>2410</v>
      </c>
      <c r="B511" s="7" t="s">
        <v>1320</v>
      </c>
      <c r="C511" s="7" t="s">
        <v>1756</v>
      </c>
      <c r="D511" s="7" t="s">
        <v>2343</v>
      </c>
      <c r="E511" s="7" t="s">
        <v>1322</v>
      </c>
      <c r="F511" s="36">
        <v>43621</v>
      </c>
      <c r="G511" s="36">
        <v>45081</v>
      </c>
      <c r="H511" s="36">
        <v>45081</v>
      </c>
      <c r="I511" s="36">
        <v>45081</v>
      </c>
      <c r="J511" s="7" t="s">
        <v>1239</v>
      </c>
      <c r="K511" s="8">
        <v>26998.330263749496</v>
      </c>
      <c r="L511" s="8">
        <v>1964.696538000529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f t="shared" si="108"/>
        <v>28963.026801750024</v>
      </c>
      <c r="S511" s="8">
        <v>0</v>
      </c>
      <c r="T511" s="8">
        <v>2038.855542000548</v>
      </c>
      <c r="U511" s="8">
        <v>0</v>
      </c>
      <c r="V511" s="8">
        <v>49963.14445801347</v>
      </c>
      <c r="W511" s="8">
        <v>0</v>
      </c>
      <c r="X511" s="8">
        <v>0</v>
      </c>
      <c r="Y511" s="8">
        <v>0</v>
      </c>
      <c r="Z511" s="8">
        <v>0</v>
      </c>
      <c r="AA511" s="7">
        <v>1.424658</v>
      </c>
      <c r="AB511" s="8">
        <v>72551.68600201956</v>
      </c>
      <c r="AC511" s="7">
        <v>2.0449999999999999</v>
      </c>
      <c r="AD511" s="7" t="s">
        <v>1226</v>
      </c>
      <c r="AE511" s="8">
        <v>26001.000000004286</v>
      </c>
      <c r="AF511" s="8">
        <v>0</v>
      </c>
      <c r="AG511" s="8">
        <v>26001.000000004286</v>
      </c>
      <c r="AH511" s="8">
        <v>0</v>
      </c>
      <c r="AI511" s="7" t="s">
        <v>1730</v>
      </c>
      <c r="AJ511" s="7">
        <f t="shared" ca="1" si="109"/>
        <v>1</v>
      </c>
      <c r="AL511" s="96">
        <f t="shared" si="110"/>
        <v>6.1972330100046932E-4</v>
      </c>
      <c r="AM511" s="97">
        <f t="shared" si="111"/>
        <v>3.4605258491477055E-4</v>
      </c>
    </row>
    <row r="512" spans="1:39" x14ac:dyDescent="0.3">
      <c r="A512" s="7" t="s">
        <v>2411</v>
      </c>
      <c r="B512" s="7" t="s">
        <v>1320</v>
      </c>
      <c r="C512" s="7" t="s">
        <v>1769</v>
      </c>
      <c r="D512" s="7" t="s">
        <v>2191</v>
      </c>
      <c r="E512" s="7" t="s">
        <v>1322</v>
      </c>
      <c r="F512" s="36">
        <v>43631</v>
      </c>
      <c r="G512" s="36">
        <v>44726</v>
      </c>
      <c r="H512" s="36">
        <v>44726</v>
      </c>
      <c r="I512" s="36">
        <v>44726</v>
      </c>
      <c r="J512" s="7" t="s">
        <v>1696</v>
      </c>
      <c r="K512" s="8">
        <v>0</v>
      </c>
      <c r="L512" s="8">
        <v>0</v>
      </c>
      <c r="M512" s="8">
        <v>39852</v>
      </c>
      <c r="N512" s="8">
        <v>0</v>
      </c>
      <c r="O512" s="8">
        <v>0</v>
      </c>
      <c r="P512" s="8">
        <v>0</v>
      </c>
      <c r="Q512" s="8">
        <v>0</v>
      </c>
      <c r="R512" s="8">
        <f t="shared" si="108"/>
        <v>39852</v>
      </c>
      <c r="S512" s="8">
        <v>0</v>
      </c>
      <c r="T512" s="8">
        <v>0</v>
      </c>
      <c r="U512" s="8">
        <v>39852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7">
        <v>0.45205499999999998</v>
      </c>
      <c r="AB512" s="8">
        <v>16536.387552</v>
      </c>
      <c r="AC512" s="7">
        <v>2.0299999999999998</v>
      </c>
      <c r="AD512" s="7" t="s">
        <v>1226</v>
      </c>
      <c r="AE512" s="8">
        <v>16605</v>
      </c>
      <c r="AF512" s="8">
        <v>0</v>
      </c>
      <c r="AG512" s="8">
        <v>16605</v>
      </c>
      <c r="AH512" s="8">
        <v>0</v>
      </c>
      <c r="AI512" s="7" t="s">
        <v>1730</v>
      </c>
      <c r="AJ512" s="7">
        <f t="shared" ca="1" si="109"/>
        <v>1</v>
      </c>
      <c r="AL512" s="96">
        <f>(+AA512*AB512)/$AB$612</f>
        <v>1.3481112441827913E-4</v>
      </c>
      <c r="AM512" s="97">
        <f>AC512/$AE$612*AE512</f>
        <v>5.8271761639220828E-4</v>
      </c>
    </row>
    <row r="513" spans="1:39" x14ac:dyDescent="0.3">
      <c r="A513" s="7" t="s">
        <v>2412</v>
      </c>
      <c r="B513" s="7" t="s">
        <v>1320</v>
      </c>
      <c r="C513" s="7" t="s">
        <v>1756</v>
      </c>
      <c r="D513" s="7" t="s">
        <v>1324</v>
      </c>
      <c r="E513" s="7" t="s">
        <v>1322</v>
      </c>
      <c r="F513" s="36">
        <v>43282</v>
      </c>
      <c r="G513" s="36">
        <v>44742</v>
      </c>
      <c r="H513" s="36">
        <v>44742</v>
      </c>
      <c r="I513" s="36">
        <v>44742</v>
      </c>
      <c r="J513" s="7" t="s">
        <v>1239</v>
      </c>
      <c r="K513" s="8">
        <v>0</v>
      </c>
      <c r="L513" s="8">
        <v>768.94729500020799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f t="shared" si="108"/>
        <v>768.94729500020799</v>
      </c>
      <c r="S513" s="8">
        <v>0</v>
      </c>
      <c r="T513" s="8">
        <v>835.16241000023001</v>
      </c>
      <c r="U513" s="8">
        <v>0</v>
      </c>
      <c r="V513" s="8">
        <v>38854.837590010473</v>
      </c>
      <c r="W513" s="8">
        <v>0</v>
      </c>
      <c r="X513" s="8">
        <v>0</v>
      </c>
      <c r="Y513" s="8">
        <v>0</v>
      </c>
      <c r="Z513" s="8">
        <v>0</v>
      </c>
      <c r="AA513" s="7">
        <v>0.49589</v>
      </c>
      <c r="AB513" s="8">
        <v>19727.168685005319</v>
      </c>
      <c r="AC513" s="7">
        <v>2.0449999999999999</v>
      </c>
      <c r="AD513" s="7" t="s">
        <v>1226</v>
      </c>
      <c r="AE513" s="8">
        <v>13230.000000002179</v>
      </c>
      <c r="AF513" s="8">
        <v>0</v>
      </c>
      <c r="AG513" s="8">
        <v>13230.000000002179</v>
      </c>
      <c r="AH513" s="8">
        <v>0</v>
      </c>
      <c r="AI513" s="7" t="s">
        <v>1730</v>
      </c>
      <c r="AJ513" s="7">
        <f t="shared" ca="1" si="109"/>
        <v>1</v>
      </c>
      <c r="AL513" s="96">
        <f t="shared" si="110"/>
        <v>5.8652942375085214E-5</v>
      </c>
      <c r="AM513" s="97">
        <f t="shared" si="111"/>
        <v>1.76080754525688E-4</v>
      </c>
    </row>
    <row r="514" spans="1:39" x14ac:dyDescent="0.3">
      <c r="A514" s="7" t="s">
        <v>2413</v>
      </c>
      <c r="B514" s="7" t="s">
        <v>1320</v>
      </c>
      <c r="C514" s="7" t="s">
        <v>1769</v>
      </c>
      <c r="D514" s="7" t="s">
        <v>2198</v>
      </c>
      <c r="E514" s="7" t="s">
        <v>1322</v>
      </c>
      <c r="F514" s="36">
        <v>43650</v>
      </c>
      <c r="G514" s="36">
        <v>44745</v>
      </c>
      <c r="H514" s="36">
        <v>44745</v>
      </c>
      <c r="I514" s="36">
        <v>44745</v>
      </c>
      <c r="J514" s="7" t="s">
        <v>1239</v>
      </c>
      <c r="K514" s="8">
        <v>54112.093871999998</v>
      </c>
      <c r="L514" s="8">
        <v>1080.7682560000001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f t="shared" si="108"/>
        <v>55192.862128000001</v>
      </c>
      <c r="S514" s="8">
        <v>0</v>
      </c>
      <c r="T514" s="8">
        <v>1164.139488</v>
      </c>
      <c r="U514" s="8">
        <v>0</v>
      </c>
      <c r="V514" s="8">
        <v>54563.860511999999</v>
      </c>
      <c r="W514" s="8">
        <v>0</v>
      </c>
      <c r="X514" s="8">
        <v>0</v>
      </c>
      <c r="Y514" s="8">
        <v>0</v>
      </c>
      <c r="Z514" s="8">
        <v>0</v>
      </c>
      <c r="AA514" s="7">
        <v>0.50410999999999995</v>
      </c>
      <c r="AB514" s="8">
        <v>27699.763304</v>
      </c>
      <c r="AC514" s="7">
        <v>2.0299999999999998</v>
      </c>
      <c r="AD514" s="7" t="s">
        <v>1226</v>
      </c>
      <c r="AE514" s="8">
        <v>27864</v>
      </c>
      <c r="AF514" s="8">
        <v>0</v>
      </c>
      <c r="AG514" s="8">
        <v>27864</v>
      </c>
      <c r="AH514" s="8">
        <v>0</v>
      </c>
      <c r="AI514" s="7" t="s">
        <v>1730</v>
      </c>
      <c r="AJ514" s="7">
        <f t="shared" ca="1" si="109"/>
        <v>1</v>
      </c>
      <c r="AL514" s="96">
        <f t="shared" si="110"/>
        <v>8.3722283611764969E-5</v>
      </c>
      <c r="AM514" s="97">
        <f t="shared" si="111"/>
        <v>3.6812747617491601E-4</v>
      </c>
    </row>
    <row r="515" spans="1:39" x14ac:dyDescent="0.3">
      <c r="A515" s="7" t="s">
        <v>2414</v>
      </c>
      <c r="B515" s="7" t="s">
        <v>1320</v>
      </c>
      <c r="C515" s="7" t="s">
        <v>1756</v>
      </c>
      <c r="D515" s="7" t="s">
        <v>2193</v>
      </c>
      <c r="E515" s="7" t="s">
        <v>1322</v>
      </c>
      <c r="F515" s="36">
        <v>43661</v>
      </c>
      <c r="G515" s="36">
        <v>45121</v>
      </c>
      <c r="H515" s="36">
        <v>45121</v>
      </c>
      <c r="I515" s="36">
        <v>45121</v>
      </c>
      <c r="J515" s="7" t="s">
        <v>1239</v>
      </c>
      <c r="K515" s="8">
        <v>13373.004717897107</v>
      </c>
      <c r="L515" s="8">
        <v>1028.914734000278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f t="shared" ref="R515:R578" si="116">K515+L515+M515+N515+O515+P515+Q515</f>
        <v>14401.919451897385</v>
      </c>
      <c r="S515" s="8">
        <v>0</v>
      </c>
      <c r="T515" s="8">
        <v>1052.0035500002889</v>
      </c>
      <c r="U515" s="8">
        <v>0</v>
      </c>
      <c r="V515" s="8">
        <v>24705.99645000666</v>
      </c>
      <c r="W515" s="8">
        <v>0</v>
      </c>
      <c r="X515" s="8">
        <v>0</v>
      </c>
      <c r="Y515" s="8">
        <v>0</v>
      </c>
      <c r="Z515" s="8">
        <v>0</v>
      </c>
      <c r="AA515" s="7">
        <v>1.5342469999999999</v>
      </c>
      <c r="AB515" s="8">
        <v>38018.526534010249</v>
      </c>
      <c r="AC515" s="7">
        <v>2.0449999999999999</v>
      </c>
      <c r="AD515" s="7" t="s">
        <v>1226</v>
      </c>
      <c r="AE515" s="8">
        <v>12879.000000002117</v>
      </c>
      <c r="AF515" s="8">
        <v>0</v>
      </c>
      <c r="AG515" s="8">
        <v>12879.000000002117</v>
      </c>
      <c r="AH515" s="8">
        <v>0</v>
      </c>
      <c r="AI515" s="7" t="s">
        <v>1730</v>
      </c>
      <c r="AJ515" s="7">
        <f t="shared" ref="AJ515:AJ578" ca="1" si="117">IF(A515=OFFSET(A515,-1,0),OFFSET(AJ515,-1,0)+1,1)</f>
        <v>1</v>
      </c>
      <c r="AL515" s="96">
        <f t="shared" si="110"/>
        <v>3.4972788294198123E-4</v>
      </c>
      <c r="AM515" s="97">
        <f t="shared" si="111"/>
        <v>1.7140922430357785E-4</v>
      </c>
    </row>
    <row r="516" spans="1:39" x14ac:dyDescent="0.3">
      <c r="A516" s="7" t="s">
        <v>2415</v>
      </c>
      <c r="B516" s="7" t="s">
        <v>1320</v>
      </c>
      <c r="C516" s="7" t="s">
        <v>1756</v>
      </c>
      <c r="D516" s="7" t="s">
        <v>2202</v>
      </c>
      <c r="E516" s="7" t="s">
        <v>1322</v>
      </c>
      <c r="F516" s="36">
        <v>43320</v>
      </c>
      <c r="G516" s="36">
        <v>45145</v>
      </c>
      <c r="H516" s="36">
        <v>45145</v>
      </c>
      <c r="I516" s="36">
        <v>45145</v>
      </c>
      <c r="J516" s="7" t="s">
        <v>1239</v>
      </c>
      <c r="K516" s="8">
        <v>0</v>
      </c>
      <c r="L516" s="8">
        <v>10840.604337002924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f t="shared" si="116"/>
        <v>10840.604337002924</v>
      </c>
      <c r="S516" s="8">
        <v>0</v>
      </c>
      <c r="T516" s="8">
        <v>11172.456360003012</v>
      </c>
      <c r="U516" s="8">
        <v>0</v>
      </c>
      <c r="V516" s="8">
        <v>235769.54364006355</v>
      </c>
      <c r="W516" s="8">
        <v>0</v>
      </c>
      <c r="X516" s="8">
        <v>0</v>
      </c>
      <c r="Y516" s="8">
        <v>0</v>
      </c>
      <c r="Z516" s="8">
        <v>0</v>
      </c>
      <c r="AA516" s="7">
        <v>1.6</v>
      </c>
      <c r="AB516" s="8">
        <v>383972.62394710351</v>
      </c>
      <c r="AC516" s="7">
        <v>2.181667</v>
      </c>
      <c r="AD516" s="7" t="s">
        <v>1226</v>
      </c>
      <c r="AE516" s="8">
        <v>123471.00000002033</v>
      </c>
      <c r="AF516" s="8">
        <v>0</v>
      </c>
      <c r="AG516" s="8">
        <v>123471.00000002033</v>
      </c>
      <c r="AH516" s="8">
        <v>0</v>
      </c>
      <c r="AI516" s="7" t="s">
        <v>1877</v>
      </c>
      <c r="AJ516" s="7">
        <f t="shared" ca="1" si="117"/>
        <v>1</v>
      </c>
      <c r="AL516" s="96">
        <f t="shared" ref="AL516:AL553" si="118">(+AA516*AB516)/$AB$611</f>
        <v>3.683493767262245E-3</v>
      </c>
      <c r="AM516" s="97">
        <f t="shared" ref="AM516:AM553" si="119">AC516/$AE$611*AE516</f>
        <v>1.7531220901106639E-3</v>
      </c>
    </row>
    <row r="517" spans="1:39" x14ac:dyDescent="0.3">
      <c r="A517" s="7" t="s">
        <v>2416</v>
      </c>
      <c r="B517" s="7" t="s">
        <v>1320</v>
      </c>
      <c r="C517" s="7" t="s">
        <v>1756</v>
      </c>
      <c r="D517" s="7" t="s">
        <v>2209</v>
      </c>
      <c r="E517" s="7" t="s">
        <v>1322</v>
      </c>
      <c r="F517" s="36">
        <v>43344</v>
      </c>
      <c r="G517" s="36">
        <v>44804</v>
      </c>
      <c r="H517" s="36">
        <v>44804</v>
      </c>
      <c r="I517" s="36">
        <v>44804</v>
      </c>
      <c r="J517" s="7" t="s">
        <v>1239</v>
      </c>
      <c r="K517" s="8">
        <v>0</v>
      </c>
      <c r="L517" s="8">
        <v>1294.878528000349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f t="shared" si="116"/>
        <v>1294.878528000349</v>
      </c>
      <c r="S517" s="8">
        <v>0</v>
      </c>
      <c r="T517" s="8">
        <v>1389.688668000377</v>
      </c>
      <c r="U517" s="8">
        <v>0</v>
      </c>
      <c r="V517" s="8">
        <v>55634.311332014993</v>
      </c>
      <c r="W517" s="8">
        <v>0</v>
      </c>
      <c r="X517" s="8">
        <v>0</v>
      </c>
      <c r="Y517" s="8">
        <v>0</v>
      </c>
      <c r="Z517" s="8">
        <v>0</v>
      </c>
      <c r="AA517" s="7">
        <v>0.66575300000000004</v>
      </c>
      <c r="AB517" s="8">
        <v>37726.11315201017</v>
      </c>
      <c r="AC517" s="7">
        <v>2.0449999999999999</v>
      </c>
      <c r="AD517" s="7" t="s">
        <v>1226</v>
      </c>
      <c r="AE517" s="8">
        <v>28512.000000004697</v>
      </c>
      <c r="AF517" s="8">
        <v>0</v>
      </c>
      <c r="AG517" s="8">
        <v>28512.000000004697</v>
      </c>
      <c r="AH517" s="8">
        <v>0</v>
      </c>
      <c r="AI517" s="7" t="s">
        <v>1730</v>
      </c>
      <c r="AJ517" s="7">
        <f t="shared" ca="1" si="117"/>
        <v>1</v>
      </c>
      <c r="AL517" s="96">
        <f t="shared" si="118"/>
        <v>1.5058956895082343E-4</v>
      </c>
      <c r="AM517" s="97">
        <f t="shared" si="119"/>
        <v>3.7947199342678884E-4</v>
      </c>
    </row>
    <row r="518" spans="1:39" x14ac:dyDescent="0.3">
      <c r="A518" s="7" t="s">
        <v>2417</v>
      </c>
      <c r="B518" s="7" t="s">
        <v>1320</v>
      </c>
      <c r="C518" s="7" t="s">
        <v>1769</v>
      </c>
      <c r="D518" s="7" t="s">
        <v>2202</v>
      </c>
      <c r="E518" s="7" t="s">
        <v>1322</v>
      </c>
      <c r="F518" s="36">
        <v>43511</v>
      </c>
      <c r="G518" s="36">
        <v>44606</v>
      </c>
      <c r="H518" s="36">
        <v>44606</v>
      </c>
      <c r="I518" s="36">
        <v>44606</v>
      </c>
      <c r="J518" s="7" t="s">
        <v>1696</v>
      </c>
      <c r="K518" s="8">
        <v>0</v>
      </c>
      <c r="L518" s="8">
        <v>0</v>
      </c>
      <c r="M518" s="8">
        <v>55512</v>
      </c>
      <c r="N518" s="8">
        <v>0</v>
      </c>
      <c r="O518" s="8">
        <v>0</v>
      </c>
      <c r="P518" s="8">
        <v>0</v>
      </c>
      <c r="Q518" s="8">
        <v>0</v>
      </c>
      <c r="R518" s="8">
        <f t="shared" si="116"/>
        <v>55512</v>
      </c>
      <c r="S518" s="8">
        <v>0</v>
      </c>
      <c r="T518" s="8">
        <v>0</v>
      </c>
      <c r="U518" s="8">
        <v>55512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7">
        <v>0.12328799999999999</v>
      </c>
      <c r="AB518" s="8">
        <v>4622.4718039999998</v>
      </c>
      <c r="AC518" s="7">
        <v>2.0299999999999998</v>
      </c>
      <c r="AD518" s="7" t="s">
        <v>1226</v>
      </c>
      <c r="AE518" s="8">
        <v>4626</v>
      </c>
      <c r="AF518" s="8">
        <v>0</v>
      </c>
      <c r="AG518" s="8">
        <v>4626</v>
      </c>
      <c r="AH518" s="8">
        <v>0</v>
      </c>
      <c r="AI518" s="7" t="s">
        <v>1730</v>
      </c>
      <c r="AJ518" s="7">
        <f t="shared" ca="1" si="117"/>
        <v>1</v>
      </c>
      <c r="AL518" s="96">
        <f>(+AA518*AB518)/$AB$612</f>
        <v>1.0277533239441877E-5</v>
      </c>
      <c r="AM518" s="97">
        <f>AC518/$AE$612*AE518</f>
        <v>1.6233975871305967E-4</v>
      </c>
    </row>
    <row r="519" spans="1:39" x14ac:dyDescent="0.3">
      <c r="A519" s="7" t="s">
        <v>2418</v>
      </c>
      <c r="B519" s="7" t="s">
        <v>1320</v>
      </c>
      <c r="C519" s="7" t="s">
        <v>1756</v>
      </c>
      <c r="D519" s="7" t="s">
        <v>2353</v>
      </c>
      <c r="E519" s="7" t="s">
        <v>1322</v>
      </c>
      <c r="F519" s="36">
        <v>43525</v>
      </c>
      <c r="G519" s="36">
        <v>44985</v>
      </c>
      <c r="H519" s="36">
        <v>44985</v>
      </c>
      <c r="I519" s="36">
        <v>44985</v>
      </c>
      <c r="J519" s="7" t="s">
        <v>1239</v>
      </c>
      <c r="K519" s="8">
        <v>10639.528893716844</v>
      </c>
      <c r="L519" s="8">
        <v>668.91381600017996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f t="shared" si="116"/>
        <v>11308.442709717025</v>
      </c>
      <c r="S519" s="8">
        <v>0</v>
      </c>
      <c r="T519" s="8">
        <v>702.63988800018603</v>
      </c>
      <c r="U519" s="8">
        <v>0</v>
      </c>
      <c r="V519" s="8">
        <v>19790.360112005335</v>
      </c>
      <c r="W519" s="8">
        <v>0</v>
      </c>
      <c r="X519" s="8">
        <v>0</v>
      </c>
      <c r="Y519" s="8">
        <v>0</v>
      </c>
      <c r="Z519" s="8">
        <v>0</v>
      </c>
      <c r="AA519" s="7">
        <v>1.1616439999999999</v>
      </c>
      <c r="AB519" s="8">
        <v>23605.676889006361</v>
      </c>
      <c r="AC519" s="7">
        <v>2.0449999999999999</v>
      </c>
      <c r="AD519" s="7" t="s">
        <v>1226</v>
      </c>
      <c r="AE519" s="8">
        <v>10246.500000001686</v>
      </c>
      <c r="AF519" s="8">
        <v>0</v>
      </c>
      <c r="AG519" s="8">
        <v>10246.500000001686</v>
      </c>
      <c r="AH519" s="8">
        <v>0</v>
      </c>
      <c r="AI519" s="7" t="s">
        <v>1730</v>
      </c>
      <c r="AJ519" s="7">
        <f t="shared" ca="1" si="117"/>
        <v>1</v>
      </c>
      <c r="AL519" s="96">
        <f t="shared" si="118"/>
        <v>1.6441037007906693E-4</v>
      </c>
      <c r="AM519" s="97">
        <f t="shared" si="119"/>
        <v>1.3637274763775222E-4</v>
      </c>
    </row>
    <row r="520" spans="1:39" x14ac:dyDescent="0.3">
      <c r="A520" s="7" t="s">
        <v>2419</v>
      </c>
      <c r="B520" s="7" t="s">
        <v>1320</v>
      </c>
      <c r="C520" s="7" t="s">
        <v>1769</v>
      </c>
      <c r="D520" s="7" t="s">
        <v>2209</v>
      </c>
      <c r="E520" s="7" t="s">
        <v>1322</v>
      </c>
      <c r="F520" s="36">
        <v>43174</v>
      </c>
      <c r="G520" s="36">
        <v>44634</v>
      </c>
      <c r="H520" s="36">
        <v>44634</v>
      </c>
      <c r="I520" s="36">
        <v>44634</v>
      </c>
      <c r="J520" s="7" t="s">
        <v>1239</v>
      </c>
      <c r="K520" s="8">
        <v>43852.413419999997</v>
      </c>
      <c r="L520" s="8">
        <v>612.842805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f t="shared" si="116"/>
        <v>44465.256224999997</v>
      </c>
      <c r="S520" s="8">
        <v>0</v>
      </c>
      <c r="T520" s="8">
        <v>654.87399500000004</v>
      </c>
      <c r="U520" s="8">
        <v>0</v>
      </c>
      <c r="V520" s="8">
        <v>44975.126004999998</v>
      </c>
      <c r="W520" s="8">
        <v>0</v>
      </c>
      <c r="X520" s="8">
        <v>0</v>
      </c>
      <c r="Y520" s="8">
        <v>0</v>
      </c>
      <c r="Z520" s="8">
        <v>0</v>
      </c>
      <c r="AA520" s="7">
        <v>0.2</v>
      </c>
      <c r="AB520" s="8">
        <v>7585.603795</v>
      </c>
      <c r="AC520" s="7">
        <v>2.0449999999999999</v>
      </c>
      <c r="AD520" s="7" t="s">
        <v>1226</v>
      </c>
      <c r="AE520" s="8">
        <v>7605</v>
      </c>
      <c r="AF520" s="8">
        <v>0</v>
      </c>
      <c r="AG520" s="8">
        <v>7605</v>
      </c>
      <c r="AH520" s="8">
        <v>0</v>
      </c>
      <c r="AI520" s="7" t="s">
        <v>1730</v>
      </c>
      <c r="AJ520" s="7">
        <f t="shared" ca="1" si="117"/>
        <v>1</v>
      </c>
      <c r="AL520" s="96">
        <f t="shared" si="118"/>
        <v>9.096196758955851E-6</v>
      </c>
      <c r="AM520" s="97">
        <f t="shared" si="119"/>
        <v>1.0121648814570193E-4</v>
      </c>
    </row>
    <row r="521" spans="1:39" x14ac:dyDescent="0.3">
      <c r="A521" s="7" t="s">
        <v>2420</v>
      </c>
      <c r="B521" s="7" t="s">
        <v>1320</v>
      </c>
      <c r="C521" s="7" t="s">
        <v>1756</v>
      </c>
      <c r="D521" s="7" t="s">
        <v>2191</v>
      </c>
      <c r="E521" s="7" t="s">
        <v>1750</v>
      </c>
      <c r="F521" s="36">
        <v>42515</v>
      </c>
      <c r="G521" s="36">
        <v>43609</v>
      </c>
      <c r="H521" s="36">
        <v>44705</v>
      </c>
      <c r="I521" s="36">
        <v>44705</v>
      </c>
      <c r="J521" s="7" t="s">
        <v>1696</v>
      </c>
      <c r="K521" s="8">
        <v>0</v>
      </c>
      <c r="L521" s="8">
        <v>0</v>
      </c>
      <c r="M521" s="8">
        <v>-1102860.1671296214</v>
      </c>
      <c r="N521" s="8">
        <v>0</v>
      </c>
      <c r="O521" s="8">
        <v>0</v>
      </c>
      <c r="P521" s="8">
        <v>0</v>
      </c>
      <c r="Q521" s="8">
        <v>0</v>
      </c>
      <c r="R521" s="8">
        <f t="shared" si="116"/>
        <v>-1102860.1671296214</v>
      </c>
      <c r="S521" s="8">
        <v>0</v>
      </c>
      <c r="T521" s="8">
        <v>0</v>
      </c>
      <c r="U521" s="8">
        <v>-1003680.000000648</v>
      </c>
      <c r="V521" s="8">
        <v>0</v>
      </c>
      <c r="W521" s="8">
        <v>0</v>
      </c>
      <c r="X521" s="8">
        <v>0</v>
      </c>
      <c r="Y521" s="8">
        <v>0</v>
      </c>
      <c r="Z521" s="8">
        <v>-2093398.9146963209</v>
      </c>
      <c r="AA521" s="7">
        <v>0.39452100000000001</v>
      </c>
      <c r="AB521" s="8">
        <v>0</v>
      </c>
      <c r="AC521" s="7">
        <v>2.0299999999999998</v>
      </c>
      <c r="AD521" s="7" t="s">
        <v>1226</v>
      </c>
      <c r="AE521" s="8">
        <v>0</v>
      </c>
      <c r="AF521" s="8">
        <v>0</v>
      </c>
      <c r="AG521" s="8">
        <v>0</v>
      </c>
      <c r="AH521" s="8">
        <v>0</v>
      </c>
      <c r="AI521" s="7" t="s">
        <v>1877</v>
      </c>
      <c r="AJ521" s="7">
        <f t="shared" ca="1" si="117"/>
        <v>1</v>
      </c>
      <c r="AL521" s="96">
        <f>(+AA521*AB521)/$AB$612</f>
        <v>0</v>
      </c>
      <c r="AM521" s="97">
        <f>AC521/$AE$612*AE521</f>
        <v>0</v>
      </c>
    </row>
    <row r="522" spans="1:39" x14ac:dyDescent="0.3">
      <c r="A522" s="7" t="s">
        <v>2420</v>
      </c>
      <c r="B522" s="7" t="s">
        <v>1320</v>
      </c>
      <c r="C522" s="7" t="s">
        <v>1756</v>
      </c>
      <c r="D522" s="7" t="s">
        <v>2191</v>
      </c>
      <c r="E522" s="7" t="s">
        <v>1750</v>
      </c>
      <c r="F522" s="36">
        <v>42515</v>
      </c>
      <c r="G522" s="36">
        <v>43609</v>
      </c>
      <c r="H522" s="36">
        <v>44705</v>
      </c>
      <c r="I522" s="36">
        <v>44705</v>
      </c>
      <c r="J522" s="7" t="s">
        <v>1699</v>
      </c>
      <c r="K522" s="8">
        <v>0</v>
      </c>
      <c r="L522" s="8">
        <v>0</v>
      </c>
      <c r="M522" s="8">
        <v>0</v>
      </c>
      <c r="N522" s="8">
        <v>501839.99924014317</v>
      </c>
      <c r="O522" s="8">
        <v>0</v>
      </c>
      <c r="P522" s="8">
        <v>0</v>
      </c>
      <c r="Q522" s="8">
        <v>0</v>
      </c>
      <c r="R522" s="8">
        <f t="shared" si="116"/>
        <v>501839.99924014317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7">
        <v>0.39452100000000001</v>
      </c>
      <c r="AB522" s="8">
        <v>0</v>
      </c>
      <c r="AC522" s="7">
        <v>2.0299999999999998</v>
      </c>
      <c r="AD522" s="7" t="s">
        <v>1226</v>
      </c>
      <c r="AE522" s="8">
        <v>75276.000000012398</v>
      </c>
      <c r="AF522" s="8">
        <v>0</v>
      </c>
      <c r="AG522" s="8">
        <v>75276.000000012398</v>
      </c>
      <c r="AH522" s="8">
        <v>0</v>
      </c>
      <c r="AI522" s="7" t="s">
        <v>1877</v>
      </c>
      <c r="AJ522" s="7">
        <f t="shared" ca="1" si="117"/>
        <v>2</v>
      </c>
      <c r="AL522" s="100">
        <f t="shared" ref="AL522:AL523" si="120">(+AA522*AB522)/$AB$613</f>
        <v>0</v>
      </c>
      <c r="AM522" s="97">
        <f t="shared" ref="AM522:AM523" si="121">AC522/$AE$613*AE522</f>
        <v>0.11161207412467636</v>
      </c>
    </row>
    <row r="523" spans="1:39" x14ac:dyDescent="0.3">
      <c r="A523" s="7" t="s">
        <v>2421</v>
      </c>
      <c r="B523" s="7" t="s">
        <v>1320</v>
      </c>
      <c r="C523" s="7" t="s">
        <v>1769</v>
      </c>
      <c r="D523" s="7" t="s">
        <v>2193</v>
      </c>
      <c r="E523" s="7" t="s">
        <v>1739</v>
      </c>
      <c r="F523" s="36">
        <v>42536</v>
      </c>
      <c r="G523" s="36">
        <v>43630</v>
      </c>
      <c r="J523" s="7" t="s">
        <v>1699</v>
      </c>
      <c r="K523" s="8">
        <v>0</v>
      </c>
      <c r="L523" s="8">
        <v>0</v>
      </c>
      <c r="M523" s="8">
        <v>0</v>
      </c>
      <c r="N523" s="8">
        <v>39852.000003000001</v>
      </c>
      <c r="O523" s="8">
        <v>0</v>
      </c>
      <c r="P523" s="8">
        <v>0</v>
      </c>
      <c r="Q523" s="8">
        <v>0</v>
      </c>
      <c r="R523" s="8">
        <f t="shared" si="116"/>
        <v>39852.000003000001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7">
        <v>0</v>
      </c>
      <c r="AB523" s="8">
        <v>0</v>
      </c>
      <c r="AC523" s="7">
        <v>2.0299999999999998</v>
      </c>
      <c r="AD523" s="7" t="s">
        <v>1226</v>
      </c>
      <c r="AE523" s="8">
        <v>3321.0000009999999</v>
      </c>
      <c r="AF523" s="8">
        <v>0</v>
      </c>
      <c r="AG523" s="8">
        <v>3321.0000009999999</v>
      </c>
      <c r="AH523" s="8">
        <v>0</v>
      </c>
      <c r="AI523" s="7" t="s">
        <v>1730</v>
      </c>
      <c r="AJ523" s="7">
        <f t="shared" ca="1" si="117"/>
        <v>1</v>
      </c>
      <c r="AL523" s="100">
        <f t="shared" si="120"/>
        <v>0</v>
      </c>
      <c r="AM523" s="97">
        <f t="shared" si="121"/>
        <v>4.9240620952176149E-3</v>
      </c>
    </row>
    <row r="524" spans="1:39" x14ac:dyDescent="0.3">
      <c r="A524" s="7" t="s">
        <v>2422</v>
      </c>
      <c r="B524" s="7" t="s">
        <v>1320</v>
      </c>
      <c r="C524" s="7" t="s">
        <v>1756</v>
      </c>
      <c r="D524" s="7" t="s">
        <v>2195</v>
      </c>
      <c r="E524" s="7" t="s">
        <v>1739</v>
      </c>
      <c r="F524" s="36">
        <v>41129</v>
      </c>
      <c r="G524" s="36">
        <v>42954</v>
      </c>
      <c r="J524" s="7" t="s">
        <v>1239</v>
      </c>
      <c r="K524" s="8">
        <v>0</v>
      </c>
      <c r="L524" s="8">
        <v>-63840.207654046586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f t="shared" si="116"/>
        <v>-63840.207654046586</v>
      </c>
      <c r="S524" s="8">
        <v>0</v>
      </c>
      <c r="T524" s="8">
        <v>-63840.207654046586</v>
      </c>
      <c r="U524" s="8">
        <v>0</v>
      </c>
      <c r="V524" s="8">
        <v>-1170869.7923468545</v>
      </c>
      <c r="W524" s="8">
        <v>0</v>
      </c>
      <c r="X524" s="8">
        <v>0</v>
      </c>
      <c r="Y524" s="8">
        <v>0</v>
      </c>
      <c r="Z524" s="8">
        <v>0</v>
      </c>
      <c r="AA524" s="7">
        <v>0</v>
      </c>
      <c r="AB524" s="8">
        <v>0</v>
      </c>
      <c r="AC524" s="7">
        <v>2.181667</v>
      </c>
      <c r="AD524" s="7" t="s">
        <v>1226</v>
      </c>
      <c r="AE524" s="8">
        <v>0</v>
      </c>
      <c r="AF524" s="8">
        <v>0</v>
      </c>
      <c r="AG524" s="8">
        <v>0</v>
      </c>
      <c r="AH524" s="8">
        <v>0</v>
      </c>
      <c r="AI524" s="7" t="s">
        <v>1877</v>
      </c>
      <c r="AJ524" s="7">
        <f t="shared" ca="1" si="117"/>
        <v>1</v>
      </c>
      <c r="AL524" s="96">
        <f t="shared" si="118"/>
        <v>0</v>
      </c>
      <c r="AM524" s="97">
        <f t="shared" si="119"/>
        <v>0</v>
      </c>
    </row>
    <row r="525" spans="1:39" x14ac:dyDescent="0.3">
      <c r="A525" s="7" t="s">
        <v>2422</v>
      </c>
      <c r="B525" s="7" t="s">
        <v>1320</v>
      </c>
      <c r="C525" s="7" t="s">
        <v>1756</v>
      </c>
      <c r="D525" s="7" t="s">
        <v>2195</v>
      </c>
      <c r="E525" s="7" t="s">
        <v>1739</v>
      </c>
      <c r="F525" s="36">
        <v>41129</v>
      </c>
      <c r="G525" s="36">
        <v>42954</v>
      </c>
      <c r="J525" s="7" t="s">
        <v>1699</v>
      </c>
      <c r="K525" s="8">
        <v>0</v>
      </c>
      <c r="L525" s="8">
        <v>0</v>
      </c>
      <c r="M525" s="8">
        <v>0</v>
      </c>
      <c r="N525" s="8">
        <v>-98245.74196818535</v>
      </c>
      <c r="O525" s="8">
        <v>0</v>
      </c>
      <c r="P525" s="8">
        <v>0</v>
      </c>
      <c r="Q525" s="8">
        <v>0</v>
      </c>
      <c r="R525" s="8">
        <f t="shared" si="116"/>
        <v>-98245.74196818535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7">
        <v>0</v>
      </c>
      <c r="AB525" s="8">
        <v>0</v>
      </c>
      <c r="AC525" s="7">
        <v>2.181667</v>
      </c>
      <c r="AD525" s="7" t="s">
        <v>1226</v>
      </c>
      <c r="AE525" s="8">
        <v>0</v>
      </c>
      <c r="AF525" s="8">
        <v>0</v>
      </c>
      <c r="AG525" s="8">
        <v>0</v>
      </c>
      <c r="AH525" s="8">
        <v>0</v>
      </c>
      <c r="AI525" s="7" t="s">
        <v>1877</v>
      </c>
      <c r="AJ525" s="7">
        <f t="shared" ca="1" si="117"/>
        <v>2</v>
      </c>
      <c r="AL525" s="100">
        <f>(+AA525*AB525)/$AB$613</f>
        <v>0</v>
      </c>
      <c r="AM525" s="97">
        <f>AC525/$AE$613*AE525</f>
        <v>0</v>
      </c>
    </row>
    <row r="526" spans="1:39" x14ac:dyDescent="0.3">
      <c r="A526" s="7" t="s">
        <v>2423</v>
      </c>
      <c r="B526" s="7" t="s">
        <v>1320</v>
      </c>
      <c r="C526" s="7" t="s">
        <v>1756</v>
      </c>
      <c r="D526" s="7" t="s">
        <v>1324</v>
      </c>
      <c r="E526" s="7" t="s">
        <v>1739</v>
      </c>
      <c r="F526" s="36">
        <v>42049</v>
      </c>
      <c r="G526" s="36">
        <v>43509</v>
      </c>
      <c r="J526" s="7" t="s">
        <v>1239</v>
      </c>
      <c r="K526" s="8">
        <v>0</v>
      </c>
      <c r="L526" s="8">
        <v>-8424.5090550061486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f t="shared" si="116"/>
        <v>-8424.5090550061486</v>
      </c>
      <c r="S526" s="8">
        <v>0</v>
      </c>
      <c r="T526" s="8">
        <v>-8385.8977050061185</v>
      </c>
      <c r="U526" s="8">
        <v>0</v>
      </c>
      <c r="V526" s="8">
        <v>-134376.60229509807</v>
      </c>
      <c r="W526" s="8">
        <v>0</v>
      </c>
      <c r="X526" s="8">
        <v>0</v>
      </c>
      <c r="Y526" s="8">
        <v>0</v>
      </c>
      <c r="Z526" s="8">
        <v>0</v>
      </c>
      <c r="AA526" s="7">
        <v>0</v>
      </c>
      <c r="AB526" s="8">
        <v>0</v>
      </c>
      <c r="AC526" s="7">
        <v>2.0449999999999999</v>
      </c>
      <c r="AD526" s="7" t="s">
        <v>1226</v>
      </c>
      <c r="AE526" s="8">
        <v>0</v>
      </c>
      <c r="AF526" s="8">
        <v>0</v>
      </c>
      <c r="AG526" s="8">
        <v>0</v>
      </c>
      <c r="AH526" s="8">
        <v>0</v>
      </c>
      <c r="AI526" s="7" t="s">
        <v>1730</v>
      </c>
      <c r="AJ526" s="7">
        <f t="shared" ca="1" si="117"/>
        <v>1</v>
      </c>
      <c r="AL526" s="96">
        <f t="shared" si="118"/>
        <v>0</v>
      </c>
      <c r="AM526" s="97">
        <f t="shared" si="119"/>
        <v>0</v>
      </c>
    </row>
    <row r="527" spans="1:39" x14ac:dyDescent="0.3">
      <c r="A527" s="7" t="s">
        <v>2423</v>
      </c>
      <c r="B527" s="7" t="s">
        <v>1320</v>
      </c>
      <c r="C527" s="7" t="s">
        <v>1756</v>
      </c>
      <c r="D527" s="7" t="s">
        <v>1324</v>
      </c>
      <c r="E527" s="7" t="s">
        <v>1739</v>
      </c>
      <c r="F527" s="36">
        <v>42049</v>
      </c>
      <c r="G527" s="36">
        <v>43509</v>
      </c>
      <c r="J527" s="7" t="s">
        <v>1699</v>
      </c>
      <c r="K527" s="8">
        <v>0</v>
      </c>
      <c r="L527" s="8">
        <v>0</v>
      </c>
      <c r="M527" s="8">
        <v>0</v>
      </c>
      <c r="N527" s="8">
        <v>36450.00000000983</v>
      </c>
      <c r="O527" s="8">
        <v>0</v>
      </c>
      <c r="P527" s="8">
        <v>0</v>
      </c>
      <c r="Q527" s="8">
        <v>0</v>
      </c>
      <c r="R527" s="8">
        <f t="shared" si="116"/>
        <v>36450.00000000983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7">
        <v>0</v>
      </c>
      <c r="AB527" s="8">
        <v>0</v>
      </c>
      <c r="AC527" s="7">
        <v>2.0449999999999999</v>
      </c>
      <c r="AD527" s="7" t="s">
        <v>1226</v>
      </c>
      <c r="AE527" s="8">
        <v>0</v>
      </c>
      <c r="AF527" s="8">
        <v>0</v>
      </c>
      <c r="AG527" s="8">
        <v>0</v>
      </c>
      <c r="AH527" s="8">
        <v>0</v>
      </c>
      <c r="AI527" s="7" t="s">
        <v>1730</v>
      </c>
      <c r="AJ527" s="7">
        <f t="shared" ca="1" si="117"/>
        <v>2</v>
      </c>
      <c r="AL527" s="100">
        <f t="shared" ref="AL527:AL528" si="122">(+AA527*AB527)/$AB$613</f>
        <v>0</v>
      </c>
      <c r="AM527" s="97">
        <f t="shared" ref="AM527:AM528" si="123">AC527/$AE$613*AE527</f>
        <v>0</v>
      </c>
    </row>
    <row r="528" spans="1:39" x14ac:dyDescent="0.3">
      <c r="A528" s="7" t="s">
        <v>2425</v>
      </c>
      <c r="B528" s="7" t="s">
        <v>1320</v>
      </c>
      <c r="C528" s="7" t="s">
        <v>1769</v>
      </c>
      <c r="D528" s="7" t="s">
        <v>2200</v>
      </c>
      <c r="E528" s="7" t="s">
        <v>1739</v>
      </c>
      <c r="F528" s="36">
        <v>42078</v>
      </c>
      <c r="G528" s="36">
        <v>43538</v>
      </c>
      <c r="J528" s="7" t="s">
        <v>1699</v>
      </c>
      <c r="K528" s="8">
        <v>0</v>
      </c>
      <c r="L528" s="8">
        <v>0</v>
      </c>
      <c r="M528" s="8">
        <v>0</v>
      </c>
      <c r="N528" s="8">
        <v>45630</v>
      </c>
      <c r="O528" s="8">
        <v>0</v>
      </c>
      <c r="P528" s="8">
        <v>0</v>
      </c>
      <c r="Q528" s="8">
        <v>0</v>
      </c>
      <c r="R528" s="8">
        <f t="shared" si="116"/>
        <v>45630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7">
        <v>0</v>
      </c>
      <c r="AB528" s="8">
        <v>0</v>
      </c>
      <c r="AC528" s="7">
        <v>2.0449999999999999</v>
      </c>
      <c r="AD528" s="7" t="s">
        <v>1226</v>
      </c>
      <c r="AE528" s="8">
        <v>3802.5</v>
      </c>
      <c r="AF528" s="8">
        <v>0</v>
      </c>
      <c r="AG528" s="8">
        <v>3802.5</v>
      </c>
      <c r="AH528" s="8">
        <v>0</v>
      </c>
      <c r="AI528" s="7" t="s">
        <v>1730</v>
      </c>
      <c r="AJ528" s="7">
        <f t="shared" ca="1" si="117"/>
        <v>1</v>
      </c>
      <c r="AL528" s="100">
        <f t="shared" si="122"/>
        <v>0</v>
      </c>
      <c r="AM528" s="97">
        <f t="shared" si="123"/>
        <v>5.6796443586889537E-3</v>
      </c>
    </row>
    <row r="529" spans="1:39" x14ac:dyDescent="0.3">
      <c r="A529" s="7" t="s">
        <v>2426</v>
      </c>
      <c r="B529" s="7" t="s">
        <v>1320</v>
      </c>
      <c r="C529" s="7" t="s">
        <v>1769</v>
      </c>
      <c r="D529" s="7" t="s">
        <v>1770</v>
      </c>
      <c r="E529" s="7" t="s">
        <v>1322</v>
      </c>
      <c r="F529" s="36">
        <v>43600</v>
      </c>
      <c r="G529" s="36">
        <v>47252</v>
      </c>
      <c r="H529" s="36">
        <v>47252</v>
      </c>
      <c r="I529" s="36">
        <v>47252</v>
      </c>
      <c r="J529" s="7" t="s">
        <v>1239</v>
      </c>
      <c r="K529" s="8">
        <v>981987.05096400005</v>
      </c>
      <c r="L529" s="8">
        <v>160353.09755199999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f t="shared" si="116"/>
        <v>1142340.148516</v>
      </c>
      <c r="S529" s="8">
        <v>0</v>
      </c>
      <c r="T529" s="8">
        <v>161216.22631299999</v>
      </c>
      <c r="U529" s="8">
        <v>0</v>
      </c>
      <c r="V529" s="8">
        <v>923583.77368700004</v>
      </c>
      <c r="W529" s="8">
        <v>0</v>
      </c>
      <c r="X529" s="8">
        <v>0</v>
      </c>
      <c r="Y529" s="8">
        <v>0</v>
      </c>
      <c r="Z529" s="8">
        <v>0</v>
      </c>
      <c r="AA529" s="7">
        <v>7.3726029999999998</v>
      </c>
      <c r="AB529" s="8">
        <v>7381597.8362800004</v>
      </c>
      <c r="AC529" s="7">
        <v>2.0449999999999999</v>
      </c>
      <c r="AD529" s="7" t="s">
        <v>1226</v>
      </c>
      <c r="AE529" s="8">
        <v>7955200</v>
      </c>
      <c r="AF529" s="8">
        <v>0</v>
      </c>
      <c r="AG529" s="8">
        <v>7955200</v>
      </c>
      <c r="AH529" s="8">
        <v>0</v>
      </c>
      <c r="AI529" s="7" t="s">
        <v>1758</v>
      </c>
      <c r="AJ529" s="7">
        <f t="shared" ca="1" si="117"/>
        <v>1</v>
      </c>
      <c r="AL529" s="96">
        <f t="shared" si="118"/>
        <v>0.32629537948475296</v>
      </c>
      <c r="AM529" s="97">
        <f t="shared" si="119"/>
        <v>0.10587737100548167</v>
      </c>
    </row>
    <row r="530" spans="1:39" x14ac:dyDescent="0.3">
      <c r="A530" s="7" t="s">
        <v>2427</v>
      </c>
      <c r="B530" s="7" t="s">
        <v>1320</v>
      </c>
      <c r="C530" s="7" t="s">
        <v>1756</v>
      </c>
      <c r="D530" s="7" t="s">
        <v>1792</v>
      </c>
      <c r="E530" s="7" t="s">
        <v>1750</v>
      </c>
      <c r="F530" s="36">
        <v>42515</v>
      </c>
      <c r="G530" s="36">
        <v>43609</v>
      </c>
      <c r="H530" s="36">
        <v>44705</v>
      </c>
      <c r="I530" s="36">
        <v>44705</v>
      </c>
      <c r="J530" s="7" t="s">
        <v>1696</v>
      </c>
      <c r="K530" s="8">
        <v>0</v>
      </c>
      <c r="L530" s="8">
        <v>0</v>
      </c>
      <c r="M530" s="8">
        <v>-1102860.1671296214</v>
      </c>
      <c r="N530" s="8">
        <v>0</v>
      </c>
      <c r="O530" s="8">
        <v>0</v>
      </c>
      <c r="P530" s="8">
        <v>0</v>
      </c>
      <c r="Q530" s="8">
        <v>0</v>
      </c>
      <c r="R530" s="8">
        <f t="shared" si="116"/>
        <v>-1102860.1671296214</v>
      </c>
      <c r="S530" s="8">
        <v>0</v>
      </c>
      <c r="T530" s="8">
        <v>0</v>
      </c>
      <c r="U530" s="8">
        <v>-1003680.000000648</v>
      </c>
      <c r="V530" s="8">
        <v>0</v>
      </c>
      <c r="W530" s="8">
        <v>0</v>
      </c>
      <c r="X530" s="8">
        <v>0</v>
      </c>
      <c r="Y530" s="8">
        <v>0</v>
      </c>
      <c r="Z530" s="8">
        <v>-2093398.9146963209</v>
      </c>
      <c r="AA530" s="7">
        <v>0.39452100000000001</v>
      </c>
      <c r="AB530" s="8">
        <v>0</v>
      </c>
      <c r="AC530" s="7">
        <v>2.0299999999999998</v>
      </c>
      <c r="AD530" s="7" t="s">
        <v>1226</v>
      </c>
      <c r="AE530" s="8">
        <v>0</v>
      </c>
      <c r="AF530" s="8">
        <v>0</v>
      </c>
      <c r="AG530" s="8">
        <v>0</v>
      </c>
      <c r="AH530" s="8">
        <v>0</v>
      </c>
      <c r="AI530" s="7" t="s">
        <v>1877</v>
      </c>
      <c r="AJ530" s="7">
        <f t="shared" ca="1" si="117"/>
        <v>1</v>
      </c>
      <c r="AL530" s="96">
        <f>(+AA530*AB530)/$AB$612</f>
        <v>0</v>
      </c>
      <c r="AM530" s="97">
        <f>AC530/$AE$612*AE530</f>
        <v>0</v>
      </c>
    </row>
    <row r="531" spans="1:39" x14ac:dyDescent="0.3">
      <c r="A531" s="7" t="s">
        <v>2427</v>
      </c>
      <c r="B531" s="7" t="s">
        <v>1320</v>
      </c>
      <c r="C531" s="7" t="s">
        <v>1756</v>
      </c>
      <c r="D531" s="7" t="s">
        <v>1792</v>
      </c>
      <c r="E531" s="7" t="s">
        <v>1750</v>
      </c>
      <c r="F531" s="36">
        <v>42515</v>
      </c>
      <c r="G531" s="36">
        <v>43609</v>
      </c>
      <c r="H531" s="36">
        <v>44705</v>
      </c>
      <c r="I531" s="36">
        <v>44705</v>
      </c>
      <c r="J531" s="7" t="s">
        <v>1699</v>
      </c>
      <c r="K531" s="8">
        <v>0</v>
      </c>
      <c r="L531" s="8">
        <v>0</v>
      </c>
      <c r="M531" s="8">
        <v>0</v>
      </c>
      <c r="N531" s="8">
        <v>501839.99924014317</v>
      </c>
      <c r="O531" s="8">
        <v>0</v>
      </c>
      <c r="P531" s="8">
        <v>0</v>
      </c>
      <c r="Q531" s="8">
        <v>0</v>
      </c>
      <c r="R531" s="8">
        <f t="shared" si="116"/>
        <v>501839.99924014317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7">
        <v>0.39452100000000001</v>
      </c>
      <c r="AB531" s="8">
        <v>0</v>
      </c>
      <c r="AC531" s="7">
        <v>2.0299999999999998</v>
      </c>
      <c r="AD531" s="7" t="s">
        <v>1226</v>
      </c>
      <c r="AE531" s="8">
        <v>75276.000000012398</v>
      </c>
      <c r="AF531" s="8">
        <v>0</v>
      </c>
      <c r="AG531" s="8">
        <v>75276.000000012398</v>
      </c>
      <c r="AH531" s="8">
        <v>0</v>
      </c>
      <c r="AI531" s="7" t="s">
        <v>1877</v>
      </c>
      <c r="AJ531" s="7">
        <f t="shared" ca="1" si="117"/>
        <v>2</v>
      </c>
      <c r="AL531" s="100">
        <f>(+AA531*AB531)/$AB$613</f>
        <v>0</v>
      </c>
      <c r="AM531" s="97">
        <f>AC531/$AE$613*AE531</f>
        <v>0.11161207412467636</v>
      </c>
    </row>
    <row r="532" spans="1:39" x14ac:dyDescent="0.3">
      <c r="A532" s="7" t="s">
        <v>2428</v>
      </c>
      <c r="B532" s="7" t="s">
        <v>1320</v>
      </c>
      <c r="C532" s="7" t="s">
        <v>1756</v>
      </c>
      <c r="D532" s="7" t="s">
        <v>2200</v>
      </c>
      <c r="E532" s="7" t="s">
        <v>1739</v>
      </c>
      <c r="F532" s="36">
        <v>42049</v>
      </c>
      <c r="G532" s="36">
        <v>43509</v>
      </c>
      <c r="J532" s="7" t="s">
        <v>1239</v>
      </c>
      <c r="K532" s="8">
        <v>0</v>
      </c>
      <c r="L532" s="8">
        <v>-8424.5090550061486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f t="shared" si="116"/>
        <v>-8424.5090550061486</v>
      </c>
      <c r="S532" s="8">
        <v>0</v>
      </c>
      <c r="T532" s="8">
        <v>-8385.8977050061185</v>
      </c>
      <c r="U532" s="8">
        <v>0</v>
      </c>
      <c r="V532" s="8">
        <v>-134376.60229509807</v>
      </c>
      <c r="W532" s="8">
        <v>0</v>
      </c>
      <c r="X532" s="8">
        <v>0</v>
      </c>
      <c r="Y532" s="8">
        <v>0</v>
      </c>
      <c r="Z532" s="8">
        <v>0</v>
      </c>
      <c r="AA532" s="7">
        <v>0</v>
      </c>
      <c r="AB532" s="8">
        <v>0</v>
      </c>
      <c r="AC532" s="7">
        <v>2.0449999999999999</v>
      </c>
      <c r="AD532" s="7" t="s">
        <v>1226</v>
      </c>
      <c r="AE532" s="8">
        <v>0</v>
      </c>
      <c r="AF532" s="8">
        <v>0</v>
      </c>
      <c r="AG532" s="8">
        <v>0</v>
      </c>
      <c r="AH532" s="8">
        <v>0</v>
      </c>
      <c r="AI532" s="7" t="s">
        <v>1730</v>
      </c>
      <c r="AJ532" s="7">
        <f t="shared" ca="1" si="117"/>
        <v>1</v>
      </c>
      <c r="AL532" s="96">
        <f t="shared" si="118"/>
        <v>0</v>
      </c>
      <c r="AM532" s="97">
        <f t="shared" si="119"/>
        <v>0</v>
      </c>
    </row>
    <row r="533" spans="1:39" x14ac:dyDescent="0.3">
      <c r="A533" s="7" t="s">
        <v>2428</v>
      </c>
      <c r="B533" s="7" t="s">
        <v>1320</v>
      </c>
      <c r="C533" s="7" t="s">
        <v>1756</v>
      </c>
      <c r="D533" s="7" t="s">
        <v>2200</v>
      </c>
      <c r="E533" s="7" t="s">
        <v>1739</v>
      </c>
      <c r="F533" s="36">
        <v>42049</v>
      </c>
      <c r="G533" s="36">
        <v>43509</v>
      </c>
      <c r="J533" s="7" t="s">
        <v>1699</v>
      </c>
      <c r="K533" s="8">
        <v>0</v>
      </c>
      <c r="L533" s="8">
        <v>0</v>
      </c>
      <c r="M533" s="8">
        <v>0</v>
      </c>
      <c r="N533" s="8">
        <v>36450.00000000983</v>
      </c>
      <c r="O533" s="8">
        <v>0</v>
      </c>
      <c r="P533" s="8">
        <v>0</v>
      </c>
      <c r="Q533" s="8">
        <v>0</v>
      </c>
      <c r="R533" s="8">
        <f t="shared" si="116"/>
        <v>36450.00000000983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7">
        <v>0</v>
      </c>
      <c r="AB533" s="8">
        <v>0</v>
      </c>
      <c r="AC533" s="7">
        <v>2.0449999999999999</v>
      </c>
      <c r="AD533" s="7" t="s">
        <v>1226</v>
      </c>
      <c r="AE533" s="8">
        <v>0</v>
      </c>
      <c r="AF533" s="8">
        <v>0</v>
      </c>
      <c r="AG533" s="8">
        <v>0</v>
      </c>
      <c r="AH533" s="8">
        <v>0</v>
      </c>
      <c r="AI533" s="7" t="s">
        <v>1730</v>
      </c>
      <c r="AJ533" s="7">
        <f t="shared" ca="1" si="117"/>
        <v>2</v>
      </c>
      <c r="AL533" s="100">
        <f t="shared" ref="AL533:AL534" si="124">(+AA533*AB533)/$AB$613</f>
        <v>0</v>
      </c>
      <c r="AM533" s="97">
        <f t="shared" ref="AM533:AM534" si="125">AC533/$AE$613*AE533</f>
        <v>0</v>
      </c>
    </row>
    <row r="534" spans="1:39" x14ac:dyDescent="0.3">
      <c r="A534" s="7" t="s">
        <v>2429</v>
      </c>
      <c r="B534" s="7" t="s">
        <v>1320</v>
      </c>
      <c r="C534" s="7" t="s">
        <v>1769</v>
      </c>
      <c r="D534" s="7" t="s">
        <v>2191</v>
      </c>
      <c r="E534" s="7" t="s">
        <v>1739</v>
      </c>
      <c r="F534" s="36">
        <v>42536</v>
      </c>
      <c r="G534" s="36">
        <v>43630</v>
      </c>
      <c r="J534" s="7" t="s">
        <v>1699</v>
      </c>
      <c r="K534" s="8">
        <v>0</v>
      </c>
      <c r="L534" s="8">
        <v>0</v>
      </c>
      <c r="M534" s="8">
        <v>0</v>
      </c>
      <c r="N534" s="8">
        <v>39852.000003000001</v>
      </c>
      <c r="O534" s="8">
        <v>0</v>
      </c>
      <c r="P534" s="8">
        <v>0</v>
      </c>
      <c r="Q534" s="8">
        <v>0</v>
      </c>
      <c r="R534" s="8">
        <f t="shared" si="116"/>
        <v>39852.000003000001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7">
        <v>0</v>
      </c>
      <c r="AB534" s="8">
        <v>0</v>
      </c>
      <c r="AC534" s="7">
        <v>2.0299999999999998</v>
      </c>
      <c r="AD534" s="7" t="s">
        <v>1226</v>
      </c>
      <c r="AE534" s="8">
        <v>3321.0000009999999</v>
      </c>
      <c r="AF534" s="8">
        <v>0</v>
      </c>
      <c r="AG534" s="8">
        <v>3321.0000009999999</v>
      </c>
      <c r="AH534" s="8">
        <v>0</v>
      </c>
      <c r="AI534" s="7" t="s">
        <v>1730</v>
      </c>
      <c r="AJ534" s="7">
        <f t="shared" ca="1" si="117"/>
        <v>1</v>
      </c>
      <c r="AL534" s="100">
        <f t="shared" si="124"/>
        <v>0</v>
      </c>
      <c r="AM534" s="97">
        <f t="shared" si="125"/>
        <v>4.9240620952176149E-3</v>
      </c>
    </row>
    <row r="535" spans="1:39" x14ac:dyDescent="0.3">
      <c r="A535" s="7" t="s">
        <v>2430</v>
      </c>
      <c r="B535" s="7" t="s">
        <v>1320</v>
      </c>
      <c r="C535" s="7" t="s">
        <v>1756</v>
      </c>
      <c r="D535" s="7" t="s">
        <v>2202</v>
      </c>
      <c r="E535" s="7" t="s">
        <v>1739</v>
      </c>
      <c r="F535" s="36">
        <v>41129</v>
      </c>
      <c r="G535" s="36">
        <v>42954</v>
      </c>
      <c r="J535" s="7" t="s">
        <v>1239</v>
      </c>
      <c r="K535" s="8">
        <v>0</v>
      </c>
      <c r="L535" s="8">
        <v>-63840.207654046586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f t="shared" si="116"/>
        <v>-63840.207654046586</v>
      </c>
      <c r="S535" s="8">
        <v>0</v>
      </c>
      <c r="T535" s="8">
        <v>-63840.207654046586</v>
      </c>
      <c r="U535" s="8">
        <v>0</v>
      </c>
      <c r="V535" s="8">
        <v>-1170869.7923468545</v>
      </c>
      <c r="W535" s="8">
        <v>0</v>
      </c>
      <c r="X535" s="8">
        <v>0</v>
      </c>
      <c r="Y535" s="8">
        <v>0</v>
      </c>
      <c r="Z535" s="8">
        <v>0</v>
      </c>
      <c r="AA535" s="7">
        <v>0</v>
      </c>
      <c r="AB535" s="8">
        <v>0</v>
      </c>
      <c r="AC535" s="7">
        <v>2.181667</v>
      </c>
      <c r="AD535" s="7" t="s">
        <v>1226</v>
      </c>
      <c r="AE535" s="8">
        <v>0</v>
      </c>
      <c r="AF535" s="8">
        <v>0</v>
      </c>
      <c r="AG535" s="8">
        <v>0</v>
      </c>
      <c r="AH535" s="8">
        <v>0</v>
      </c>
      <c r="AI535" s="7" t="s">
        <v>1877</v>
      </c>
      <c r="AJ535" s="7">
        <f t="shared" ca="1" si="117"/>
        <v>1</v>
      </c>
      <c r="AL535" s="96">
        <f t="shared" si="118"/>
        <v>0</v>
      </c>
      <c r="AM535" s="97">
        <f t="shared" si="119"/>
        <v>0</v>
      </c>
    </row>
    <row r="536" spans="1:39" x14ac:dyDescent="0.3">
      <c r="A536" s="7" t="s">
        <v>2430</v>
      </c>
      <c r="B536" s="7" t="s">
        <v>1320</v>
      </c>
      <c r="C536" s="7" t="s">
        <v>1756</v>
      </c>
      <c r="D536" s="7" t="s">
        <v>2202</v>
      </c>
      <c r="E536" s="7" t="s">
        <v>1739</v>
      </c>
      <c r="F536" s="36">
        <v>41129</v>
      </c>
      <c r="G536" s="36">
        <v>42954</v>
      </c>
      <c r="J536" s="7" t="s">
        <v>1699</v>
      </c>
      <c r="K536" s="8">
        <v>0</v>
      </c>
      <c r="L536" s="8">
        <v>0</v>
      </c>
      <c r="M536" s="8">
        <v>0</v>
      </c>
      <c r="N536" s="8">
        <v>-98245.74196818535</v>
      </c>
      <c r="O536" s="8">
        <v>0</v>
      </c>
      <c r="P536" s="8">
        <v>0</v>
      </c>
      <c r="Q536" s="8">
        <v>0</v>
      </c>
      <c r="R536" s="8">
        <f t="shared" si="116"/>
        <v>-98245.74196818535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7">
        <v>0</v>
      </c>
      <c r="AB536" s="8">
        <v>0</v>
      </c>
      <c r="AC536" s="7">
        <v>2.181667</v>
      </c>
      <c r="AD536" s="7" t="s">
        <v>1226</v>
      </c>
      <c r="AE536" s="8">
        <v>0</v>
      </c>
      <c r="AF536" s="8">
        <v>0</v>
      </c>
      <c r="AG536" s="8">
        <v>0</v>
      </c>
      <c r="AH536" s="8">
        <v>0</v>
      </c>
      <c r="AI536" s="7" t="s">
        <v>1877</v>
      </c>
      <c r="AJ536" s="7">
        <f t="shared" ca="1" si="117"/>
        <v>2</v>
      </c>
      <c r="AL536" s="100">
        <f t="shared" ref="AL536:AL537" si="126">(+AA536*AB536)/$AB$613</f>
        <v>0</v>
      </c>
      <c r="AM536" s="97">
        <f t="shared" ref="AM536:AM537" si="127">AC536/$AE$613*AE536</f>
        <v>0</v>
      </c>
    </row>
    <row r="537" spans="1:39" x14ac:dyDescent="0.3">
      <c r="A537" s="7" t="s">
        <v>2432</v>
      </c>
      <c r="B537" s="7" t="s">
        <v>1320</v>
      </c>
      <c r="C537" s="7" t="s">
        <v>1769</v>
      </c>
      <c r="D537" s="7" t="s">
        <v>2209</v>
      </c>
      <c r="E537" s="7" t="s">
        <v>1739</v>
      </c>
      <c r="F537" s="36">
        <v>42078</v>
      </c>
      <c r="G537" s="36">
        <v>43538</v>
      </c>
      <c r="J537" s="7" t="s">
        <v>1699</v>
      </c>
      <c r="K537" s="8">
        <v>0</v>
      </c>
      <c r="L537" s="8">
        <v>0</v>
      </c>
      <c r="M537" s="8">
        <v>0</v>
      </c>
      <c r="N537" s="8">
        <v>45630</v>
      </c>
      <c r="O537" s="8">
        <v>0</v>
      </c>
      <c r="P537" s="8">
        <v>0</v>
      </c>
      <c r="Q537" s="8">
        <v>0</v>
      </c>
      <c r="R537" s="8">
        <f t="shared" si="116"/>
        <v>45630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7">
        <v>0</v>
      </c>
      <c r="AB537" s="8">
        <v>0</v>
      </c>
      <c r="AC537" s="7">
        <v>2.0449999999999999</v>
      </c>
      <c r="AD537" s="7" t="s">
        <v>1226</v>
      </c>
      <c r="AE537" s="8">
        <v>3802.5</v>
      </c>
      <c r="AF537" s="8">
        <v>0</v>
      </c>
      <c r="AG537" s="8">
        <v>3802.5</v>
      </c>
      <c r="AH537" s="8">
        <v>0</v>
      </c>
      <c r="AI537" s="7" t="s">
        <v>1730</v>
      </c>
      <c r="AJ537" s="7">
        <f t="shared" ca="1" si="117"/>
        <v>1</v>
      </c>
      <c r="AL537" s="100">
        <f t="shared" si="126"/>
        <v>0</v>
      </c>
      <c r="AM537" s="97">
        <f t="shared" si="127"/>
        <v>5.6796443586889537E-3</v>
      </c>
    </row>
    <row r="538" spans="1:39" x14ac:dyDescent="0.3">
      <c r="A538" s="7" t="s">
        <v>2433</v>
      </c>
      <c r="B538" s="7" t="s">
        <v>1320</v>
      </c>
      <c r="C538" s="7" t="s">
        <v>1756</v>
      </c>
      <c r="D538" s="7" t="s">
        <v>2195</v>
      </c>
      <c r="E538" s="7" t="s">
        <v>1322</v>
      </c>
      <c r="F538" s="36">
        <v>42826</v>
      </c>
      <c r="G538" s="36">
        <v>46477</v>
      </c>
      <c r="H538" s="36">
        <v>46477</v>
      </c>
      <c r="I538" s="36">
        <v>46477</v>
      </c>
      <c r="J538" s="7" t="s">
        <v>1239</v>
      </c>
      <c r="K538" s="8">
        <v>0</v>
      </c>
      <c r="L538" s="8">
        <v>13979.163492003769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f t="shared" si="116"/>
        <v>13979.163492003769</v>
      </c>
      <c r="S538" s="8">
        <v>0</v>
      </c>
      <c r="T538" s="8">
        <v>14171.435354003825</v>
      </c>
      <c r="U538" s="8">
        <v>0</v>
      </c>
      <c r="V538" s="8">
        <v>112824.56464603041</v>
      </c>
      <c r="W538" s="8">
        <v>0</v>
      </c>
      <c r="X538" s="8">
        <v>0</v>
      </c>
      <c r="Y538" s="8">
        <v>0</v>
      </c>
      <c r="Z538" s="8">
        <v>0</v>
      </c>
      <c r="AA538" s="7">
        <v>5.2493150000000002</v>
      </c>
      <c r="AB538" s="8">
        <v>631675.64524517022</v>
      </c>
      <c r="AC538" s="7">
        <v>2.0449999999999999</v>
      </c>
      <c r="AD538" s="7" t="s">
        <v>1226</v>
      </c>
      <c r="AE538" s="8">
        <v>63498.000000010456</v>
      </c>
      <c r="AF538" s="8">
        <v>0</v>
      </c>
      <c r="AG538" s="8">
        <v>63498.000000010456</v>
      </c>
      <c r="AH538" s="8">
        <v>0</v>
      </c>
      <c r="AI538" s="7" t="s">
        <v>1758</v>
      </c>
      <c r="AJ538" s="7">
        <f t="shared" ca="1" si="117"/>
        <v>1</v>
      </c>
      <c r="AL538" s="96">
        <f t="shared" si="118"/>
        <v>1.9880919294519649E-2</v>
      </c>
      <c r="AM538" s="97">
        <f t="shared" si="119"/>
        <v>8.4510776650583038E-4</v>
      </c>
    </row>
    <row r="539" spans="1:39" x14ac:dyDescent="0.3">
      <c r="A539" s="7" t="s">
        <v>2434</v>
      </c>
      <c r="B539" s="7" t="s">
        <v>1320</v>
      </c>
      <c r="C539" s="7" t="s">
        <v>1323</v>
      </c>
      <c r="D539" s="7" t="s">
        <v>2343</v>
      </c>
      <c r="E539" s="7" t="s">
        <v>1322</v>
      </c>
      <c r="F539" s="36">
        <v>43600</v>
      </c>
      <c r="G539" s="36">
        <v>47252</v>
      </c>
      <c r="H539" s="36">
        <v>47252</v>
      </c>
      <c r="I539" s="36">
        <v>47252</v>
      </c>
      <c r="J539" s="7" t="s">
        <v>1239</v>
      </c>
      <c r="K539" s="8">
        <v>220947.086472</v>
      </c>
      <c r="L539" s="8">
        <v>36079.446950999998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f t="shared" si="116"/>
        <v>257026.53342299999</v>
      </c>
      <c r="S539" s="8">
        <v>0</v>
      </c>
      <c r="T539" s="8">
        <v>36273.650922000001</v>
      </c>
      <c r="U539" s="8">
        <v>0</v>
      </c>
      <c r="V539" s="8">
        <v>207806.349078</v>
      </c>
      <c r="W539" s="8">
        <v>0</v>
      </c>
      <c r="X539" s="8">
        <v>0</v>
      </c>
      <c r="Y539" s="8">
        <v>0</v>
      </c>
      <c r="Z539" s="8">
        <v>0</v>
      </c>
      <c r="AA539" s="7">
        <v>7.3726029999999998</v>
      </c>
      <c r="AB539" s="8">
        <v>1660859.5131649999</v>
      </c>
      <c r="AC539" s="7">
        <v>2.0449999999999999</v>
      </c>
      <c r="AD539" s="7" t="s">
        <v>1226</v>
      </c>
      <c r="AE539" s="8">
        <v>1789920</v>
      </c>
      <c r="AF539" s="8">
        <v>0</v>
      </c>
      <c r="AG539" s="8">
        <v>1789920</v>
      </c>
      <c r="AH539" s="8">
        <v>0</v>
      </c>
      <c r="AI539" s="7" t="s">
        <v>1758</v>
      </c>
      <c r="AJ539" s="7">
        <f t="shared" ca="1" si="117"/>
        <v>1</v>
      </c>
      <c r="AL539" s="96">
        <f t="shared" si="118"/>
        <v>7.3416460384157806E-2</v>
      </c>
      <c r="AM539" s="97">
        <f t="shared" si="119"/>
        <v>2.3822408476233375E-2</v>
      </c>
    </row>
    <row r="540" spans="1:39" x14ac:dyDescent="0.3">
      <c r="A540" s="7" t="s">
        <v>2435</v>
      </c>
      <c r="B540" s="7" t="s">
        <v>1320</v>
      </c>
      <c r="C540" s="7" t="s">
        <v>1769</v>
      </c>
      <c r="D540" s="7" t="s">
        <v>2191</v>
      </c>
      <c r="E540" s="7" t="s">
        <v>1322</v>
      </c>
      <c r="F540" s="36">
        <v>42037</v>
      </c>
      <c r="G540" s="36">
        <v>45689</v>
      </c>
      <c r="H540" s="36">
        <v>45689</v>
      </c>
      <c r="I540" s="36">
        <v>45689</v>
      </c>
      <c r="J540" s="7" t="s">
        <v>1239</v>
      </c>
      <c r="K540" s="8">
        <v>1800490.63824</v>
      </c>
      <c r="L540" s="8">
        <v>138919.865834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f t="shared" si="116"/>
        <v>1939410.5040740001</v>
      </c>
      <c r="S540" s="8">
        <v>0</v>
      </c>
      <c r="T540" s="8">
        <v>141965.98241999999</v>
      </c>
      <c r="U540" s="8">
        <v>0</v>
      </c>
      <c r="V540" s="8">
        <v>1847034.01758</v>
      </c>
      <c r="W540" s="8">
        <v>0</v>
      </c>
      <c r="X540" s="8">
        <v>0</v>
      </c>
      <c r="Y540" s="8">
        <v>0</v>
      </c>
      <c r="Z540" s="8">
        <v>0</v>
      </c>
      <c r="AA540" s="7">
        <v>3.090411</v>
      </c>
      <c r="AB540" s="8">
        <v>5938501.9574889997</v>
      </c>
      <c r="AC540" s="7">
        <v>2.0449999999999999</v>
      </c>
      <c r="AD540" s="7" t="s">
        <v>1226</v>
      </c>
      <c r="AE540" s="8">
        <v>6132750</v>
      </c>
      <c r="AF540" s="8">
        <v>0</v>
      </c>
      <c r="AG540" s="8">
        <v>6132750</v>
      </c>
      <c r="AH540" s="8">
        <v>0</v>
      </c>
      <c r="AI540" s="7" t="s">
        <v>1758</v>
      </c>
      <c r="AJ540" s="7">
        <f t="shared" ca="1" si="117"/>
        <v>1</v>
      </c>
      <c r="AL540" s="96">
        <f t="shared" si="118"/>
        <v>0.1100355047531786</v>
      </c>
      <c r="AM540" s="97">
        <f t="shared" si="119"/>
        <v>8.1622014158521175E-2</v>
      </c>
    </row>
    <row r="541" spans="1:39" x14ac:dyDescent="0.3">
      <c r="A541" s="7" t="s">
        <v>2436</v>
      </c>
      <c r="B541" s="7" t="s">
        <v>1320</v>
      </c>
      <c r="C541" s="7" t="s">
        <v>1756</v>
      </c>
      <c r="D541" s="7" t="s">
        <v>2202</v>
      </c>
      <c r="E541" s="7" t="s">
        <v>1322</v>
      </c>
      <c r="F541" s="36">
        <v>42826</v>
      </c>
      <c r="G541" s="36">
        <v>46477</v>
      </c>
      <c r="H541" s="36">
        <v>46477</v>
      </c>
      <c r="I541" s="36">
        <v>46477</v>
      </c>
      <c r="J541" s="7" t="s">
        <v>1239</v>
      </c>
      <c r="K541" s="8">
        <v>0</v>
      </c>
      <c r="L541" s="8">
        <v>367872.72345609916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f t="shared" si="116"/>
        <v>367872.72345609916</v>
      </c>
      <c r="S541" s="8">
        <v>0</v>
      </c>
      <c r="T541" s="8">
        <v>372932.50930510054</v>
      </c>
      <c r="U541" s="8">
        <v>0</v>
      </c>
      <c r="V541" s="8">
        <v>2969067.4906958002</v>
      </c>
      <c r="W541" s="8">
        <v>0</v>
      </c>
      <c r="X541" s="8">
        <v>0</v>
      </c>
      <c r="Y541" s="8">
        <v>0</v>
      </c>
      <c r="Z541" s="8">
        <v>0</v>
      </c>
      <c r="AA541" s="7">
        <v>5.2493150000000002</v>
      </c>
      <c r="AB541" s="8">
        <v>16623043.29589848</v>
      </c>
      <c r="AC541" s="7">
        <v>2.0449999999999999</v>
      </c>
      <c r="AD541" s="7" t="s">
        <v>1226</v>
      </c>
      <c r="AE541" s="8">
        <v>1671000.0000002752</v>
      </c>
      <c r="AF541" s="8">
        <v>0</v>
      </c>
      <c r="AG541" s="8">
        <v>1671000.0000002752</v>
      </c>
      <c r="AH541" s="8">
        <v>0</v>
      </c>
      <c r="AI541" s="7" t="s">
        <v>1758</v>
      </c>
      <c r="AJ541" s="7">
        <f t="shared" ca="1" si="117"/>
        <v>1</v>
      </c>
      <c r="AL541" s="96">
        <f t="shared" si="118"/>
        <v>0.52318208669703414</v>
      </c>
      <c r="AM541" s="97">
        <f t="shared" si="119"/>
        <v>2.2239678065942906E-2</v>
      </c>
    </row>
    <row r="542" spans="1:39" x14ac:dyDescent="0.3">
      <c r="A542" s="7" t="s">
        <v>2437</v>
      </c>
      <c r="B542" s="7" t="s">
        <v>1320</v>
      </c>
      <c r="C542" s="7" t="s">
        <v>1769</v>
      </c>
      <c r="D542" s="7" t="s">
        <v>2353</v>
      </c>
      <c r="E542" s="7" t="s">
        <v>1322</v>
      </c>
      <c r="F542" s="36">
        <v>40405</v>
      </c>
      <c r="G542" s="36">
        <v>45883</v>
      </c>
      <c r="H542" s="36">
        <v>45883</v>
      </c>
      <c r="I542" s="36">
        <v>45883</v>
      </c>
      <c r="J542" s="7" t="s">
        <v>1239</v>
      </c>
      <c r="K542" s="8">
        <v>601599.28594208299</v>
      </c>
      <c r="L542" s="8">
        <v>129158.62079203481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f t="shared" si="116"/>
        <v>730757.90673411777</v>
      </c>
      <c r="S542" s="8">
        <v>0</v>
      </c>
      <c r="T542" s="8">
        <v>130533.32062703518</v>
      </c>
      <c r="U542" s="8">
        <v>0</v>
      </c>
      <c r="V542" s="8">
        <v>1203266.6793733244</v>
      </c>
      <c r="W542" s="8">
        <v>0</v>
      </c>
      <c r="X542" s="8">
        <v>0</v>
      </c>
      <c r="Y542" s="8">
        <v>0</v>
      </c>
      <c r="Z542" s="8">
        <v>0</v>
      </c>
      <c r="AA542" s="7">
        <v>3.621918</v>
      </c>
      <c r="AB542" s="8">
        <v>4567076.5921142306</v>
      </c>
      <c r="AC542" s="7">
        <v>2.5</v>
      </c>
      <c r="AD542" s="7" t="s">
        <v>1226</v>
      </c>
      <c r="AE542" s="8">
        <v>666900.00000010978</v>
      </c>
      <c r="AF542" s="8">
        <v>0</v>
      </c>
      <c r="AG542" s="8">
        <v>666900.00000010978</v>
      </c>
      <c r="AH542" s="8">
        <v>0</v>
      </c>
      <c r="AI542" s="7" t="s">
        <v>1758</v>
      </c>
      <c r="AJ542" s="7">
        <f t="shared" ca="1" si="117"/>
        <v>1</v>
      </c>
      <c r="AL542" s="96">
        <f t="shared" si="118"/>
        <v>9.9178287187742048E-2</v>
      </c>
      <c r="AM542" s="97">
        <f t="shared" si="119"/>
        <v>1.0850742569693362E-2</v>
      </c>
    </row>
    <row r="543" spans="1:39" x14ac:dyDescent="0.3">
      <c r="A543" s="7" t="s">
        <v>2438</v>
      </c>
      <c r="B543" s="7" t="s">
        <v>1735</v>
      </c>
      <c r="C543" s="7" t="s">
        <v>1756</v>
      </c>
      <c r="D543" s="7" t="s">
        <v>2327</v>
      </c>
      <c r="E543" s="7" t="s">
        <v>1739</v>
      </c>
      <c r="F543" s="36">
        <v>43598</v>
      </c>
      <c r="G543" s="36">
        <v>44693</v>
      </c>
      <c r="I543" s="36">
        <v>44693</v>
      </c>
      <c r="J543" s="7" t="s">
        <v>1696</v>
      </c>
      <c r="K543" s="8">
        <v>0</v>
      </c>
      <c r="L543" s="8">
        <v>0</v>
      </c>
      <c r="M543" s="8">
        <v>11451.210246354514</v>
      </c>
      <c r="N543" s="8">
        <v>0</v>
      </c>
      <c r="O543" s="8">
        <v>0</v>
      </c>
      <c r="P543" s="8">
        <v>0</v>
      </c>
      <c r="Q543" s="8">
        <v>0</v>
      </c>
      <c r="R543" s="8">
        <f t="shared" si="116"/>
        <v>11451.210246354514</v>
      </c>
      <c r="S543" s="8">
        <v>0</v>
      </c>
      <c r="T543" s="8">
        <v>0</v>
      </c>
      <c r="U543" s="8">
        <v>6000.0000000016198</v>
      </c>
      <c r="V543" s="8">
        <v>0</v>
      </c>
      <c r="W543" s="8">
        <v>0</v>
      </c>
      <c r="X543" s="8">
        <v>0</v>
      </c>
      <c r="Y543" s="8">
        <v>0</v>
      </c>
      <c r="Z543" s="8">
        <v>-4575.0804850043141</v>
      </c>
      <c r="AA543" s="7">
        <v>0.36164400000000002</v>
      </c>
      <c r="AB543" s="8">
        <v>1000.0000000002696</v>
      </c>
      <c r="AC543" s="7">
        <v>2.0125000000000002</v>
      </c>
      <c r="AD543" s="7" t="s">
        <v>1697</v>
      </c>
      <c r="AE543" s="8">
        <v>0</v>
      </c>
      <c r="AF543" s="8">
        <v>0</v>
      </c>
      <c r="AG543" s="8">
        <v>0</v>
      </c>
      <c r="AH543" s="8">
        <v>0</v>
      </c>
      <c r="AI543" s="7" t="s">
        <v>1730</v>
      </c>
      <c r="AJ543" s="7">
        <f t="shared" ca="1" si="117"/>
        <v>1</v>
      </c>
      <c r="AL543" s="96">
        <f>(+AA543*AB543)/$AB$612</f>
        <v>6.5219141239592291E-6</v>
      </c>
      <c r="AM543" s="97">
        <f>AC543/$AE$612*AE543</f>
        <v>0</v>
      </c>
    </row>
    <row r="544" spans="1:39" x14ac:dyDescent="0.3">
      <c r="A544" s="7" t="s">
        <v>2439</v>
      </c>
      <c r="B544" s="7" t="s">
        <v>1320</v>
      </c>
      <c r="C544" s="7" t="s">
        <v>1323</v>
      </c>
      <c r="D544" s="7" t="s">
        <v>2440</v>
      </c>
      <c r="E544" s="7" t="s">
        <v>1322</v>
      </c>
      <c r="F544" s="36">
        <v>43936</v>
      </c>
      <c r="G544" s="36">
        <v>45396</v>
      </c>
      <c r="H544" s="36">
        <v>45396</v>
      </c>
      <c r="I544" s="36">
        <v>45396</v>
      </c>
      <c r="J544" s="7" t="s">
        <v>1239</v>
      </c>
      <c r="K544" s="8">
        <v>35626.433220377025</v>
      </c>
      <c r="L544" s="8">
        <v>3703.9184500009978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f t="shared" si="116"/>
        <v>39330.351670378019</v>
      </c>
      <c r="S544" s="8">
        <v>0</v>
      </c>
      <c r="T544" s="8">
        <v>3763.861100001011</v>
      </c>
      <c r="U544" s="8">
        <v>0</v>
      </c>
      <c r="V544" s="8">
        <v>64141.138900017286</v>
      </c>
      <c r="W544" s="8">
        <v>0</v>
      </c>
      <c r="X544" s="8">
        <v>0</v>
      </c>
      <c r="Y544" s="8">
        <v>0</v>
      </c>
      <c r="Z544" s="8">
        <v>0</v>
      </c>
      <c r="AA544" s="7">
        <v>2.287671</v>
      </c>
      <c r="AB544" s="8">
        <v>149200.31527004021</v>
      </c>
      <c r="AC544" s="7">
        <v>2.0449999999999999</v>
      </c>
      <c r="AD544" s="7" t="s">
        <v>1226</v>
      </c>
      <c r="AE544" s="8">
        <v>33952.500000005595</v>
      </c>
      <c r="AF544" s="8">
        <v>0</v>
      </c>
      <c r="AG544" s="8">
        <v>33952.500000005595</v>
      </c>
      <c r="AH544" s="8">
        <v>0</v>
      </c>
      <c r="AI544" s="7" t="s">
        <v>1730</v>
      </c>
      <c r="AJ544" s="7">
        <f t="shared" ca="1" si="117"/>
        <v>1</v>
      </c>
      <c r="AL544" s="96">
        <f t="shared" si="118"/>
        <v>2.0464587858312513E-3</v>
      </c>
      <c r="AM544" s="97">
        <f t="shared" si="119"/>
        <v>4.5188071186949525E-4</v>
      </c>
    </row>
    <row r="545" spans="1:39" x14ac:dyDescent="0.3">
      <c r="A545" s="7" t="s">
        <v>2441</v>
      </c>
      <c r="B545" s="7" t="s">
        <v>1320</v>
      </c>
      <c r="C545" s="7" t="s">
        <v>1323</v>
      </c>
      <c r="D545" s="7" t="s">
        <v>2440</v>
      </c>
      <c r="E545" s="7" t="s">
        <v>1322</v>
      </c>
      <c r="F545" s="36">
        <v>43916</v>
      </c>
      <c r="G545" s="36">
        <v>44645</v>
      </c>
      <c r="H545" s="36">
        <v>44645</v>
      </c>
      <c r="I545" s="36">
        <v>45347</v>
      </c>
      <c r="J545" s="7" t="s">
        <v>1696</v>
      </c>
      <c r="K545" s="8">
        <v>0</v>
      </c>
      <c r="L545" s="8">
        <v>0</v>
      </c>
      <c r="M545" s="8">
        <v>84142.78378576375</v>
      </c>
      <c r="N545" s="8">
        <v>0</v>
      </c>
      <c r="O545" s="8">
        <v>0</v>
      </c>
      <c r="P545" s="8">
        <v>0</v>
      </c>
      <c r="Q545" s="8">
        <v>0</v>
      </c>
      <c r="R545" s="8">
        <f t="shared" si="116"/>
        <v>84142.78378576375</v>
      </c>
      <c r="S545" s="8">
        <v>0</v>
      </c>
      <c r="T545" s="8">
        <v>0</v>
      </c>
      <c r="U545" s="8">
        <v>148500.00000004002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7">
        <v>2.1534249999999999</v>
      </c>
      <c r="AB545" s="8">
        <v>303501.22992008179</v>
      </c>
      <c r="AC545" s="7">
        <v>1.8029999999999999</v>
      </c>
      <c r="AD545" s="7" t="s">
        <v>1226</v>
      </c>
      <c r="AE545" s="8">
        <v>61875.000000010194</v>
      </c>
      <c r="AF545" s="8">
        <v>0</v>
      </c>
      <c r="AG545" s="8">
        <v>61875.000000010194</v>
      </c>
      <c r="AH545" s="8">
        <v>0</v>
      </c>
      <c r="AI545" s="7" t="s">
        <v>1730</v>
      </c>
      <c r="AJ545" s="7">
        <f t="shared" ca="1" si="117"/>
        <v>1</v>
      </c>
      <c r="AL545" s="96">
        <f>(+AA545*AB545)/$AB$612</f>
        <v>1.1786477130819158E-2</v>
      </c>
      <c r="AM545" s="97">
        <f>AC545/$AE$612*AE545</f>
        <v>1.9285645009659597E-3</v>
      </c>
    </row>
    <row r="546" spans="1:39" x14ac:dyDescent="0.3">
      <c r="A546" s="7" t="s">
        <v>2442</v>
      </c>
      <c r="B546" s="7" t="s">
        <v>1320</v>
      </c>
      <c r="C546" s="7" t="s">
        <v>1323</v>
      </c>
      <c r="D546" s="7" t="s">
        <v>2440</v>
      </c>
      <c r="E546" s="7" t="s">
        <v>1322</v>
      </c>
      <c r="F546" s="36">
        <v>43916</v>
      </c>
      <c r="G546" s="36">
        <v>45010</v>
      </c>
      <c r="H546" s="36">
        <v>45010</v>
      </c>
      <c r="I546" s="36">
        <v>45407</v>
      </c>
      <c r="J546" s="7" t="s">
        <v>1239</v>
      </c>
      <c r="K546" s="8">
        <v>-18024.813306677413</v>
      </c>
      <c r="L546" s="8">
        <v>-2081.0009650005732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f t="shared" si="116"/>
        <v>-20105.814271677988</v>
      </c>
      <c r="S546" s="8">
        <v>0</v>
      </c>
      <c r="T546" s="8">
        <v>33992.115295009164</v>
      </c>
      <c r="U546" s="8">
        <v>0</v>
      </c>
      <c r="V546" s="8">
        <v>-4209.5152950011334</v>
      </c>
      <c r="W546" s="8">
        <v>0</v>
      </c>
      <c r="X546" s="8">
        <v>0</v>
      </c>
      <c r="Y546" s="8">
        <v>0</v>
      </c>
      <c r="Z546" s="8">
        <v>0</v>
      </c>
      <c r="AA546" s="7">
        <v>2.3178079999999999</v>
      </c>
      <c r="AB546" s="8">
        <v>10419.181605002808</v>
      </c>
      <c r="AC546" s="7">
        <v>2.0563889999999998</v>
      </c>
      <c r="AD546" s="7" t="s">
        <v>2443</v>
      </c>
      <c r="AE546" s="8">
        <v>14782.600000002434</v>
      </c>
      <c r="AF546" s="8">
        <v>0</v>
      </c>
      <c r="AG546" s="8">
        <v>14782.600000002434</v>
      </c>
      <c r="AH546" s="8">
        <v>0</v>
      </c>
      <c r="AI546" s="7" t="s">
        <v>1730</v>
      </c>
      <c r="AJ546" s="7">
        <f t="shared" ca="1" si="117"/>
        <v>1</v>
      </c>
      <c r="AL546" s="96">
        <f t="shared" si="118"/>
        <v>1.4479406484607405E-4</v>
      </c>
      <c r="AM546" s="97">
        <f t="shared" si="119"/>
        <v>1.9784033177417076E-4</v>
      </c>
    </row>
    <row r="547" spans="1:39" x14ac:dyDescent="0.3">
      <c r="A547" s="7" t="s">
        <v>2444</v>
      </c>
      <c r="B547" s="7" t="s">
        <v>1320</v>
      </c>
      <c r="C547" s="7" t="s">
        <v>1323</v>
      </c>
      <c r="D547" s="7" t="s">
        <v>2440</v>
      </c>
      <c r="E547" s="7" t="s">
        <v>1322</v>
      </c>
      <c r="F547" s="36">
        <v>43891</v>
      </c>
      <c r="G547" s="36">
        <v>44985</v>
      </c>
      <c r="H547" s="36">
        <v>44985</v>
      </c>
      <c r="I547" s="36">
        <v>45382</v>
      </c>
      <c r="J547" s="7" t="s">
        <v>1239</v>
      </c>
      <c r="K547" s="8">
        <v>8184.4193902913039</v>
      </c>
      <c r="L547" s="8">
        <v>289.18245300007698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f t="shared" si="116"/>
        <v>8473.6018432913806</v>
      </c>
      <c r="S547" s="8">
        <v>0</v>
      </c>
      <c r="T547" s="8">
        <v>1344.6487350003661</v>
      </c>
      <c r="U547" s="8">
        <v>0</v>
      </c>
      <c r="V547" s="8">
        <v>19655.351253005298</v>
      </c>
      <c r="W547" s="8">
        <v>0</v>
      </c>
      <c r="X547" s="8">
        <v>0</v>
      </c>
      <c r="Y547" s="8">
        <v>0</v>
      </c>
      <c r="Z547" s="8">
        <v>0</v>
      </c>
      <c r="AA547" s="7">
        <v>2.2493150000000002</v>
      </c>
      <c r="AB547" s="8">
        <v>55559.214111014975</v>
      </c>
      <c r="AC547" s="7">
        <v>2.0563889999999998</v>
      </c>
      <c r="AD547" s="7" t="s">
        <v>2111</v>
      </c>
      <c r="AE547" s="8">
        <v>10499.999994001728</v>
      </c>
      <c r="AF547" s="8">
        <v>0</v>
      </c>
      <c r="AG547" s="8">
        <v>10499.999994001728</v>
      </c>
      <c r="AH547" s="8">
        <v>0</v>
      </c>
      <c r="AI547" s="7" t="s">
        <v>1730</v>
      </c>
      <c r="AJ547" s="7">
        <f t="shared" ca="1" si="117"/>
        <v>1</v>
      </c>
      <c r="AL547" s="96">
        <f t="shared" si="118"/>
        <v>7.4928332640922333E-4</v>
      </c>
      <c r="AM547" s="97">
        <f t="shared" si="119"/>
        <v>1.4052490647394576E-4</v>
      </c>
    </row>
    <row r="548" spans="1:39" x14ac:dyDescent="0.3">
      <c r="A548" s="7" t="s">
        <v>2445</v>
      </c>
      <c r="B548" s="7" t="s">
        <v>1735</v>
      </c>
      <c r="C548" s="7" t="s">
        <v>1769</v>
      </c>
      <c r="D548" s="7" t="s">
        <v>1324</v>
      </c>
      <c r="E548" s="7" t="s">
        <v>1322</v>
      </c>
      <c r="F548" s="36">
        <v>43812</v>
      </c>
      <c r="G548" s="36">
        <v>45089</v>
      </c>
      <c r="H548" s="36">
        <v>45089</v>
      </c>
      <c r="I548" s="36">
        <v>45089</v>
      </c>
      <c r="J548" s="7" t="s">
        <v>1696</v>
      </c>
      <c r="K548" s="8">
        <v>0</v>
      </c>
      <c r="L548" s="8">
        <v>0</v>
      </c>
      <c r="M548" s="8">
        <v>26277.855624</v>
      </c>
      <c r="N548" s="8">
        <v>0</v>
      </c>
      <c r="O548" s="8">
        <v>0</v>
      </c>
      <c r="P548" s="8">
        <v>0</v>
      </c>
      <c r="Q548" s="8">
        <v>0</v>
      </c>
      <c r="R548" s="8">
        <f t="shared" si="116"/>
        <v>26277.855624</v>
      </c>
      <c r="S548" s="8">
        <v>0</v>
      </c>
      <c r="T548" s="8">
        <v>0</v>
      </c>
      <c r="U548" s="8">
        <v>26096.973011999999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7">
        <v>1.4465749999999999</v>
      </c>
      <c r="AB548" s="8">
        <v>36449.669375999998</v>
      </c>
      <c r="AC548" s="7">
        <v>2.0375000000000001</v>
      </c>
      <c r="AD548" s="7" t="s">
        <v>1226</v>
      </c>
      <c r="AE548" s="8">
        <v>36970.711767000001</v>
      </c>
      <c r="AF548" s="8">
        <v>0</v>
      </c>
      <c r="AG548" s="8">
        <v>36970.711767000001</v>
      </c>
      <c r="AH548" s="8">
        <v>0</v>
      </c>
      <c r="AI548" s="7" t="s">
        <v>1760</v>
      </c>
      <c r="AJ548" s="7">
        <f t="shared" ca="1" si="117"/>
        <v>1</v>
      </c>
      <c r="AL548" s="96">
        <f t="shared" ref="AL548:AL550" si="128">(+AA548*AB548)/$AB$612</f>
        <v>9.5088579673167689E-4</v>
      </c>
      <c r="AM548" s="97">
        <f t="shared" ref="AM548:AM550" si="129">AC548/$AE$612*AE548</f>
        <v>1.3022029023625986E-3</v>
      </c>
    </row>
    <row r="549" spans="1:39" x14ac:dyDescent="0.3">
      <c r="A549" s="7" t="s">
        <v>2446</v>
      </c>
      <c r="B549" s="7" t="s">
        <v>1320</v>
      </c>
      <c r="C549" s="7" t="s">
        <v>1323</v>
      </c>
      <c r="D549" s="7" t="s">
        <v>1694</v>
      </c>
      <c r="E549" s="7" t="s">
        <v>1739</v>
      </c>
      <c r="F549" s="36">
        <v>43101</v>
      </c>
      <c r="G549" s="36">
        <v>44196</v>
      </c>
      <c r="I549" s="36">
        <v>45291</v>
      </c>
      <c r="J549" s="7" t="s">
        <v>1696</v>
      </c>
      <c r="K549" s="8">
        <v>0</v>
      </c>
      <c r="L549" s="8">
        <v>0</v>
      </c>
      <c r="M549" s="8">
        <v>30540.181955</v>
      </c>
      <c r="N549" s="8">
        <v>0</v>
      </c>
      <c r="O549" s="8">
        <v>0</v>
      </c>
      <c r="P549" s="8">
        <v>0</v>
      </c>
      <c r="Q549" s="8">
        <v>0</v>
      </c>
      <c r="R549" s="8">
        <f t="shared" si="116"/>
        <v>30540.181955</v>
      </c>
      <c r="S549" s="8">
        <v>0</v>
      </c>
      <c r="T549" s="8">
        <v>0</v>
      </c>
      <c r="U549" s="8">
        <v>50000</v>
      </c>
      <c r="V549" s="8">
        <v>0</v>
      </c>
      <c r="W549" s="8">
        <v>0</v>
      </c>
      <c r="X549" s="8">
        <v>0</v>
      </c>
      <c r="Y549" s="8">
        <v>0</v>
      </c>
      <c r="Z549" s="8">
        <v>48429.101534000001</v>
      </c>
      <c r="AA549" s="7">
        <v>2</v>
      </c>
      <c r="AB549" s="8">
        <v>50000</v>
      </c>
      <c r="AC549" s="7">
        <v>2.920417</v>
      </c>
      <c r="AD549" s="7" t="s">
        <v>1697</v>
      </c>
      <c r="AE549" s="8">
        <v>50000</v>
      </c>
      <c r="AF549" s="8">
        <v>0</v>
      </c>
      <c r="AG549" s="8">
        <v>50000</v>
      </c>
      <c r="AH549" s="8">
        <v>0</v>
      </c>
      <c r="AI549" s="7" t="s">
        <v>1194</v>
      </c>
      <c r="AJ549" s="7">
        <f t="shared" ca="1" si="117"/>
        <v>1</v>
      </c>
      <c r="AL549" s="96">
        <f t="shared" si="128"/>
        <v>1.8034072524243374E-3</v>
      </c>
      <c r="AM549" s="97">
        <f t="shared" si="129"/>
        <v>2.5242833455874675E-3</v>
      </c>
    </row>
    <row r="550" spans="1:39" x14ac:dyDescent="0.3">
      <c r="A550" s="7" t="s">
        <v>2447</v>
      </c>
      <c r="B550" s="7" t="s">
        <v>1320</v>
      </c>
      <c r="C550" s="7" t="s">
        <v>1323</v>
      </c>
      <c r="D550" s="7" t="s">
        <v>1694</v>
      </c>
      <c r="E550" s="7" t="s">
        <v>1739</v>
      </c>
      <c r="F550" s="36">
        <v>43115</v>
      </c>
      <c r="G550" s="36">
        <v>44210</v>
      </c>
      <c r="J550" s="7" t="s">
        <v>1696</v>
      </c>
      <c r="K550" s="8">
        <v>0</v>
      </c>
      <c r="L550" s="8">
        <v>0</v>
      </c>
      <c r="M550" s="8">
        <v>22580.645</v>
      </c>
      <c r="N550" s="8">
        <v>0</v>
      </c>
      <c r="O550" s="8">
        <v>0</v>
      </c>
      <c r="P550" s="8">
        <v>0</v>
      </c>
      <c r="Q550" s="8">
        <v>0</v>
      </c>
      <c r="R550" s="8">
        <f t="shared" si="116"/>
        <v>22580.645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7">
        <v>0</v>
      </c>
      <c r="AB550" s="8">
        <v>0</v>
      </c>
      <c r="AC550" s="7">
        <v>7</v>
      </c>
      <c r="AD550" s="7" t="s">
        <v>1226</v>
      </c>
      <c r="AE550" s="8">
        <v>0</v>
      </c>
      <c r="AF550" s="8">
        <v>0</v>
      </c>
      <c r="AG550" s="8">
        <v>0</v>
      </c>
      <c r="AH550" s="8">
        <v>0</v>
      </c>
      <c r="AI550" s="7" t="s">
        <v>1194</v>
      </c>
      <c r="AJ550" s="7">
        <f t="shared" ca="1" si="117"/>
        <v>1</v>
      </c>
      <c r="AL550" s="96">
        <f t="shared" si="128"/>
        <v>0</v>
      </c>
      <c r="AM550" s="97">
        <f t="shared" si="129"/>
        <v>0</v>
      </c>
    </row>
    <row r="551" spans="1:39" x14ac:dyDescent="0.3">
      <c r="A551" s="7" t="s">
        <v>2447</v>
      </c>
      <c r="B551" s="7" t="s">
        <v>1320</v>
      </c>
      <c r="C551" s="7" t="s">
        <v>1323</v>
      </c>
      <c r="D551" s="7" t="s">
        <v>1694</v>
      </c>
      <c r="E551" s="7" t="s">
        <v>1739</v>
      </c>
      <c r="F551" s="36">
        <v>43115</v>
      </c>
      <c r="G551" s="36">
        <v>44210</v>
      </c>
      <c r="J551" s="7" t="s">
        <v>1699</v>
      </c>
      <c r="K551" s="8">
        <v>0</v>
      </c>
      <c r="L551" s="8">
        <v>0</v>
      </c>
      <c r="M551" s="8">
        <v>0</v>
      </c>
      <c r="N551" s="8">
        <v>577419.35499999998</v>
      </c>
      <c r="O551" s="8">
        <v>0</v>
      </c>
      <c r="P551" s="8">
        <v>0</v>
      </c>
      <c r="Q551" s="8">
        <v>0</v>
      </c>
      <c r="R551" s="8">
        <f t="shared" si="116"/>
        <v>577419.35499999998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7">
        <v>0</v>
      </c>
      <c r="AB551" s="8">
        <v>0</v>
      </c>
      <c r="AC551" s="7">
        <v>7</v>
      </c>
      <c r="AD551" s="7" t="s">
        <v>1226</v>
      </c>
      <c r="AE551" s="8">
        <v>50000</v>
      </c>
      <c r="AF551" s="8">
        <v>0</v>
      </c>
      <c r="AG551" s="8">
        <v>50000</v>
      </c>
      <c r="AH551" s="8">
        <v>0</v>
      </c>
      <c r="AI551" s="7" t="s">
        <v>1194</v>
      </c>
      <c r="AJ551" s="7">
        <f t="shared" ca="1" si="117"/>
        <v>2</v>
      </c>
      <c r="AL551" s="100">
        <f>(+AA551*AB551)/$AB$613</f>
        <v>0</v>
      </c>
      <c r="AM551" s="97">
        <f>AC551/$AE$613*AE551</f>
        <v>0.2556387302191338</v>
      </c>
    </row>
    <row r="552" spans="1:39" x14ac:dyDescent="0.3">
      <c r="A552" s="7" t="s">
        <v>2448</v>
      </c>
      <c r="B552" s="7" t="s">
        <v>1320</v>
      </c>
      <c r="C552" s="7" t="s">
        <v>1323</v>
      </c>
      <c r="D552" s="7" t="s">
        <v>1694</v>
      </c>
      <c r="E552" s="7" t="s">
        <v>1739</v>
      </c>
      <c r="F552" s="36">
        <v>43101</v>
      </c>
      <c r="G552" s="36">
        <v>44196</v>
      </c>
      <c r="I552" s="36">
        <v>45291</v>
      </c>
      <c r="J552" s="7" t="s">
        <v>1696</v>
      </c>
      <c r="K552" s="8">
        <v>0</v>
      </c>
      <c r="L552" s="8">
        <v>0</v>
      </c>
      <c r="M552" s="8">
        <v>43143.936581000002</v>
      </c>
      <c r="N552" s="8">
        <v>0</v>
      </c>
      <c r="O552" s="8">
        <v>0</v>
      </c>
      <c r="P552" s="8">
        <v>0</v>
      </c>
      <c r="Q552" s="8">
        <v>0</v>
      </c>
      <c r="R552" s="8">
        <f t="shared" si="116"/>
        <v>43143.936581000002</v>
      </c>
      <c r="S552" s="8">
        <v>0</v>
      </c>
      <c r="T552" s="8">
        <v>0</v>
      </c>
      <c r="U552" s="8">
        <v>200000</v>
      </c>
      <c r="V552" s="8">
        <v>0</v>
      </c>
      <c r="W552" s="8">
        <v>0</v>
      </c>
      <c r="X552" s="8">
        <v>0</v>
      </c>
      <c r="Y552" s="8">
        <v>0</v>
      </c>
      <c r="Z552" s="8">
        <v>146369.318616</v>
      </c>
      <c r="AA552" s="7">
        <v>2</v>
      </c>
      <c r="AB552" s="8">
        <v>50000.000001</v>
      </c>
      <c r="AC552" s="7">
        <v>2.920417</v>
      </c>
      <c r="AD552" s="7" t="s">
        <v>1697</v>
      </c>
      <c r="AE552" s="8">
        <v>50000</v>
      </c>
      <c r="AF552" s="8">
        <v>0</v>
      </c>
      <c r="AG552" s="8">
        <v>50000</v>
      </c>
      <c r="AH552" s="8">
        <v>0</v>
      </c>
      <c r="AI552" s="7" t="s">
        <v>1194</v>
      </c>
      <c r="AJ552" s="7">
        <f t="shared" ca="1" si="117"/>
        <v>1</v>
      </c>
      <c r="AL552" s="96">
        <f>(+AA552*AB552)/$AB$612</f>
        <v>1.8034072524604056E-3</v>
      </c>
      <c r="AM552" s="97">
        <f>AC552/$AE$612*AE552</f>
        <v>2.5242833455874675E-3</v>
      </c>
    </row>
    <row r="553" spans="1:39" x14ac:dyDescent="0.3">
      <c r="A553" s="7" t="s">
        <v>2449</v>
      </c>
      <c r="B553" s="7" t="s">
        <v>1735</v>
      </c>
      <c r="C553" s="7" t="s">
        <v>1432</v>
      </c>
      <c r="D553" s="7" t="s">
        <v>1324</v>
      </c>
      <c r="E553" s="7" t="s">
        <v>1322</v>
      </c>
      <c r="F553" s="36">
        <v>43853</v>
      </c>
      <c r="G553" s="36">
        <v>45282</v>
      </c>
      <c r="H553" s="36">
        <v>45282</v>
      </c>
      <c r="I553" s="36">
        <v>45313</v>
      </c>
      <c r="J553" s="7" t="s">
        <v>1239</v>
      </c>
      <c r="K553" s="8">
        <v>6899.594141404692</v>
      </c>
      <c r="L553" s="8">
        <v>661.20687600017902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f t="shared" si="116"/>
        <v>7560.8010174048713</v>
      </c>
      <c r="S553" s="8">
        <v>0</v>
      </c>
      <c r="T553" s="8">
        <v>667.40368800017302</v>
      </c>
      <c r="U553" s="8">
        <v>0</v>
      </c>
      <c r="V553" s="8">
        <v>12532.596312003379</v>
      </c>
      <c r="W553" s="8">
        <v>0</v>
      </c>
      <c r="X553" s="8">
        <v>0</v>
      </c>
      <c r="Y553" s="8">
        <v>0</v>
      </c>
      <c r="Z553" s="8">
        <v>0</v>
      </c>
      <c r="AA553" s="7">
        <v>2.0602740000000002</v>
      </c>
      <c r="AB553" s="8">
        <v>25846.170084006968</v>
      </c>
      <c r="AC553" s="7">
        <v>2.0437500000000002</v>
      </c>
      <c r="AD553" s="7" t="s">
        <v>1226</v>
      </c>
      <c r="AE553" s="8">
        <v>6875.0000000011933</v>
      </c>
      <c r="AF553" s="8">
        <v>0</v>
      </c>
      <c r="AG553" s="8">
        <v>6875.0000000011933</v>
      </c>
      <c r="AH553" s="8">
        <v>0</v>
      </c>
      <c r="AI553" s="7" t="s">
        <v>1760</v>
      </c>
      <c r="AJ553" s="7">
        <f t="shared" ca="1" si="117"/>
        <v>1</v>
      </c>
      <c r="AL553" s="96">
        <f t="shared" si="118"/>
        <v>3.192720309475432E-4</v>
      </c>
      <c r="AM553" s="97">
        <f t="shared" si="119"/>
        <v>9.1444840453936535E-5</v>
      </c>
    </row>
    <row r="554" spans="1:39" x14ac:dyDescent="0.3">
      <c r="A554" s="7" t="s">
        <v>2450</v>
      </c>
      <c r="B554" s="7" t="s">
        <v>1735</v>
      </c>
      <c r="C554" s="7" t="s">
        <v>1432</v>
      </c>
      <c r="D554" s="7" t="s">
        <v>1780</v>
      </c>
      <c r="E554" s="7" t="s">
        <v>1322</v>
      </c>
      <c r="F554" s="36">
        <v>43718</v>
      </c>
      <c r="G554" s="36">
        <v>44904</v>
      </c>
      <c r="H554" s="36">
        <v>44562</v>
      </c>
      <c r="I554" s="36">
        <v>44813</v>
      </c>
      <c r="J554" s="7" t="s">
        <v>1696</v>
      </c>
      <c r="K554" s="8">
        <v>0</v>
      </c>
      <c r="L554" s="8">
        <v>0</v>
      </c>
      <c r="M554" s="8">
        <v>269964.43884000002</v>
      </c>
      <c r="N554" s="8">
        <v>0</v>
      </c>
      <c r="O554" s="8">
        <v>0</v>
      </c>
      <c r="P554" s="8">
        <v>0</v>
      </c>
      <c r="Q554" s="8">
        <v>0</v>
      </c>
      <c r="R554" s="8">
        <f t="shared" si="116"/>
        <v>269964.43884000002</v>
      </c>
      <c r="S554" s="8">
        <v>0</v>
      </c>
      <c r="T554" s="8">
        <v>0</v>
      </c>
      <c r="U554" s="8">
        <v>270000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7">
        <v>0.690411</v>
      </c>
      <c r="AB554" s="8">
        <v>178849.79214000001</v>
      </c>
      <c r="AC554" s="7">
        <v>2.0337499999999999</v>
      </c>
      <c r="AD554" s="7" t="s">
        <v>1226</v>
      </c>
      <c r="AE554" s="8">
        <v>0</v>
      </c>
      <c r="AF554" s="8">
        <v>0</v>
      </c>
      <c r="AG554" s="8">
        <v>0</v>
      </c>
      <c r="AH554" s="8">
        <v>0</v>
      </c>
      <c r="AI554" s="7" t="s">
        <v>1877</v>
      </c>
      <c r="AJ554" s="7">
        <f t="shared" ca="1" si="117"/>
        <v>1</v>
      </c>
      <c r="AL554" s="96">
        <f t="shared" ref="AL554:AL569" si="130">(+AA554*AB554)/$AB$612</f>
        <v>2.2268448197953488E-3</v>
      </c>
      <c r="AM554" s="97">
        <f t="shared" ref="AM554:AM569" si="131">AC554/$AE$612*AE554</f>
        <v>0</v>
      </c>
    </row>
    <row r="555" spans="1:39" x14ac:dyDescent="0.3">
      <c r="A555" s="7" t="s">
        <v>2452</v>
      </c>
      <c r="B555" s="7" t="s">
        <v>2453</v>
      </c>
      <c r="D555" s="7" t="s">
        <v>2202</v>
      </c>
      <c r="E555" s="7" t="s">
        <v>1322</v>
      </c>
      <c r="F555" s="36">
        <v>43101</v>
      </c>
      <c r="G555" s="36">
        <v>44926</v>
      </c>
      <c r="H555" s="36">
        <v>44926</v>
      </c>
      <c r="I555" s="36">
        <v>44926</v>
      </c>
      <c r="J555" s="7" t="s">
        <v>1696</v>
      </c>
      <c r="K555" s="8">
        <v>0</v>
      </c>
      <c r="L555" s="8">
        <v>0</v>
      </c>
      <c r="M555" s="8">
        <v>8127.0427557553239</v>
      </c>
      <c r="N555" s="8">
        <v>0</v>
      </c>
      <c r="O555" s="8">
        <v>0</v>
      </c>
      <c r="P555" s="8">
        <v>0</v>
      </c>
      <c r="Q555" s="8">
        <v>0</v>
      </c>
      <c r="R555" s="8">
        <f t="shared" si="116"/>
        <v>8127.0427557553239</v>
      </c>
      <c r="S555" s="8">
        <v>0</v>
      </c>
      <c r="T555" s="8">
        <v>0</v>
      </c>
      <c r="U555" s="8">
        <v>14400.000000003876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7">
        <v>1</v>
      </c>
      <c r="AB555" s="8">
        <v>13949.444011003759</v>
      </c>
      <c r="AC555" s="7">
        <v>7</v>
      </c>
      <c r="AD555" s="7" t="s">
        <v>1226</v>
      </c>
      <c r="AE555" s="8">
        <v>14400.000000002376</v>
      </c>
      <c r="AF555" s="8">
        <v>0</v>
      </c>
      <c r="AG555" s="8">
        <v>14400.000000002376</v>
      </c>
      <c r="AH555" s="8">
        <v>0</v>
      </c>
      <c r="AI555" s="7" t="s">
        <v>1758</v>
      </c>
      <c r="AJ555" s="7">
        <f t="shared" ca="1" si="117"/>
        <v>1</v>
      </c>
      <c r="AL555" s="96">
        <f t="shared" si="130"/>
        <v>2.5156528496731421E-4</v>
      </c>
      <c r="AM555" s="97">
        <f t="shared" si="131"/>
        <v>1.742544035562447E-3</v>
      </c>
    </row>
    <row r="556" spans="1:39" x14ac:dyDescent="0.3">
      <c r="A556" s="7" t="s">
        <v>2454</v>
      </c>
      <c r="B556" s="7" t="s">
        <v>1320</v>
      </c>
      <c r="C556" s="7" t="s">
        <v>1323</v>
      </c>
      <c r="D556" s="7" t="s">
        <v>2455</v>
      </c>
      <c r="E556" s="7" t="s">
        <v>1322</v>
      </c>
      <c r="F556" s="36">
        <v>43617</v>
      </c>
      <c r="G556" s="36">
        <v>44712</v>
      </c>
      <c r="H556" s="36">
        <v>44712</v>
      </c>
      <c r="I556" s="36">
        <v>44712</v>
      </c>
      <c r="J556" s="7" t="s">
        <v>1696</v>
      </c>
      <c r="K556" s="8">
        <v>0</v>
      </c>
      <c r="L556" s="8">
        <v>0</v>
      </c>
      <c r="M556" s="8">
        <v>6666.3</v>
      </c>
      <c r="N556" s="8">
        <v>0</v>
      </c>
      <c r="O556" s="8">
        <v>0</v>
      </c>
      <c r="P556" s="8">
        <v>0</v>
      </c>
      <c r="Q556" s="8">
        <v>0</v>
      </c>
      <c r="R556" s="8">
        <f t="shared" si="116"/>
        <v>6666.3</v>
      </c>
      <c r="S556" s="8">
        <v>0</v>
      </c>
      <c r="T556" s="8">
        <v>0</v>
      </c>
      <c r="U556" s="8">
        <v>6666.3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7">
        <v>0.41369899999999998</v>
      </c>
      <c r="AB556" s="8">
        <v>2768.2590719999998</v>
      </c>
      <c r="AC556" s="7">
        <v>2.0299999999999998</v>
      </c>
      <c r="AD556" s="7" t="s">
        <v>1226</v>
      </c>
      <c r="AE556" s="8">
        <v>2777.625</v>
      </c>
      <c r="AF556" s="8">
        <v>0</v>
      </c>
      <c r="AG556" s="8">
        <v>2777.625</v>
      </c>
      <c r="AH556" s="8">
        <v>0</v>
      </c>
      <c r="AI556" s="7" t="s">
        <v>1730</v>
      </c>
      <c r="AJ556" s="7">
        <f t="shared" ca="1" si="117"/>
        <v>1</v>
      </c>
      <c r="AL556" s="96">
        <f t="shared" si="130"/>
        <v>2.0653088917875887E-5</v>
      </c>
      <c r="AM556" s="97">
        <f t="shared" si="131"/>
        <v>9.7474918351786064E-5</v>
      </c>
    </row>
    <row r="557" spans="1:39" x14ac:dyDescent="0.3">
      <c r="A557" s="7" t="s">
        <v>2457</v>
      </c>
      <c r="B557" s="7" t="s">
        <v>1735</v>
      </c>
      <c r="C557" s="7" t="s">
        <v>1769</v>
      </c>
      <c r="D557" s="7" t="s">
        <v>1780</v>
      </c>
      <c r="E557" s="7" t="s">
        <v>1322</v>
      </c>
      <c r="F557" s="36">
        <v>43627</v>
      </c>
      <c r="G557" s="36">
        <v>44722</v>
      </c>
      <c r="H557" s="36">
        <v>44722</v>
      </c>
      <c r="I557" s="36">
        <v>44722</v>
      </c>
      <c r="J557" s="7" t="s">
        <v>1696</v>
      </c>
      <c r="K557" s="8">
        <v>0</v>
      </c>
      <c r="L557" s="8">
        <v>0</v>
      </c>
      <c r="M557" s="8">
        <v>184447.23671999999</v>
      </c>
      <c r="N557" s="8">
        <v>0</v>
      </c>
      <c r="O557" s="8">
        <v>0</v>
      </c>
      <c r="P557" s="8">
        <v>0</v>
      </c>
      <c r="Q557" s="8">
        <v>0</v>
      </c>
      <c r="R557" s="8">
        <f t="shared" si="116"/>
        <v>184447.23671999999</v>
      </c>
      <c r="S557" s="8">
        <v>0</v>
      </c>
      <c r="T557" s="8">
        <v>0</v>
      </c>
      <c r="U557" s="8">
        <v>180000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7">
        <v>0.44109599999999999</v>
      </c>
      <c r="AB557" s="8">
        <v>74706.385460000005</v>
      </c>
      <c r="AC557" s="7">
        <v>2.0299999999999998</v>
      </c>
      <c r="AD557" s="7" t="s">
        <v>1226</v>
      </c>
      <c r="AE557" s="8">
        <v>75000</v>
      </c>
      <c r="AF557" s="8">
        <v>0</v>
      </c>
      <c r="AG557" s="8">
        <v>75000</v>
      </c>
      <c r="AH557" s="8">
        <v>0</v>
      </c>
      <c r="AI557" s="7" t="s">
        <v>1877</v>
      </c>
      <c r="AJ557" s="7">
        <f t="shared" ca="1" si="117"/>
        <v>1</v>
      </c>
      <c r="AL557" s="96">
        <f t="shared" si="130"/>
        <v>5.9427116166953415E-4</v>
      </c>
      <c r="AM557" s="97">
        <f t="shared" si="131"/>
        <v>2.631967553713678E-3</v>
      </c>
    </row>
    <row r="558" spans="1:39" x14ac:dyDescent="0.3">
      <c r="A558" s="7" t="s">
        <v>2458</v>
      </c>
      <c r="B558" s="7" t="s">
        <v>1735</v>
      </c>
      <c r="C558" s="7" t="s">
        <v>1769</v>
      </c>
      <c r="D558" s="7" t="s">
        <v>1780</v>
      </c>
      <c r="E558" s="7" t="s">
        <v>1322</v>
      </c>
      <c r="F558" s="36">
        <v>43627</v>
      </c>
      <c r="G558" s="36">
        <v>44783</v>
      </c>
      <c r="H558" s="36">
        <v>44721</v>
      </c>
      <c r="I558" s="36">
        <v>44783</v>
      </c>
      <c r="J558" s="7" t="s">
        <v>1696</v>
      </c>
      <c r="K558" s="8">
        <v>0</v>
      </c>
      <c r="L558" s="8">
        <v>0</v>
      </c>
      <c r="M558" s="8">
        <v>180000</v>
      </c>
      <c r="N558" s="8">
        <v>0</v>
      </c>
      <c r="O558" s="8">
        <v>0</v>
      </c>
      <c r="P558" s="8">
        <v>0</v>
      </c>
      <c r="Q558" s="8">
        <v>0</v>
      </c>
      <c r="R558" s="8">
        <f t="shared" si="116"/>
        <v>180000</v>
      </c>
      <c r="S558" s="8">
        <v>0</v>
      </c>
      <c r="T558" s="8">
        <v>0</v>
      </c>
      <c r="U558" s="8">
        <v>180000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7">
        <v>0.60821899999999995</v>
      </c>
      <c r="AB558" s="8">
        <v>104411.88715</v>
      </c>
      <c r="AC558" s="7">
        <v>2.0325000000000002</v>
      </c>
      <c r="AD558" s="7" t="s">
        <v>1226</v>
      </c>
      <c r="AE558" s="8">
        <v>75000</v>
      </c>
      <c r="AF558" s="8">
        <v>0</v>
      </c>
      <c r="AG558" s="8">
        <v>75000</v>
      </c>
      <c r="AH558" s="8">
        <v>0</v>
      </c>
      <c r="AI558" s="7" t="s">
        <v>1877</v>
      </c>
      <c r="AJ558" s="7">
        <f t="shared" ca="1" si="117"/>
        <v>1</v>
      </c>
      <c r="AL558" s="96">
        <f t="shared" si="130"/>
        <v>1.1452590702841895E-3</v>
      </c>
      <c r="AM558" s="97">
        <f t="shared" si="131"/>
        <v>2.6352088930655421E-3</v>
      </c>
    </row>
    <row r="559" spans="1:39" x14ac:dyDescent="0.3">
      <c r="A559" s="7" t="s">
        <v>2459</v>
      </c>
      <c r="B559" s="7" t="s">
        <v>1735</v>
      </c>
      <c r="C559" s="7" t="s">
        <v>1769</v>
      </c>
      <c r="D559" s="7" t="s">
        <v>1780</v>
      </c>
      <c r="E559" s="7" t="s">
        <v>1322</v>
      </c>
      <c r="F559" s="36">
        <v>43662</v>
      </c>
      <c r="G559" s="36">
        <v>44819</v>
      </c>
      <c r="H559" s="36">
        <v>44819</v>
      </c>
      <c r="I559" s="36">
        <v>44757</v>
      </c>
      <c r="J559" s="7" t="s">
        <v>1696</v>
      </c>
      <c r="K559" s="8">
        <v>0</v>
      </c>
      <c r="L559" s="8">
        <v>0</v>
      </c>
      <c r="M559" s="8">
        <v>270000</v>
      </c>
      <c r="N559" s="8">
        <v>0</v>
      </c>
      <c r="O559" s="8">
        <v>0</v>
      </c>
      <c r="P559" s="8">
        <v>0</v>
      </c>
      <c r="Q559" s="8">
        <v>0</v>
      </c>
      <c r="R559" s="8">
        <f t="shared" si="116"/>
        <v>270000</v>
      </c>
      <c r="S559" s="8">
        <v>0</v>
      </c>
      <c r="T559" s="8">
        <v>0</v>
      </c>
      <c r="U559" s="8">
        <v>270000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7">
        <v>0.53698599999999996</v>
      </c>
      <c r="AB559" s="8">
        <v>134320.6238</v>
      </c>
      <c r="AC559" s="7">
        <v>2.0325000000000002</v>
      </c>
      <c r="AD559" s="7" t="s">
        <v>1226</v>
      </c>
      <c r="AE559" s="8">
        <v>135000</v>
      </c>
      <c r="AF559" s="8">
        <v>0</v>
      </c>
      <c r="AG559" s="8">
        <v>135000</v>
      </c>
      <c r="AH559" s="8">
        <v>0</v>
      </c>
      <c r="AI559" s="7" t="s">
        <v>1877</v>
      </c>
      <c r="AJ559" s="7">
        <f t="shared" ca="1" si="117"/>
        <v>1</v>
      </c>
      <c r="AL559" s="96">
        <f t="shared" si="130"/>
        <v>1.3007668939163098E-3</v>
      </c>
      <c r="AM559" s="97">
        <f t="shared" si="131"/>
        <v>4.7433760075179764E-3</v>
      </c>
    </row>
    <row r="560" spans="1:39" x14ac:dyDescent="0.3">
      <c r="A560" s="7" t="s">
        <v>2460</v>
      </c>
      <c r="B560" s="7" t="s">
        <v>1735</v>
      </c>
      <c r="C560" s="7" t="s">
        <v>1769</v>
      </c>
      <c r="D560" s="7" t="s">
        <v>1780</v>
      </c>
      <c r="E560" s="7" t="s">
        <v>1322</v>
      </c>
      <c r="F560" s="36">
        <v>43731</v>
      </c>
      <c r="G560" s="36">
        <v>44795</v>
      </c>
      <c r="H560" s="36">
        <v>44795</v>
      </c>
      <c r="I560" s="36">
        <v>44795</v>
      </c>
      <c r="J560" s="7" t="s">
        <v>1696</v>
      </c>
      <c r="K560" s="8">
        <v>0</v>
      </c>
      <c r="L560" s="8">
        <v>0</v>
      </c>
      <c r="M560" s="8">
        <v>7808.4</v>
      </c>
      <c r="N560" s="8">
        <v>0</v>
      </c>
      <c r="O560" s="8">
        <v>0</v>
      </c>
      <c r="P560" s="8">
        <v>0</v>
      </c>
      <c r="Q560" s="8">
        <v>0</v>
      </c>
      <c r="R560" s="8">
        <f t="shared" si="116"/>
        <v>7808.4</v>
      </c>
      <c r="S560" s="8">
        <v>0</v>
      </c>
      <c r="T560" s="8">
        <v>0</v>
      </c>
      <c r="U560" s="8">
        <v>7560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7">
        <v>0.641096</v>
      </c>
      <c r="AB560" s="8">
        <v>4382.716461</v>
      </c>
      <c r="AC560" s="7">
        <v>2.0110830000000002</v>
      </c>
      <c r="AD560" s="7" t="s">
        <v>1226</v>
      </c>
      <c r="AE560" s="8">
        <v>4410</v>
      </c>
      <c r="AF560" s="8">
        <v>0</v>
      </c>
      <c r="AG560" s="8">
        <v>4410</v>
      </c>
      <c r="AH560" s="8">
        <v>0</v>
      </c>
      <c r="AI560" s="7" t="s">
        <v>1760</v>
      </c>
      <c r="AJ560" s="7">
        <f t="shared" ca="1" si="117"/>
        <v>1</v>
      </c>
      <c r="AL560" s="96">
        <f t="shared" si="130"/>
        <v>5.0671090863212242E-5</v>
      </c>
      <c r="AM560" s="97">
        <f t="shared" si="131"/>
        <v>1.5331753004183237E-4</v>
      </c>
    </row>
    <row r="561" spans="1:39" x14ac:dyDescent="0.3">
      <c r="A561" s="7" t="s">
        <v>2462</v>
      </c>
      <c r="B561" s="7" t="s">
        <v>1735</v>
      </c>
      <c r="C561" s="7" t="s">
        <v>1769</v>
      </c>
      <c r="D561" s="7" t="s">
        <v>1780</v>
      </c>
      <c r="E561" s="7" t="s">
        <v>1322</v>
      </c>
      <c r="F561" s="36">
        <v>43697</v>
      </c>
      <c r="G561" s="36">
        <v>44792</v>
      </c>
      <c r="H561" s="36">
        <v>44809</v>
      </c>
      <c r="I561" s="36">
        <v>44792</v>
      </c>
      <c r="J561" s="7" t="s">
        <v>1696</v>
      </c>
      <c r="K561" s="8">
        <v>0</v>
      </c>
      <c r="L561" s="8">
        <v>0</v>
      </c>
      <c r="M561" s="8">
        <v>270000</v>
      </c>
      <c r="N561" s="8">
        <v>0</v>
      </c>
      <c r="O561" s="8">
        <v>0</v>
      </c>
      <c r="P561" s="8">
        <v>0</v>
      </c>
      <c r="Q561" s="8">
        <v>0</v>
      </c>
      <c r="R561" s="8">
        <f t="shared" si="116"/>
        <v>270000</v>
      </c>
      <c r="S561" s="8">
        <v>0</v>
      </c>
      <c r="T561" s="8">
        <v>0</v>
      </c>
      <c r="U561" s="8">
        <v>270000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7">
        <v>0.63287700000000002</v>
      </c>
      <c r="AB561" s="8">
        <v>156542.07858999999</v>
      </c>
      <c r="AC561" s="7">
        <v>2.0299999999999998</v>
      </c>
      <c r="AD561" s="7" t="s">
        <v>1226</v>
      </c>
      <c r="AE561" s="8">
        <v>157500</v>
      </c>
      <c r="AF561" s="8">
        <v>0</v>
      </c>
      <c r="AG561" s="8">
        <v>157500</v>
      </c>
      <c r="AH561" s="8">
        <v>0</v>
      </c>
      <c r="AI561" s="7" t="s">
        <v>1877</v>
      </c>
      <c r="AJ561" s="7">
        <f t="shared" ca="1" si="117"/>
        <v>1</v>
      </c>
      <c r="AL561" s="96">
        <f t="shared" si="130"/>
        <v>1.7866694883621173E-3</v>
      </c>
      <c r="AM561" s="97">
        <f t="shared" si="131"/>
        <v>5.5271318627987242E-3</v>
      </c>
    </row>
    <row r="562" spans="1:39" x14ac:dyDescent="0.3">
      <c r="A562" s="7" t="s">
        <v>2463</v>
      </c>
      <c r="B562" s="7" t="s">
        <v>2293</v>
      </c>
      <c r="C562" s="7" t="s">
        <v>1432</v>
      </c>
      <c r="D562" s="7" t="s">
        <v>1780</v>
      </c>
      <c r="E562" s="7" t="s">
        <v>1322</v>
      </c>
      <c r="F562" s="36">
        <v>43800</v>
      </c>
      <c r="G562" s="36">
        <v>44957</v>
      </c>
      <c r="H562" s="36">
        <v>44957</v>
      </c>
      <c r="I562" s="36">
        <v>44895</v>
      </c>
      <c r="J562" s="7" t="s">
        <v>1696</v>
      </c>
      <c r="K562" s="8">
        <v>0</v>
      </c>
      <c r="L562" s="8">
        <v>0</v>
      </c>
      <c r="M562" s="8">
        <v>243000</v>
      </c>
      <c r="N562" s="8">
        <v>0</v>
      </c>
      <c r="O562" s="8">
        <v>0</v>
      </c>
      <c r="P562" s="8">
        <v>0</v>
      </c>
      <c r="Q562" s="8">
        <v>0</v>
      </c>
      <c r="R562" s="8">
        <f t="shared" si="116"/>
        <v>243000</v>
      </c>
      <c r="S562" s="8">
        <v>0</v>
      </c>
      <c r="T562" s="8">
        <v>0</v>
      </c>
      <c r="U562" s="8">
        <v>243000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7">
        <v>0.91506799999999999</v>
      </c>
      <c r="AB562" s="8">
        <v>220876.29637200001</v>
      </c>
      <c r="AC562" s="7">
        <v>2.0325000000000002</v>
      </c>
      <c r="AD562" s="7" t="s">
        <v>1226</v>
      </c>
      <c r="AE562" s="8">
        <v>222750</v>
      </c>
      <c r="AF562" s="8">
        <v>0</v>
      </c>
      <c r="AG562" s="8">
        <v>222750</v>
      </c>
      <c r="AH562" s="8">
        <v>0</v>
      </c>
      <c r="AI562" s="7" t="s">
        <v>1877</v>
      </c>
      <c r="AJ562" s="7">
        <f t="shared" ca="1" si="117"/>
        <v>1</v>
      </c>
      <c r="AL562" s="96">
        <f t="shared" si="130"/>
        <v>3.6449895844499545E-3</v>
      </c>
      <c r="AM562" s="97">
        <f t="shared" si="131"/>
        <v>7.8265704124046605E-3</v>
      </c>
    </row>
    <row r="563" spans="1:39" x14ac:dyDescent="0.3">
      <c r="A563" s="7" t="s">
        <v>2464</v>
      </c>
      <c r="B563" s="7" t="s">
        <v>1735</v>
      </c>
      <c r="C563" s="7" t="s">
        <v>1323</v>
      </c>
      <c r="D563" s="7" t="s">
        <v>1780</v>
      </c>
      <c r="E563" s="7" t="s">
        <v>1322</v>
      </c>
      <c r="F563" s="36">
        <v>43891</v>
      </c>
      <c r="G563" s="36">
        <v>44985</v>
      </c>
      <c r="H563" s="36">
        <v>44985</v>
      </c>
      <c r="I563" s="36">
        <v>44985</v>
      </c>
      <c r="J563" s="7" t="s">
        <v>1696</v>
      </c>
      <c r="K563" s="8">
        <v>0</v>
      </c>
      <c r="L563" s="8">
        <v>0</v>
      </c>
      <c r="M563" s="8">
        <v>270000</v>
      </c>
      <c r="N563" s="8">
        <v>0</v>
      </c>
      <c r="O563" s="8">
        <v>0</v>
      </c>
      <c r="P563" s="8">
        <v>0</v>
      </c>
      <c r="Q563" s="8">
        <v>0</v>
      </c>
      <c r="R563" s="8">
        <f t="shared" si="116"/>
        <v>270000</v>
      </c>
      <c r="S563" s="8">
        <v>0</v>
      </c>
      <c r="T563" s="8">
        <v>0</v>
      </c>
      <c r="U563" s="8">
        <v>270000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7">
        <v>1.1616439999999999</v>
      </c>
      <c r="AB563" s="8">
        <v>311565.41240999999</v>
      </c>
      <c r="AC563" s="7">
        <v>2.0299999999999998</v>
      </c>
      <c r="AD563" s="7" t="s">
        <v>1226</v>
      </c>
      <c r="AE563" s="8">
        <v>315000</v>
      </c>
      <c r="AF563" s="8">
        <v>0</v>
      </c>
      <c r="AG563" s="8">
        <v>315000</v>
      </c>
      <c r="AH563" s="8">
        <v>0</v>
      </c>
      <c r="AI563" s="7" t="s">
        <v>1877</v>
      </c>
      <c r="AJ563" s="7">
        <f t="shared" ca="1" si="117"/>
        <v>1</v>
      </c>
      <c r="AL563" s="96">
        <f t="shared" si="130"/>
        <v>6.5270374584916017E-3</v>
      </c>
      <c r="AM563" s="97">
        <f t="shared" si="131"/>
        <v>1.1054263725597448E-2</v>
      </c>
    </row>
    <row r="564" spans="1:39" x14ac:dyDescent="0.3">
      <c r="A564" s="7" t="s">
        <v>2465</v>
      </c>
      <c r="B564" s="7" t="s">
        <v>1768</v>
      </c>
      <c r="C564" s="7" t="s">
        <v>1756</v>
      </c>
      <c r="D564" s="7" t="s">
        <v>1780</v>
      </c>
      <c r="E564" s="7" t="s">
        <v>1695</v>
      </c>
      <c r="F564" s="36">
        <v>43746</v>
      </c>
      <c r="G564" s="36">
        <v>44902</v>
      </c>
      <c r="H564" s="36">
        <v>43739</v>
      </c>
      <c r="I564" s="36">
        <v>43739</v>
      </c>
      <c r="J564" s="7" t="s">
        <v>1696</v>
      </c>
      <c r="K564" s="8">
        <v>0</v>
      </c>
      <c r="L564" s="8">
        <v>0</v>
      </c>
      <c r="M564" s="8">
        <v>0.87348000000000003</v>
      </c>
      <c r="N564" s="8">
        <v>0</v>
      </c>
      <c r="O564" s="8">
        <v>0</v>
      </c>
      <c r="P564" s="8">
        <v>0</v>
      </c>
      <c r="Q564" s="8">
        <v>0</v>
      </c>
      <c r="R564" s="8">
        <f t="shared" si="116"/>
        <v>0.87348000000000003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7">
        <v>0</v>
      </c>
      <c r="AB564" s="8">
        <v>0</v>
      </c>
      <c r="AC564" s="7">
        <v>2.5</v>
      </c>
      <c r="AD564" s="7" t="s">
        <v>1226</v>
      </c>
      <c r="AE564" s="8">
        <v>0</v>
      </c>
      <c r="AF564" s="8">
        <v>0</v>
      </c>
      <c r="AG564" s="8">
        <v>0</v>
      </c>
      <c r="AH564" s="8">
        <v>0</v>
      </c>
      <c r="AI564" s="7" t="s">
        <v>1781</v>
      </c>
      <c r="AJ564" s="7">
        <f t="shared" ca="1" si="117"/>
        <v>1</v>
      </c>
      <c r="AL564" s="96">
        <f t="shared" si="130"/>
        <v>0</v>
      </c>
      <c r="AM564" s="97">
        <f t="shared" si="131"/>
        <v>0</v>
      </c>
    </row>
    <row r="565" spans="1:39" x14ac:dyDescent="0.3">
      <c r="A565" s="7" t="s">
        <v>2466</v>
      </c>
      <c r="B565" s="7" t="s">
        <v>194</v>
      </c>
      <c r="C565" s="7" t="s">
        <v>1323</v>
      </c>
      <c r="D565" s="7" t="s">
        <v>1780</v>
      </c>
      <c r="E565" s="7" t="s">
        <v>1322</v>
      </c>
      <c r="F565" s="36">
        <v>43762</v>
      </c>
      <c r="G565" s="36">
        <v>44857</v>
      </c>
      <c r="H565" s="36">
        <v>44857</v>
      </c>
      <c r="I565" s="36">
        <v>44857</v>
      </c>
      <c r="J565" s="7" t="s">
        <v>1696</v>
      </c>
      <c r="K565" s="8">
        <v>0</v>
      </c>
      <c r="L565" s="8">
        <v>0</v>
      </c>
      <c r="M565" s="8">
        <v>270000</v>
      </c>
      <c r="N565" s="8">
        <v>0</v>
      </c>
      <c r="O565" s="8">
        <v>0</v>
      </c>
      <c r="P565" s="8">
        <v>0</v>
      </c>
      <c r="Q565" s="8">
        <v>0</v>
      </c>
      <c r="R565" s="8">
        <f t="shared" si="116"/>
        <v>270000</v>
      </c>
      <c r="S565" s="8">
        <v>0</v>
      </c>
      <c r="T565" s="8">
        <v>0</v>
      </c>
      <c r="U565" s="8">
        <v>270000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7">
        <v>0.81095899999999999</v>
      </c>
      <c r="AB565" s="8">
        <v>200885.41811</v>
      </c>
      <c r="AC565" s="7">
        <v>2.0299999999999998</v>
      </c>
      <c r="AD565" s="7" t="s">
        <v>1226</v>
      </c>
      <c r="AE565" s="8">
        <v>202500</v>
      </c>
      <c r="AF565" s="8">
        <v>0</v>
      </c>
      <c r="AG565" s="8">
        <v>202500</v>
      </c>
      <c r="AH565" s="8">
        <v>0</v>
      </c>
      <c r="AI565" s="7" t="s">
        <v>1877</v>
      </c>
      <c r="AJ565" s="7">
        <f t="shared" ca="1" si="117"/>
        <v>1</v>
      </c>
      <c r="AL565" s="96">
        <f t="shared" si="130"/>
        <v>2.9379278295286306E-3</v>
      </c>
      <c r="AM565" s="97">
        <f t="shared" si="131"/>
        <v>7.1063123950269305E-3</v>
      </c>
    </row>
    <row r="566" spans="1:39" x14ac:dyDescent="0.3">
      <c r="A566" s="7" t="s">
        <v>2467</v>
      </c>
      <c r="B566" s="7" t="s">
        <v>1735</v>
      </c>
      <c r="C566" s="7" t="s">
        <v>1323</v>
      </c>
      <c r="D566" s="7" t="s">
        <v>1780</v>
      </c>
      <c r="E566" s="7" t="s">
        <v>1322</v>
      </c>
      <c r="F566" s="36">
        <v>43800</v>
      </c>
      <c r="G566" s="36">
        <v>44895</v>
      </c>
      <c r="H566" s="36">
        <v>44895</v>
      </c>
      <c r="I566" s="36">
        <v>44895</v>
      </c>
      <c r="J566" s="7" t="s">
        <v>1696</v>
      </c>
      <c r="K566" s="8">
        <v>0</v>
      </c>
      <c r="L566" s="8">
        <v>0</v>
      </c>
      <c r="M566" s="8">
        <v>310500</v>
      </c>
      <c r="N566" s="8">
        <v>0</v>
      </c>
      <c r="O566" s="8">
        <v>0</v>
      </c>
      <c r="P566" s="8">
        <v>0</v>
      </c>
      <c r="Q566" s="8">
        <v>0</v>
      </c>
      <c r="R566" s="8">
        <f t="shared" si="116"/>
        <v>310500</v>
      </c>
      <c r="S566" s="8">
        <v>0</v>
      </c>
      <c r="T566" s="8">
        <v>0</v>
      </c>
      <c r="U566" s="8">
        <v>310500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7">
        <v>0.91506799999999999</v>
      </c>
      <c r="AB566" s="8">
        <v>282233.74816999998</v>
      </c>
      <c r="AC566" s="7">
        <v>2.0299999999999998</v>
      </c>
      <c r="AD566" s="7" t="s">
        <v>1226</v>
      </c>
      <c r="AE566" s="8">
        <v>284625</v>
      </c>
      <c r="AF566" s="8">
        <v>0</v>
      </c>
      <c r="AG566" s="8">
        <v>284625</v>
      </c>
      <c r="AH566" s="8">
        <v>0</v>
      </c>
      <c r="AI566" s="7" t="s">
        <v>1877</v>
      </c>
      <c r="AJ566" s="7">
        <f t="shared" ca="1" si="117"/>
        <v>1</v>
      </c>
      <c r="AL566" s="96">
        <f t="shared" si="130"/>
        <v>4.6575349612315037E-3</v>
      </c>
      <c r="AM566" s="97">
        <f t="shared" si="131"/>
        <v>9.988316866343409E-3</v>
      </c>
    </row>
    <row r="567" spans="1:39" x14ac:dyDescent="0.3">
      <c r="A567" s="7" t="s">
        <v>2468</v>
      </c>
      <c r="B567" s="7" t="s">
        <v>1735</v>
      </c>
      <c r="D567" s="7" t="s">
        <v>1780</v>
      </c>
      <c r="E567" s="7" t="s">
        <v>1739</v>
      </c>
      <c r="F567" s="36">
        <v>43809</v>
      </c>
      <c r="G567" s="36">
        <v>44966</v>
      </c>
      <c r="I567" s="36">
        <v>44966</v>
      </c>
      <c r="J567" s="7" t="s">
        <v>1696</v>
      </c>
      <c r="K567" s="8">
        <v>0</v>
      </c>
      <c r="L567" s="8">
        <v>0</v>
      </c>
      <c r="M567" s="8">
        <v>1048762.441746</v>
      </c>
      <c r="N567" s="8">
        <v>0</v>
      </c>
      <c r="O567" s="8">
        <v>0</v>
      </c>
      <c r="P567" s="8">
        <v>0</v>
      </c>
      <c r="Q567" s="8">
        <v>0</v>
      </c>
      <c r="R567" s="8">
        <f t="shared" si="116"/>
        <v>1048762.441746</v>
      </c>
      <c r="S567" s="8">
        <v>0</v>
      </c>
      <c r="T567" s="8">
        <v>0</v>
      </c>
      <c r="U567" s="8">
        <v>215325</v>
      </c>
      <c r="V567" s="8">
        <v>0</v>
      </c>
      <c r="W567" s="8">
        <v>0</v>
      </c>
      <c r="X567" s="8">
        <v>0</v>
      </c>
      <c r="Y567" s="8">
        <v>0</v>
      </c>
      <c r="Z567" s="8">
        <v>-551469.83865599998</v>
      </c>
      <c r="AA567" s="7">
        <v>1.1095889999999999</v>
      </c>
      <c r="AB567" s="8">
        <v>176261.07212900001</v>
      </c>
      <c r="AC567" s="7">
        <v>2.4066670000000001</v>
      </c>
      <c r="AD567" s="7" t="s">
        <v>1697</v>
      </c>
      <c r="AE567" s="8">
        <v>204750</v>
      </c>
      <c r="AF567" s="8">
        <v>0</v>
      </c>
      <c r="AG567" s="8">
        <v>204750</v>
      </c>
      <c r="AH567" s="8">
        <v>0</v>
      </c>
      <c r="AI567" s="7" t="s">
        <v>1877</v>
      </c>
      <c r="AJ567" s="7">
        <f t="shared" ca="1" si="117"/>
        <v>1</v>
      </c>
      <c r="AL567" s="96">
        <f t="shared" si="130"/>
        <v>3.5270560556148311E-3</v>
      </c>
      <c r="AM567" s="97">
        <f t="shared" si="131"/>
        <v>8.5185003036946216E-3</v>
      </c>
    </row>
    <row r="568" spans="1:39" x14ac:dyDescent="0.3">
      <c r="A568" s="7" t="s">
        <v>2501</v>
      </c>
      <c r="B568" s="7" t="s">
        <v>194</v>
      </c>
      <c r="D568" s="7" t="s">
        <v>2335</v>
      </c>
      <c r="E568" s="7" t="s">
        <v>1322</v>
      </c>
      <c r="F568" s="36">
        <v>43800</v>
      </c>
      <c r="G568" s="36">
        <v>45077</v>
      </c>
      <c r="H568" s="36">
        <v>45077</v>
      </c>
      <c r="I568" s="36">
        <v>45077</v>
      </c>
      <c r="J568" s="7" t="s">
        <v>1696</v>
      </c>
      <c r="K568" s="8">
        <v>0</v>
      </c>
      <c r="L568" s="8">
        <v>0</v>
      </c>
      <c r="M568" s="8">
        <v>193206.84254400001</v>
      </c>
      <c r="N568" s="8">
        <v>0</v>
      </c>
      <c r="O568" s="8">
        <v>0</v>
      </c>
      <c r="P568" s="8">
        <v>0</v>
      </c>
      <c r="Q568" s="8">
        <v>0</v>
      </c>
      <c r="R568" s="8">
        <f t="shared" si="116"/>
        <v>193206.84254400001</v>
      </c>
      <c r="S568" s="8">
        <v>0</v>
      </c>
      <c r="T568" s="8">
        <v>0</v>
      </c>
      <c r="U568" s="8">
        <v>193206.84254400001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7">
        <v>1.413699</v>
      </c>
      <c r="AB568" s="8">
        <v>267433.36834599997</v>
      </c>
      <c r="AC568" s="7">
        <v>3.5</v>
      </c>
      <c r="AD568" s="7" t="s">
        <v>1226</v>
      </c>
      <c r="AE568" s="8">
        <v>273709.69360399997</v>
      </c>
      <c r="AF568" s="8">
        <v>0</v>
      </c>
      <c r="AG568" s="8">
        <v>273709.69360399997</v>
      </c>
      <c r="AH568" s="8">
        <v>0</v>
      </c>
      <c r="AI568" s="7" t="s">
        <v>1781</v>
      </c>
      <c r="AJ568" s="7">
        <f t="shared" ca="1" si="117"/>
        <v>1</v>
      </c>
      <c r="AL568" s="96">
        <f t="shared" si="130"/>
        <v>6.8181469461175937E-3</v>
      </c>
      <c r="AM568" s="97">
        <f t="shared" si="131"/>
        <v>1.6560805349485983E-2</v>
      </c>
    </row>
    <row r="569" spans="1:39" x14ac:dyDescent="0.3">
      <c r="A569" s="7" t="s">
        <v>2508</v>
      </c>
      <c r="B569" s="7" t="s">
        <v>1320</v>
      </c>
      <c r="C569" s="7" t="s">
        <v>1323</v>
      </c>
      <c r="D569" s="7" t="s">
        <v>1324</v>
      </c>
      <c r="E569" s="7" t="s">
        <v>1739</v>
      </c>
      <c r="F569" s="36">
        <v>41883</v>
      </c>
      <c r="G569" s="36">
        <v>43708</v>
      </c>
      <c r="J569" s="7" t="s">
        <v>1696</v>
      </c>
      <c r="K569" s="8">
        <v>0</v>
      </c>
      <c r="L569" s="8">
        <v>0</v>
      </c>
      <c r="M569" s="8">
        <v>0.23599999999999999</v>
      </c>
      <c r="N569" s="8">
        <v>0</v>
      </c>
      <c r="O569" s="8">
        <v>0</v>
      </c>
      <c r="P569" s="8">
        <v>0</v>
      </c>
      <c r="Q569" s="8">
        <v>0</v>
      </c>
      <c r="R569" s="8">
        <f t="shared" si="116"/>
        <v>0.23599999999999999</v>
      </c>
      <c r="S569" s="8">
        <v>0</v>
      </c>
      <c r="T569" s="8">
        <v>0</v>
      </c>
      <c r="U569" s="8">
        <v>0.24</v>
      </c>
      <c r="V569" s="8">
        <v>0</v>
      </c>
      <c r="W569" s="8">
        <v>0</v>
      </c>
      <c r="X569" s="8">
        <v>0</v>
      </c>
      <c r="Y569" s="8">
        <v>0</v>
      </c>
      <c r="Z569" s="8">
        <v>0.22758999999999999</v>
      </c>
      <c r="AA569" s="7">
        <v>0</v>
      </c>
      <c r="AB569" s="8">
        <v>0</v>
      </c>
      <c r="AC569" s="7">
        <v>2.181667</v>
      </c>
      <c r="AD569" s="7" t="s">
        <v>1226</v>
      </c>
      <c r="AE569" s="8">
        <v>0</v>
      </c>
      <c r="AF569" s="8">
        <v>0</v>
      </c>
      <c r="AG569" s="8">
        <v>0</v>
      </c>
      <c r="AH569" s="8">
        <v>0</v>
      </c>
      <c r="AI569" s="7" t="s">
        <v>1758</v>
      </c>
      <c r="AJ569" s="7">
        <f t="shared" ca="1" si="117"/>
        <v>1</v>
      </c>
      <c r="AL569" s="96">
        <f t="shared" si="130"/>
        <v>0</v>
      </c>
      <c r="AM569" s="97">
        <f t="shared" si="131"/>
        <v>0</v>
      </c>
    </row>
    <row r="570" spans="1:39" x14ac:dyDescent="0.3">
      <c r="A570" s="7" t="s">
        <v>2508</v>
      </c>
      <c r="B570" s="7" t="s">
        <v>1320</v>
      </c>
      <c r="C570" s="7" t="s">
        <v>1323</v>
      </c>
      <c r="D570" s="7" t="s">
        <v>1324</v>
      </c>
      <c r="E570" s="7" t="s">
        <v>1739</v>
      </c>
      <c r="F570" s="36">
        <v>41883</v>
      </c>
      <c r="G570" s="36">
        <v>43708</v>
      </c>
      <c r="J570" s="7" t="s">
        <v>1699</v>
      </c>
      <c r="K570" s="8">
        <v>0</v>
      </c>
      <c r="L570" s="8">
        <v>0</v>
      </c>
      <c r="M570" s="8">
        <v>0</v>
      </c>
      <c r="N570" s="8">
        <v>142221.35999999999</v>
      </c>
      <c r="O570" s="8">
        <v>0</v>
      </c>
      <c r="P570" s="8">
        <v>0</v>
      </c>
      <c r="Q570" s="8">
        <v>0</v>
      </c>
      <c r="R570" s="8">
        <f t="shared" si="116"/>
        <v>142221.35999999999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7">
        <v>0</v>
      </c>
      <c r="AB570" s="8">
        <v>0</v>
      </c>
      <c r="AC570" s="7">
        <v>2.181667</v>
      </c>
      <c r="AD570" s="7" t="s">
        <v>1226</v>
      </c>
      <c r="AE570" s="8">
        <v>11851.78</v>
      </c>
      <c r="AF570" s="8">
        <v>0</v>
      </c>
      <c r="AG570" s="8">
        <v>11851.78</v>
      </c>
      <c r="AH570" s="8">
        <v>0</v>
      </c>
      <c r="AI570" s="7" t="s">
        <v>1758</v>
      </c>
      <c r="AJ570" s="7">
        <f t="shared" ca="1" si="117"/>
        <v>2</v>
      </c>
      <c r="AL570" s="100">
        <f>(+AA570*AB570)/$AB$613</f>
        <v>0</v>
      </c>
      <c r="AM570" s="97">
        <f>AC570/$AE$613*AE570</f>
        <v>1.8885594090060048E-2</v>
      </c>
    </row>
    <row r="571" spans="1:39" x14ac:dyDescent="0.3">
      <c r="A571" s="7" t="s">
        <v>2511</v>
      </c>
      <c r="B571" s="7" t="s">
        <v>1320</v>
      </c>
      <c r="C571" s="7" t="s">
        <v>1323</v>
      </c>
      <c r="D571" s="7" t="s">
        <v>1792</v>
      </c>
      <c r="E571" s="7" t="s">
        <v>1322</v>
      </c>
      <c r="F571" s="36">
        <v>43831</v>
      </c>
      <c r="G571" s="36">
        <v>44926</v>
      </c>
      <c r="H571" s="36">
        <v>44926</v>
      </c>
      <c r="I571" s="36">
        <v>44926</v>
      </c>
      <c r="J571" s="7" t="s">
        <v>1696</v>
      </c>
      <c r="K571" s="8">
        <v>0</v>
      </c>
      <c r="L571" s="8">
        <v>0</v>
      </c>
      <c r="M571" s="8">
        <v>4500</v>
      </c>
      <c r="N571" s="8">
        <v>0</v>
      </c>
      <c r="O571" s="8">
        <v>0</v>
      </c>
      <c r="P571" s="8">
        <v>0</v>
      </c>
      <c r="Q571" s="8">
        <v>0</v>
      </c>
      <c r="R571" s="8">
        <f t="shared" si="116"/>
        <v>4500</v>
      </c>
      <c r="S571" s="8">
        <v>0</v>
      </c>
      <c r="T571" s="8">
        <v>0</v>
      </c>
      <c r="U571" s="8">
        <v>4500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7">
        <v>1</v>
      </c>
      <c r="AB571" s="8">
        <v>4458.4363590000003</v>
      </c>
      <c r="AC571" s="7">
        <v>2.0299999999999998</v>
      </c>
      <c r="AD571" s="7" t="s">
        <v>1226</v>
      </c>
      <c r="AE571" s="8">
        <v>4500</v>
      </c>
      <c r="AF571" s="8">
        <v>0</v>
      </c>
      <c r="AG571" s="8">
        <v>4500</v>
      </c>
      <c r="AH571" s="8">
        <v>0</v>
      </c>
      <c r="AI571" s="7" t="s">
        <v>1760</v>
      </c>
      <c r="AJ571" s="7">
        <f t="shared" ca="1" si="117"/>
        <v>1</v>
      </c>
      <c r="AL571" s="96">
        <f>(+AA571*AB571)/$AB$612</f>
        <v>8.0403764642929577E-5</v>
      </c>
      <c r="AM571" s="97">
        <f>AC571/$AE$612*AE571</f>
        <v>1.5791805322282068E-4</v>
      </c>
    </row>
    <row r="572" spans="1:39" x14ac:dyDescent="0.3">
      <c r="A572" s="7" t="s">
        <v>2515</v>
      </c>
      <c r="B572" s="7" t="s">
        <v>1320</v>
      </c>
      <c r="C572" s="7" t="s">
        <v>1323</v>
      </c>
      <c r="D572" s="7" t="s">
        <v>2516</v>
      </c>
      <c r="E572" s="7" t="s">
        <v>1739</v>
      </c>
      <c r="F572" s="36">
        <v>42522</v>
      </c>
      <c r="G572" s="36">
        <v>43616</v>
      </c>
      <c r="J572" s="7" t="s">
        <v>1699</v>
      </c>
      <c r="K572" s="8">
        <v>0</v>
      </c>
      <c r="L572" s="8">
        <v>0</v>
      </c>
      <c r="M572" s="8">
        <v>0</v>
      </c>
      <c r="N572" s="8">
        <v>3600</v>
      </c>
      <c r="O572" s="8">
        <v>0</v>
      </c>
      <c r="P572" s="8">
        <v>0</v>
      </c>
      <c r="Q572" s="8">
        <v>0</v>
      </c>
      <c r="R572" s="8">
        <f t="shared" si="116"/>
        <v>3600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7">
        <v>0</v>
      </c>
      <c r="AB572" s="8">
        <v>0</v>
      </c>
      <c r="AC572" s="7">
        <v>2.0299999999999998</v>
      </c>
      <c r="AD572" s="7" t="s">
        <v>1226</v>
      </c>
      <c r="AE572" s="8">
        <v>0</v>
      </c>
      <c r="AF572" s="8">
        <v>0</v>
      </c>
      <c r="AG572" s="8">
        <v>0</v>
      </c>
      <c r="AH572" s="8">
        <v>0</v>
      </c>
      <c r="AI572" s="7" t="s">
        <v>1730</v>
      </c>
      <c r="AJ572" s="7">
        <f t="shared" ca="1" si="117"/>
        <v>1</v>
      </c>
      <c r="AL572" s="100">
        <f t="shared" ref="AL572:AL573" si="132">(+AA572*AB572)/$AB$613</f>
        <v>0</v>
      </c>
      <c r="AM572" s="97">
        <f t="shared" ref="AM572:AM573" si="133">AC572/$AE$613*AE572</f>
        <v>0</v>
      </c>
    </row>
    <row r="573" spans="1:39" x14ac:dyDescent="0.3">
      <c r="A573" s="7" t="s">
        <v>2517</v>
      </c>
      <c r="B573" s="7" t="s">
        <v>1320</v>
      </c>
      <c r="C573" s="7" t="s">
        <v>1323</v>
      </c>
      <c r="D573" s="7" t="s">
        <v>2516</v>
      </c>
      <c r="E573" s="7" t="s">
        <v>1739</v>
      </c>
      <c r="F573" s="36">
        <v>42522</v>
      </c>
      <c r="G573" s="36">
        <v>43616</v>
      </c>
      <c r="J573" s="7" t="s">
        <v>1699</v>
      </c>
      <c r="K573" s="8">
        <v>0</v>
      </c>
      <c r="L573" s="8">
        <v>0</v>
      </c>
      <c r="M573" s="8">
        <v>0</v>
      </c>
      <c r="N573" s="8">
        <v>3600</v>
      </c>
      <c r="O573" s="8">
        <v>0</v>
      </c>
      <c r="P573" s="8">
        <v>0</v>
      </c>
      <c r="Q573" s="8">
        <v>0</v>
      </c>
      <c r="R573" s="8">
        <f t="shared" si="116"/>
        <v>3600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7">
        <v>0</v>
      </c>
      <c r="AB573" s="8">
        <v>0</v>
      </c>
      <c r="AC573" s="7">
        <v>1.5760000000000001</v>
      </c>
      <c r="AD573" s="7" t="s">
        <v>1697</v>
      </c>
      <c r="AE573" s="8">
        <v>0</v>
      </c>
      <c r="AF573" s="8">
        <v>0</v>
      </c>
      <c r="AG573" s="8">
        <v>0</v>
      </c>
      <c r="AH573" s="8">
        <v>0</v>
      </c>
      <c r="AI573" s="7" t="s">
        <v>1730</v>
      </c>
      <c r="AJ573" s="7">
        <f t="shared" ca="1" si="117"/>
        <v>1</v>
      </c>
      <c r="AL573" s="100">
        <f t="shared" si="132"/>
        <v>0</v>
      </c>
      <c r="AM573" s="97">
        <f t="shared" si="133"/>
        <v>0</v>
      </c>
    </row>
    <row r="574" spans="1:39" x14ac:dyDescent="0.3">
      <c r="A574" s="7" t="s">
        <v>2531</v>
      </c>
      <c r="B574" s="7" t="s">
        <v>1735</v>
      </c>
      <c r="C574" s="7" t="s">
        <v>1323</v>
      </c>
      <c r="D574" s="7" t="s">
        <v>1324</v>
      </c>
      <c r="E574" s="7" t="s">
        <v>1322</v>
      </c>
      <c r="F574" s="36">
        <v>44105</v>
      </c>
      <c r="G574" s="36">
        <v>48852</v>
      </c>
      <c r="H574" s="36">
        <v>48852</v>
      </c>
      <c r="I574" s="36">
        <v>52504</v>
      </c>
      <c r="J574" s="7" t="s">
        <v>1696</v>
      </c>
      <c r="K574" s="8">
        <v>0</v>
      </c>
      <c r="L574" s="8">
        <v>0</v>
      </c>
      <c r="M574" s="8">
        <v>54114.336960000001</v>
      </c>
      <c r="N574" s="8">
        <v>0</v>
      </c>
      <c r="O574" s="8">
        <v>0</v>
      </c>
      <c r="P574" s="8">
        <v>0</v>
      </c>
      <c r="Q574" s="8">
        <v>0</v>
      </c>
      <c r="R574" s="8">
        <f t="shared" si="116"/>
        <v>54114.336960000001</v>
      </c>
      <c r="S574" s="8">
        <v>0</v>
      </c>
      <c r="T574" s="8">
        <v>0</v>
      </c>
      <c r="U574" s="8">
        <v>48659.59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7">
        <v>21.761644</v>
      </c>
      <c r="AB574" s="8">
        <v>839586.19918300002</v>
      </c>
      <c r="AC574" s="7">
        <v>3.74</v>
      </c>
      <c r="AD574" s="7" t="s">
        <v>1226</v>
      </c>
      <c r="AE574" s="8">
        <v>1259035.52</v>
      </c>
      <c r="AF574" s="8">
        <v>0</v>
      </c>
      <c r="AG574" s="8">
        <v>1259035.52</v>
      </c>
      <c r="AH574" s="8">
        <v>0</v>
      </c>
      <c r="AI574" s="7" t="s">
        <v>2532</v>
      </c>
      <c r="AJ574" s="7">
        <f t="shared" ca="1" si="117"/>
        <v>1</v>
      </c>
      <c r="AL574" s="96">
        <f t="shared" ref="AL574:AL580" si="134">(+AA574*AB574)/$AB$612</f>
        <v>0.32949649898812078</v>
      </c>
      <c r="AM574" s="97">
        <f t="shared" ref="AM574:AM580" si="135">AC574/$AE$612*AE574</f>
        <v>8.1401576254008068E-2</v>
      </c>
    </row>
    <row r="575" spans="1:39" x14ac:dyDescent="0.3">
      <c r="A575" s="7" t="s">
        <v>2533</v>
      </c>
      <c r="B575" s="7" t="s">
        <v>1735</v>
      </c>
      <c r="C575" s="7" t="s">
        <v>1323</v>
      </c>
      <c r="D575" s="7" t="s">
        <v>1324</v>
      </c>
      <c r="E575" s="7" t="s">
        <v>1322</v>
      </c>
      <c r="F575" s="36">
        <v>44105</v>
      </c>
      <c r="G575" s="36">
        <v>48852</v>
      </c>
      <c r="H575" s="36">
        <v>48852</v>
      </c>
      <c r="I575" s="36">
        <v>52504</v>
      </c>
      <c r="J575" s="7" t="s">
        <v>1696</v>
      </c>
      <c r="K575" s="8">
        <v>0</v>
      </c>
      <c r="L575" s="8">
        <v>0</v>
      </c>
      <c r="M575" s="8">
        <v>53215.610004000002</v>
      </c>
      <c r="N575" s="8">
        <v>0</v>
      </c>
      <c r="O575" s="8">
        <v>0</v>
      </c>
      <c r="P575" s="8">
        <v>0</v>
      </c>
      <c r="Q575" s="8">
        <v>0</v>
      </c>
      <c r="R575" s="8">
        <f t="shared" si="116"/>
        <v>53215.610004000002</v>
      </c>
      <c r="S575" s="8">
        <v>0</v>
      </c>
      <c r="T575" s="8">
        <v>0</v>
      </c>
      <c r="U575" s="8">
        <v>48659.59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7">
        <v>21.761644</v>
      </c>
      <c r="AB575" s="8">
        <v>837160.41552200005</v>
      </c>
      <c r="AC575" s="7">
        <v>3.74</v>
      </c>
      <c r="AD575" s="7" t="s">
        <v>1226</v>
      </c>
      <c r="AE575" s="8">
        <v>1238364.8</v>
      </c>
      <c r="AF575" s="8">
        <v>0</v>
      </c>
      <c r="AG575" s="8">
        <v>1238364.8</v>
      </c>
      <c r="AH575" s="8">
        <v>0</v>
      </c>
      <c r="AI575" s="7" t="s">
        <v>2532</v>
      </c>
      <c r="AJ575" s="7">
        <f t="shared" ca="1" si="117"/>
        <v>1</v>
      </c>
      <c r="AL575" s="96">
        <f t="shared" si="134"/>
        <v>0.32854449760412963</v>
      </c>
      <c r="AM575" s="97">
        <f t="shared" si="135"/>
        <v>8.0065133267629693E-2</v>
      </c>
    </row>
    <row r="576" spans="1:39" x14ac:dyDescent="0.3">
      <c r="A576" s="7" t="s">
        <v>2534</v>
      </c>
      <c r="B576" s="7" t="s">
        <v>1735</v>
      </c>
      <c r="C576" s="7" t="s">
        <v>1323</v>
      </c>
      <c r="D576" s="7" t="s">
        <v>1324</v>
      </c>
      <c r="E576" s="7" t="s">
        <v>1322</v>
      </c>
      <c r="F576" s="36">
        <v>44105</v>
      </c>
      <c r="G576" s="36">
        <v>48852</v>
      </c>
      <c r="H576" s="36">
        <v>48852</v>
      </c>
      <c r="I576" s="36">
        <v>52504</v>
      </c>
      <c r="J576" s="7" t="s">
        <v>1696</v>
      </c>
      <c r="K576" s="8">
        <v>0</v>
      </c>
      <c r="L576" s="8">
        <v>0</v>
      </c>
      <c r="M576" s="8">
        <v>54114.336960000001</v>
      </c>
      <c r="N576" s="8">
        <v>0</v>
      </c>
      <c r="O576" s="8">
        <v>0</v>
      </c>
      <c r="P576" s="8">
        <v>0</v>
      </c>
      <c r="Q576" s="8">
        <v>0</v>
      </c>
      <c r="R576" s="8">
        <f t="shared" si="116"/>
        <v>54114.336960000001</v>
      </c>
      <c r="S576" s="8">
        <v>0</v>
      </c>
      <c r="T576" s="8">
        <v>0</v>
      </c>
      <c r="U576" s="8">
        <v>48659.59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7">
        <v>21.761644</v>
      </c>
      <c r="AB576" s="8">
        <v>847460.82180399995</v>
      </c>
      <c r="AC576" s="7">
        <v>3.74</v>
      </c>
      <c r="AD576" s="7" t="s">
        <v>1226</v>
      </c>
      <c r="AE576" s="8">
        <v>1259035.52</v>
      </c>
      <c r="AF576" s="8">
        <v>0</v>
      </c>
      <c r="AG576" s="8">
        <v>1259035.52</v>
      </c>
      <c r="AH576" s="8">
        <v>0</v>
      </c>
      <c r="AI576" s="7" t="s">
        <v>2532</v>
      </c>
      <c r="AJ576" s="7">
        <f t="shared" ca="1" si="117"/>
        <v>1</v>
      </c>
      <c r="AL576" s="96">
        <f t="shared" si="134"/>
        <v>0.3325869030312042</v>
      </c>
      <c r="AM576" s="97">
        <f t="shared" si="135"/>
        <v>8.1401576254008068E-2</v>
      </c>
    </row>
    <row r="577" spans="1:39" x14ac:dyDescent="0.3">
      <c r="A577" s="7" t="s">
        <v>2535</v>
      </c>
      <c r="B577" s="7" t="s">
        <v>1320</v>
      </c>
      <c r="C577" s="7" t="s">
        <v>1323</v>
      </c>
      <c r="D577" s="7" t="s">
        <v>1324</v>
      </c>
      <c r="E577" s="7" t="s">
        <v>1322</v>
      </c>
      <c r="F577" s="36">
        <v>41548</v>
      </c>
      <c r="G577" s="36">
        <v>48852</v>
      </c>
      <c r="H577" s="36">
        <v>48852</v>
      </c>
      <c r="I577" s="36">
        <v>48852</v>
      </c>
      <c r="J577" s="7" t="s">
        <v>1696</v>
      </c>
      <c r="K577" s="8">
        <v>0</v>
      </c>
      <c r="L577" s="8">
        <v>0</v>
      </c>
      <c r="M577" s="8">
        <v>141416.559996</v>
      </c>
      <c r="N577" s="8">
        <v>0</v>
      </c>
      <c r="O577" s="8">
        <v>0</v>
      </c>
      <c r="P577" s="8">
        <v>0</v>
      </c>
      <c r="Q577" s="8">
        <v>0</v>
      </c>
      <c r="R577" s="8">
        <f t="shared" si="116"/>
        <v>141416.559996</v>
      </c>
      <c r="S577" s="8">
        <v>0</v>
      </c>
      <c r="T577" s="8">
        <v>0</v>
      </c>
      <c r="U577" s="8">
        <v>141166.56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7">
        <v>11.756164</v>
      </c>
      <c r="AB577" s="8">
        <v>1343811.0373509999</v>
      </c>
      <c r="AC577" s="7">
        <v>3.74</v>
      </c>
      <c r="AD577" s="7" t="s">
        <v>1226</v>
      </c>
      <c r="AE577" s="8">
        <v>1658707.08</v>
      </c>
      <c r="AF577" s="8">
        <v>5000</v>
      </c>
      <c r="AG577" s="8">
        <v>1663707.08</v>
      </c>
      <c r="AH577" s="8">
        <v>0</v>
      </c>
      <c r="AI577" s="7" t="s">
        <v>2532</v>
      </c>
      <c r="AJ577" s="7">
        <f t="shared" ca="1" si="117"/>
        <v>1</v>
      </c>
      <c r="AL577" s="96">
        <f t="shared" si="134"/>
        <v>0.28490341280447784</v>
      </c>
      <c r="AM577" s="97">
        <f t="shared" si="135"/>
        <v>0.10724190756404002</v>
      </c>
    </row>
    <row r="578" spans="1:39" x14ac:dyDescent="0.3">
      <c r="A578" s="7" t="s">
        <v>2536</v>
      </c>
      <c r="B578" s="7" t="s">
        <v>1320</v>
      </c>
      <c r="C578" s="7" t="s">
        <v>1323</v>
      </c>
      <c r="D578" s="7" t="s">
        <v>1324</v>
      </c>
      <c r="E578" s="7" t="s">
        <v>1322</v>
      </c>
      <c r="F578" s="36">
        <v>43770</v>
      </c>
      <c r="G578" s="36">
        <v>44865</v>
      </c>
      <c r="H578" s="36">
        <v>44865</v>
      </c>
      <c r="I578" s="36">
        <v>44865</v>
      </c>
      <c r="J578" s="7" t="s">
        <v>1696</v>
      </c>
      <c r="K578" s="8">
        <v>0</v>
      </c>
      <c r="L578" s="8">
        <v>0</v>
      </c>
      <c r="M578" s="8">
        <v>2400</v>
      </c>
      <c r="N578" s="8">
        <v>0</v>
      </c>
      <c r="O578" s="8">
        <v>0</v>
      </c>
      <c r="P578" s="8">
        <v>0</v>
      </c>
      <c r="Q578" s="8">
        <v>0</v>
      </c>
      <c r="R578" s="8">
        <f t="shared" si="116"/>
        <v>2400</v>
      </c>
      <c r="S578" s="8">
        <v>0</v>
      </c>
      <c r="T578" s="8">
        <v>0</v>
      </c>
      <c r="U578" s="8">
        <v>2500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7">
        <v>0.83287699999999998</v>
      </c>
      <c r="AB578" s="8">
        <v>2085.8677699999998</v>
      </c>
      <c r="AC578" s="7">
        <v>2.0299999999999998</v>
      </c>
      <c r="AD578" s="7" t="s">
        <v>1226</v>
      </c>
      <c r="AE578" s="8">
        <v>2100</v>
      </c>
      <c r="AF578" s="8">
        <v>0</v>
      </c>
      <c r="AG578" s="8">
        <v>2100</v>
      </c>
      <c r="AH578" s="8">
        <v>0</v>
      </c>
      <c r="AI578" s="7" t="s">
        <v>1730</v>
      </c>
      <c r="AJ578" s="7">
        <f t="shared" ca="1" si="117"/>
        <v>1</v>
      </c>
      <c r="AL578" s="96">
        <f t="shared" si="134"/>
        <v>3.1330076450306033E-5</v>
      </c>
      <c r="AM578" s="97">
        <f t="shared" si="135"/>
        <v>7.3695091503982985E-5</v>
      </c>
    </row>
    <row r="579" spans="1:39" x14ac:dyDescent="0.3">
      <c r="A579" s="7" t="s">
        <v>2607</v>
      </c>
      <c r="B579" s="7" t="s">
        <v>1320</v>
      </c>
      <c r="C579" s="7" t="s">
        <v>1323</v>
      </c>
      <c r="D579" s="7" t="s">
        <v>2202</v>
      </c>
      <c r="E579" s="7" t="s">
        <v>1322</v>
      </c>
      <c r="F579" s="36">
        <v>43466</v>
      </c>
      <c r="G579" s="36">
        <v>44561</v>
      </c>
      <c r="H579" s="36">
        <v>44561</v>
      </c>
      <c r="I579" s="36">
        <v>44561</v>
      </c>
      <c r="J579" s="7" t="s">
        <v>1696</v>
      </c>
      <c r="K579" s="8">
        <v>0</v>
      </c>
      <c r="L579" s="8">
        <v>0</v>
      </c>
      <c r="M579" s="8">
        <v>49055.668002999999</v>
      </c>
      <c r="N579" s="8">
        <v>0</v>
      </c>
      <c r="O579" s="8">
        <v>0</v>
      </c>
      <c r="P579" s="8">
        <v>0</v>
      </c>
      <c r="Q579" s="8">
        <v>0</v>
      </c>
      <c r="R579" s="8">
        <f t="shared" ref="R579:R608" si="136">K579+L579+M579+N579+O579+P579+Q579</f>
        <v>49055.668002999999</v>
      </c>
      <c r="S579" s="8">
        <v>0</v>
      </c>
      <c r="T579" s="8">
        <v>0</v>
      </c>
      <c r="U579" s="8">
        <v>66000</v>
      </c>
      <c r="V579" s="8">
        <v>0</v>
      </c>
      <c r="W579" s="8">
        <v>1466.64</v>
      </c>
      <c r="X579" s="8">
        <v>0</v>
      </c>
      <c r="Y579" s="8">
        <v>0</v>
      </c>
      <c r="Z579" s="8">
        <v>0</v>
      </c>
      <c r="AA579" s="7">
        <v>0</v>
      </c>
      <c r="AB579" s="8">
        <v>0</v>
      </c>
      <c r="AC579" s="7">
        <v>2.0299999999999998</v>
      </c>
      <c r="AD579" s="7" t="s">
        <v>1226</v>
      </c>
      <c r="AE579" s="8">
        <v>0</v>
      </c>
      <c r="AF579" s="8">
        <v>0</v>
      </c>
      <c r="AG579" s="8">
        <v>0</v>
      </c>
      <c r="AH579" s="8">
        <v>0</v>
      </c>
      <c r="AI579" s="7" t="s">
        <v>1758</v>
      </c>
      <c r="AJ579" s="7">
        <f t="shared" ref="AJ579:AJ608" ca="1" si="137">IF(A579=OFFSET(A579,-1,0),OFFSET(AJ579,-1,0)+1,1)</f>
        <v>1</v>
      </c>
      <c r="AL579" s="96">
        <f t="shared" si="134"/>
        <v>0</v>
      </c>
      <c r="AM579" s="97">
        <f t="shared" si="135"/>
        <v>0</v>
      </c>
    </row>
    <row r="580" spans="1:39" x14ac:dyDescent="0.3">
      <c r="A580" s="7" t="s">
        <v>2608</v>
      </c>
      <c r="B580" s="7" t="s">
        <v>1320</v>
      </c>
      <c r="C580" s="7" t="s">
        <v>1323</v>
      </c>
      <c r="D580" s="7" t="s">
        <v>2202</v>
      </c>
      <c r="E580" s="7" t="s">
        <v>1322</v>
      </c>
      <c r="F580" s="36">
        <v>43466</v>
      </c>
      <c r="G580" s="36">
        <v>44561</v>
      </c>
      <c r="H580" s="36">
        <v>44561</v>
      </c>
      <c r="I580" s="36">
        <v>44561</v>
      </c>
      <c r="J580" s="7" t="s">
        <v>1696</v>
      </c>
      <c r="K580" s="8">
        <v>0</v>
      </c>
      <c r="L580" s="8">
        <v>0</v>
      </c>
      <c r="M580" s="8">
        <v>13823.068617999999</v>
      </c>
      <c r="N580" s="8">
        <v>0</v>
      </c>
      <c r="O580" s="8">
        <v>0</v>
      </c>
      <c r="P580" s="8">
        <v>0</v>
      </c>
      <c r="Q580" s="8">
        <v>0</v>
      </c>
      <c r="R580" s="8">
        <f t="shared" si="136"/>
        <v>13823.068617999999</v>
      </c>
      <c r="S580" s="8">
        <v>0</v>
      </c>
      <c r="T580" s="8">
        <v>0</v>
      </c>
      <c r="U580" s="8">
        <v>17137.762200000001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7">
        <v>0</v>
      </c>
      <c r="AB580" s="8">
        <v>0</v>
      </c>
      <c r="AC580" s="7">
        <v>2.0299999999999998</v>
      </c>
      <c r="AD580" s="7" t="s">
        <v>1226</v>
      </c>
      <c r="AE580" s="8">
        <v>0</v>
      </c>
      <c r="AF580" s="8">
        <v>0</v>
      </c>
      <c r="AG580" s="8">
        <v>0</v>
      </c>
      <c r="AH580" s="8">
        <v>0</v>
      </c>
      <c r="AI580" s="7" t="s">
        <v>1730</v>
      </c>
      <c r="AJ580" s="7">
        <f t="shared" ca="1" si="137"/>
        <v>1</v>
      </c>
      <c r="AL580" s="96">
        <f t="shared" si="134"/>
        <v>0</v>
      </c>
      <c r="AM580" s="97">
        <f t="shared" si="135"/>
        <v>0</v>
      </c>
    </row>
    <row r="581" spans="1:39" x14ac:dyDescent="0.3">
      <c r="A581" s="7" t="s">
        <v>2544</v>
      </c>
      <c r="B581" s="7" t="s">
        <v>194</v>
      </c>
      <c r="D581" s="7" t="s">
        <v>2202</v>
      </c>
      <c r="E581" s="7" t="s">
        <v>1322</v>
      </c>
      <c r="F581" s="36">
        <v>43101</v>
      </c>
      <c r="G581" s="36">
        <v>44926</v>
      </c>
      <c r="H581" s="36">
        <v>44926</v>
      </c>
      <c r="I581" s="36">
        <v>44926</v>
      </c>
      <c r="J581" s="7" t="s">
        <v>1239</v>
      </c>
      <c r="K581" s="8">
        <v>0</v>
      </c>
      <c r="L581" s="8">
        <v>4534.5564140012229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f t="shared" si="136"/>
        <v>4534.5564140012229</v>
      </c>
      <c r="S581" s="8">
        <v>0</v>
      </c>
      <c r="T581" s="8">
        <v>1466.4250140003901</v>
      </c>
      <c r="U581" s="8">
        <v>0</v>
      </c>
      <c r="V581" s="8">
        <v>12933.574986003487</v>
      </c>
      <c r="W581" s="8">
        <v>0</v>
      </c>
      <c r="X581" s="8">
        <v>0</v>
      </c>
      <c r="Y581" s="8">
        <v>0</v>
      </c>
      <c r="Z581" s="8">
        <v>0</v>
      </c>
      <c r="AA581" s="7">
        <v>1</v>
      </c>
      <c r="AB581" s="8">
        <v>60497.717462016306</v>
      </c>
      <c r="AC581" s="7">
        <v>7</v>
      </c>
      <c r="AD581" s="7" t="s">
        <v>1226</v>
      </c>
      <c r="AE581" s="8">
        <v>14400.000000002376</v>
      </c>
      <c r="AF581" s="8">
        <v>50000.000000013475</v>
      </c>
      <c r="AG581" s="8">
        <v>64400.000000015854</v>
      </c>
      <c r="AH581" s="8">
        <v>0</v>
      </c>
      <c r="AI581" s="7" t="s">
        <v>1758</v>
      </c>
      <c r="AJ581" s="7">
        <f t="shared" ca="1" si="137"/>
        <v>1</v>
      </c>
      <c r="AL581" s="96">
        <f t="shared" ref="AL581:AL597" si="138">(+AA581*AB581)/$AB$611</f>
        <v>3.627259980708098E-4</v>
      </c>
      <c r="AM581" s="97">
        <f t="shared" ref="AM581:AM597" si="139">AC581/$AE$611*AE581</f>
        <v>6.5602330245919402E-4</v>
      </c>
    </row>
    <row r="582" spans="1:39" x14ac:dyDescent="0.3">
      <c r="A582" s="7" t="s">
        <v>2545</v>
      </c>
      <c r="B582" s="7" t="s">
        <v>1735</v>
      </c>
      <c r="C582" s="7" t="s">
        <v>1323</v>
      </c>
      <c r="D582" s="7" t="s">
        <v>1324</v>
      </c>
      <c r="E582" s="7" t="s">
        <v>1322</v>
      </c>
      <c r="F582" s="36">
        <v>41548</v>
      </c>
      <c r="G582" s="36">
        <v>48852</v>
      </c>
      <c r="H582" s="36">
        <v>48852</v>
      </c>
      <c r="I582" s="36">
        <v>48852</v>
      </c>
      <c r="J582" s="7" t="s">
        <v>1696</v>
      </c>
      <c r="K582" s="8">
        <v>0</v>
      </c>
      <c r="L582" s="8">
        <v>0</v>
      </c>
      <c r="M582" s="8">
        <v>282583.120008</v>
      </c>
      <c r="N582" s="8">
        <v>0</v>
      </c>
      <c r="O582" s="8">
        <v>0</v>
      </c>
      <c r="P582" s="8">
        <v>0</v>
      </c>
      <c r="Q582" s="8">
        <v>0</v>
      </c>
      <c r="R582" s="8">
        <f t="shared" si="136"/>
        <v>282583.120008</v>
      </c>
      <c r="S582" s="8">
        <v>0</v>
      </c>
      <c r="T582" s="8">
        <v>0</v>
      </c>
      <c r="U582" s="8">
        <v>282333.12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7">
        <v>11.756164</v>
      </c>
      <c r="AB582" s="8">
        <v>2681173.7621160001</v>
      </c>
      <c r="AC582" s="7">
        <v>3.74</v>
      </c>
      <c r="AD582" s="7" t="s">
        <v>1226</v>
      </c>
      <c r="AE582" s="8">
        <v>3317414.16</v>
      </c>
      <c r="AF582" s="8">
        <v>0</v>
      </c>
      <c r="AG582" s="8">
        <v>3317414.16</v>
      </c>
      <c r="AH582" s="8">
        <v>0</v>
      </c>
      <c r="AI582" s="7" t="s">
        <v>2532</v>
      </c>
      <c r="AJ582" s="7">
        <f t="shared" ca="1" si="137"/>
        <v>1</v>
      </c>
      <c r="AL582" s="96">
        <f t="shared" ref="AL582:AL587" si="140">(+AA582*AB582)/$AB$612</f>
        <v>0.56843970909367325</v>
      </c>
      <c r="AM582" s="97">
        <f t="shared" ref="AM582:AM587" si="141">AC582/$AE$612*AE582</f>
        <v>0.21448381512808004</v>
      </c>
    </row>
    <row r="583" spans="1:39" x14ac:dyDescent="0.3">
      <c r="A583" s="7" t="s">
        <v>2546</v>
      </c>
      <c r="B583" s="7" t="s">
        <v>194</v>
      </c>
      <c r="D583" s="7" t="s">
        <v>2202</v>
      </c>
      <c r="E583" s="7" t="s">
        <v>1322</v>
      </c>
      <c r="F583" s="36">
        <v>43101</v>
      </c>
      <c r="G583" s="36">
        <v>44926</v>
      </c>
      <c r="H583" s="36">
        <v>44926</v>
      </c>
      <c r="I583" s="36">
        <v>44926</v>
      </c>
      <c r="J583" s="7" t="s">
        <v>1696</v>
      </c>
      <c r="K583" s="8">
        <v>0</v>
      </c>
      <c r="L583" s="8">
        <v>0</v>
      </c>
      <c r="M583" s="8">
        <v>4636.5971880012512</v>
      </c>
      <c r="N583" s="8">
        <v>0</v>
      </c>
      <c r="O583" s="8">
        <v>0</v>
      </c>
      <c r="P583" s="8">
        <v>0</v>
      </c>
      <c r="Q583" s="8">
        <v>0</v>
      </c>
      <c r="R583" s="8">
        <f t="shared" si="136"/>
        <v>4636.5971880012512</v>
      </c>
      <c r="S583" s="8">
        <v>0</v>
      </c>
      <c r="T583" s="8">
        <v>0</v>
      </c>
      <c r="U583" s="8">
        <v>48000.000000012937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7">
        <v>1</v>
      </c>
      <c r="AB583" s="8">
        <v>46498.146691012531</v>
      </c>
      <c r="AC583" s="7">
        <v>7</v>
      </c>
      <c r="AD583" s="7" t="s">
        <v>1226</v>
      </c>
      <c r="AE583" s="8">
        <v>48000.000000007909</v>
      </c>
      <c r="AF583" s="8">
        <v>0</v>
      </c>
      <c r="AG583" s="8">
        <v>48000.000000007909</v>
      </c>
      <c r="AH583" s="8">
        <v>0</v>
      </c>
      <c r="AI583" s="7" t="s">
        <v>1758</v>
      </c>
      <c r="AJ583" s="7">
        <f t="shared" ca="1" si="137"/>
        <v>1</v>
      </c>
      <c r="AL583" s="96">
        <f t="shared" si="140"/>
        <v>8.3855094966862702E-4</v>
      </c>
      <c r="AM583" s="97">
        <f t="shared" si="141"/>
        <v>5.8084801185414887E-3</v>
      </c>
    </row>
    <row r="584" spans="1:39" x14ac:dyDescent="0.3">
      <c r="A584" s="7" t="s">
        <v>2547</v>
      </c>
      <c r="B584" s="7" t="s">
        <v>194</v>
      </c>
      <c r="D584" s="7" t="s">
        <v>2202</v>
      </c>
      <c r="E584" s="7" t="s">
        <v>1322</v>
      </c>
      <c r="F584" s="36">
        <v>43770</v>
      </c>
      <c r="G584" s="36">
        <v>45596</v>
      </c>
      <c r="H584" s="36">
        <v>45596</v>
      </c>
      <c r="I584" s="36">
        <v>45596</v>
      </c>
      <c r="J584" s="7" t="s">
        <v>1696</v>
      </c>
      <c r="K584" s="8">
        <v>0</v>
      </c>
      <c r="L584" s="8">
        <v>0</v>
      </c>
      <c r="M584" s="8">
        <v>35003.415350886295</v>
      </c>
      <c r="N584" s="8">
        <v>0</v>
      </c>
      <c r="O584" s="8">
        <v>0</v>
      </c>
      <c r="P584" s="8">
        <v>0</v>
      </c>
      <c r="Q584" s="8">
        <v>0</v>
      </c>
      <c r="R584" s="8">
        <f t="shared" si="136"/>
        <v>35003.415350886295</v>
      </c>
      <c r="S584" s="8">
        <v>0</v>
      </c>
      <c r="T584" s="8">
        <v>0</v>
      </c>
      <c r="U584" s="8">
        <v>60000.000000016174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7">
        <v>2.8356159999999999</v>
      </c>
      <c r="AB584" s="8">
        <v>163187.51310304398</v>
      </c>
      <c r="AC584" s="7">
        <v>3</v>
      </c>
      <c r="AD584" s="7" t="s">
        <v>1226</v>
      </c>
      <c r="AE584" s="8">
        <v>170000.00000005265</v>
      </c>
      <c r="AF584" s="8">
        <v>0</v>
      </c>
      <c r="AG584" s="8">
        <v>170000.00000005265</v>
      </c>
      <c r="AH584" s="8">
        <v>0</v>
      </c>
      <c r="AI584" s="7" t="s">
        <v>1758</v>
      </c>
      <c r="AJ584" s="7">
        <f t="shared" ca="1" si="137"/>
        <v>1</v>
      </c>
      <c r="AL584" s="96">
        <f t="shared" si="140"/>
        <v>8.3450348386406355E-3</v>
      </c>
      <c r="AM584" s="97">
        <f t="shared" si="141"/>
        <v>8.8164430370731798E-3</v>
      </c>
    </row>
    <row r="585" spans="1:39" x14ac:dyDescent="0.3">
      <c r="A585" s="7" t="s">
        <v>2548</v>
      </c>
      <c r="B585" s="7" t="s">
        <v>1320</v>
      </c>
      <c r="C585" s="7" t="s">
        <v>1323</v>
      </c>
      <c r="D585" s="7" t="s">
        <v>1324</v>
      </c>
      <c r="E585" s="7" t="s">
        <v>1322</v>
      </c>
      <c r="F585" s="36">
        <v>43644</v>
      </c>
      <c r="G585" s="36">
        <v>45165</v>
      </c>
      <c r="H585" s="36">
        <v>45165</v>
      </c>
      <c r="I585" s="36">
        <v>45165</v>
      </c>
      <c r="J585" s="7" t="s">
        <v>1696</v>
      </c>
      <c r="K585" s="8">
        <v>0</v>
      </c>
      <c r="L585" s="8">
        <v>0</v>
      </c>
      <c r="M585" s="8">
        <v>11309.026224737197</v>
      </c>
      <c r="N585" s="8">
        <v>0</v>
      </c>
      <c r="O585" s="8">
        <v>0</v>
      </c>
      <c r="P585" s="8">
        <v>0</v>
      </c>
      <c r="Q585" s="8">
        <v>0</v>
      </c>
      <c r="R585" s="8">
        <f t="shared" si="136"/>
        <v>11309.026224737197</v>
      </c>
      <c r="S585" s="8">
        <v>0</v>
      </c>
      <c r="T585" s="8">
        <v>0</v>
      </c>
      <c r="U585" s="8">
        <v>13508.1103884432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7">
        <v>1.654795</v>
      </c>
      <c r="AB585" s="8">
        <v>19791.357296200684</v>
      </c>
      <c r="AC585" s="7">
        <v>2.0449999999999999</v>
      </c>
      <c r="AD585" s="7" t="s">
        <v>1226</v>
      </c>
      <c r="AE585" s="8">
        <v>6720.5940742774856</v>
      </c>
      <c r="AF585" s="8">
        <v>0</v>
      </c>
      <c r="AG585" s="8">
        <v>6720.5940742774856</v>
      </c>
      <c r="AH585" s="8">
        <v>0</v>
      </c>
      <c r="AI585" s="7" t="s">
        <v>1976</v>
      </c>
      <c r="AJ585" s="7">
        <f t="shared" ca="1" si="137"/>
        <v>1</v>
      </c>
      <c r="AL585" s="96">
        <f t="shared" si="140"/>
        <v>5.9062740069001278E-4</v>
      </c>
      <c r="AM585" s="97">
        <f t="shared" si="141"/>
        <v>2.3758783868565225E-4</v>
      </c>
    </row>
    <row r="586" spans="1:39" x14ac:dyDescent="0.3">
      <c r="A586" s="7" t="s">
        <v>2549</v>
      </c>
      <c r="B586" s="7" t="s">
        <v>1320</v>
      </c>
      <c r="C586" s="7" t="s">
        <v>1323</v>
      </c>
      <c r="D586" s="7" t="s">
        <v>1324</v>
      </c>
      <c r="E586" s="7" t="s">
        <v>1322</v>
      </c>
      <c r="F586" s="36">
        <v>43644</v>
      </c>
      <c r="G586" s="36">
        <v>45165</v>
      </c>
      <c r="H586" s="36">
        <v>45165</v>
      </c>
      <c r="I586" s="36">
        <v>45165</v>
      </c>
      <c r="J586" s="7" t="s">
        <v>1696</v>
      </c>
      <c r="K586" s="8">
        <v>0</v>
      </c>
      <c r="L586" s="8">
        <v>0</v>
      </c>
      <c r="M586" s="8">
        <v>11244.543077259812</v>
      </c>
      <c r="N586" s="8">
        <v>0</v>
      </c>
      <c r="O586" s="8">
        <v>0</v>
      </c>
      <c r="P586" s="8">
        <v>0</v>
      </c>
      <c r="Q586" s="8">
        <v>0</v>
      </c>
      <c r="R586" s="8">
        <f t="shared" si="136"/>
        <v>11244.543077259812</v>
      </c>
      <c r="S586" s="8">
        <v>0</v>
      </c>
      <c r="T586" s="8">
        <v>0</v>
      </c>
      <c r="U586" s="8">
        <v>13431.088236366468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7">
        <v>1.654795</v>
      </c>
      <c r="AB586" s="8">
        <v>19678.5086011569</v>
      </c>
      <c r="AC586" s="7">
        <v>2.0449999999999999</v>
      </c>
      <c r="AD586" s="7" t="s">
        <v>1226</v>
      </c>
      <c r="AE586" s="8">
        <v>6682.2737921659773</v>
      </c>
      <c r="AF586" s="8">
        <v>0</v>
      </c>
      <c r="AG586" s="8">
        <v>6682.2737921659773</v>
      </c>
      <c r="AH586" s="8">
        <v>0</v>
      </c>
      <c r="AI586" s="7" t="s">
        <v>1976</v>
      </c>
      <c r="AJ586" s="7">
        <f t="shared" ca="1" si="137"/>
        <v>1</v>
      </c>
      <c r="AL586" s="96">
        <f t="shared" si="140"/>
        <v>5.8725969172354565E-4</v>
      </c>
      <c r="AM586" s="97">
        <f t="shared" si="141"/>
        <v>2.3623313210702638E-4</v>
      </c>
    </row>
    <row r="587" spans="1:39" x14ac:dyDescent="0.3">
      <c r="A587" s="7" t="s">
        <v>2550</v>
      </c>
      <c r="B587" s="7" t="s">
        <v>1320</v>
      </c>
      <c r="C587" s="7" t="s">
        <v>1323</v>
      </c>
      <c r="D587" s="7" t="s">
        <v>1324</v>
      </c>
      <c r="E587" s="7" t="s">
        <v>1322</v>
      </c>
      <c r="F587" s="36">
        <v>43644</v>
      </c>
      <c r="G587" s="36">
        <v>45165</v>
      </c>
      <c r="H587" s="36">
        <v>45165</v>
      </c>
      <c r="I587" s="36">
        <v>45165</v>
      </c>
      <c r="J587" s="7" t="s">
        <v>1696</v>
      </c>
      <c r="K587" s="8">
        <v>0</v>
      </c>
      <c r="L587" s="8">
        <v>0</v>
      </c>
      <c r="M587" s="8">
        <v>11309.026224737197</v>
      </c>
      <c r="N587" s="8">
        <v>0</v>
      </c>
      <c r="O587" s="8">
        <v>0</v>
      </c>
      <c r="P587" s="8">
        <v>0</v>
      </c>
      <c r="Q587" s="8">
        <v>0</v>
      </c>
      <c r="R587" s="8">
        <f t="shared" si="136"/>
        <v>11309.026224737197</v>
      </c>
      <c r="S587" s="8">
        <v>0</v>
      </c>
      <c r="T587" s="8">
        <v>0</v>
      </c>
      <c r="U587" s="8">
        <v>13508.1103884432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7">
        <v>1.654795</v>
      </c>
      <c r="AB587" s="8">
        <v>19791.357296200684</v>
      </c>
      <c r="AC587" s="7">
        <v>2.0449999999999999</v>
      </c>
      <c r="AD587" s="7" t="s">
        <v>1226</v>
      </c>
      <c r="AE587" s="8">
        <v>6720.5940742774856</v>
      </c>
      <c r="AF587" s="8">
        <v>0</v>
      </c>
      <c r="AG587" s="8">
        <v>6720.5940742774856</v>
      </c>
      <c r="AH587" s="8">
        <v>0</v>
      </c>
      <c r="AI587" s="7" t="s">
        <v>1976</v>
      </c>
      <c r="AJ587" s="7">
        <f t="shared" ca="1" si="137"/>
        <v>1</v>
      </c>
      <c r="AL587" s="96">
        <f t="shared" si="140"/>
        <v>5.9062740069001278E-4</v>
      </c>
      <c r="AM587" s="97">
        <f t="shared" si="141"/>
        <v>2.3758783868565225E-4</v>
      </c>
    </row>
    <row r="588" spans="1:39" x14ac:dyDescent="0.3">
      <c r="A588" s="7" t="s">
        <v>2551</v>
      </c>
      <c r="B588" s="7" t="s">
        <v>1735</v>
      </c>
      <c r="D588" s="7" t="s">
        <v>2356</v>
      </c>
      <c r="E588" s="7" t="s">
        <v>1322</v>
      </c>
      <c r="F588" s="36">
        <v>43868</v>
      </c>
      <c r="G588" s="36">
        <v>44963</v>
      </c>
      <c r="H588" s="36">
        <v>44963</v>
      </c>
      <c r="I588" s="36">
        <v>44963</v>
      </c>
      <c r="J588" s="7" t="s">
        <v>1239</v>
      </c>
      <c r="K588" s="8">
        <v>1628.7570671530079</v>
      </c>
      <c r="L588" s="8">
        <v>96.521625000022993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f t="shared" si="136"/>
        <v>1725.278692153031</v>
      </c>
      <c r="S588" s="8">
        <v>0</v>
      </c>
      <c r="T588" s="8">
        <v>100.62034500003</v>
      </c>
      <c r="U588" s="8">
        <v>0</v>
      </c>
      <c r="V588" s="8">
        <v>3004.3796550008101</v>
      </c>
      <c r="W588" s="8">
        <v>0</v>
      </c>
      <c r="X588" s="8">
        <v>0</v>
      </c>
      <c r="Y588" s="8">
        <v>0</v>
      </c>
      <c r="Z588" s="8">
        <v>0</v>
      </c>
      <c r="AA588" s="7">
        <v>1.10137</v>
      </c>
      <c r="AB588" s="8">
        <v>3324.2522400008961</v>
      </c>
      <c r="AC588" s="7">
        <v>2.0299999999999998</v>
      </c>
      <c r="AD588" s="7" t="s">
        <v>1226</v>
      </c>
      <c r="AE588" s="8">
        <v>3363.7500000006171</v>
      </c>
      <c r="AF588" s="8">
        <v>0</v>
      </c>
      <c r="AG588" s="8">
        <v>3363.7500000006171</v>
      </c>
      <c r="AH588" s="8">
        <v>0</v>
      </c>
      <c r="AI588" s="7" t="s">
        <v>1781</v>
      </c>
      <c r="AJ588" s="7">
        <f t="shared" ca="1" si="137"/>
        <v>1</v>
      </c>
      <c r="AL588" s="96">
        <f t="shared" si="138"/>
        <v>2.1951636763841254E-5</v>
      </c>
      <c r="AM588" s="97">
        <f t="shared" si="139"/>
        <v>4.4440453559560753E-5</v>
      </c>
    </row>
    <row r="589" spans="1:39" x14ac:dyDescent="0.3">
      <c r="A589" s="7" t="s">
        <v>2552</v>
      </c>
      <c r="B589" s="7" t="s">
        <v>1735</v>
      </c>
      <c r="C589" s="7" t="s">
        <v>1323</v>
      </c>
      <c r="D589" s="7" t="s">
        <v>2440</v>
      </c>
      <c r="E589" s="7" t="s">
        <v>1322</v>
      </c>
      <c r="F589" s="36">
        <v>43896</v>
      </c>
      <c r="G589" s="36">
        <v>44990</v>
      </c>
      <c r="H589" s="36">
        <v>44990</v>
      </c>
      <c r="I589" s="36">
        <v>44990</v>
      </c>
      <c r="J589" s="7" t="s">
        <v>1239</v>
      </c>
      <c r="K589" s="8">
        <v>1628.7570671530079</v>
      </c>
      <c r="L589" s="8">
        <v>101.438710000022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f t="shared" si="136"/>
        <v>1730.1957771530299</v>
      </c>
      <c r="S589" s="8">
        <v>0</v>
      </c>
      <c r="T589" s="8">
        <v>105.694175000031</v>
      </c>
      <c r="U589" s="8">
        <v>0</v>
      </c>
      <c r="V589" s="8">
        <v>2999.3058250008089</v>
      </c>
      <c r="W589" s="8">
        <v>0</v>
      </c>
      <c r="X589" s="8">
        <v>0</v>
      </c>
      <c r="Y589" s="8">
        <v>0</v>
      </c>
      <c r="Z589" s="8">
        <v>0</v>
      </c>
      <c r="AA589" s="7">
        <v>1.1753420000000001</v>
      </c>
      <c r="AB589" s="8">
        <v>3576.9512300009642</v>
      </c>
      <c r="AC589" s="7">
        <v>2.0299999999999998</v>
      </c>
      <c r="AD589" s="7" t="s">
        <v>1226</v>
      </c>
      <c r="AE589" s="8">
        <v>3622.500000000718</v>
      </c>
      <c r="AF589" s="8">
        <v>0</v>
      </c>
      <c r="AG589" s="8">
        <v>3622.500000000718</v>
      </c>
      <c r="AH589" s="8">
        <v>0</v>
      </c>
      <c r="AI589" s="7" t="s">
        <v>1781</v>
      </c>
      <c r="AJ589" s="7">
        <f t="shared" ca="1" si="137"/>
        <v>1</v>
      </c>
      <c r="AL589" s="96">
        <f t="shared" si="138"/>
        <v>2.5206756697440275E-5</v>
      </c>
      <c r="AM589" s="97">
        <f t="shared" si="139"/>
        <v>4.7858949987219981E-5</v>
      </c>
    </row>
    <row r="590" spans="1:39" x14ac:dyDescent="0.3">
      <c r="A590" s="7" t="s">
        <v>2553</v>
      </c>
      <c r="B590" s="7" t="s">
        <v>1735</v>
      </c>
      <c r="C590" s="7" t="s">
        <v>1769</v>
      </c>
      <c r="D590" s="7" t="s">
        <v>1780</v>
      </c>
      <c r="E590" s="7" t="s">
        <v>1322</v>
      </c>
      <c r="F590" s="36">
        <v>43689</v>
      </c>
      <c r="G590" s="36">
        <v>44723</v>
      </c>
      <c r="H590" s="36">
        <v>44723</v>
      </c>
      <c r="I590" s="36">
        <v>44723</v>
      </c>
      <c r="J590" s="7" t="s">
        <v>1696</v>
      </c>
      <c r="K590" s="8">
        <v>0</v>
      </c>
      <c r="L590" s="8">
        <v>0</v>
      </c>
      <c r="M590" s="8">
        <v>7437.2258879999999</v>
      </c>
      <c r="N590" s="8">
        <v>0</v>
      </c>
      <c r="O590" s="8">
        <v>0</v>
      </c>
      <c r="P590" s="8">
        <v>0</v>
      </c>
      <c r="Q590" s="8">
        <v>0</v>
      </c>
      <c r="R590" s="8">
        <f t="shared" si="136"/>
        <v>7437.2258879999999</v>
      </c>
      <c r="S590" s="8">
        <v>0</v>
      </c>
      <c r="T590" s="8">
        <v>0</v>
      </c>
      <c r="U590" s="8">
        <v>7200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7">
        <v>0.44383600000000001</v>
      </c>
      <c r="AB590" s="8">
        <v>2988.313662</v>
      </c>
      <c r="AC590" s="7">
        <v>1.992167</v>
      </c>
      <c r="AD590" s="7" t="s">
        <v>1226</v>
      </c>
      <c r="AE590" s="8">
        <v>3000</v>
      </c>
      <c r="AF590" s="8">
        <v>0</v>
      </c>
      <c r="AG590" s="8">
        <v>3000</v>
      </c>
      <c r="AH590" s="8">
        <v>0</v>
      </c>
      <c r="AI590" s="7" t="s">
        <v>1760</v>
      </c>
      <c r="AJ590" s="7">
        <f t="shared" ca="1" si="137"/>
        <v>1</v>
      </c>
      <c r="AL590" s="96">
        <f t="shared" ref="AL590:AL593" si="142">(+AA590*AB590)/$AB$612</f>
        <v>2.3918972395418581E-5</v>
      </c>
      <c r="AM590" s="97">
        <f t="shared" ref="AM590:AM593" si="143">AC590/$AE$612*AE590</f>
        <v>1.033166286813619E-4</v>
      </c>
    </row>
    <row r="591" spans="1:39" x14ac:dyDescent="0.3">
      <c r="A591" s="7" t="s">
        <v>2554</v>
      </c>
      <c r="B591" s="7" t="s">
        <v>1320</v>
      </c>
      <c r="D591" s="7" t="s">
        <v>2555</v>
      </c>
      <c r="E591" s="7" t="s">
        <v>1322</v>
      </c>
      <c r="F591" s="36">
        <v>43787</v>
      </c>
      <c r="G591" s="36">
        <v>44882</v>
      </c>
      <c r="H591" s="36">
        <v>44882</v>
      </c>
      <c r="I591" s="36">
        <v>44882</v>
      </c>
      <c r="J591" s="7" t="s">
        <v>1696</v>
      </c>
      <c r="K591" s="8">
        <v>0</v>
      </c>
      <c r="L591" s="8">
        <v>0</v>
      </c>
      <c r="M591" s="8">
        <v>6897.0103372068697</v>
      </c>
      <c r="N591" s="8">
        <v>0</v>
      </c>
      <c r="O591" s="8">
        <v>0</v>
      </c>
      <c r="P591" s="8">
        <v>0</v>
      </c>
      <c r="Q591" s="8">
        <v>0</v>
      </c>
      <c r="R591" s="8">
        <f t="shared" si="136"/>
        <v>6897.0103372068697</v>
      </c>
      <c r="S591" s="8">
        <v>0</v>
      </c>
      <c r="T591" s="8">
        <v>0</v>
      </c>
      <c r="U591" s="8">
        <v>12420.000000003349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7">
        <v>0.87945200000000001</v>
      </c>
      <c r="AB591" s="8">
        <v>10242.015132002762</v>
      </c>
      <c r="AC591" s="7">
        <v>2.5</v>
      </c>
      <c r="AD591" s="7" t="s">
        <v>1226</v>
      </c>
      <c r="AE591" s="8">
        <v>7245.0000000011896</v>
      </c>
      <c r="AF591" s="8">
        <v>0</v>
      </c>
      <c r="AG591" s="8">
        <v>7245.0000000011896</v>
      </c>
      <c r="AH591" s="8">
        <v>0</v>
      </c>
      <c r="AI591" s="7" t="s">
        <v>1760</v>
      </c>
      <c r="AJ591" s="7">
        <f t="shared" ca="1" si="137"/>
        <v>1</v>
      </c>
      <c r="AL591" s="96">
        <f t="shared" si="142"/>
        <v>1.6243939596920424E-4</v>
      </c>
      <c r="AM591" s="97">
        <f t="shared" si="143"/>
        <v>3.131133813901269E-4</v>
      </c>
    </row>
    <row r="592" spans="1:39" x14ac:dyDescent="0.3">
      <c r="A592" s="7" t="s">
        <v>2556</v>
      </c>
      <c r="B592" s="7" t="s">
        <v>1735</v>
      </c>
      <c r="C592" s="7" t="s">
        <v>1769</v>
      </c>
      <c r="D592" s="7" t="s">
        <v>1780</v>
      </c>
      <c r="E592" s="7" t="s">
        <v>1322</v>
      </c>
      <c r="F592" s="36">
        <v>43739</v>
      </c>
      <c r="G592" s="36">
        <v>44834</v>
      </c>
      <c r="H592" s="36">
        <v>44834</v>
      </c>
      <c r="I592" s="36">
        <v>44834</v>
      </c>
      <c r="J592" s="7" t="s">
        <v>1696</v>
      </c>
      <c r="K592" s="8">
        <v>0</v>
      </c>
      <c r="L592" s="8">
        <v>0</v>
      </c>
      <c r="M592" s="8">
        <v>12420</v>
      </c>
      <c r="N592" s="8">
        <v>0</v>
      </c>
      <c r="O592" s="8">
        <v>0</v>
      </c>
      <c r="P592" s="8">
        <v>0</v>
      </c>
      <c r="Q592" s="8">
        <v>0</v>
      </c>
      <c r="R592" s="8">
        <f t="shared" si="136"/>
        <v>12420</v>
      </c>
      <c r="S592" s="8">
        <v>0</v>
      </c>
      <c r="T592" s="8">
        <v>0</v>
      </c>
      <c r="U592" s="8">
        <v>12420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7">
        <v>0.74794499999999997</v>
      </c>
      <c r="AB592" s="8">
        <v>9252.3222779999996</v>
      </c>
      <c r="AC592" s="7">
        <v>2.0299999999999998</v>
      </c>
      <c r="AD592" s="7" t="s">
        <v>1226</v>
      </c>
      <c r="AE592" s="8">
        <v>9315</v>
      </c>
      <c r="AF592" s="8">
        <v>0</v>
      </c>
      <c r="AG592" s="8">
        <v>9315</v>
      </c>
      <c r="AH592" s="8">
        <v>0</v>
      </c>
      <c r="AI592" s="7" t="s">
        <v>1760</v>
      </c>
      <c r="AJ592" s="7">
        <f t="shared" ca="1" si="137"/>
        <v>1</v>
      </c>
      <c r="AL592" s="96">
        <f t="shared" si="142"/>
        <v>1.2479989699458138E-4</v>
      </c>
      <c r="AM592" s="97">
        <f t="shared" si="143"/>
        <v>3.268903701712388E-4</v>
      </c>
    </row>
    <row r="593" spans="1:39" x14ac:dyDescent="0.3">
      <c r="A593" s="7" t="s">
        <v>2557</v>
      </c>
      <c r="B593" s="7" t="s">
        <v>1735</v>
      </c>
      <c r="D593" s="7" t="s">
        <v>2558</v>
      </c>
      <c r="E593" s="7" t="s">
        <v>1322</v>
      </c>
      <c r="F593" s="36">
        <v>43819</v>
      </c>
      <c r="G593" s="36">
        <v>45279</v>
      </c>
      <c r="H593" s="36">
        <v>45279</v>
      </c>
      <c r="I593" s="36">
        <v>45279</v>
      </c>
      <c r="J593" s="7" t="s">
        <v>1696</v>
      </c>
      <c r="K593" s="8">
        <v>0</v>
      </c>
      <c r="L593" s="8">
        <v>0</v>
      </c>
      <c r="M593" s="8">
        <v>7264.2252120000003</v>
      </c>
      <c r="N593" s="8">
        <v>0</v>
      </c>
      <c r="O593" s="8">
        <v>0</v>
      </c>
      <c r="P593" s="8">
        <v>0</v>
      </c>
      <c r="Q593" s="8">
        <v>0</v>
      </c>
      <c r="R593" s="8">
        <f t="shared" si="136"/>
        <v>7264.2252120000003</v>
      </c>
      <c r="S593" s="8">
        <v>0</v>
      </c>
      <c r="T593" s="8">
        <v>0</v>
      </c>
      <c r="U593" s="8">
        <v>7095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7">
        <v>1.967123</v>
      </c>
      <c r="AB593" s="8">
        <v>13333.351457999999</v>
      </c>
      <c r="AC593" s="7">
        <v>2.0449999999999999</v>
      </c>
      <c r="AD593" s="7" t="s">
        <v>1226</v>
      </c>
      <c r="AE593" s="8">
        <v>13598.75</v>
      </c>
      <c r="AF593" s="8">
        <v>0</v>
      </c>
      <c r="AG593" s="8">
        <v>13598.75</v>
      </c>
      <c r="AH593" s="8">
        <v>0</v>
      </c>
      <c r="AI593" s="7" t="s">
        <v>1976</v>
      </c>
      <c r="AJ593" s="7">
        <f t="shared" ca="1" si="137"/>
        <v>1</v>
      </c>
      <c r="AL593" s="96">
        <f t="shared" si="142"/>
        <v>4.7300382759164159E-4</v>
      </c>
      <c r="AM593" s="97">
        <f t="shared" si="143"/>
        <v>4.8074583669507805E-4</v>
      </c>
    </row>
    <row r="594" spans="1:39" x14ac:dyDescent="0.3">
      <c r="A594" s="7" t="s">
        <v>2559</v>
      </c>
      <c r="B594" s="7" t="s">
        <v>1735</v>
      </c>
      <c r="C594" s="7" t="s">
        <v>1756</v>
      </c>
      <c r="D594" s="7" t="s">
        <v>2327</v>
      </c>
      <c r="E594" s="7" t="s">
        <v>1322</v>
      </c>
      <c r="F594" s="36">
        <v>43892</v>
      </c>
      <c r="G594" s="36">
        <v>45352</v>
      </c>
      <c r="H594" s="36">
        <v>45352</v>
      </c>
      <c r="I594" s="36">
        <v>45352</v>
      </c>
      <c r="J594" s="7" t="s">
        <v>1239</v>
      </c>
      <c r="K594" s="8">
        <v>5770.8386429982002</v>
      </c>
      <c r="L594" s="8">
        <v>560.37639000014701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f t="shared" si="136"/>
        <v>6331.2150329983469</v>
      </c>
      <c r="S594" s="8">
        <v>0</v>
      </c>
      <c r="T594" s="8">
        <v>578.38824000015404</v>
      </c>
      <c r="U594" s="8">
        <v>0</v>
      </c>
      <c r="V594" s="8">
        <v>10921.611768002946</v>
      </c>
      <c r="W594" s="8">
        <v>0</v>
      </c>
      <c r="X594" s="8">
        <v>0</v>
      </c>
      <c r="Y594" s="8">
        <v>0</v>
      </c>
      <c r="Z594" s="8">
        <v>0</v>
      </c>
      <c r="AA594" s="7">
        <v>2.1671230000000001</v>
      </c>
      <c r="AB594" s="8">
        <v>22390.428762006035</v>
      </c>
      <c r="AC594" s="7">
        <v>2.0449999999999999</v>
      </c>
      <c r="AD594" s="7" t="s">
        <v>1226</v>
      </c>
      <c r="AE594" s="8">
        <v>22899.99999000645</v>
      </c>
      <c r="AF594" s="8">
        <v>0</v>
      </c>
      <c r="AG594" s="8">
        <v>22899.99999000645</v>
      </c>
      <c r="AH594" s="8">
        <v>0</v>
      </c>
      <c r="AI594" s="7" t="s">
        <v>1760</v>
      </c>
      <c r="AJ594" s="7">
        <f t="shared" ca="1" si="137"/>
        <v>1</v>
      </c>
      <c r="AL594" s="96">
        <f t="shared" si="138"/>
        <v>2.9092809724746115E-4</v>
      </c>
      <c r="AM594" s="97">
        <f t="shared" si="139"/>
        <v>3.0478074655161902E-4</v>
      </c>
    </row>
    <row r="595" spans="1:39" x14ac:dyDescent="0.3">
      <c r="A595" s="7" t="s">
        <v>2560</v>
      </c>
      <c r="B595" s="7" t="s">
        <v>1735</v>
      </c>
      <c r="C595" s="7" t="s">
        <v>1769</v>
      </c>
      <c r="D595" s="7" t="s">
        <v>2561</v>
      </c>
      <c r="E595" s="7" t="s">
        <v>1739</v>
      </c>
      <c r="F595" s="36">
        <v>42736</v>
      </c>
      <c r="G595" s="36">
        <v>43830</v>
      </c>
      <c r="J595" s="7" t="s">
        <v>1699</v>
      </c>
      <c r="K595" s="8">
        <v>0</v>
      </c>
      <c r="L595" s="8">
        <v>0</v>
      </c>
      <c r="M595" s="8">
        <v>0</v>
      </c>
      <c r="N595" s="8">
        <v>6750</v>
      </c>
      <c r="O595" s="8">
        <v>0</v>
      </c>
      <c r="P595" s="8">
        <v>0</v>
      </c>
      <c r="Q595" s="8">
        <v>0</v>
      </c>
      <c r="R595" s="8">
        <f t="shared" si="136"/>
        <v>6750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7">
        <v>0</v>
      </c>
      <c r="AB595" s="8">
        <v>0</v>
      </c>
      <c r="AC595" s="7">
        <v>2.0299999999999998</v>
      </c>
      <c r="AD595" s="7" t="s">
        <v>1226</v>
      </c>
      <c r="AE595" s="8">
        <v>562.5</v>
      </c>
      <c r="AF595" s="8">
        <v>0</v>
      </c>
      <c r="AG595" s="8">
        <v>562.5</v>
      </c>
      <c r="AH595" s="8">
        <v>0</v>
      </c>
      <c r="AI595" s="7" t="s">
        <v>1781</v>
      </c>
      <c r="AJ595" s="7">
        <f t="shared" ca="1" si="137"/>
        <v>1</v>
      </c>
      <c r="AL595" s="100">
        <f>(+AA595*AB595)/$AB$613</f>
        <v>0</v>
      </c>
      <c r="AM595" s="97">
        <f>AC595/$AE$613*AE595</f>
        <v>8.3402135733992393E-4</v>
      </c>
    </row>
    <row r="596" spans="1:39" x14ac:dyDescent="0.3">
      <c r="A596" s="7" t="s">
        <v>2562</v>
      </c>
      <c r="B596" s="7" t="s">
        <v>1735</v>
      </c>
      <c r="C596" s="7" t="s">
        <v>1323</v>
      </c>
      <c r="D596" s="7" t="s">
        <v>2327</v>
      </c>
      <c r="E596" s="7" t="s">
        <v>1322</v>
      </c>
      <c r="F596" s="36">
        <v>43832</v>
      </c>
      <c r="G596" s="36">
        <v>44927</v>
      </c>
      <c r="H596" s="36">
        <v>44927</v>
      </c>
      <c r="I596" s="36">
        <v>44927</v>
      </c>
      <c r="J596" s="7" t="s">
        <v>1239</v>
      </c>
      <c r="K596" s="8">
        <v>3147.356661806808</v>
      </c>
      <c r="L596" s="8">
        <v>175.094025000046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f t="shared" si="136"/>
        <v>3322.4506868068538</v>
      </c>
      <c r="S596" s="8">
        <v>0</v>
      </c>
      <c r="T596" s="8">
        <v>184.61437500005201</v>
      </c>
      <c r="U596" s="8">
        <v>0</v>
      </c>
      <c r="V596" s="8">
        <v>5815.3856250015679</v>
      </c>
      <c r="W596" s="8">
        <v>0</v>
      </c>
      <c r="X596" s="8">
        <v>0</v>
      </c>
      <c r="Y596" s="8">
        <v>0</v>
      </c>
      <c r="Z596" s="8">
        <v>0</v>
      </c>
      <c r="AA596" s="7">
        <v>1.00274</v>
      </c>
      <c r="AB596" s="8">
        <v>5934.5425480015992</v>
      </c>
      <c r="AC596" s="7">
        <v>2.0299999999999998</v>
      </c>
      <c r="AD596" s="7" t="s">
        <v>1226</v>
      </c>
      <c r="AE596" s="8">
        <v>6000.0000000009841</v>
      </c>
      <c r="AF596" s="8">
        <v>0</v>
      </c>
      <c r="AG596" s="8">
        <v>6000.0000000009841</v>
      </c>
      <c r="AH596" s="8">
        <v>0</v>
      </c>
      <c r="AI596" s="7" t="s">
        <v>1760</v>
      </c>
      <c r="AJ596" s="7">
        <f t="shared" ca="1" si="137"/>
        <v>1</v>
      </c>
      <c r="AL596" s="96">
        <f t="shared" si="138"/>
        <v>3.5679214334546674E-5</v>
      </c>
      <c r="AM596" s="97">
        <f t="shared" si="139"/>
        <v>7.926948238048586E-5</v>
      </c>
    </row>
    <row r="597" spans="1:39" x14ac:dyDescent="0.3">
      <c r="A597" s="7" t="s">
        <v>2563</v>
      </c>
      <c r="B597" s="7" t="s">
        <v>1735</v>
      </c>
      <c r="C597" s="7" t="s">
        <v>1323</v>
      </c>
      <c r="D597" s="7" t="s">
        <v>2327</v>
      </c>
      <c r="E597" s="7" t="s">
        <v>1322</v>
      </c>
      <c r="F597" s="36">
        <v>43832</v>
      </c>
      <c r="G597" s="36">
        <v>44927</v>
      </c>
      <c r="H597" s="36">
        <v>44927</v>
      </c>
      <c r="I597" s="36">
        <v>44927</v>
      </c>
      <c r="J597" s="7" t="s">
        <v>1239</v>
      </c>
      <c r="K597" s="8">
        <v>3315.5401173761038</v>
      </c>
      <c r="L597" s="8">
        <v>191.32339600005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f t="shared" si="136"/>
        <v>3506.8635133761536</v>
      </c>
      <c r="S597" s="8">
        <v>0</v>
      </c>
      <c r="T597" s="8">
        <v>201.30754500005401</v>
      </c>
      <c r="U597" s="8">
        <v>0</v>
      </c>
      <c r="V597" s="8">
        <v>6098.6924550016438</v>
      </c>
      <c r="W597" s="8">
        <v>-225.00000000006099</v>
      </c>
      <c r="X597" s="8">
        <v>0</v>
      </c>
      <c r="Y597" s="8">
        <v>0</v>
      </c>
      <c r="Z597" s="8">
        <v>0</v>
      </c>
      <c r="AA597" s="7">
        <v>1.00274</v>
      </c>
      <c r="AB597" s="8">
        <v>6527.9968050017596</v>
      </c>
      <c r="AC597" s="7">
        <v>2.0299999999999998</v>
      </c>
      <c r="AD597" s="7" t="s">
        <v>1726</v>
      </c>
      <c r="AE597" s="8">
        <v>6600.0000000010887</v>
      </c>
      <c r="AF597" s="8">
        <v>0</v>
      </c>
      <c r="AG597" s="8">
        <v>6600.0000000010887</v>
      </c>
      <c r="AH597" s="8">
        <v>0</v>
      </c>
      <c r="AI597" s="7" t="s">
        <v>1760</v>
      </c>
      <c r="AJ597" s="7">
        <f t="shared" ca="1" si="137"/>
        <v>1</v>
      </c>
      <c r="AL597" s="96">
        <f t="shared" si="138"/>
        <v>3.9247135781228023E-5</v>
      </c>
      <c r="AM597" s="97">
        <f t="shared" si="139"/>
        <v>8.7196430618534534E-5</v>
      </c>
    </row>
    <row r="598" spans="1:39" x14ac:dyDescent="0.3">
      <c r="A598" s="7" t="s">
        <v>2564</v>
      </c>
      <c r="B598" s="7" t="s">
        <v>1735</v>
      </c>
      <c r="C598" s="7" t="s">
        <v>1769</v>
      </c>
      <c r="D598" s="7" t="s">
        <v>1780</v>
      </c>
      <c r="E598" s="7" t="s">
        <v>1322</v>
      </c>
      <c r="F598" s="36">
        <v>43739</v>
      </c>
      <c r="G598" s="36">
        <v>44834</v>
      </c>
      <c r="H598" s="36">
        <v>44834</v>
      </c>
      <c r="I598" s="36">
        <v>45961</v>
      </c>
      <c r="J598" s="7" t="s">
        <v>1696</v>
      </c>
      <c r="K598" s="8">
        <v>0</v>
      </c>
      <c r="L598" s="8">
        <v>0</v>
      </c>
      <c r="M598" s="8">
        <v>6464.0038800000002</v>
      </c>
      <c r="N598" s="8">
        <v>0</v>
      </c>
      <c r="O598" s="8">
        <v>0</v>
      </c>
      <c r="P598" s="8">
        <v>0</v>
      </c>
      <c r="Q598" s="8">
        <v>0</v>
      </c>
      <c r="R598" s="8">
        <f t="shared" si="136"/>
        <v>6464.0038800000002</v>
      </c>
      <c r="S598" s="8">
        <v>0</v>
      </c>
      <c r="T598" s="8">
        <v>0</v>
      </c>
      <c r="U598" s="8">
        <v>6335.13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7">
        <v>3.8356159999999999</v>
      </c>
      <c r="AB598" s="8">
        <v>24284.783769999998</v>
      </c>
      <c r="AC598" s="7">
        <v>2.0299999999999998</v>
      </c>
      <c r="AD598" s="7" t="s">
        <v>1226</v>
      </c>
      <c r="AE598" s="8">
        <v>25231.66</v>
      </c>
      <c r="AF598" s="8">
        <v>0</v>
      </c>
      <c r="AG598" s="8">
        <v>25231.66</v>
      </c>
      <c r="AH598" s="8">
        <v>0</v>
      </c>
      <c r="AI598" s="7" t="s">
        <v>1760</v>
      </c>
      <c r="AJ598" s="7">
        <f t="shared" ca="1" si="137"/>
        <v>1</v>
      </c>
      <c r="AL598" s="96">
        <f t="shared" ref="AL598:AL606" si="144">(+AA598*AB598)/$AB$612</f>
        <v>1.6798216503251492E-3</v>
      </c>
      <c r="AM598" s="97">
        <f t="shared" ref="AM598:AM606" si="145">AC598/$AE$612*AE598</f>
        <v>8.8545213928447014E-4</v>
      </c>
    </row>
    <row r="599" spans="1:39" x14ac:dyDescent="0.3">
      <c r="A599" s="7" t="s">
        <v>2565</v>
      </c>
      <c r="B599" s="7" t="s">
        <v>1735</v>
      </c>
      <c r="C599" s="7" t="s">
        <v>1769</v>
      </c>
      <c r="D599" s="7" t="s">
        <v>1780</v>
      </c>
      <c r="E599" s="7" t="s">
        <v>1322</v>
      </c>
      <c r="F599" s="36">
        <v>43678</v>
      </c>
      <c r="G599" s="36">
        <v>44773</v>
      </c>
      <c r="H599" s="36">
        <v>44773</v>
      </c>
      <c r="I599" s="36">
        <v>45900</v>
      </c>
      <c r="J599" s="7" t="s">
        <v>1696</v>
      </c>
      <c r="K599" s="8">
        <v>0</v>
      </c>
      <c r="L599" s="8">
        <v>0</v>
      </c>
      <c r="M599" s="8">
        <v>4500.8218800000004</v>
      </c>
      <c r="N599" s="8">
        <v>0</v>
      </c>
      <c r="O599" s="8">
        <v>0</v>
      </c>
      <c r="P599" s="8">
        <v>0</v>
      </c>
      <c r="Q599" s="8">
        <v>0</v>
      </c>
      <c r="R599" s="8">
        <f t="shared" si="136"/>
        <v>4500.8218800000004</v>
      </c>
      <c r="S599" s="8">
        <v>0</v>
      </c>
      <c r="T599" s="8">
        <v>0</v>
      </c>
      <c r="U599" s="8">
        <v>4370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7">
        <v>3.6684929999999998</v>
      </c>
      <c r="AB599" s="8">
        <v>16398.14788</v>
      </c>
      <c r="AC599" s="7">
        <v>2.0299999999999998</v>
      </c>
      <c r="AD599" s="7" t="s">
        <v>1226</v>
      </c>
      <c r="AE599" s="8">
        <v>17010</v>
      </c>
      <c r="AF599" s="8">
        <v>0</v>
      </c>
      <c r="AG599" s="8">
        <v>17010</v>
      </c>
      <c r="AH599" s="8">
        <v>0</v>
      </c>
      <c r="AI599" s="7" t="s">
        <v>1760</v>
      </c>
      <c r="AJ599" s="7">
        <f t="shared" ca="1" si="137"/>
        <v>1</v>
      </c>
      <c r="AL599" s="96">
        <f t="shared" si="144"/>
        <v>1.0848665162815454E-3</v>
      </c>
      <c r="AM599" s="97">
        <f t="shared" si="145"/>
        <v>5.9693024118226217E-4</v>
      </c>
    </row>
    <row r="600" spans="1:39" x14ac:dyDescent="0.3">
      <c r="A600" s="7" t="s">
        <v>2566</v>
      </c>
      <c r="B600" s="7" t="s">
        <v>1735</v>
      </c>
      <c r="C600" s="7" t="s">
        <v>1432</v>
      </c>
      <c r="D600" s="7" t="s">
        <v>1780</v>
      </c>
      <c r="E600" s="7" t="s">
        <v>1322</v>
      </c>
      <c r="F600" s="36">
        <v>43647</v>
      </c>
      <c r="G600" s="36">
        <v>44742</v>
      </c>
      <c r="H600" s="36">
        <v>44742</v>
      </c>
      <c r="I600" s="36">
        <v>44742</v>
      </c>
      <c r="J600" s="7" t="s">
        <v>1696</v>
      </c>
      <c r="K600" s="8">
        <v>0</v>
      </c>
      <c r="L600" s="8">
        <v>0</v>
      </c>
      <c r="M600" s="8">
        <v>6000</v>
      </c>
      <c r="N600" s="8">
        <v>0</v>
      </c>
      <c r="O600" s="8">
        <v>0</v>
      </c>
      <c r="P600" s="8">
        <v>0</v>
      </c>
      <c r="Q600" s="8">
        <v>0</v>
      </c>
      <c r="R600" s="8">
        <f t="shared" si="136"/>
        <v>6000</v>
      </c>
      <c r="S600" s="8">
        <v>0</v>
      </c>
      <c r="T600" s="8">
        <v>0</v>
      </c>
      <c r="U600" s="8">
        <v>6000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7">
        <v>0.49589</v>
      </c>
      <c r="AB600" s="8">
        <v>2987.3624140000002</v>
      </c>
      <c r="AC600" s="7">
        <v>2.0299999999999998</v>
      </c>
      <c r="AD600" s="7" t="s">
        <v>1226</v>
      </c>
      <c r="AE600" s="8">
        <v>3000</v>
      </c>
      <c r="AF600" s="8">
        <v>0</v>
      </c>
      <c r="AG600" s="8">
        <v>3000</v>
      </c>
      <c r="AH600" s="8">
        <v>0</v>
      </c>
      <c r="AI600" s="7" t="s">
        <v>1760</v>
      </c>
      <c r="AJ600" s="7">
        <f t="shared" ca="1" si="137"/>
        <v>1</v>
      </c>
      <c r="AL600" s="96">
        <f t="shared" si="144"/>
        <v>2.6715731799268953E-5</v>
      </c>
      <c r="AM600" s="97">
        <f t="shared" si="145"/>
        <v>1.0527870214854713E-4</v>
      </c>
    </row>
    <row r="601" spans="1:39" x14ac:dyDescent="0.3">
      <c r="A601" s="7" t="s">
        <v>2567</v>
      </c>
      <c r="B601" s="7" t="s">
        <v>1735</v>
      </c>
      <c r="C601" s="7" t="s">
        <v>1432</v>
      </c>
      <c r="D601" s="7" t="s">
        <v>1780</v>
      </c>
      <c r="E601" s="7" t="s">
        <v>1322</v>
      </c>
      <c r="F601" s="36">
        <v>43647</v>
      </c>
      <c r="G601" s="36">
        <v>44742</v>
      </c>
      <c r="H601" s="36">
        <v>44742</v>
      </c>
      <c r="I601" s="36">
        <v>44742</v>
      </c>
      <c r="J601" s="7" t="s">
        <v>1696</v>
      </c>
      <c r="K601" s="8">
        <v>0</v>
      </c>
      <c r="L601" s="8">
        <v>0</v>
      </c>
      <c r="M601" s="8">
        <v>12420</v>
      </c>
      <c r="N601" s="8">
        <v>0</v>
      </c>
      <c r="O601" s="8">
        <v>0</v>
      </c>
      <c r="P601" s="8">
        <v>0</v>
      </c>
      <c r="Q601" s="8">
        <v>0</v>
      </c>
      <c r="R601" s="8">
        <f t="shared" si="136"/>
        <v>12420</v>
      </c>
      <c r="S601" s="8">
        <v>0</v>
      </c>
      <c r="T601" s="8">
        <v>0</v>
      </c>
      <c r="U601" s="8">
        <v>12420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7">
        <v>0.49589</v>
      </c>
      <c r="AB601" s="8">
        <v>6183.8401889999996</v>
      </c>
      <c r="AC601" s="7">
        <v>2.0299999999999998</v>
      </c>
      <c r="AD601" s="7" t="s">
        <v>1226</v>
      </c>
      <c r="AE601" s="8">
        <v>6210</v>
      </c>
      <c r="AF601" s="8">
        <v>0</v>
      </c>
      <c r="AG601" s="8">
        <v>6210</v>
      </c>
      <c r="AH601" s="8">
        <v>0</v>
      </c>
      <c r="AI601" s="7" t="s">
        <v>1760</v>
      </c>
      <c r="AJ601" s="7">
        <f t="shared" ca="1" si="137"/>
        <v>1</v>
      </c>
      <c r="AL601" s="96">
        <f t="shared" si="144"/>
        <v>5.5301564753122256E-5</v>
      </c>
      <c r="AM601" s="97">
        <f t="shared" si="145"/>
        <v>2.1792691344749255E-4</v>
      </c>
    </row>
    <row r="602" spans="1:39" x14ac:dyDescent="0.3">
      <c r="A602" s="7" t="s">
        <v>2568</v>
      </c>
      <c r="B602" s="7" t="s">
        <v>1735</v>
      </c>
      <c r="C602" s="7" t="s">
        <v>1323</v>
      </c>
      <c r="D602" s="7" t="s">
        <v>1780</v>
      </c>
      <c r="E602" s="7" t="s">
        <v>1322</v>
      </c>
      <c r="F602" s="36">
        <v>43640</v>
      </c>
      <c r="G602" s="36">
        <v>44735</v>
      </c>
      <c r="H602" s="36">
        <v>44735</v>
      </c>
      <c r="I602" s="36">
        <v>45861</v>
      </c>
      <c r="J602" s="7" t="s">
        <v>1696</v>
      </c>
      <c r="K602" s="8">
        <v>0</v>
      </c>
      <c r="L602" s="8">
        <v>0</v>
      </c>
      <c r="M602" s="8">
        <v>116276.81262</v>
      </c>
      <c r="N602" s="8">
        <v>0</v>
      </c>
      <c r="O602" s="8">
        <v>0</v>
      </c>
      <c r="P602" s="8">
        <v>0</v>
      </c>
      <c r="Q602" s="8">
        <v>0</v>
      </c>
      <c r="R602" s="8">
        <f t="shared" si="136"/>
        <v>116276.81262</v>
      </c>
      <c r="S602" s="8">
        <v>0</v>
      </c>
      <c r="T602" s="8">
        <v>0</v>
      </c>
      <c r="U602" s="8">
        <v>107100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7">
        <v>3.5616439999999998</v>
      </c>
      <c r="AB602" s="8">
        <v>415209.058135</v>
      </c>
      <c r="AC602" s="7">
        <v>2.0299999999999998</v>
      </c>
      <c r="AD602" s="7" t="s">
        <v>1226</v>
      </c>
      <c r="AE602" s="8">
        <v>430675.61</v>
      </c>
      <c r="AF602" s="8">
        <v>0</v>
      </c>
      <c r="AG602" s="8">
        <v>430675.61</v>
      </c>
      <c r="AH602" s="8">
        <v>0</v>
      </c>
      <c r="AI602" s="7" t="s">
        <v>1877</v>
      </c>
      <c r="AJ602" s="7">
        <f t="shared" ca="1" si="137"/>
        <v>1</v>
      </c>
      <c r="AL602" s="96">
        <f t="shared" si="144"/>
        <v>2.6669270675459728E-2</v>
      </c>
      <c r="AM602" s="97">
        <f t="shared" si="145"/>
        <v>1.5113656422611281E-2</v>
      </c>
    </row>
    <row r="603" spans="1:39" x14ac:dyDescent="0.3">
      <c r="A603" s="7" t="s">
        <v>2569</v>
      </c>
      <c r="B603" s="7" t="s">
        <v>1735</v>
      </c>
      <c r="C603" s="7" t="s">
        <v>1323</v>
      </c>
      <c r="D603" s="7" t="s">
        <v>1780</v>
      </c>
      <c r="E603" s="7" t="s">
        <v>1322</v>
      </c>
      <c r="F603" s="36">
        <v>43678</v>
      </c>
      <c r="G603" s="36">
        <v>44773</v>
      </c>
      <c r="H603" s="36">
        <v>44773</v>
      </c>
      <c r="I603" s="36">
        <v>45900</v>
      </c>
      <c r="J603" s="7" t="s">
        <v>1696</v>
      </c>
      <c r="K603" s="8">
        <v>0</v>
      </c>
      <c r="L603" s="8">
        <v>0</v>
      </c>
      <c r="M603" s="8">
        <v>118960.04549999999</v>
      </c>
      <c r="N603" s="8">
        <v>0</v>
      </c>
      <c r="O603" s="8">
        <v>0</v>
      </c>
      <c r="P603" s="8">
        <v>0</v>
      </c>
      <c r="Q603" s="8">
        <v>0</v>
      </c>
      <c r="R603" s="8">
        <f t="shared" si="136"/>
        <v>118960.04549999999</v>
      </c>
      <c r="S603" s="8">
        <v>0</v>
      </c>
      <c r="T603" s="8">
        <v>0</v>
      </c>
      <c r="U603" s="8">
        <v>114793.75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7">
        <v>3.6684929999999998</v>
      </c>
      <c r="AB603" s="8">
        <v>438527.57423500001</v>
      </c>
      <c r="AC603" s="7">
        <v>2.0299999999999998</v>
      </c>
      <c r="AD603" s="7" t="s">
        <v>1226</v>
      </c>
      <c r="AE603" s="8">
        <v>454923.61</v>
      </c>
      <c r="AF603" s="8">
        <v>0</v>
      </c>
      <c r="AG603" s="8">
        <v>454923.61</v>
      </c>
      <c r="AH603" s="8">
        <v>0</v>
      </c>
      <c r="AI603" s="7" t="s">
        <v>1877</v>
      </c>
      <c r="AJ603" s="7">
        <f t="shared" ca="1" si="137"/>
        <v>1</v>
      </c>
      <c r="AL603" s="96">
        <f t="shared" si="144"/>
        <v>2.9012049728735657E-2</v>
      </c>
      <c r="AM603" s="97">
        <f t="shared" si="145"/>
        <v>1.596458907917727E-2</v>
      </c>
    </row>
    <row r="604" spans="1:39" x14ac:dyDescent="0.3">
      <c r="A604" s="7" t="s">
        <v>2570</v>
      </c>
      <c r="B604" s="7" t="s">
        <v>1320</v>
      </c>
      <c r="C604" s="7" t="s">
        <v>1323</v>
      </c>
      <c r="D604" s="7" t="s">
        <v>1324</v>
      </c>
      <c r="E604" s="7" t="s">
        <v>1322</v>
      </c>
      <c r="F604" s="36">
        <v>44470</v>
      </c>
      <c r="G604" s="36">
        <v>45565</v>
      </c>
      <c r="H604" s="36">
        <v>45565</v>
      </c>
      <c r="I604" s="36">
        <v>45565</v>
      </c>
      <c r="J604" s="7" t="s">
        <v>1696</v>
      </c>
      <c r="K604" s="8">
        <v>0</v>
      </c>
      <c r="L604" s="8">
        <v>0</v>
      </c>
      <c r="M604" s="8">
        <v>1296.3</v>
      </c>
      <c r="N604" s="8">
        <v>0</v>
      </c>
      <c r="O604" s="8">
        <v>0</v>
      </c>
      <c r="P604" s="8">
        <v>0</v>
      </c>
      <c r="Q604" s="8">
        <v>0</v>
      </c>
      <c r="R604" s="8">
        <f t="shared" si="136"/>
        <v>1296.3</v>
      </c>
      <c r="S604" s="8">
        <v>0</v>
      </c>
      <c r="T604" s="8">
        <v>0</v>
      </c>
      <c r="U604" s="8">
        <v>1296.3</v>
      </c>
      <c r="V604" s="8">
        <v>0</v>
      </c>
      <c r="W604" s="8">
        <v>0</v>
      </c>
      <c r="X604" s="8">
        <v>0</v>
      </c>
      <c r="Y604" s="8">
        <v>15992.368</v>
      </c>
      <c r="Z604" s="8">
        <v>0</v>
      </c>
      <c r="AA604" s="7">
        <v>2.7506849999999998</v>
      </c>
      <c r="AB604" s="8">
        <v>13704.74129</v>
      </c>
      <c r="AC604" s="7">
        <v>3</v>
      </c>
      <c r="AD604" s="7" t="s">
        <v>1226</v>
      </c>
      <c r="AE604" s="8">
        <v>14259.3</v>
      </c>
      <c r="AF604" s="8">
        <v>1199.9888900000001</v>
      </c>
      <c r="AG604" s="8">
        <v>15459.28889</v>
      </c>
      <c r="AH604" s="8">
        <v>0</v>
      </c>
      <c r="AI604" s="7" t="s">
        <v>1781</v>
      </c>
      <c r="AJ604" s="7">
        <f t="shared" ca="1" si="137"/>
        <v>1</v>
      </c>
      <c r="AL604" s="96">
        <f t="shared" si="144"/>
        <v>6.7983811978646459E-4</v>
      </c>
      <c r="AM604" s="97">
        <f t="shared" si="145"/>
        <v>7.3950768352058023E-4</v>
      </c>
    </row>
    <row r="605" spans="1:39" x14ac:dyDescent="0.3">
      <c r="A605" s="7" t="s">
        <v>2583</v>
      </c>
      <c r="B605" s="7" t="s">
        <v>194</v>
      </c>
      <c r="C605" s="7" t="s">
        <v>1323</v>
      </c>
      <c r="D605" s="7" t="s">
        <v>1852</v>
      </c>
      <c r="E605" s="7" t="s">
        <v>1733</v>
      </c>
      <c r="F605" s="36">
        <v>44197</v>
      </c>
      <c r="G605" s="36">
        <v>46387</v>
      </c>
      <c r="H605" s="36">
        <v>46387</v>
      </c>
      <c r="I605" s="36">
        <v>46387</v>
      </c>
      <c r="J605" s="7" t="s">
        <v>1696</v>
      </c>
      <c r="K605" s="8">
        <v>0</v>
      </c>
      <c r="L605" s="8">
        <v>0</v>
      </c>
      <c r="M605" s="8">
        <v>314073.59999999998</v>
      </c>
      <c r="N605" s="8">
        <v>0</v>
      </c>
      <c r="O605" s="8">
        <v>0</v>
      </c>
      <c r="P605" s="8">
        <v>0</v>
      </c>
      <c r="Q605" s="8">
        <v>0</v>
      </c>
      <c r="R605" s="8">
        <f t="shared" si="136"/>
        <v>314073.59999999998</v>
      </c>
      <c r="S605" s="8">
        <v>0</v>
      </c>
      <c r="T605" s="8">
        <v>0</v>
      </c>
      <c r="U605" s="8">
        <v>314073.59999999998</v>
      </c>
      <c r="V605" s="8">
        <v>0</v>
      </c>
      <c r="W605" s="8">
        <v>0</v>
      </c>
      <c r="X605" s="8">
        <v>0</v>
      </c>
      <c r="Y605" s="8">
        <v>1761063.7879920001</v>
      </c>
      <c r="Z605" s="8">
        <v>0</v>
      </c>
      <c r="AA605" s="7">
        <v>5.0027400000000002</v>
      </c>
      <c r="AB605" s="8">
        <v>1484282.0390870001</v>
      </c>
      <c r="AC605" s="7">
        <v>2.318333</v>
      </c>
      <c r="AD605" s="7" t="s">
        <v>1226</v>
      </c>
      <c r="AE605" s="8">
        <v>1570368</v>
      </c>
      <c r="AF605" s="8">
        <v>0</v>
      </c>
      <c r="AG605" s="8">
        <v>1570368</v>
      </c>
      <c r="AH605" s="8">
        <v>0</v>
      </c>
      <c r="AI605" s="7" t="s">
        <v>1758</v>
      </c>
      <c r="AJ605" s="7">
        <f t="shared" ca="1" si="137"/>
        <v>1</v>
      </c>
      <c r="AL605" s="96">
        <f t="shared" si="144"/>
        <v>0.13391159305746775</v>
      </c>
      <c r="AM605" s="97">
        <f t="shared" si="145"/>
        <v>6.2936195156040514E-2</v>
      </c>
    </row>
    <row r="606" spans="1:39" x14ac:dyDescent="0.3">
      <c r="A606" s="7" t="s">
        <v>2584</v>
      </c>
      <c r="B606" s="7" t="s">
        <v>194</v>
      </c>
      <c r="C606" s="7" t="s">
        <v>1323</v>
      </c>
      <c r="D606" s="7" t="s">
        <v>1324</v>
      </c>
      <c r="E606" s="7" t="s">
        <v>1322</v>
      </c>
      <c r="F606" s="36">
        <v>44287</v>
      </c>
      <c r="G606" s="36">
        <v>45382</v>
      </c>
      <c r="H606" s="36">
        <v>45382</v>
      </c>
      <c r="I606" s="36">
        <v>45382</v>
      </c>
      <c r="J606" s="7" t="s">
        <v>1696</v>
      </c>
      <c r="K606" s="8">
        <v>0</v>
      </c>
      <c r="L606" s="8">
        <v>0</v>
      </c>
      <c r="M606" s="8">
        <v>8333.2800000000007</v>
      </c>
      <c r="N606" s="8">
        <v>0</v>
      </c>
      <c r="O606" s="8">
        <v>0</v>
      </c>
      <c r="P606" s="8">
        <v>0</v>
      </c>
      <c r="Q606" s="8">
        <v>0</v>
      </c>
      <c r="R606" s="8">
        <f t="shared" si="136"/>
        <v>8333.2800000000007</v>
      </c>
      <c r="S606" s="8">
        <v>0</v>
      </c>
      <c r="T606" s="8">
        <v>0</v>
      </c>
      <c r="U606" s="8">
        <v>8333.2800000000007</v>
      </c>
      <c r="V606" s="8">
        <v>0</v>
      </c>
      <c r="W606" s="8">
        <v>0</v>
      </c>
      <c r="X606" s="8">
        <v>0</v>
      </c>
      <c r="Y606" s="8">
        <v>31918.713554000002</v>
      </c>
      <c r="Z606" s="8">
        <v>0</v>
      </c>
      <c r="AA606" s="7">
        <v>2.2493150000000002</v>
      </c>
      <c r="AB606" s="8">
        <v>24205.964884000001</v>
      </c>
      <c r="AC606" s="7">
        <v>3</v>
      </c>
      <c r="AD606" s="7" t="s">
        <v>1226</v>
      </c>
      <c r="AE606" s="8">
        <v>24999.84</v>
      </c>
      <c r="AF606" s="8">
        <v>0</v>
      </c>
      <c r="AG606" s="8">
        <v>24999.84</v>
      </c>
      <c r="AH606" s="8">
        <v>0</v>
      </c>
      <c r="AI606" s="7" t="s">
        <v>1730</v>
      </c>
      <c r="AJ606" s="7">
        <f t="shared" ca="1" si="137"/>
        <v>1</v>
      </c>
      <c r="AL606" s="96">
        <f t="shared" si="144"/>
        <v>9.8189825952755237E-4</v>
      </c>
      <c r="AM606" s="97">
        <f t="shared" si="145"/>
        <v>1.2965274429169134E-3</v>
      </c>
    </row>
    <row r="607" spans="1:39" x14ac:dyDescent="0.3">
      <c r="F607" s="36"/>
      <c r="G607" s="36"/>
      <c r="H607" s="36"/>
      <c r="I607" s="36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B607" s="8"/>
      <c r="AE607" s="8"/>
      <c r="AF607" s="8"/>
      <c r="AG607" s="8"/>
      <c r="AH607" s="8"/>
      <c r="AL607" s="96">
        <f t="shared" ref="AL607" si="146">(+AA607*AB607)/$AB$611</f>
        <v>0</v>
      </c>
      <c r="AM607" s="97">
        <f t="shared" ref="AM607" si="147">AC607/$AE$611*AE607</f>
        <v>0</v>
      </c>
    </row>
    <row r="608" spans="1:39" x14ac:dyDescent="0.3">
      <c r="A608" s="7" t="s">
        <v>2585</v>
      </c>
      <c r="B608" s="7" t="s">
        <v>194</v>
      </c>
      <c r="D608" s="7" t="s">
        <v>1324</v>
      </c>
      <c r="E608" s="7" t="s">
        <v>1322</v>
      </c>
      <c r="F608" s="36">
        <v>43800</v>
      </c>
      <c r="G608" s="36">
        <v>44895</v>
      </c>
      <c r="H608" s="36">
        <v>44895</v>
      </c>
      <c r="I608" s="36">
        <v>44895</v>
      </c>
      <c r="J608" s="7" t="s">
        <v>1696</v>
      </c>
      <c r="K608" s="8">
        <v>0</v>
      </c>
      <c r="L608" s="8">
        <v>0</v>
      </c>
      <c r="M608" s="8">
        <v>720000</v>
      </c>
      <c r="N608" s="8">
        <v>0</v>
      </c>
      <c r="O608" s="8">
        <v>0</v>
      </c>
      <c r="P608" s="8">
        <v>0</v>
      </c>
      <c r="Q608" s="8">
        <v>0</v>
      </c>
      <c r="R608" s="8">
        <f t="shared" si="136"/>
        <v>720000</v>
      </c>
      <c r="S608" s="8">
        <v>0</v>
      </c>
      <c r="T608" s="8">
        <v>0</v>
      </c>
      <c r="U608" s="8">
        <v>720000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7">
        <v>0.91506799999999999</v>
      </c>
      <c r="AB608" s="8">
        <v>654455.06821499998</v>
      </c>
      <c r="AC608" s="7">
        <v>2.0299999999999998</v>
      </c>
      <c r="AD608" s="7" t="s">
        <v>1226</v>
      </c>
      <c r="AE608" s="8">
        <v>660000</v>
      </c>
      <c r="AF608" s="8">
        <v>0</v>
      </c>
      <c r="AG608" s="8">
        <v>660000</v>
      </c>
      <c r="AH608" s="8">
        <v>0</v>
      </c>
      <c r="AI608" s="7" t="s">
        <v>1758</v>
      </c>
      <c r="AJ608" s="7">
        <f t="shared" ca="1" si="137"/>
        <v>1</v>
      </c>
      <c r="AL608" s="96">
        <f>(+AA608*AB608)/$AB$612</f>
        <v>1.0800081069435035E-2</v>
      </c>
      <c r="AM608" s="97">
        <f>AC608/$AE$612*AE608</f>
        <v>2.3161314472680366E-2</v>
      </c>
    </row>
    <row r="609" spans="11:39" x14ac:dyDescent="0.3">
      <c r="K609" s="8">
        <f t="shared" ref="K609:AB609" si="148">SUBTOTAL(9, K3:K608)</f>
        <v>73848591.19118087</v>
      </c>
      <c r="L609" s="8">
        <f t="shared" si="148"/>
        <v>8685803.8867421001</v>
      </c>
      <c r="M609" s="8">
        <f t="shared" si="148"/>
        <v>84954016.878559008</v>
      </c>
      <c r="N609" s="8">
        <f t="shared" si="148"/>
        <v>12718624.481249876</v>
      </c>
      <c r="O609" s="8">
        <f t="shared" si="148"/>
        <v>0</v>
      </c>
      <c r="P609" s="8">
        <f t="shared" si="148"/>
        <v>756698.36204600008</v>
      </c>
      <c r="Q609" s="8">
        <f t="shared" si="148"/>
        <v>0</v>
      </c>
      <c r="R609" s="8">
        <f t="shared" si="148"/>
        <v>180963734.79977676</v>
      </c>
      <c r="S609" s="8">
        <f t="shared" si="148"/>
        <v>0</v>
      </c>
      <c r="T609" s="8">
        <f t="shared" si="148"/>
        <v>8369557.295659109</v>
      </c>
      <c r="U609" s="8">
        <f t="shared" si="148"/>
        <v>42437061.229174227</v>
      </c>
      <c r="V609" s="8">
        <f t="shared" si="148"/>
        <v>75065303.77351436</v>
      </c>
      <c r="W609" s="8">
        <f t="shared" si="148"/>
        <v>85804.518161999935</v>
      </c>
      <c r="X609" s="8">
        <f t="shared" si="148"/>
        <v>151638702.55440992</v>
      </c>
      <c r="Y609" s="8">
        <f t="shared" si="148"/>
        <v>41042281.902847037</v>
      </c>
      <c r="Z609" s="8">
        <f t="shared" si="148"/>
        <v>1147759.7605097087</v>
      </c>
      <c r="AA609" s="7">
        <f t="shared" si="148"/>
        <v>803.52327400000286</v>
      </c>
      <c r="AB609" s="8">
        <f t="shared" si="148"/>
        <v>222236865.47154999</v>
      </c>
      <c r="AE609" s="8">
        <f>SUBTOTAL(9, AE3:AE608)</f>
        <v>212868655.91956288</v>
      </c>
      <c r="AF609" s="8">
        <f>SUBTOTAL(9, AF3:AF608)</f>
        <v>1219244.8500400202</v>
      </c>
      <c r="AG609" s="8">
        <f>SUBTOTAL(9, AG3:AG608)</f>
        <v>214087900.76960289</v>
      </c>
      <c r="AH609" s="8">
        <f>SUBTOTAL(9, AH3:AH608)</f>
        <v>-2850.0000749999999</v>
      </c>
    </row>
    <row r="611" spans="11:39" x14ac:dyDescent="0.3">
      <c r="AA611" s="98" t="s">
        <v>1239</v>
      </c>
      <c r="AB611" s="122">
        <f>SUMIFS($AB$3:$AB$608,$J$3:$J$608,AA611)</f>
        <v>166786273.3407</v>
      </c>
      <c r="AE611" s="122">
        <f>SUMIFS($AE$3:$AE$608,$J$3:$J$608,AA611)</f>
        <v>153653078.51436663</v>
      </c>
      <c r="AL611" s="123">
        <f>SUMIFS($AL$3:$AL$608,$J$3:$J$608,$AA611)</f>
        <v>3.7955288723066576</v>
      </c>
      <c r="AM611" s="123">
        <f>SUMIFS($AM$3:$AM$608,$J$3:$J$608,$AA611)</f>
        <v>3.4506784786205316</v>
      </c>
    </row>
    <row r="612" spans="11:39" x14ac:dyDescent="0.3">
      <c r="AA612" s="98" t="s">
        <v>1696</v>
      </c>
      <c r="AB612" s="122">
        <f t="shared" ref="AB612" si="149">SUMIFS($AB$3:$AB$608,$J$3:$J$608,AA612)</f>
        <v>55450592.130850673</v>
      </c>
      <c r="AE612" s="122">
        <f t="shared" ref="AE612:AE613" si="150">SUMIFS($AE$3:$AE$608,$J$3:$J$608,AA612)</f>
        <v>57846457.789791852</v>
      </c>
      <c r="AL612" s="123">
        <f t="shared" ref="AL612:AL613" si="151">SUMIFS($AL$3:$AL$608,$J$3:$J$608,$AA612)</f>
        <v>3.7627208054590429</v>
      </c>
      <c r="AM612" s="123">
        <f t="shared" ref="AM612:AM613" si="152">SUMIFS($AM$3:$AM$608,$J$3:$J$608,$AA612)</f>
        <v>3.9995401118178928</v>
      </c>
    </row>
    <row r="613" spans="11:39" x14ac:dyDescent="0.3">
      <c r="AA613" s="98" t="s">
        <v>2616</v>
      </c>
      <c r="AB613" s="122">
        <f>SUMIFS($AB$3:$AB$608,$J$3:$J$608,AA613)+0.00001</f>
        <v>1.0000000000000001E-5</v>
      </c>
      <c r="AE613" s="122">
        <f t="shared" si="150"/>
        <v>1369119.6154040494</v>
      </c>
      <c r="AL613" s="123">
        <f t="shared" si="151"/>
        <v>0</v>
      </c>
      <c r="AM613" s="123">
        <f t="shared" si="152"/>
        <v>5.3424773614150975</v>
      </c>
    </row>
    <row r="614" spans="11:39" x14ac:dyDescent="0.3">
      <c r="AA614" s="99" t="s">
        <v>2615</v>
      </c>
      <c r="AB614" s="197">
        <f>SUM(AB611:AB613)</f>
        <v>222236865.47156069</v>
      </c>
      <c r="AE614" s="197">
        <f>SUM(AE611:AE613)</f>
        <v>212868655.91956252</v>
      </c>
    </row>
  </sheetData>
  <autoFilter ref="A2:AM614" xr:uid="{6EC87AB1-05BE-4836-B7DD-672C39247BAE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55CC-D687-4AC0-A347-DBAF224FC573}">
  <sheetPr>
    <tabColor rgb="FFFF8A1F"/>
  </sheetPr>
  <dimension ref="A1:D33"/>
  <sheetViews>
    <sheetView workbookViewId="0">
      <selection activeCell="H9" sqref="H9"/>
    </sheetView>
  </sheetViews>
  <sheetFormatPr defaultRowHeight="14.4" x14ac:dyDescent="0.3"/>
  <cols>
    <col min="1" max="1" width="35" style="7" customWidth="1"/>
    <col min="2" max="2" width="19.6640625" style="7" bestFit="1" customWidth="1"/>
    <col min="3" max="3" width="11" style="7" customWidth="1"/>
    <col min="4" max="4" width="16.109375" style="7" bestFit="1" customWidth="1"/>
    <col min="5" max="16384" width="8.88671875" style="7"/>
  </cols>
  <sheetData>
    <row r="1" spans="1:4" ht="23.4" customHeight="1" x14ac:dyDescent="0.35">
      <c r="A1" s="13" t="s">
        <v>1538</v>
      </c>
      <c r="D1" s="179" t="s">
        <v>2781</v>
      </c>
    </row>
    <row r="2" spans="1:4" ht="14.4" customHeight="1" x14ac:dyDescent="0.3">
      <c r="A2" s="14" t="s">
        <v>166</v>
      </c>
      <c r="B2" s="7" t="s">
        <v>167</v>
      </c>
    </row>
    <row r="3" spans="1:4" ht="14.4" customHeight="1" x14ac:dyDescent="0.3">
      <c r="A3" s="14" t="s">
        <v>168</v>
      </c>
      <c r="B3" s="15" t="s">
        <v>2609</v>
      </c>
    </row>
    <row r="5" spans="1:4" ht="14.4" customHeight="1" x14ac:dyDescent="0.3">
      <c r="A5" s="16" t="s">
        <v>169</v>
      </c>
      <c r="B5" s="16" t="s">
        <v>170</v>
      </c>
      <c r="C5" s="16" t="s">
        <v>171</v>
      </c>
    </row>
    <row r="7" spans="1:4" x14ac:dyDescent="0.3">
      <c r="A7" s="7" t="s">
        <v>1539</v>
      </c>
      <c r="B7" s="7" t="s">
        <v>1540</v>
      </c>
    </row>
    <row r="8" spans="1:4" x14ac:dyDescent="0.3">
      <c r="A8" s="7" t="s">
        <v>1541</v>
      </c>
      <c r="B8" s="7" t="s">
        <v>63</v>
      </c>
    </row>
    <row r="9" spans="1:4" x14ac:dyDescent="0.3">
      <c r="A9" s="7" t="s">
        <v>1542</v>
      </c>
      <c r="B9" s="7" t="s">
        <v>174</v>
      </c>
    </row>
    <row r="10" spans="1:4" x14ac:dyDescent="0.3">
      <c r="A10" s="7" t="s">
        <v>1543</v>
      </c>
      <c r="B10" s="7" t="s">
        <v>176</v>
      </c>
      <c r="C10" s="7" t="s">
        <v>1544</v>
      </c>
    </row>
    <row r="11" spans="1:4" x14ac:dyDescent="0.3">
      <c r="A11" s="7" t="s">
        <v>191</v>
      </c>
    </row>
    <row r="12" spans="1:4" x14ac:dyDescent="0.3">
      <c r="A12" s="7" t="s">
        <v>1536</v>
      </c>
      <c r="B12" s="7" t="s">
        <v>1537</v>
      </c>
    </row>
    <row r="13" spans="1:4" x14ac:dyDescent="0.3">
      <c r="A13" s="7" t="s">
        <v>195</v>
      </c>
    </row>
    <row r="14" spans="1:4" x14ac:dyDescent="0.3">
      <c r="A14" s="7" t="s">
        <v>183</v>
      </c>
      <c r="B14" s="7" t="s">
        <v>184</v>
      </c>
    </row>
    <row r="15" spans="1:4" x14ac:dyDescent="0.3">
      <c r="A15" s="7" t="s">
        <v>1334</v>
      </c>
    </row>
    <row r="16" spans="1:4" x14ac:dyDescent="0.3">
      <c r="A16" s="7" t="s">
        <v>190</v>
      </c>
    </row>
    <row r="17" spans="1:1" x14ac:dyDescent="0.3">
      <c r="A17" s="7" t="s">
        <v>1313</v>
      </c>
    </row>
    <row r="18" spans="1:1" x14ac:dyDescent="0.3">
      <c r="A18" s="7" t="s">
        <v>186</v>
      </c>
    </row>
    <row r="19" spans="1:1" x14ac:dyDescent="0.3">
      <c r="A19" s="7" t="s">
        <v>1422</v>
      </c>
    </row>
    <row r="20" spans="1:1" x14ac:dyDescent="0.3">
      <c r="A20" s="7" t="s">
        <v>189</v>
      </c>
    </row>
    <row r="21" spans="1:1" x14ac:dyDescent="0.3">
      <c r="A21" s="7" t="s">
        <v>188</v>
      </c>
    </row>
    <row r="22" spans="1:1" x14ac:dyDescent="0.3">
      <c r="A22" s="7" t="s">
        <v>196</v>
      </c>
    </row>
    <row r="23" spans="1:1" x14ac:dyDescent="0.3">
      <c r="A23" s="7" t="s">
        <v>197</v>
      </c>
    </row>
    <row r="24" spans="1:1" x14ac:dyDescent="0.3">
      <c r="A24" s="7" t="s">
        <v>198</v>
      </c>
    </row>
    <row r="25" spans="1:1" x14ac:dyDescent="0.3">
      <c r="A25" s="7" t="s">
        <v>199</v>
      </c>
    </row>
    <row r="26" spans="1:1" x14ac:dyDescent="0.3">
      <c r="A26" s="7" t="s">
        <v>200</v>
      </c>
    </row>
    <row r="27" spans="1:1" x14ac:dyDescent="0.3">
      <c r="A27" s="7" t="s">
        <v>201</v>
      </c>
    </row>
    <row r="28" spans="1:1" x14ac:dyDescent="0.3">
      <c r="A28" s="7" t="s">
        <v>202</v>
      </c>
    </row>
    <row r="29" spans="1:1" x14ac:dyDescent="0.3">
      <c r="A29" s="7" t="s">
        <v>203</v>
      </c>
    </row>
    <row r="30" spans="1:1" x14ac:dyDescent="0.3">
      <c r="A30" s="7" t="s">
        <v>204</v>
      </c>
    </row>
    <row r="31" spans="1:1" x14ac:dyDescent="0.3">
      <c r="A31" s="7" t="s">
        <v>205</v>
      </c>
    </row>
    <row r="32" spans="1:1" x14ac:dyDescent="0.3">
      <c r="A32" s="7" t="s">
        <v>206</v>
      </c>
    </row>
    <row r="33" spans="1:3" x14ac:dyDescent="0.3">
      <c r="A33" s="7" t="s">
        <v>1243</v>
      </c>
      <c r="B33" s="7" t="s">
        <v>193</v>
      </c>
      <c r="C33" s="7" t="s">
        <v>194</v>
      </c>
    </row>
  </sheetData>
  <hyperlinks>
    <hyperlink ref="D1" location="'Comparison-Sheet'!A1" display="'Comparison-Sheet'!A1" xr:uid="{1A1D9AE9-2118-4B4E-BA86-162CEC196D65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294F-282E-4248-B564-50169F8B3F5B}">
  <sheetPr>
    <tabColor rgb="FFFFC000"/>
  </sheetPr>
  <dimension ref="A1:AH656"/>
  <sheetViews>
    <sheetView topLeftCell="C1" workbookViewId="0"/>
  </sheetViews>
  <sheetFormatPr defaultRowHeight="14.4" x14ac:dyDescent="0.3"/>
  <cols>
    <col min="1" max="2" width="14" style="7" customWidth="1"/>
    <col min="3" max="3" width="22" style="7" customWidth="1"/>
    <col min="4" max="17" width="14" style="7" customWidth="1"/>
    <col min="18" max="18" width="48" style="7" customWidth="1"/>
    <col min="19" max="21" width="14" style="7" customWidth="1"/>
    <col min="22" max="22" width="48" style="7" customWidth="1"/>
    <col min="23" max="34" width="14" style="7" customWidth="1"/>
    <col min="35" max="16384" width="8.88671875" style="7"/>
  </cols>
  <sheetData>
    <row r="1" spans="1:34" ht="28.8" x14ac:dyDescent="0.3">
      <c r="A1" s="124" t="s">
        <v>7</v>
      </c>
      <c r="B1" s="124" t="s">
        <v>8</v>
      </c>
      <c r="C1" s="124" t="s">
        <v>9</v>
      </c>
      <c r="D1" s="124" t="s">
        <v>10</v>
      </c>
      <c r="E1" s="124" t="s">
        <v>11</v>
      </c>
      <c r="F1" s="124" t="s">
        <v>12</v>
      </c>
      <c r="G1" s="124" t="s">
        <v>13</v>
      </c>
      <c r="H1" s="124" t="s">
        <v>14</v>
      </c>
      <c r="I1" s="124" t="s">
        <v>15</v>
      </c>
      <c r="J1" s="124" t="s">
        <v>16</v>
      </c>
      <c r="K1" s="124" t="s">
        <v>17</v>
      </c>
      <c r="L1" s="124" t="s">
        <v>18</v>
      </c>
      <c r="M1" s="124" t="s">
        <v>19</v>
      </c>
      <c r="N1" s="124" t="s">
        <v>20</v>
      </c>
      <c r="O1" s="124" t="s">
        <v>21</v>
      </c>
      <c r="P1" s="124" t="s">
        <v>22</v>
      </c>
      <c r="Q1" s="124" t="s">
        <v>23</v>
      </c>
      <c r="R1" s="124" t="s">
        <v>24</v>
      </c>
      <c r="S1" s="124" t="s">
        <v>25</v>
      </c>
      <c r="T1" s="124" t="s">
        <v>26</v>
      </c>
      <c r="U1" s="124" t="s">
        <v>2630</v>
      </c>
      <c r="V1" s="124" t="s">
        <v>27</v>
      </c>
      <c r="W1" s="124" t="s">
        <v>2629</v>
      </c>
      <c r="X1" s="124" t="s">
        <v>2628</v>
      </c>
      <c r="Y1" s="124" t="s">
        <v>2627</v>
      </c>
      <c r="Z1" s="124" t="s">
        <v>2626</v>
      </c>
      <c r="AA1" s="124" t="s">
        <v>2625</v>
      </c>
      <c r="AB1" s="124" t="s">
        <v>28</v>
      </c>
      <c r="AC1" s="124" t="s">
        <v>29</v>
      </c>
      <c r="AD1" s="124" t="s">
        <v>30</v>
      </c>
      <c r="AE1" s="124" t="s">
        <v>31</v>
      </c>
      <c r="AF1" s="124" t="s">
        <v>32</v>
      </c>
      <c r="AG1" s="124" t="s">
        <v>33</v>
      </c>
      <c r="AH1" s="124" t="s">
        <v>2624</v>
      </c>
    </row>
    <row r="2" spans="1:34" x14ac:dyDescent="0.3">
      <c r="A2" s="4">
        <v>44562</v>
      </c>
      <c r="B2" s="4">
        <v>44562</v>
      </c>
      <c r="C2" s="7" t="s">
        <v>35</v>
      </c>
      <c r="D2" s="7" t="s">
        <v>36</v>
      </c>
      <c r="E2" s="7" t="s">
        <v>36</v>
      </c>
      <c r="F2" s="7" t="s">
        <v>36</v>
      </c>
      <c r="G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R2" s="7" t="s">
        <v>42</v>
      </c>
      <c r="S2" s="8">
        <v>2539829.423163</v>
      </c>
      <c r="U2" s="8">
        <v>2539829.423163</v>
      </c>
      <c r="V2" s="7" t="s">
        <v>56</v>
      </c>
      <c r="W2" s="7" t="s">
        <v>2623</v>
      </c>
      <c r="X2" s="7" t="s">
        <v>2618</v>
      </c>
      <c r="Y2" s="7" t="s">
        <v>2622</v>
      </c>
      <c r="AA2" s="7" t="s">
        <v>2617</v>
      </c>
      <c r="AB2" s="7">
        <v>6</v>
      </c>
      <c r="AC2" s="7" t="s">
        <v>43</v>
      </c>
      <c r="AD2" s="7" t="s">
        <v>222</v>
      </c>
      <c r="AF2" s="7" t="s">
        <v>44</v>
      </c>
      <c r="AH2" s="4">
        <v>44592.999988425923</v>
      </c>
    </row>
    <row r="3" spans="1:34" x14ac:dyDescent="0.3">
      <c r="A3" s="4">
        <v>44562</v>
      </c>
      <c r="B3" s="4">
        <v>44562</v>
      </c>
      <c r="C3" s="7" t="s">
        <v>35</v>
      </c>
      <c r="D3" s="7" t="s">
        <v>36</v>
      </c>
      <c r="E3" s="7" t="s">
        <v>36</v>
      </c>
      <c r="F3" s="7" t="s">
        <v>36</v>
      </c>
      <c r="G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R3" s="7" t="s">
        <v>45</v>
      </c>
      <c r="T3" s="8">
        <v>2539829.423163</v>
      </c>
      <c r="U3" s="8">
        <v>-2539829.423163</v>
      </c>
      <c r="V3" s="7" t="s">
        <v>56</v>
      </c>
      <c r="W3" s="7" t="s">
        <v>2623</v>
      </c>
      <c r="X3" s="7" t="s">
        <v>2618</v>
      </c>
      <c r="Y3" s="7" t="s">
        <v>2622</v>
      </c>
      <c r="AA3" s="7" t="s">
        <v>2617</v>
      </c>
      <c r="AB3" s="7">
        <v>6</v>
      </c>
      <c r="AC3" s="7" t="s">
        <v>43</v>
      </c>
      <c r="AD3" s="7" t="s">
        <v>224</v>
      </c>
      <c r="AF3" s="7" t="s">
        <v>44</v>
      </c>
      <c r="AH3" s="4">
        <v>44592.999988425923</v>
      </c>
    </row>
    <row r="4" spans="1:34" x14ac:dyDescent="0.3">
      <c r="A4" s="4">
        <v>44562</v>
      </c>
      <c r="B4" s="4">
        <v>44592</v>
      </c>
      <c r="C4" s="7" t="s">
        <v>46</v>
      </c>
      <c r="D4" s="7" t="s">
        <v>36</v>
      </c>
      <c r="E4" s="7" t="s">
        <v>36</v>
      </c>
      <c r="F4" s="7" t="s">
        <v>36</v>
      </c>
      <c r="G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R4" s="7" t="s">
        <v>45</v>
      </c>
      <c r="S4" s="8">
        <v>50000</v>
      </c>
      <c r="U4" s="8">
        <v>50000</v>
      </c>
      <c r="V4" s="7" t="s">
        <v>56</v>
      </c>
      <c r="W4" s="7" t="s">
        <v>57</v>
      </c>
      <c r="X4" s="7" t="s">
        <v>2618</v>
      </c>
      <c r="Y4" s="7" t="s">
        <v>1691</v>
      </c>
      <c r="AA4" s="7" t="s">
        <v>2617</v>
      </c>
      <c r="AB4" s="7">
        <v>12</v>
      </c>
      <c r="AC4" s="7" t="s">
        <v>57</v>
      </c>
      <c r="AD4" s="7" t="s">
        <v>225</v>
      </c>
      <c r="AF4" s="7" t="s">
        <v>44</v>
      </c>
      <c r="AH4" s="4">
        <v>44592.999988425923</v>
      </c>
    </row>
    <row r="5" spans="1:34" x14ac:dyDescent="0.3">
      <c r="A5" s="4">
        <v>44562</v>
      </c>
      <c r="B5" s="4">
        <v>44592</v>
      </c>
      <c r="C5" s="7" t="s">
        <v>46</v>
      </c>
      <c r="D5" s="7" t="s">
        <v>36</v>
      </c>
      <c r="E5" s="7" t="s">
        <v>36</v>
      </c>
      <c r="F5" s="7" t="s">
        <v>36</v>
      </c>
      <c r="G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R5" s="7" t="s">
        <v>58</v>
      </c>
      <c r="T5" s="8">
        <v>50000</v>
      </c>
      <c r="U5" s="8">
        <v>-50000</v>
      </c>
      <c r="V5" s="7" t="s">
        <v>56</v>
      </c>
      <c r="W5" s="7" t="s">
        <v>57</v>
      </c>
      <c r="X5" s="7" t="s">
        <v>2618</v>
      </c>
      <c r="Y5" s="7" t="s">
        <v>1691</v>
      </c>
      <c r="AA5" s="7" t="s">
        <v>2617</v>
      </c>
      <c r="AB5" s="7">
        <v>12</v>
      </c>
      <c r="AC5" s="7" t="s">
        <v>57</v>
      </c>
      <c r="AD5" s="7" t="s">
        <v>227</v>
      </c>
      <c r="AF5" s="7" t="s">
        <v>44</v>
      </c>
      <c r="AH5" s="4">
        <v>44592.999988425923</v>
      </c>
    </row>
    <row r="6" spans="1:34" x14ac:dyDescent="0.3">
      <c r="A6" s="4">
        <v>44592</v>
      </c>
      <c r="B6" s="4">
        <v>44592</v>
      </c>
      <c r="C6" s="7" t="s">
        <v>46</v>
      </c>
      <c r="D6" s="7" t="s">
        <v>36</v>
      </c>
      <c r="E6" s="7" t="s">
        <v>36</v>
      </c>
      <c r="F6" s="7" t="s">
        <v>36</v>
      </c>
      <c r="G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R6" s="7" t="s">
        <v>47</v>
      </c>
      <c r="S6" s="8">
        <v>14524.004967999999</v>
      </c>
      <c r="U6" s="8">
        <v>14524.004967999999</v>
      </c>
      <c r="V6" s="7" t="s">
        <v>56</v>
      </c>
      <c r="W6" s="7" t="s">
        <v>2621</v>
      </c>
      <c r="X6" s="7" t="s">
        <v>2618</v>
      </c>
      <c r="Y6" s="7" t="s">
        <v>1691</v>
      </c>
      <c r="AA6" s="7" t="s">
        <v>2617</v>
      </c>
      <c r="AB6" s="7">
        <v>8</v>
      </c>
      <c r="AC6" s="7" t="s">
        <v>48</v>
      </c>
      <c r="AD6" s="7" t="s">
        <v>229</v>
      </c>
      <c r="AF6" s="7" t="s">
        <v>44</v>
      </c>
      <c r="AH6" s="4">
        <v>44592.999988425923</v>
      </c>
    </row>
    <row r="7" spans="1:34" x14ac:dyDescent="0.3">
      <c r="A7" s="4">
        <v>44592</v>
      </c>
      <c r="B7" s="4">
        <v>44592</v>
      </c>
      <c r="C7" s="7" t="s">
        <v>46</v>
      </c>
      <c r="D7" s="7" t="s">
        <v>36</v>
      </c>
      <c r="E7" s="7" t="s">
        <v>36</v>
      </c>
      <c r="F7" s="7" t="s">
        <v>36</v>
      </c>
      <c r="G7" s="7" t="s">
        <v>37</v>
      </c>
      <c r="K7" s="7" t="s">
        <v>38</v>
      </c>
      <c r="L7" s="7" t="s">
        <v>39</v>
      </c>
      <c r="M7" s="7" t="s">
        <v>38</v>
      </c>
      <c r="N7" s="7" t="s">
        <v>41</v>
      </c>
      <c r="R7" s="7" t="s">
        <v>49</v>
      </c>
      <c r="T7" s="8">
        <v>14524.004967999999</v>
      </c>
      <c r="U7" s="8">
        <v>-14524.004967999999</v>
      </c>
      <c r="V7" s="7" t="s">
        <v>56</v>
      </c>
      <c r="W7" s="7" t="s">
        <v>2621</v>
      </c>
      <c r="X7" s="7" t="s">
        <v>2618</v>
      </c>
      <c r="Y7" s="7" t="s">
        <v>1691</v>
      </c>
      <c r="AA7" s="7" t="s">
        <v>2617</v>
      </c>
      <c r="AB7" s="7">
        <v>8</v>
      </c>
      <c r="AC7" s="7" t="s">
        <v>48</v>
      </c>
      <c r="AD7" s="7" t="s">
        <v>231</v>
      </c>
      <c r="AF7" s="7" t="s">
        <v>44</v>
      </c>
      <c r="AH7" s="4">
        <v>44592.999988425923</v>
      </c>
    </row>
    <row r="8" spans="1:34" x14ac:dyDescent="0.3">
      <c r="A8" s="4">
        <v>44592</v>
      </c>
      <c r="B8" s="4">
        <v>44562</v>
      </c>
      <c r="C8" s="7" t="s">
        <v>35</v>
      </c>
      <c r="D8" s="7" t="s">
        <v>36</v>
      </c>
      <c r="E8" s="7" t="s">
        <v>36</v>
      </c>
      <c r="F8" s="7" t="s">
        <v>36</v>
      </c>
      <c r="G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R8" s="7" t="s">
        <v>50</v>
      </c>
      <c r="S8" s="8">
        <v>42330.49</v>
      </c>
      <c r="U8" s="8">
        <v>42330.49</v>
      </c>
      <c r="V8" s="7" t="s">
        <v>56</v>
      </c>
      <c r="W8" s="7" t="s">
        <v>2619</v>
      </c>
      <c r="X8" s="7" t="s">
        <v>2618</v>
      </c>
      <c r="Y8" s="7" t="s">
        <v>1691</v>
      </c>
      <c r="AA8" s="7" t="s">
        <v>2617</v>
      </c>
      <c r="AB8" s="7">
        <v>10</v>
      </c>
      <c r="AC8" s="7" t="s">
        <v>51</v>
      </c>
      <c r="AD8" s="7" t="s">
        <v>232</v>
      </c>
      <c r="AF8" s="7" t="s">
        <v>44</v>
      </c>
      <c r="AH8" s="4">
        <v>44592.999988425923</v>
      </c>
    </row>
    <row r="9" spans="1:34" x14ac:dyDescent="0.3">
      <c r="A9" s="4">
        <v>44592</v>
      </c>
      <c r="B9" s="4">
        <v>44562</v>
      </c>
      <c r="C9" s="7" t="s">
        <v>35</v>
      </c>
      <c r="D9" s="7" t="s">
        <v>36</v>
      </c>
      <c r="E9" s="7" t="s">
        <v>36</v>
      </c>
      <c r="F9" s="7" t="s">
        <v>36</v>
      </c>
      <c r="G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R9" s="7" t="s">
        <v>52</v>
      </c>
      <c r="T9" s="8">
        <v>42330.49</v>
      </c>
      <c r="U9" s="8">
        <v>-42330.49</v>
      </c>
      <c r="V9" s="7" t="s">
        <v>56</v>
      </c>
      <c r="W9" s="7" t="s">
        <v>2619</v>
      </c>
      <c r="X9" s="7" t="s">
        <v>2618</v>
      </c>
      <c r="Y9" s="7" t="s">
        <v>1691</v>
      </c>
      <c r="AA9" s="7" t="s">
        <v>2617</v>
      </c>
      <c r="AB9" s="7">
        <v>10</v>
      </c>
      <c r="AC9" s="7" t="s">
        <v>51</v>
      </c>
      <c r="AD9" s="7" t="s">
        <v>234</v>
      </c>
      <c r="AF9" s="7" t="s">
        <v>44</v>
      </c>
      <c r="AH9" s="4">
        <v>44592.999988425923</v>
      </c>
    </row>
    <row r="10" spans="1:34" x14ac:dyDescent="0.3">
      <c r="A10" s="4">
        <v>44592</v>
      </c>
      <c r="B10" s="4">
        <v>44592</v>
      </c>
      <c r="C10" s="7" t="s">
        <v>35</v>
      </c>
      <c r="D10" s="7" t="s">
        <v>36</v>
      </c>
      <c r="E10" s="7" t="s">
        <v>36</v>
      </c>
      <c r="F10" s="7" t="s">
        <v>36</v>
      </c>
      <c r="G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R10" s="7" t="s">
        <v>45</v>
      </c>
      <c r="S10" s="8">
        <v>439639.29</v>
      </c>
      <c r="U10" s="8">
        <v>439639.29</v>
      </c>
      <c r="V10" s="7" t="s">
        <v>56</v>
      </c>
      <c r="W10" s="7" t="s">
        <v>2620</v>
      </c>
      <c r="X10" s="7" t="s">
        <v>2618</v>
      </c>
      <c r="Y10" s="7" t="s">
        <v>1691</v>
      </c>
      <c r="AA10" s="7" t="s">
        <v>2617</v>
      </c>
      <c r="AB10" s="7">
        <v>11</v>
      </c>
      <c r="AC10" s="7" t="s">
        <v>53</v>
      </c>
      <c r="AD10" s="7" t="s">
        <v>235</v>
      </c>
      <c r="AF10" s="7" t="s">
        <v>44</v>
      </c>
      <c r="AH10" s="4">
        <v>44592.999988425923</v>
      </c>
    </row>
    <row r="11" spans="1:34" x14ac:dyDescent="0.3">
      <c r="A11" s="4">
        <v>44592</v>
      </c>
      <c r="B11" s="4">
        <v>44592</v>
      </c>
      <c r="C11" s="7" t="s">
        <v>35</v>
      </c>
      <c r="D11" s="7" t="s">
        <v>36</v>
      </c>
      <c r="E11" s="7" t="s">
        <v>36</v>
      </c>
      <c r="F11" s="7" t="s">
        <v>36</v>
      </c>
      <c r="G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R11" s="7" t="s">
        <v>54</v>
      </c>
      <c r="T11" s="8">
        <v>439639.29</v>
      </c>
      <c r="U11" s="8">
        <v>-439639.29</v>
      </c>
      <c r="V11" s="7" t="s">
        <v>56</v>
      </c>
      <c r="W11" s="7" t="s">
        <v>2620</v>
      </c>
      <c r="X11" s="7" t="s">
        <v>2618</v>
      </c>
      <c r="Y11" s="7" t="s">
        <v>1691</v>
      </c>
      <c r="AA11" s="7" t="s">
        <v>2617</v>
      </c>
      <c r="AB11" s="7">
        <v>11</v>
      </c>
      <c r="AC11" s="7" t="s">
        <v>53</v>
      </c>
      <c r="AD11" s="7" t="s">
        <v>237</v>
      </c>
      <c r="AF11" s="7" t="s">
        <v>44</v>
      </c>
      <c r="AH11" s="4">
        <v>44592.999988425923</v>
      </c>
    </row>
    <row r="12" spans="1:34" x14ac:dyDescent="0.3">
      <c r="A12" s="4">
        <v>44593</v>
      </c>
      <c r="B12" s="4">
        <v>44593</v>
      </c>
      <c r="C12" s="7" t="s">
        <v>35</v>
      </c>
      <c r="D12" s="7" t="s">
        <v>36</v>
      </c>
      <c r="E12" s="7" t="s">
        <v>36</v>
      </c>
      <c r="F12" s="7" t="s">
        <v>36</v>
      </c>
      <c r="G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R12" s="7" t="s">
        <v>54</v>
      </c>
      <c r="S12" s="8">
        <v>439639.29</v>
      </c>
      <c r="U12" s="8">
        <v>439639.29</v>
      </c>
      <c r="V12" s="7" t="s">
        <v>56</v>
      </c>
      <c r="W12" s="7" t="s">
        <v>2620</v>
      </c>
      <c r="X12" s="7" t="s">
        <v>2618</v>
      </c>
      <c r="Y12" s="7" t="s">
        <v>1691</v>
      </c>
      <c r="AA12" s="7" t="s">
        <v>2617</v>
      </c>
      <c r="AB12" s="7">
        <v>11</v>
      </c>
      <c r="AC12" s="7" t="s">
        <v>55</v>
      </c>
      <c r="AD12" s="7" t="s">
        <v>239</v>
      </c>
      <c r="AF12" s="7" t="s">
        <v>44</v>
      </c>
      <c r="AH12" s="4">
        <v>44620.999988425923</v>
      </c>
    </row>
    <row r="13" spans="1:34" x14ac:dyDescent="0.3">
      <c r="A13" s="4">
        <v>44593</v>
      </c>
      <c r="B13" s="4">
        <v>44593</v>
      </c>
      <c r="C13" s="7" t="s">
        <v>35</v>
      </c>
      <c r="D13" s="7" t="s">
        <v>36</v>
      </c>
      <c r="E13" s="7" t="s">
        <v>36</v>
      </c>
      <c r="F13" s="7" t="s">
        <v>36</v>
      </c>
      <c r="G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R13" s="7" t="s">
        <v>45</v>
      </c>
      <c r="T13" s="8">
        <v>439639.29</v>
      </c>
      <c r="U13" s="8">
        <v>-439639.29</v>
      </c>
      <c r="V13" s="7" t="s">
        <v>56</v>
      </c>
      <c r="W13" s="7" t="s">
        <v>2620</v>
      </c>
      <c r="X13" s="7" t="s">
        <v>2618</v>
      </c>
      <c r="Y13" s="7" t="s">
        <v>1691</v>
      </c>
      <c r="AA13" s="7" t="s">
        <v>2617</v>
      </c>
      <c r="AB13" s="7">
        <v>11</v>
      </c>
      <c r="AC13" s="7" t="s">
        <v>55</v>
      </c>
      <c r="AD13" s="7" t="s">
        <v>241</v>
      </c>
      <c r="AF13" s="7" t="s">
        <v>44</v>
      </c>
      <c r="AH13" s="4">
        <v>44620.999988425923</v>
      </c>
    </row>
    <row r="14" spans="1:34" x14ac:dyDescent="0.3">
      <c r="A14" s="4">
        <v>44593</v>
      </c>
      <c r="B14" s="4">
        <v>44620</v>
      </c>
      <c r="C14" s="7" t="s">
        <v>46</v>
      </c>
      <c r="D14" s="7" t="s">
        <v>36</v>
      </c>
      <c r="E14" s="7" t="s">
        <v>36</v>
      </c>
      <c r="F14" s="7" t="s">
        <v>36</v>
      </c>
      <c r="G14" s="7" t="s">
        <v>37</v>
      </c>
      <c r="K14" s="7" t="s">
        <v>38</v>
      </c>
      <c r="L14" s="7" t="s">
        <v>39</v>
      </c>
      <c r="M14" s="7" t="s">
        <v>38</v>
      </c>
      <c r="N14" s="7" t="s">
        <v>41</v>
      </c>
      <c r="R14" s="7" t="s">
        <v>49</v>
      </c>
      <c r="S14" s="8">
        <v>14524.004967999999</v>
      </c>
      <c r="U14" s="8">
        <v>14524.004967999999</v>
      </c>
      <c r="V14" s="7" t="s">
        <v>56</v>
      </c>
      <c r="W14" s="7" t="s">
        <v>57</v>
      </c>
      <c r="X14" s="7" t="s">
        <v>2618</v>
      </c>
      <c r="Y14" s="7" t="s">
        <v>1691</v>
      </c>
      <c r="AA14" s="7" t="s">
        <v>2617</v>
      </c>
      <c r="AB14" s="7">
        <v>12</v>
      </c>
      <c r="AC14" s="7" t="s">
        <v>57</v>
      </c>
      <c r="AD14" s="7" t="s">
        <v>242</v>
      </c>
      <c r="AF14" s="7" t="s">
        <v>44</v>
      </c>
      <c r="AH14" s="4">
        <v>44620.999988425923</v>
      </c>
    </row>
    <row r="15" spans="1:34" x14ac:dyDescent="0.3">
      <c r="A15" s="4">
        <v>44593</v>
      </c>
      <c r="B15" s="4">
        <v>44620</v>
      </c>
      <c r="C15" s="7" t="s">
        <v>46</v>
      </c>
      <c r="D15" s="7" t="s">
        <v>36</v>
      </c>
      <c r="E15" s="7" t="s">
        <v>36</v>
      </c>
      <c r="F15" s="7" t="s">
        <v>36</v>
      </c>
      <c r="G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R15" s="7" t="s">
        <v>45</v>
      </c>
      <c r="S15" s="8">
        <v>35475.995031999999</v>
      </c>
      <c r="U15" s="8">
        <v>35475.995031999999</v>
      </c>
      <c r="V15" s="7" t="s">
        <v>56</v>
      </c>
      <c r="W15" s="7" t="s">
        <v>57</v>
      </c>
      <c r="X15" s="7" t="s">
        <v>2618</v>
      </c>
      <c r="Y15" s="7" t="s">
        <v>1691</v>
      </c>
      <c r="AA15" s="7" t="s">
        <v>2617</v>
      </c>
      <c r="AB15" s="7">
        <v>12</v>
      </c>
      <c r="AC15" s="7" t="s">
        <v>57</v>
      </c>
      <c r="AD15" s="7" t="s">
        <v>244</v>
      </c>
      <c r="AF15" s="7" t="s">
        <v>44</v>
      </c>
      <c r="AH15" s="4">
        <v>44620.999988425923</v>
      </c>
    </row>
    <row r="16" spans="1:34" x14ac:dyDescent="0.3">
      <c r="A16" s="4">
        <v>44593</v>
      </c>
      <c r="B16" s="4">
        <v>44620</v>
      </c>
      <c r="C16" s="7" t="s">
        <v>46</v>
      </c>
      <c r="D16" s="7" t="s">
        <v>36</v>
      </c>
      <c r="E16" s="7" t="s">
        <v>36</v>
      </c>
      <c r="F16" s="7" t="s">
        <v>36</v>
      </c>
      <c r="G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R16" s="7" t="s">
        <v>58</v>
      </c>
      <c r="T16" s="8">
        <v>50000</v>
      </c>
      <c r="U16" s="8">
        <v>-50000</v>
      </c>
      <c r="V16" s="7" t="s">
        <v>56</v>
      </c>
      <c r="W16" s="7" t="s">
        <v>57</v>
      </c>
      <c r="X16" s="7" t="s">
        <v>2618</v>
      </c>
      <c r="Y16" s="7" t="s">
        <v>1691</v>
      </c>
      <c r="AA16" s="7" t="s">
        <v>2617</v>
      </c>
      <c r="AB16" s="7">
        <v>12</v>
      </c>
      <c r="AC16" s="7" t="s">
        <v>57</v>
      </c>
      <c r="AD16" s="7" t="s">
        <v>245</v>
      </c>
      <c r="AF16" s="7" t="s">
        <v>44</v>
      </c>
      <c r="AH16" s="4">
        <v>44620.999988425923</v>
      </c>
    </row>
    <row r="17" spans="1:34" x14ac:dyDescent="0.3">
      <c r="A17" s="4">
        <v>44620</v>
      </c>
      <c r="B17" s="4">
        <v>44620</v>
      </c>
      <c r="C17" s="7" t="s">
        <v>46</v>
      </c>
      <c r="D17" s="7" t="s">
        <v>36</v>
      </c>
      <c r="E17" s="7" t="s">
        <v>36</v>
      </c>
      <c r="F17" s="7" t="s">
        <v>36</v>
      </c>
      <c r="G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R17" s="7" t="s">
        <v>47</v>
      </c>
      <c r="S17" s="8">
        <v>14317.061664000001</v>
      </c>
      <c r="U17" s="8">
        <v>14317.061664000001</v>
      </c>
      <c r="V17" s="7" t="s">
        <v>56</v>
      </c>
      <c r="W17" s="7" t="s">
        <v>2621</v>
      </c>
      <c r="X17" s="7" t="s">
        <v>2618</v>
      </c>
      <c r="Y17" s="7" t="s">
        <v>1691</v>
      </c>
      <c r="AA17" s="7" t="s">
        <v>2617</v>
      </c>
      <c r="AB17" s="7">
        <v>8</v>
      </c>
      <c r="AC17" s="7" t="s">
        <v>48</v>
      </c>
      <c r="AD17" s="7" t="s">
        <v>247</v>
      </c>
      <c r="AF17" s="7" t="s">
        <v>44</v>
      </c>
      <c r="AH17" s="4">
        <v>44620.999988425923</v>
      </c>
    </row>
    <row r="18" spans="1:34" x14ac:dyDescent="0.3">
      <c r="A18" s="4">
        <v>44620</v>
      </c>
      <c r="B18" s="4">
        <v>44620</v>
      </c>
      <c r="C18" s="7" t="s">
        <v>46</v>
      </c>
      <c r="D18" s="7" t="s">
        <v>36</v>
      </c>
      <c r="E18" s="7" t="s">
        <v>36</v>
      </c>
      <c r="F18" s="7" t="s">
        <v>36</v>
      </c>
      <c r="G18" s="7" t="s">
        <v>37</v>
      </c>
      <c r="K18" s="7" t="s">
        <v>38</v>
      </c>
      <c r="L18" s="7" t="s">
        <v>39</v>
      </c>
      <c r="M18" s="7" t="s">
        <v>38</v>
      </c>
      <c r="N18" s="7" t="s">
        <v>41</v>
      </c>
      <c r="R18" s="7" t="s">
        <v>49</v>
      </c>
      <c r="T18" s="8">
        <v>14317.061664000001</v>
      </c>
      <c r="U18" s="8">
        <v>-14317.061664000001</v>
      </c>
      <c r="V18" s="7" t="s">
        <v>56</v>
      </c>
      <c r="W18" s="7" t="s">
        <v>2621</v>
      </c>
      <c r="X18" s="7" t="s">
        <v>2618</v>
      </c>
      <c r="Y18" s="7" t="s">
        <v>1691</v>
      </c>
      <c r="AA18" s="7" t="s">
        <v>2617</v>
      </c>
      <c r="AB18" s="7">
        <v>8</v>
      </c>
      <c r="AC18" s="7" t="s">
        <v>48</v>
      </c>
      <c r="AD18" s="7" t="s">
        <v>249</v>
      </c>
      <c r="AF18" s="7" t="s">
        <v>44</v>
      </c>
      <c r="AH18" s="4">
        <v>44620.999988425923</v>
      </c>
    </row>
    <row r="19" spans="1:34" x14ac:dyDescent="0.3">
      <c r="A19" s="4">
        <v>44620</v>
      </c>
      <c r="B19" s="4">
        <v>44562</v>
      </c>
      <c r="C19" s="7" t="s">
        <v>35</v>
      </c>
      <c r="D19" s="7" t="s">
        <v>36</v>
      </c>
      <c r="E19" s="7" t="s">
        <v>36</v>
      </c>
      <c r="F19" s="7" t="s">
        <v>36</v>
      </c>
      <c r="G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R19" s="7" t="s">
        <v>50</v>
      </c>
      <c r="S19" s="8">
        <v>42330.49</v>
      </c>
      <c r="U19" s="8">
        <v>42330.49</v>
      </c>
      <c r="V19" s="7" t="s">
        <v>56</v>
      </c>
      <c r="W19" s="7" t="s">
        <v>2619</v>
      </c>
      <c r="X19" s="7" t="s">
        <v>2618</v>
      </c>
      <c r="Y19" s="7" t="s">
        <v>1691</v>
      </c>
      <c r="AA19" s="7" t="s">
        <v>2617</v>
      </c>
      <c r="AB19" s="7">
        <v>10</v>
      </c>
      <c r="AC19" s="7" t="s">
        <v>51</v>
      </c>
      <c r="AD19" s="7" t="s">
        <v>250</v>
      </c>
      <c r="AF19" s="7" t="s">
        <v>44</v>
      </c>
      <c r="AH19" s="4">
        <v>44620.999988425923</v>
      </c>
    </row>
    <row r="20" spans="1:34" x14ac:dyDescent="0.3">
      <c r="A20" s="4">
        <v>44620</v>
      </c>
      <c r="B20" s="4">
        <v>44562</v>
      </c>
      <c r="C20" s="7" t="s">
        <v>35</v>
      </c>
      <c r="D20" s="7" t="s">
        <v>36</v>
      </c>
      <c r="E20" s="7" t="s">
        <v>36</v>
      </c>
      <c r="F20" s="7" t="s">
        <v>36</v>
      </c>
      <c r="G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R20" s="7" t="s">
        <v>52</v>
      </c>
      <c r="T20" s="8">
        <v>42330.49</v>
      </c>
      <c r="U20" s="8">
        <v>-42330.49</v>
      </c>
      <c r="V20" s="7" t="s">
        <v>56</v>
      </c>
      <c r="W20" s="7" t="s">
        <v>2619</v>
      </c>
      <c r="X20" s="7" t="s">
        <v>2618</v>
      </c>
      <c r="Y20" s="7" t="s">
        <v>1691</v>
      </c>
      <c r="AA20" s="7" t="s">
        <v>2617</v>
      </c>
      <c r="AB20" s="7">
        <v>10</v>
      </c>
      <c r="AC20" s="7" t="s">
        <v>51</v>
      </c>
      <c r="AD20" s="7" t="s">
        <v>252</v>
      </c>
      <c r="AF20" s="7" t="s">
        <v>44</v>
      </c>
      <c r="AH20" s="4">
        <v>44620.999988425923</v>
      </c>
    </row>
    <row r="21" spans="1:34" x14ac:dyDescent="0.3">
      <c r="A21" s="4">
        <v>44620</v>
      </c>
      <c r="B21" s="4">
        <v>44620</v>
      </c>
      <c r="C21" s="7" t="s">
        <v>35</v>
      </c>
      <c r="D21" s="7" t="s">
        <v>36</v>
      </c>
      <c r="E21" s="7" t="s">
        <v>36</v>
      </c>
      <c r="F21" s="7" t="s">
        <v>36</v>
      </c>
      <c r="G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R21" s="7" t="s">
        <v>45</v>
      </c>
      <c r="S21" s="8">
        <v>442203.86</v>
      </c>
      <c r="U21" s="8">
        <v>442203.86</v>
      </c>
      <c r="V21" s="7" t="s">
        <v>56</v>
      </c>
      <c r="W21" s="7" t="s">
        <v>2620</v>
      </c>
      <c r="X21" s="7" t="s">
        <v>2618</v>
      </c>
      <c r="Y21" s="7" t="s">
        <v>1691</v>
      </c>
      <c r="AA21" s="7" t="s">
        <v>2617</v>
      </c>
      <c r="AB21" s="7">
        <v>11</v>
      </c>
      <c r="AC21" s="7" t="s">
        <v>53</v>
      </c>
      <c r="AD21" s="7" t="s">
        <v>253</v>
      </c>
      <c r="AF21" s="7" t="s">
        <v>44</v>
      </c>
      <c r="AH21" s="4">
        <v>44620.999988425923</v>
      </c>
    </row>
    <row r="22" spans="1:34" x14ac:dyDescent="0.3">
      <c r="A22" s="4">
        <v>44620</v>
      </c>
      <c r="B22" s="4">
        <v>44620</v>
      </c>
      <c r="C22" s="7" t="s">
        <v>35</v>
      </c>
      <c r="D22" s="7" t="s">
        <v>36</v>
      </c>
      <c r="E22" s="7" t="s">
        <v>36</v>
      </c>
      <c r="F22" s="7" t="s">
        <v>36</v>
      </c>
      <c r="G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R22" s="7" t="s">
        <v>54</v>
      </c>
      <c r="T22" s="8">
        <v>442203.86</v>
      </c>
      <c r="U22" s="8">
        <v>-442203.86</v>
      </c>
      <c r="V22" s="7" t="s">
        <v>56</v>
      </c>
      <c r="W22" s="7" t="s">
        <v>2620</v>
      </c>
      <c r="X22" s="7" t="s">
        <v>2618</v>
      </c>
      <c r="Y22" s="7" t="s">
        <v>1691</v>
      </c>
      <c r="AA22" s="7" t="s">
        <v>2617</v>
      </c>
      <c r="AB22" s="7">
        <v>11</v>
      </c>
      <c r="AC22" s="7" t="s">
        <v>53</v>
      </c>
      <c r="AD22" s="7" t="s">
        <v>255</v>
      </c>
      <c r="AF22" s="7" t="s">
        <v>44</v>
      </c>
      <c r="AH22" s="4">
        <v>44620.999988425923</v>
      </c>
    </row>
    <row r="23" spans="1:34" x14ac:dyDescent="0.3">
      <c r="A23" s="4">
        <v>44621</v>
      </c>
      <c r="B23" s="4">
        <v>44621</v>
      </c>
      <c r="C23" s="7" t="s">
        <v>35</v>
      </c>
      <c r="D23" s="7" t="s">
        <v>36</v>
      </c>
      <c r="E23" s="7" t="s">
        <v>36</v>
      </c>
      <c r="F23" s="7" t="s">
        <v>36</v>
      </c>
      <c r="G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R23" s="7" t="s">
        <v>54</v>
      </c>
      <c r="S23" s="8">
        <v>442203.86</v>
      </c>
      <c r="U23" s="8">
        <v>442203.86</v>
      </c>
      <c r="V23" s="7" t="s">
        <v>56</v>
      </c>
      <c r="W23" s="7" t="s">
        <v>2620</v>
      </c>
      <c r="X23" s="7" t="s">
        <v>2618</v>
      </c>
      <c r="Y23" s="7" t="s">
        <v>1691</v>
      </c>
      <c r="AA23" s="7" t="s">
        <v>2617</v>
      </c>
      <c r="AB23" s="7">
        <v>11</v>
      </c>
      <c r="AC23" s="7" t="s">
        <v>55</v>
      </c>
      <c r="AD23" s="7" t="s">
        <v>257</v>
      </c>
      <c r="AF23" s="7" t="s">
        <v>44</v>
      </c>
      <c r="AH23" s="4">
        <v>44651.999988425923</v>
      </c>
    </row>
    <row r="24" spans="1:34" x14ac:dyDescent="0.3">
      <c r="A24" s="4">
        <v>44621</v>
      </c>
      <c r="B24" s="4">
        <v>44621</v>
      </c>
      <c r="C24" s="7" t="s">
        <v>35</v>
      </c>
      <c r="D24" s="7" t="s">
        <v>36</v>
      </c>
      <c r="E24" s="7" t="s">
        <v>36</v>
      </c>
      <c r="F24" s="7" t="s">
        <v>36</v>
      </c>
      <c r="G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R24" s="7" t="s">
        <v>45</v>
      </c>
      <c r="T24" s="8">
        <v>442203.86</v>
      </c>
      <c r="U24" s="8">
        <v>-442203.86</v>
      </c>
      <c r="V24" s="7" t="s">
        <v>56</v>
      </c>
      <c r="W24" s="7" t="s">
        <v>2620</v>
      </c>
      <c r="X24" s="7" t="s">
        <v>2618</v>
      </c>
      <c r="Y24" s="7" t="s">
        <v>1691</v>
      </c>
      <c r="AA24" s="7" t="s">
        <v>2617</v>
      </c>
      <c r="AB24" s="7">
        <v>11</v>
      </c>
      <c r="AC24" s="7" t="s">
        <v>55</v>
      </c>
      <c r="AD24" s="7" t="s">
        <v>259</v>
      </c>
      <c r="AF24" s="7" t="s">
        <v>44</v>
      </c>
      <c r="AH24" s="4">
        <v>44651.999988425923</v>
      </c>
    </row>
    <row r="25" spans="1:34" x14ac:dyDescent="0.3">
      <c r="A25" s="4">
        <v>44621</v>
      </c>
      <c r="B25" s="4">
        <v>44651</v>
      </c>
      <c r="C25" s="7" t="s">
        <v>46</v>
      </c>
      <c r="D25" s="7" t="s">
        <v>36</v>
      </c>
      <c r="E25" s="7" t="s">
        <v>36</v>
      </c>
      <c r="F25" s="7" t="s">
        <v>36</v>
      </c>
      <c r="G25" s="7" t="s">
        <v>37</v>
      </c>
      <c r="K25" s="7" t="s">
        <v>38</v>
      </c>
      <c r="L25" s="7" t="s">
        <v>39</v>
      </c>
      <c r="M25" s="7" t="s">
        <v>38</v>
      </c>
      <c r="N25" s="7" t="s">
        <v>41</v>
      </c>
      <c r="R25" s="7" t="s">
        <v>49</v>
      </c>
      <c r="S25" s="8">
        <v>14317.061664000001</v>
      </c>
      <c r="U25" s="8">
        <v>14317.061664000001</v>
      </c>
      <c r="V25" s="7" t="s">
        <v>56</v>
      </c>
      <c r="W25" s="7" t="s">
        <v>57</v>
      </c>
      <c r="X25" s="7" t="s">
        <v>2618</v>
      </c>
      <c r="Y25" s="7" t="s">
        <v>1691</v>
      </c>
      <c r="AA25" s="7" t="s">
        <v>2617</v>
      </c>
      <c r="AB25" s="7">
        <v>12</v>
      </c>
      <c r="AC25" s="7" t="s">
        <v>57</v>
      </c>
      <c r="AD25" s="7" t="s">
        <v>260</v>
      </c>
      <c r="AF25" s="7" t="s">
        <v>44</v>
      </c>
      <c r="AH25" s="4">
        <v>44651.999988425923</v>
      </c>
    </row>
    <row r="26" spans="1:34" x14ac:dyDescent="0.3">
      <c r="A26" s="4">
        <v>44621</v>
      </c>
      <c r="B26" s="4">
        <v>44651</v>
      </c>
      <c r="C26" s="7" t="s">
        <v>46</v>
      </c>
      <c r="D26" s="7" t="s">
        <v>36</v>
      </c>
      <c r="E26" s="7" t="s">
        <v>36</v>
      </c>
      <c r="F26" s="7" t="s">
        <v>36</v>
      </c>
      <c r="G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R26" s="7" t="s">
        <v>45</v>
      </c>
      <c r="S26" s="8">
        <v>35682.938335999999</v>
      </c>
      <c r="U26" s="8">
        <v>35682.938335999999</v>
      </c>
      <c r="V26" s="7" t="s">
        <v>56</v>
      </c>
      <c r="W26" s="7" t="s">
        <v>57</v>
      </c>
      <c r="X26" s="7" t="s">
        <v>2618</v>
      </c>
      <c r="Y26" s="7" t="s">
        <v>1691</v>
      </c>
      <c r="AA26" s="7" t="s">
        <v>2617</v>
      </c>
      <c r="AB26" s="7">
        <v>12</v>
      </c>
      <c r="AC26" s="7" t="s">
        <v>57</v>
      </c>
      <c r="AD26" s="7" t="s">
        <v>262</v>
      </c>
      <c r="AF26" s="7" t="s">
        <v>44</v>
      </c>
      <c r="AH26" s="4">
        <v>44651.999988425923</v>
      </c>
    </row>
    <row r="27" spans="1:34" x14ac:dyDescent="0.3">
      <c r="A27" s="4">
        <v>44621</v>
      </c>
      <c r="B27" s="4">
        <v>44651</v>
      </c>
      <c r="C27" s="7" t="s">
        <v>46</v>
      </c>
      <c r="D27" s="7" t="s">
        <v>36</v>
      </c>
      <c r="E27" s="7" t="s">
        <v>36</v>
      </c>
      <c r="F27" s="7" t="s">
        <v>36</v>
      </c>
      <c r="G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R27" s="7" t="s">
        <v>58</v>
      </c>
      <c r="T27" s="8">
        <v>50000</v>
      </c>
      <c r="U27" s="8">
        <v>-50000</v>
      </c>
      <c r="V27" s="7" t="s">
        <v>56</v>
      </c>
      <c r="W27" s="7" t="s">
        <v>57</v>
      </c>
      <c r="X27" s="7" t="s">
        <v>2618</v>
      </c>
      <c r="Y27" s="7" t="s">
        <v>1691</v>
      </c>
      <c r="AA27" s="7" t="s">
        <v>2617</v>
      </c>
      <c r="AB27" s="7">
        <v>12</v>
      </c>
      <c r="AC27" s="7" t="s">
        <v>57</v>
      </c>
      <c r="AD27" s="7" t="s">
        <v>263</v>
      </c>
      <c r="AF27" s="7" t="s">
        <v>44</v>
      </c>
      <c r="AH27" s="4">
        <v>44651.999988425923</v>
      </c>
    </row>
    <row r="28" spans="1:34" x14ac:dyDescent="0.3">
      <c r="A28" s="4">
        <v>44651</v>
      </c>
      <c r="B28" s="4">
        <v>44651</v>
      </c>
      <c r="C28" s="7" t="s">
        <v>46</v>
      </c>
      <c r="D28" s="7" t="s">
        <v>36</v>
      </c>
      <c r="E28" s="7" t="s">
        <v>36</v>
      </c>
      <c r="F28" s="7" t="s">
        <v>36</v>
      </c>
      <c r="G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R28" s="7" t="s">
        <v>47</v>
      </c>
      <c r="S28" s="8">
        <v>14108.911190000001</v>
      </c>
      <c r="U28" s="8">
        <v>14108.911190000001</v>
      </c>
      <c r="V28" s="7" t="s">
        <v>56</v>
      </c>
      <c r="W28" s="7" t="s">
        <v>2621</v>
      </c>
      <c r="X28" s="7" t="s">
        <v>2618</v>
      </c>
      <c r="Y28" s="7" t="s">
        <v>1691</v>
      </c>
      <c r="AA28" s="7" t="s">
        <v>2617</v>
      </c>
      <c r="AB28" s="7">
        <v>8</v>
      </c>
      <c r="AC28" s="7" t="s">
        <v>48</v>
      </c>
      <c r="AD28" s="7" t="s">
        <v>265</v>
      </c>
      <c r="AF28" s="7" t="s">
        <v>44</v>
      </c>
      <c r="AH28" s="4">
        <v>44651.999988425923</v>
      </c>
    </row>
    <row r="29" spans="1:34" x14ac:dyDescent="0.3">
      <c r="A29" s="4">
        <v>44651</v>
      </c>
      <c r="B29" s="4">
        <v>44651</v>
      </c>
      <c r="C29" s="7" t="s">
        <v>46</v>
      </c>
      <c r="D29" s="7" t="s">
        <v>36</v>
      </c>
      <c r="E29" s="7" t="s">
        <v>36</v>
      </c>
      <c r="F29" s="7" t="s">
        <v>36</v>
      </c>
      <c r="G29" s="7" t="s">
        <v>37</v>
      </c>
      <c r="K29" s="7" t="s">
        <v>38</v>
      </c>
      <c r="L29" s="7" t="s">
        <v>39</v>
      </c>
      <c r="M29" s="7" t="s">
        <v>38</v>
      </c>
      <c r="N29" s="7" t="s">
        <v>41</v>
      </c>
      <c r="R29" s="7" t="s">
        <v>49</v>
      </c>
      <c r="T29" s="8">
        <v>14108.911190000001</v>
      </c>
      <c r="U29" s="8">
        <v>-14108.911190000001</v>
      </c>
      <c r="V29" s="7" t="s">
        <v>56</v>
      </c>
      <c r="W29" s="7" t="s">
        <v>2621</v>
      </c>
      <c r="X29" s="7" t="s">
        <v>2618</v>
      </c>
      <c r="Y29" s="7" t="s">
        <v>1691</v>
      </c>
      <c r="AA29" s="7" t="s">
        <v>2617</v>
      </c>
      <c r="AB29" s="7">
        <v>8</v>
      </c>
      <c r="AC29" s="7" t="s">
        <v>48</v>
      </c>
      <c r="AD29" s="7" t="s">
        <v>267</v>
      </c>
      <c r="AF29" s="7" t="s">
        <v>44</v>
      </c>
      <c r="AH29" s="4">
        <v>44651.999988425923</v>
      </c>
    </row>
    <row r="30" spans="1:34" x14ac:dyDescent="0.3">
      <c r="A30" s="4">
        <v>44651</v>
      </c>
      <c r="B30" s="4">
        <v>44562</v>
      </c>
      <c r="C30" s="7" t="s">
        <v>35</v>
      </c>
      <c r="D30" s="7" t="s">
        <v>36</v>
      </c>
      <c r="E30" s="7" t="s">
        <v>36</v>
      </c>
      <c r="F30" s="7" t="s">
        <v>36</v>
      </c>
      <c r="G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R30" s="7" t="s">
        <v>50</v>
      </c>
      <c r="S30" s="8">
        <v>42330.49</v>
      </c>
      <c r="U30" s="8">
        <v>42330.49</v>
      </c>
      <c r="V30" s="7" t="s">
        <v>56</v>
      </c>
      <c r="W30" s="7" t="s">
        <v>2619</v>
      </c>
      <c r="X30" s="7" t="s">
        <v>2618</v>
      </c>
      <c r="Y30" s="7" t="s">
        <v>1691</v>
      </c>
      <c r="AA30" s="7" t="s">
        <v>2617</v>
      </c>
      <c r="AB30" s="7">
        <v>10</v>
      </c>
      <c r="AC30" s="7" t="s">
        <v>51</v>
      </c>
      <c r="AD30" s="7" t="s">
        <v>268</v>
      </c>
      <c r="AF30" s="7" t="s">
        <v>44</v>
      </c>
      <c r="AH30" s="4">
        <v>44651.999988425923</v>
      </c>
    </row>
    <row r="31" spans="1:34" x14ac:dyDescent="0.3">
      <c r="A31" s="4">
        <v>44651</v>
      </c>
      <c r="B31" s="4">
        <v>44562</v>
      </c>
      <c r="C31" s="7" t="s">
        <v>35</v>
      </c>
      <c r="D31" s="7" t="s">
        <v>36</v>
      </c>
      <c r="E31" s="7" t="s">
        <v>36</v>
      </c>
      <c r="F31" s="7" t="s">
        <v>36</v>
      </c>
      <c r="G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R31" s="7" t="s">
        <v>52</v>
      </c>
      <c r="T31" s="8">
        <v>42330.49</v>
      </c>
      <c r="U31" s="8">
        <v>-42330.49</v>
      </c>
      <c r="V31" s="7" t="s">
        <v>56</v>
      </c>
      <c r="W31" s="7" t="s">
        <v>2619</v>
      </c>
      <c r="X31" s="7" t="s">
        <v>2618</v>
      </c>
      <c r="Y31" s="7" t="s">
        <v>1691</v>
      </c>
      <c r="AA31" s="7" t="s">
        <v>2617</v>
      </c>
      <c r="AB31" s="7">
        <v>10</v>
      </c>
      <c r="AC31" s="7" t="s">
        <v>51</v>
      </c>
      <c r="AD31" s="7" t="s">
        <v>270</v>
      </c>
      <c r="AF31" s="7" t="s">
        <v>44</v>
      </c>
      <c r="AH31" s="4">
        <v>44651.999988425923</v>
      </c>
    </row>
    <row r="32" spans="1:34" x14ac:dyDescent="0.3">
      <c r="A32" s="4">
        <v>44651</v>
      </c>
      <c r="B32" s="4">
        <v>44651</v>
      </c>
      <c r="C32" s="7" t="s">
        <v>35</v>
      </c>
      <c r="D32" s="7" t="s">
        <v>36</v>
      </c>
      <c r="E32" s="7" t="s">
        <v>36</v>
      </c>
      <c r="F32" s="7" t="s">
        <v>36</v>
      </c>
      <c r="G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R32" s="7" t="s">
        <v>45</v>
      </c>
      <c r="S32" s="8">
        <v>444783.38</v>
      </c>
      <c r="U32" s="8">
        <v>444783.38</v>
      </c>
      <c r="V32" s="7" t="s">
        <v>56</v>
      </c>
      <c r="W32" s="7" t="s">
        <v>2620</v>
      </c>
      <c r="X32" s="7" t="s">
        <v>2618</v>
      </c>
      <c r="Y32" s="7" t="s">
        <v>1691</v>
      </c>
      <c r="AA32" s="7" t="s">
        <v>2617</v>
      </c>
      <c r="AB32" s="7">
        <v>11</v>
      </c>
      <c r="AC32" s="7" t="s">
        <v>53</v>
      </c>
      <c r="AD32" s="7" t="s">
        <v>271</v>
      </c>
      <c r="AF32" s="7" t="s">
        <v>44</v>
      </c>
      <c r="AH32" s="4">
        <v>44651.999988425923</v>
      </c>
    </row>
    <row r="33" spans="1:34" x14ac:dyDescent="0.3">
      <c r="A33" s="4">
        <v>44651</v>
      </c>
      <c r="B33" s="4">
        <v>44651</v>
      </c>
      <c r="C33" s="7" t="s">
        <v>35</v>
      </c>
      <c r="D33" s="7" t="s">
        <v>36</v>
      </c>
      <c r="E33" s="7" t="s">
        <v>36</v>
      </c>
      <c r="F33" s="7" t="s">
        <v>36</v>
      </c>
      <c r="G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R33" s="7" t="s">
        <v>54</v>
      </c>
      <c r="T33" s="8">
        <v>444783.38</v>
      </c>
      <c r="U33" s="8">
        <v>-444783.38</v>
      </c>
      <c r="V33" s="7" t="s">
        <v>56</v>
      </c>
      <c r="W33" s="7" t="s">
        <v>2620</v>
      </c>
      <c r="X33" s="7" t="s">
        <v>2618</v>
      </c>
      <c r="Y33" s="7" t="s">
        <v>1691</v>
      </c>
      <c r="AA33" s="7" t="s">
        <v>2617</v>
      </c>
      <c r="AB33" s="7">
        <v>11</v>
      </c>
      <c r="AC33" s="7" t="s">
        <v>53</v>
      </c>
      <c r="AD33" s="7" t="s">
        <v>273</v>
      </c>
      <c r="AF33" s="7" t="s">
        <v>44</v>
      </c>
      <c r="AH33" s="4">
        <v>44651.999988425923</v>
      </c>
    </row>
    <row r="34" spans="1:34" x14ac:dyDescent="0.3">
      <c r="A34" s="4">
        <v>44652</v>
      </c>
      <c r="B34" s="4">
        <v>44652</v>
      </c>
      <c r="C34" s="7" t="s">
        <v>35</v>
      </c>
      <c r="D34" s="7" t="s">
        <v>36</v>
      </c>
      <c r="E34" s="7" t="s">
        <v>36</v>
      </c>
      <c r="F34" s="7" t="s">
        <v>36</v>
      </c>
      <c r="G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R34" s="7" t="s">
        <v>54</v>
      </c>
      <c r="S34" s="8">
        <v>444783.38</v>
      </c>
      <c r="U34" s="8">
        <v>444783.38</v>
      </c>
      <c r="V34" s="7" t="s">
        <v>56</v>
      </c>
      <c r="W34" s="7" t="s">
        <v>2620</v>
      </c>
      <c r="X34" s="7" t="s">
        <v>2618</v>
      </c>
      <c r="Y34" s="7" t="s">
        <v>1691</v>
      </c>
      <c r="AA34" s="7" t="s">
        <v>2617</v>
      </c>
      <c r="AB34" s="7">
        <v>11</v>
      </c>
      <c r="AC34" s="7" t="s">
        <v>55</v>
      </c>
      <c r="AD34" s="7" t="s">
        <v>275</v>
      </c>
      <c r="AF34" s="7" t="s">
        <v>44</v>
      </c>
      <c r="AH34" s="4">
        <v>44681.999988425923</v>
      </c>
    </row>
    <row r="35" spans="1:34" x14ac:dyDescent="0.3">
      <c r="A35" s="4">
        <v>44652</v>
      </c>
      <c r="B35" s="4">
        <v>44652</v>
      </c>
      <c r="C35" s="7" t="s">
        <v>35</v>
      </c>
      <c r="D35" s="7" t="s">
        <v>36</v>
      </c>
      <c r="E35" s="7" t="s">
        <v>36</v>
      </c>
      <c r="F35" s="7" t="s">
        <v>36</v>
      </c>
      <c r="G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R35" s="7" t="s">
        <v>45</v>
      </c>
      <c r="T35" s="8">
        <v>444783.38</v>
      </c>
      <c r="U35" s="8">
        <v>-444783.38</v>
      </c>
      <c r="V35" s="7" t="s">
        <v>56</v>
      </c>
      <c r="W35" s="7" t="s">
        <v>2620</v>
      </c>
      <c r="X35" s="7" t="s">
        <v>2618</v>
      </c>
      <c r="Y35" s="7" t="s">
        <v>1691</v>
      </c>
      <c r="AA35" s="7" t="s">
        <v>2617</v>
      </c>
      <c r="AB35" s="7">
        <v>11</v>
      </c>
      <c r="AC35" s="7" t="s">
        <v>55</v>
      </c>
      <c r="AD35" s="7" t="s">
        <v>277</v>
      </c>
      <c r="AF35" s="7" t="s">
        <v>44</v>
      </c>
      <c r="AH35" s="4">
        <v>44681.999988425923</v>
      </c>
    </row>
    <row r="36" spans="1:34" x14ac:dyDescent="0.3">
      <c r="A36" s="4">
        <v>44652</v>
      </c>
      <c r="B36" s="4">
        <v>44681</v>
      </c>
      <c r="C36" s="7" t="s">
        <v>46</v>
      </c>
      <c r="D36" s="7" t="s">
        <v>36</v>
      </c>
      <c r="E36" s="7" t="s">
        <v>36</v>
      </c>
      <c r="F36" s="7" t="s">
        <v>36</v>
      </c>
      <c r="G36" s="7" t="s">
        <v>37</v>
      </c>
      <c r="K36" s="7" t="s">
        <v>38</v>
      </c>
      <c r="L36" s="7" t="s">
        <v>39</v>
      </c>
      <c r="M36" s="7" t="s">
        <v>38</v>
      </c>
      <c r="N36" s="7" t="s">
        <v>41</v>
      </c>
      <c r="R36" s="7" t="s">
        <v>49</v>
      </c>
      <c r="S36" s="8">
        <v>14108.911190000001</v>
      </c>
      <c r="U36" s="8">
        <v>14108.911190000001</v>
      </c>
      <c r="V36" s="7" t="s">
        <v>56</v>
      </c>
      <c r="W36" s="7" t="s">
        <v>57</v>
      </c>
      <c r="X36" s="7" t="s">
        <v>2618</v>
      </c>
      <c r="Y36" s="7" t="s">
        <v>1691</v>
      </c>
      <c r="AA36" s="7" t="s">
        <v>2617</v>
      </c>
      <c r="AB36" s="7">
        <v>12</v>
      </c>
      <c r="AC36" s="7" t="s">
        <v>57</v>
      </c>
      <c r="AD36" s="7" t="s">
        <v>278</v>
      </c>
      <c r="AF36" s="7" t="s">
        <v>44</v>
      </c>
      <c r="AH36" s="4">
        <v>44681.999988425923</v>
      </c>
    </row>
    <row r="37" spans="1:34" x14ac:dyDescent="0.3">
      <c r="A37" s="4">
        <v>44652</v>
      </c>
      <c r="B37" s="4">
        <v>44681</v>
      </c>
      <c r="C37" s="7" t="s">
        <v>46</v>
      </c>
      <c r="D37" s="7" t="s">
        <v>36</v>
      </c>
      <c r="E37" s="7" t="s">
        <v>36</v>
      </c>
      <c r="F37" s="7" t="s">
        <v>36</v>
      </c>
      <c r="G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R37" s="7" t="s">
        <v>45</v>
      </c>
      <c r="S37" s="8">
        <v>35891.088810000001</v>
      </c>
      <c r="U37" s="8">
        <v>35891.088810000001</v>
      </c>
      <c r="V37" s="7" t="s">
        <v>56</v>
      </c>
      <c r="W37" s="7" t="s">
        <v>57</v>
      </c>
      <c r="X37" s="7" t="s">
        <v>2618</v>
      </c>
      <c r="Y37" s="7" t="s">
        <v>1691</v>
      </c>
      <c r="AA37" s="7" t="s">
        <v>2617</v>
      </c>
      <c r="AB37" s="7">
        <v>12</v>
      </c>
      <c r="AC37" s="7" t="s">
        <v>57</v>
      </c>
      <c r="AD37" s="7" t="s">
        <v>280</v>
      </c>
      <c r="AF37" s="7" t="s">
        <v>44</v>
      </c>
      <c r="AH37" s="4">
        <v>44681.999988425923</v>
      </c>
    </row>
    <row r="38" spans="1:34" x14ac:dyDescent="0.3">
      <c r="A38" s="4">
        <v>44652</v>
      </c>
      <c r="B38" s="4">
        <v>44681</v>
      </c>
      <c r="C38" s="7" t="s">
        <v>46</v>
      </c>
      <c r="D38" s="7" t="s">
        <v>36</v>
      </c>
      <c r="E38" s="7" t="s">
        <v>36</v>
      </c>
      <c r="F38" s="7" t="s">
        <v>36</v>
      </c>
      <c r="G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R38" s="7" t="s">
        <v>58</v>
      </c>
      <c r="T38" s="8">
        <v>50000</v>
      </c>
      <c r="U38" s="8">
        <v>-50000</v>
      </c>
      <c r="V38" s="7" t="s">
        <v>56</v>
      </c>
      <c r="W38" s="7" t="s">
        <v>57</v>
      </c>
      <c r="X38" s="7" t="s">
        <v>2618</v>
      </c>
      <c r="Y38" s="7" t="s">
        <v>1691</v>
      </c>
      <c r="AA38" s="7" t="s">
        <v>2617</v>
      </c>
      <c r="AB38" s="7">
        <v>12</v>
      </c>
      <c r="AC38" s="7" t="s">
        <v>57</v>
      </c>
      <c r="AD38" s="7" t="s">
        <v>281</v>
      </c>
      <c r="AF38" s="7" t="s">
        <v>44</v>
      </c>
      <c r="AH38" s="4">
        <v>44681.999988425923</v>
      </c>
    </row>
    <row r="39" spans="1:34" x14ac:dyDescent="0.3">
      <c r="A39" s="4">
        <v>44681</v>
      </c>
      <c r="B39" s="4">
        <v>44681</v>
      </c>
      <c r="C39" s="7" t="s">
        <v>46</v>
      </c>
      <c r="D39" s="7" t="s">
        <v>36</v>
      </c>
      <c r="E39" s="7" t="s">
        <v>36</v>
      </c>
      <c r="F39" s="7" t="s">
        <v>36</v>
      </c>
      <c r="G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R39" s="7" t="s">
        <v>47</v>
      </c>
      <c r="S39" s="8">
        <v>13899.546506000001</v>
      </c>
      <c r="U39" s="8">
        <v>13899.546506000001</v>
      </c>
      <c r="V39" s="7" t="s">
        <v>56</v>
      </c>
      <c r="W39" s="7" t="s">
        <v>2621</v>
      </c>
      <c r="X39" s="7" t="s">
        <v>2618</v>
      </c>
      <c r="Y39" s="7" t="s">
        <v>1691</v>
      </c>
      <c r="AA39" s="7" t="s">
        <v>2617</v>
      </c>
      <c r="AB39" s="7">
        <v>8</v>
      </c>
      <c r="AC39" s="7" t="s">
        <v>48</v>
      </c>
      <c r="AD39" s="7" t="s">
        <v>283</v>
      </c>
      <c r="AF39" s="7" t="s">
        <v>44</v>
      </c>
      <c r="AH39" s="4">
        <v>44681.999988425923</v>
      </c>
    </row>
    <row r="40" spans="1:34" x14ac:dyDescent="0.3">
      <c r="A40" s="4">
        <v>44681</v>
      </c>
      <c r="B40" s="4">
        <v>44681</v>
      </c>
      <c r="C40" s="7" t="s">
        <v>46</v>
      </c>
      <c r="D40" s="7" t="s">
        <v>36</v>
      </c>
      <c r="E40" s="7" t="s">
        <v>36</v>
      </c>
      <c r="F40" s="7" t="s">
        <v>36</v>
      </c>
      <c r="G40" s="7" t="s">
        <v>37</v>
      </c>
      <c r="K40" s="7" t="s">
        <v>38</v>
      </c>
      <c r="L40" s="7" t="s">
        <v>39</v>
      </c>
      <c r="M40" s="7" t="s">
        <v>38</v>
      </c>
      <c r="N40" s="7" t="s">
        <v>41</v>
      </c>
      <c r="R40" s="7" t="s">
        <v>49</v>
      </c>
      <c r="T40" s="8">
        <v>13899.546506000001</v>
      </c>
      <c r="U40" s="8">
        <v>-13899.546506000001</v>
      </c>
      <c r="V40" s="7" t="s">
        <v>56</v>
      </c>
      <c r="W40" s="7" t="s">
        <v>2621</v>
      </c>
      <c r="X40" s="7" t="s">
        <v>2618</v>
      </c>
      <c r="Y40" s="7" t="s">
        <v>1691</v>
      </c>
      <c r="AA40" s="7" t="s">
        <v>2617</v>
      </c>
      <c r="AB40" s="7">
        <v>8</v>
      </c>
      <c r="AC40" s="7" t="s">
        <v>48</v>
      </c>
      <c r="AD40" s="7" t="s">
        <v>285</v>
      </c>
      <c r="AF40" s="7" t="s">
        <v>44</v>
      </c>
      <c r="AH40" s="4">
        <v>44681.999988425923</v>
      </c>
    </row>
    <row r="41" spans="1:34" x14ac:dyDescent="0.3">
      <c r="A41" s="4">
        <v>44681</v>
      </c>
      <c r="B41" s="4">
        <v>44562</v>
      </c>
      <c r="C41" s="7" t="s">
        <v>35</v>
      </c>
      <c r="D41" s="7" t="s">
        <v>36</v>
      </c>
      <c r="E41" s="7" t="s">
        <v>36</v>
      </c>
      <c r="F41" s="7" t="s">
        <v>36</v>
      </c>
      <c r="G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R41" s="7" t="s">
        <v>50</v>
      </c>
      <c r="S41" s="8">
        <v>42330.49</v>
      </c>
      <c r="U41" s="8">
        <v>42330.49</v>
      </c>
      <c r="V41" s="7" t="s">
        <v>56</v>
      </c>
      <c r="W41" s="7" t="s">
        <v>2619</v>
      </c>
      <c r="X41" s="7" t="s">
        <v>2618</v>
      </c>
      <c r="Y41" s="7" t="s">
        <v>1691</v>
      </c>
      <c r="AA41" s="7" t="s">
        <v>2617</v>
      </c>
      <c r="AB41" s="7">
        <v>10</v>
      </c>
      <c r="AC41" s="7" t="s">
        <v>51</v>
      </c>
      <c r="AD41" s="7" t="s">
        <v>286</v>
      </c>
      <c r="AF41" s="7" t="s">
        <v>44</v>
      </c>
      <c r="AH41" s="4">
        <v>44681.999988425923</v>
      </c>
    </row>
    <row r="42" spans="1:34" x14ac:dyDescent="0.3">
      <c r="A42" s="4">
        <v>44681</v>
      </c>
      <c r="B42" s="4">
        <v>44562</v>
      </c>
      <c r="C42" s="7" t="s">
        <v>35</v>
      </c>
      <c r="D42" s="7" t="s">
        <v>36</v>
      </c>
      <c r="E42" s="7" t="s">
        <v>36</v>
      </c>
      <c r="F42" s="7" t="s">
        <v>36</v>
      </c>
      <c r="G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R42" s="7" t="s">
        <v>52</v>
      </c>
      <c r="T42" s="8">
        <v>42330.49</v>
      </c>
      <c r="U42" s="8">
        <v>-42330.49</v>
      </c>
      <c r="V42" s="7" t="s">
        <v>56</v>
      </c>
      <c r="W42" s="7" t="s">
        <v>2619</v>
      </c>
      <c r="X42" s="7" t="s">
        <v>2618</v>
      </c>
      <c r="Y42" s="7" t="s">
        <v>1691</v>
      </c>
      <c r="AA42" s="7" t="s">
        <v>2617</v>
      </c>
      <c r="AB42" s="7">
        <v>10</v>
      </c>
      <c r="AC42" s="7" t="s">
        <v>51</v>
      </c>
      <c r="AD42" s="7" t="s">
        <v>288</v>
      </c>
      <c r="AF42" s="7" t="s">
        <v>44</v>
      </c>
      <c r="AH42" s="4">
        <v>44681.999988425923</v>
      </c>
    </row>
    <row r="43" spans="1:34" x14ac:dyDescent="0.3">
      <c r="A43" s="4">
        <v>44681</v>
      </c>
      <c r="B43" s="4">
        <v>44681</v>
      </c>
      <c r="C43" s="7" t="s">
        <v>35</v>
      </c>
      <c r="D43" s="7" t="s">
        <v>36</v>
      </c>
      <c r="E43" s="7" t="s">
        <v>36</v>
      </c>
      <c r="F43" s="7" t="s">
        <v>36</v>
      </c>
      <c r="G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R43" s="7" t="s">
        <v>45</v>
      </c>
      <c r="S43" s="8">
        <v>447377.95</v>
      </c>
      <c r="U43" s="8">
        <v>447377.95</v>
      </c>
      <c r="V43" s="7" t="s">
        <v>56</v>
      </c>
      <c r="W43" s="7" t="s">
        <v>2620</v>
      </c>
      <c r="X43" s="7" t="s">
        <v>2618</v>
      </c>
      <c r="Y43" s="7" t="s">
        <v>1691</v>
      </c>
      <c r="AA43" s="7" t="s">
        <v>2617</v>
      </c>
      <c r="AB43" s="7">
        <v>11</v>
      </c>
      <c r="AC43" s="7" t="s">
        <v>53</v>
      </c>
      <c r="AD43" s="7" t="s">
        <v>289</v>
      </c>
      <c r="AF43" s="7" t="s">
        <v>44</v>
      </c>
      <c r="AH43" s="4">
        <v>44681.999988425923</v>
      </c>
    </row>
    <row r="44" spans="1:34" x14ac:dyDescent="0.3">
      <c r="A44" s="4">
        <v>44681</v>
      </c>
      <c r="B44" s="4">
        <v>44681</v>
      </c>
      <c r="C44" s="7" t="s">
        <v>35</v>
      </c>
      <c r="D44" s="7" t="s">
        <v>36</v>
      </c>
      <c r="E44" s="7" t="s">
        <v>36</v>
      </c>
      <c r="F44" s="7" t="s">
        <v>36</v>
      </c>
      <c r="G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R44" s="7" t="s">
        <v>54</v>
      </c>
      <c r="T44" s="8">
        <v>447377.95</v>
      </c>
      <c r="U44" s="8">
        <v>-447377.95</v>
      </c>
      <c r="V44" s="7" t="s">
        <v>56</v>
      </c>
      <c r="W44" s="7" t="s">
        <v>2620</v>
      </c>
      <c r="X44" s="7" t="s">
        <v>2618</v>
      </c>
      <c r="Y44" s="7" t="s">
        <v>1691</v>
      </c>
      <c r="AA44" s="7" t="s">
        <v>2617</v>
      </c>
      <c r="AB44" s="7">
        <v>11</v>
      </c>
      <c r="AC44" s="7" t="s">
        <v>53</v>
      </c>
      <c r="AD44" s="7" t="s">
        <v>291</v>
      </c>
      <c r="AF44" s="7" t="s">
        <v>44</v>
      </c>
      <c r="AH44" s="4">
        <v>44681.999988425923</v>
      </c>
    </row>
    <row r="45" spans="1:34" x14ac:dyDescent="0.3">
      <c r="A45" s="4">
        <v>44682</v>
      </c>
      <c r="B45" s="4">
        <v>44682</v>
      </c>
      <c r="C45" s="7" t="s">
        <v>35</v>
      </c>
      <c r="D45" s="7" t="s">
        <v>36</v>
      </c>
      <c r="E45" s="7" t="s">
        <v>36</v>
      </c>
      <c r="F45" s="7" t="s">
        <v>36</v>
      </c>
      <c r="G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R45" s="7" t="s">
        <v>54</v>
      </c>
      <c r="S45" s="8">
        <v>447377.95</v>
      </c>
      <c r="U45" s="8">
        <v>447377.95</v>
      </c>
      <c r="V45" s="7" t="s">
        <v>56</v>
      </c>
      <c r="W45" s="7" t="s">
        <v>2620</v>
      </c>
      <c r="X45" s="7" t="s">
        <v>2618</v>
      </c>
      <c r="Y45" s="7" t="s">
        <v>1691</v>
      </c>
      <c r="AA45" s="7" t="s">
        <v>2617</v>
      </c>
      <c r="AB45" s="7">
        <v>11</v>
      </c>
      <c r="AC45" s="7" t="s">
        <v>55</v>
      </c>
      <c r="AD45" s="7" t="s">
        <v>293</v>
      </c>
      <c r="AF45" s="7" t="s">
        <v>44</v>
      </c>
      <c r="AH45" s="4">
        <v>44712.999988425923</v>
      </c>
    </row>
    <row r="46" spans="1:34" x14ac:dyDescent="0.3">
      <c r="A46" s="4">
        <v>44682</v>
      </c>
      <c r="B46" s="4">
        <v>44682</v>
      </c>
      <c r="C46" s="7" t="s">
        <v>35</v>
      </c>
      <c r="D46" s="7" t="s">
        <v>36</v>
      </c>
      <c r="E46" s="7" t="s">
        <v>36</v>
      </c>
      <c r="F46" s="7" t="s">
        <v>36</v>
      </c>
      <c r="G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R46" s="7" t="s">
        <v>45</v>
      </c>
      <c r="T46" s="8">
        <v>447377.95</v>
      </c>
      <c r="U46" s="8">
        <v>-447377.95</v>
      </c>
      <c r="V46" s="7" t="s">
        <v>56</v>
      </c>
      <c r="W46" s="7" t="s">
        <v>2620</v>
      </c>
      <c r="X46" s="7" t="s">
        <v>2618</v>
      </c>
      <c r="Y46" s="7" t="s">
        <v>1691</v>
      </c>
      <c r="AA46" s="7" t="s">
        <v>2617</v>
      </c>
      <c r="AB46" s="7">
        <v>11</v>
      </c>
      <c r="AC46" s="7" t="s">
        <v>55</v>
      </c>
      <c r="AD46" s="7" t="s">
        <v>295</v>
      </c>
      <c r="AF46" s="7" t="s">
        <v>44</v>
      </c>
      <c r="AH46" s="4">
        <v>44712.999988425923</v>
      </c>
    </row>
    <row r="47" spans="1:34" x14ac:dyDescent="0.3">
      <c r="A47" s="4">
        <v>44682</v>
      </c>
      <c r="B47" s="4">
        <v>44712</v>
      </c>
      <c r="C47" s="7" t="s">
        <v>46</v>
      </c>
      <c r="D47" s="7" t="s">
        <v>36</v>
      </c>
      <c r="E47" s="7" t="s">
        <v>36</v>
      </c>
      <c r="F47" s="7" t="s">
        <v>36</v>
      </c>
      <c r="G47" s="7" t="s">
        <v>37</v>
      </c>
      <c r="K47" s="7" t="s">
        <v>38</v>
      </c>
      <c r="L47" s="7" t="s">
        <v>39</v>
      </c>
      <c r="M47" s="7" t="s">
        <v>38</v>
      </c>
      <c r="N47" s="7" t="s">
        <v>41</v>
      </c>
      <c r="R47" s="7" t="s">
        <v>49</v>
      </c>
      <c r="S47" s="8">
        <v>13899.546506000001</v>
      </c>
      <c r="U47" s="8">
        <v>13899.546506000001</v>
      </c>
      <c r="V47" s="7" t="s">
        <v>56</v>
      </c>
      <c r="W47" s="7" t="s">
        <v>57</v>
      </c>
      <c r="X47" s="7" t="s">
        <v>2618</v>
      </c>
      <c r="Y47" s="7" t="s">
        <v>1691</v>
      </c>
      <c r="AA47" s="7" t="s">
        <v>2617</v>
      </c>
      <c r="AB47" s="7">
        <v>12</v>
      </c>
      <c r="AC47" s="7" t="s">
        <v>57</v>
      </c>
      <c r="AD47" s="7" t="s">
        <v>296</v>
      </c>
      <c r="AF47" s="7" t="s">
        <v>44</v>
      </c>
      <c r="AH47" s="4">
        <v>44712.999988425923</v>
      </c>
    </row>
    <row r="48" spans="1:34" x14ac:dyDescent="0.3">
      <c r="A48" s="4">
        <v>44682</v>
      </c>
      <c r="B48" s="4">
        <v>44712</v>
      </c>
      <c r="C48" s="7" t="s">
        <v>46</v>
      </c>
      <c r="D48" s="7" t="s">
        <v>36</v>
      </c>
      <c r="E48" s="7" t="s">
        <v>36</v>
      </c>
      <c r="F48" s="7" t="s">
        <v>36</v>
      </c>
      <c r="G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R48" s="7" t="s">
        <v>45</v>
      </c>
      <c r="S48" s="8">
        <v>36100.453494000001</v>
      </c>
      <c r="U48" s="8">
        <v>36100.453494000001</v>
      </c>
      <c r="V48" s="7" t="s">
        <v>56</v>
      </c>
      <c r="W48" s="7" t="s">
        <v>57</v>
      </c>
      <c r="X48" s="7" t="s">
        <v>2618</v>
      </c>
      <c r="Y48" s="7" t="s">
        <v>1691</v>
      </c>
      <c r="AA48" s="7" t="s">
        <v>2617</v>
      </c>
      <c r="AB48" s="7">
        <v>12</v>
      </c>
      <c r="AC48" s="7" t="s">
        <v>57</v>
      </c>
      <c r="AD48" s="7" t="s">
        <v>298</v>
      </c>
      <c r="AF48" s="7" t="s">
        <v>44</v>
      </c>
      <c r="AH48" s="4">
        <v>44712.999988425923</v>
      </c>
    </row>
    <row r="49" spans="1:34" x14ac:dyDescent="0.3">
      <c r="A49" s="4">
        <v>44682</v>
      </c>
      <c r="B49" s="4">
        <v>44712</v>
      </c>
      <c r="C49" s="7" t="s">
        <v>46</v>
      </c>
      <c r="D49" s="7" t="s">
        <v>36</v>
      </c>
      <c r="E49" s="7" t="s">
        <v>36</v>
      </c>
      <c r="F49" s="7" t="s">
        <v>36</v>
      </c>
      <c r="G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R49" s="7" t="s">
        <v>58</v>
      </c>
      <c r="T49" s="8">
        <v>50000</v>
      </c>
      <c r="U49" s="8">
        <v>-50000</v>
      </c>
      <c r="V49" s="7" t="s">
        <v>56</v>
      </c>
      <c r="W49" s="7" t="s">
        <v>57</v>
      </c>
      <c r="X49" s="7" t="s">
        <v>2618</v>
      </c>
      <c r="Y49" s="7" t="s">
        <v>1691</v>
      </c>
      <c r="AA49" s="7" t="s">
        <v>2617</v>
      </c>
      <c r="AB49" s="7">
        <v>12</v>
      </c>
      <c r="AC49" s="7" t="s">
        <v>57</v>
      </c>
      <c r="AD49" s="7" t="s">
        <v>299</v>
      </c>
      <c r="AF49" s="7" t="s">
        <v>44</v>
      </c>
      <c r="AH49" s="4">
        <v>44712.999988425923</v>
      </c>
    </row>
    <row r="50" spans="1:34" x14ac:dyDescent="0.3">
      <c r="A50" s="4">
        <v>44712</v>
      </c>
      <c r="B50" s="4">
        <v>44712</v>
      </c>
      <c r="C50" s="7" t="s">
        <v>46</v>
      </c>
      <c r="D50" s="7" t="s">
        <v>36</v>
      </c>
      <c r="E50" s="7" t="s">
        <v>36</v>
      </c>
      <c r="F50" s="7" t="s">
        <v>36</v>
      </c>
      <c r="G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R50" s="7" t="s">
        <v>47</v>
      </c>
      <c r="S50" s="8">
        <v>13688.960526999999</v>
      </c>
      <c r="U50" s="8">
        <v>13688.960526999999</v>
      </c>
      <c r="V50" s="7" t="s">
        <v>56</v>
      </c>
      <c r="W50" s="7" t="s">
        <v>2621</v>
      </c>
      <c r="X50" s="7" t="s">
        <v>2618</v>
      </c>
      <c r="Y50" s="7" t="s">
        <v>1691</v>
      </c>
      <c r="AA50" s="7" t="s">
        <v>2617</v>
      </c>
      <c r="AB50" s="7">
        <v>8</v>
      </c>
      <c r="AC50" s="7" t="s">
        <v>48</v>
      </c>
      <c r="AD50" s="7" t="s">
        <v>301</v>
      </c>
      <c r="AF50" s="7" t="s">
        <v>44</v>
      </c>
      <c r="AH50" s="4">
        <v>44712.999988425923</v>
      </c>
    </row>
    <row r="51" spans="1:34" x14ac:dyDescent="0.3">
      <c r="A51" s="4">
        <v>44712</v>
      </c>
      <c r="B51" s="4">
        <v>44712</v>
      </c>
      <c r="C51" s="7" t="s">
        <v>46</v>
      </c>
      <c r="D51" s="7" t="s">
        <v>36</v>
      </c>
      <c r="E51" s="7" t="s">
        <v>36</v>
      </c>
      <c r="F51" s="7" t="s">
        <v>36</v>
      </c>
      <c r="G51" s="7" t="s">
        <v>37</v>
      </c>
      <c r="K51" s="7" t="s">
        <v>38</v>
      </c>
      <c r="L51" s="7" t="s">
        <v>39</v>
      </c>
      <c r="M51" s="7" t="s">
        <v>38</v>
      </c>
      <c r="N51" s="7" t="s">
        <v>41</v>
      </c>
      <c r="R51" s="7" t="s">
        <v>49</v>
      </c>
      <c r="T51" s="8">
        <v>13688.960526999999</v>
      </c>
      <c r="U51" s="8">
        <v>-13688.960526999999</v>
      </c>
      <c r="V51" s="7" t="s">
        <v>56</v>
      </c>
      <c r="W51" s="7" t="s">
        <v>2621</v>
      </c>
      <c r="X51" s="7" t="s">
        <v>2618</v>
      </c>
      <c r="Y51" s="7" t="s">
        <v>1691</v>
      </c>
      <c r="AA51" s="7" t="s">
        <v>2617</v>
      </c>
      <c r="AB51" s="7">
        <v>8</v>
      </c>
      <c r="AC51" s="7" t="s">
        <v>48</v>
      </c>
      <c r="AD51" s="7" t="s">
        <v>303</v>
      </c>
      <c r="AF51" s="7" t="s">
        <v>44</v>
      </c>
      <c r="AH51" s="4">
        <v>44712.999988425923</v>
      </c>
    </row>
    <row r="52" spans="1:34" x14ac:dyDescent="0.3">
      <c r="A52" s="4">
        <v>44712</v>
      </c>
      <c r="B52" s="4">
        <v>44562</v>
      </c>
      <c r="C52" s="7" t="s">
        <v>35</v>
      </c>
      <c r="D52" s="7" t="s">
        <v>36</v>
      </c>
      <c r="E52" s="7" t="s">
        <v>36</v>
      </c>
      <c r="F52" s="7" t="s">
        <v>36</v>
      </c>
      <c r="G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R52" s="7" t="s">
        <v>50</v>
      </c>
      <c r="S52" s="8">
        <v>42330.49</v>
      </c>
      <c r="U52" s="8">
        <v>42330.49</v>
      </c>
      <c r="V52" s="7" t="s">
        <v>56</v>
      </c>
      <c r="W52" s="7" t="s">
        <v>2619</v>
      </c>
      <c r="X52" s="7" t="s">
        <v>2618</v>
      </c>
      <c r="Y52" s="7" t="s">
        <v>1691</v>
      </c>
      <c r="AA52" s="7" t="s">
        <v>2617</v>
      </c>
      <c r="AB52" s="7">
        <v>10</v>
      </c>
      <c r="AC52" s="7" t="s">
        <v>51</v>
      </c>
      <c r="AD52" s="7" t="s">
        <v>304</v>
      </c>
      <c r="AF52" s="7" t="s">
        <v>44</v>
      </c>
      <c r="AH52" s="4">
        <v>44712.999988425923</v>
      </c>
    </row>
    <row r="53" spans="1:34" x14ac:dyDescent="0.3">
      <c r="A53" s="4">
        <v>44712</v>
      </c>
      <c r="B53" s="4">
        <v>44562</v>
      </c>
      <c r="C53" s="7" t="s">
        <v>35</v>
      </c>
      <c r="D53" s="7" t="s">
        <v>36</v>
      </c>
      <c r="E53" s="7" t="s">
        <v>36</v>
      </c>
      <c r="F53" s="7" t="s">
        <v>36</v>
      </c>
      <c r="G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R53" s="7" t="s">
        <v>52</v>
      </c>
      <c r="T53" s="8">
        <v>42330.49</v>
      </c>
      <c r="U53" s="8">
        <v>-42330.49</v>
      </c>
      <c r="V53" s="7" t="s">
        <v>56</v>
      </c>
      <c r="W53" s="7" t="s">
        <v>2619</v>
      </c>
      <c r="X53" s="7" t="s">
        <v>2618</v>
      </c>
      <c r="Y53" s="7" t="s">
        <v>1691</v>
      </c>
      <c r="AA53" s="7" t="s">
        <v>2617</v>
      </c>
      <c r="AB53" s="7">
        <v>10</v>
      </c>
      <c r="AC53" s="7" t="s">
        <v>51</v>
      </c>
      <c r="AD53" s="7" t="s">
        <v>306</v>
      </c>
      <c r="AF53" s="7" t="s">
        <v>44</v>
      </c>
      <c r="AH53" s="4">
        <v>44712.999988425923</v>
      </c>
    </row>
    <row r="54" spans="1:34" x14ac:dyDescent="0.3">
      <c r="A54" s="4">
        <v>44712</v>
      </c>
      <c r="B54" s="4">
        <v>44712</v>
      </c>
      <c r="C54" s="7" t="s">
        <v>35</v>
      </c>
      <c r="D54" s="7" t="s">
        <v>36</v>
      </c>
      <c r="E54" s="7" t="s">
        <v>36</v>
      </c>
      <c r="F54" s="7" t="s">
        <v>36</v>
      </c>
      <c r="G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R54" s="7" t="s">
        <v>45</v>
      </c>
      <c r="S54" s="8">
        <v>449987.65</v>
      </c>
      <c r="U54" s="8">
        <v>449987.65</v>
      </c>
      <c r="V54" s="7" t="s">
        <v>56</v>
      </c>
      <c r="W54" s="7" t="s">
        <v>2620</v>
      </c>
      <c r="X54" s="7" t="s">
        <v>2618</v>
      </c>
      <c r="Y54" s="7" t="s">
        <v>1691</v>
      </c>
      <c r="AA54" s="7" t="s">
        <v>2617</v>
      </c>
      <c r="AB54" s="7">
        <v>11</v>
      </c>
      <c r="AC54" s="7" t="s">
        <v>53</v>
      </c>
      <c r="AD54" s="7" t="s">
        <v>307</v>
      </c>
      <c r="AF54" s="7" t="s">
        <v>44</v>
      </c>
      <c r="AH54" s="4">
        <v>44712.999988425923</v>
      </c>
    </row>
    <row r="55" spans="1:34" x14ac:dyDescent="0.3">
      <c r="A55" s="4">
        <v>44712</v>
      </c>
      <c r="B55" s="4">
        <v>44712</v>
      </c>
      <c r="C55" s="7" t="s">
        <v>35</v>
      </c>
      <c r="D55" s="7" t="s">
        <v>36</v>
      </c>
      <c r="E55" s="7" t="s">
        <v>36</v>
      </c>
      <c r="F55" s="7" t="s">
        <v>36</v>
      </c>
      <c r="G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R55" s="7" t="s">
        <v>54</v>
      </c>
      <c r="T55" s="8">
        <v>449987.65</v>
      </c>
      <c r="U55" s="8">
        <v>-449987.65</v>
      </c>
      <c r="V55" s="7" t="s">
        <v>56</v>
      </c>
      <c r="W55" s="7" t="s">
        <v>2620</v>
      </c>
      <c r="X55" s="7" t="s">
        <v>2618</v>
      </c>
      <c r="Y55" s="7" t="s">
        <v>1691</v>
      </c>
      <c r="AA55" s="7" t="s">
        <v>2617</v>
      </c>
      <c r="AB55" s="7">
        <v>11</v>
      </c>
      <c r="AC55" s="7" t="s">
        <v>53</v>
      </c>
      <c r="AD55" s="7" t="s">
        <v>309</v>
      </c>
      <c r="AF55" s="7" t="s">
        <v>44</v>
      </c>
      <c r="AH55" s="4">
        <v>44712.999988425923</v>
      </c>
    </row>
    <row r="56" spans="1:34" x14ac:dyDescent="0.3">
      <c r="A56" s="4">
        <v>44713</v>
      </c>
      <c r="B56" s="4">
        <v>44713</v>
      </c>
      <c r="C56" s="7" t="s">
        <v>35</v>
      </c>
      <c r="D56" s="7" t="s">
        <v>36</v>
      </c>
      <c r="E56" s="7" t="s">
        <v>36</v>
      </c>
      <c r="F56" s="7" t="s">
        <v>36</v>
      </c>
      <c r="G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R56" s="7" t="s">
        <v>54</v>
      </c>
      <c r="S56" s="8">
        <v>449987.65</v>
      </c>
      <c r="U56" s="8">
        <v>449987.65</v>
      </c>
      <c r="V56" s="7" t="s">
        <v>56</v>
      </c>
      <c r="W56" s="7" t="s">
        <v>2620</v>
      </c>
      <c r="X56" s="7" t="s">
        <v>2618</v>
      </c>
      <c r="Y56" s="7" t="s">
        <v>1691</v>
      </c>
      <c r="AA56" s="7" t="s">
        <v>2617</v>
      </c>
      <c r="AB56" s="7">
        <v>11</v>
      </c>
      <c r="AC56" s="7" t="s">
        <v>55</v>
      </c>
      <c r="AD56" s="7" t="s">
        <v>311</v>
      </c>
      <c r="AF56" s="7" t="s">
        <v>44</v>
      </c>
      <c r="AH56" s="4">
        <v>44742.999988425923</v>
      </c>
    </row>
    <row r="57" spans="1:34" x14ac:dyDescent="0.3">
      <c r="A57" s="4">
        <v>44713</v>
      </c>
      <c r="B57" s="4">
        <v>44713</v>
      </c>
      <c r="C57" s="7" t="s">
        <v>35</v>
      </c>
      <c r="D57" s="7" t="s">
        <v>36</v>
      </c>
      <c r="E57" s="7" t="s">
        <v>36</v>
      </c>
      <c r="F57" s="7" t="s">
        <v>36</v>
      </c>
      <c r="G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R57" s="7" t="s">
        <v>45</v>
      </c>
      <c r="T57" s="8">
        <v>449987.65</v>
      </c>
      <c r="U57" s="8">
        <v>-449987.65</v>
      </c>
      <c r="V57" s="7" t="s">
        <v>56</v>
      </c>
      <c r="W57" s="7" t="s">
        <v>2620</v>
      </c>
      <c r="X57" s="7" t="s">
        <v>2618</v>
      </c>
      <c r="Y57" s="7" t="s">
        <v>1691</v>
      </c>
      <c r="AA57" s="7" t="s">
        <v>2617</v>
      </c>
      <c r="AB57" s="7">
        <v>11</v>
      </c>
      <c r="AC57" s="7" t="s">
        <v>55</v>
      </c>
      <c r="AD57" s="7" t="s">
        <v>313</v>
      </c>
      <c r="AF57" s="7" t="s">
        <v>44</v>
      </c>
      <c r="AH57" s="4">
        <v>44742.999988425923</v>
      </c>
    </row>
    <row r="58" spans="1:34" x14ac:dyDescent="0.3">
      <c r="A58" s="4">
        <v>44713</v>
      </c>
      <c r="B58" s="4">
        <v>44742</v>
      </c>
      <c r="C58" s="7" t="s">
        <v>46</v>
      </c>
      <c r="D58" s="7" t="s">
        <v>36</v>
      </c>
      <c r="E58" s="7" t="s">
        <v>36</v>
      </c>
      <c r="F58" s="7" t="s">
        <v>36</v>
      </c>
      <c r="G58" s="7" t="s">
        <v>37</v>
      </c>
      <c r="K58" s="7" t="s">
        <v>38</v>
      </c>
      <c r="L58" s="7" t="s">
        <v>39</v>
      </c>
      <c r="M58" s="7" t="s">
        <v>38</v>
      </c>
      <c r="N58" s="7" t="s">
        <v>41</v>
      </c>
      <c r="R58" s="7" t="s">
        <v>49</v>
      </c>
      <c r="S58" s="8">
        <v>13688.960526999999</v>
      </c>
      <c r="U58" s="8">
        <v>13688.960526999999</v>
      </c>
      <c r="V58" s="7" t="s">
        <v>56</v>
      </c>
      <c r="W58" s="7" t="s">
        <v>57</v>
      </c>
      <c r="X58" s="7" t="s">
        <v>2618</v>
      </c>
      <c r="Y58" s="7" t="s">
        <v>1691</v>
      </c>
      <c r="AA58" s="7" t="s">
        <v>2617</v>
      </c>
      <c r="AB58" s="7">
        <v>12</v>
      </c>
      <c r="AC58" s="7" t="s">
        <v>57</v>
      </c>
      <c r="AD58" s="7" t="s">
        <v>314</v>
      </c>
      <c r="AF58" s="7" t="s">
        <v>44</v>
      </c>
      <c r="AH58" s="4">
        <v>44742.999988425923</v>
      </c>
    </row>
    <row r="59" spans="1:34" x14ac:dyDescent="0.3">
      <c r="A59" s="4">
        <v>44713</v>
      </c>
      <c r="B59" s="4">
        <v>44742</v>
      </c>
      <c r="C59" s="7" t="s">
        <v>46</v>
      </c>
      <c r="D59" s="7" t="s">
        <v>36</v>
      </c>
      <c r="E59" s="7" t="s">
        <v>36</v>
      </c>
      <c r="F59" s="7" t="s">
        <v>36</v>
      </c>
      <c r="G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R59" s="7" t="s">
        <v>45</v>
      </c>
      <c r="S59" s="8">
        <v>36311.039472999997</v>
      </c>
      <c r="U59" s="8">
        <v>36311.039472999997</v>
      </c>
      <c r="V59" s="7" t="s">
        <v>56</v>
      </c>
      <c r="W59" s="7" t="s">
        <v>57</v>
      </c>
      <c r="X59" s="7" t="s">
        <v>2618</v>
      </c>
      <c r="Y59" s="7" t="s">
        <v>1691</v>
      </c>
      <c r="AA59" s="7" t="s">
        <v>2617</v>
      </c>
      <c r="AB59" s="7">
        <v>12</v>
      </c>
      <c r="AC59" s="7" t="s">
        <v>57</v>
      </c>
      <c r="AD59" s="7" t="s">
        <v>316</v>
      </c>
      <c r="AF59" s="7" t="s">
        <v>44</v>
      </c>
      <c r="AH59" s="4">
        <v>44742.999988425923</v>
      </c>
    </row>
    <row r="60" spans="1:34" x14ac:dyDescent="0.3">
      <c r="A60" s="4">
        <v>44713</v>
      </c>
      <c r="B60" s="4">
        <v>44742</v>
      </c>
      <c r="C60" s="7" t="s">
        <v>46</v>
      </c>
      <c r="D60" s="7" t="s">
        <v>36</v>
      </c>
      <c r="E60" s="7" t="s">
        <v>36</v>
      </c>
      <c r="F60" s="7" t="s">
        <v>36</v>
      </c>
      <c r="G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R60" s="7" t="s">
        <v>58</v>
      </c>
      <c r="T60" s="8">
        <v>50000</v>
      </c>
      <c r="U60" s="8">
        <v>-50000</v>
      </c>
      <c r="V60" s="7" t="s">
        <v>56</v>
      </c>
      <c r="W60" s="7" t="s">
        <v>57</v>
      </c>
      <c r="X60" s="7" t="s">
        <v>2618</v>
      </c>
      <c r="Y60" s="7" t="s">
        <v>1691</v>
      </c>
      <c r="AA60" s="7" t="s">
        <v>2617</v>
      </c>
      <c r="AB60" s="7">
        <v>12</v>
      </c>
      <c r="AC60" s="7" t="s">
        <v>57</v>
      </c>
      <c r="AD60" s="7" t="s">
        <v>317</v>
      </c>
      <c r="AF60" s="7" t="s">
        <v>44</v>
      </c>
      <c r="AH60" s="4">
        <v>44742.999988425923</v>
      </c>
    </row>
    <row r="61" spans="1:34" x14ac:dyDescent="0.3">
      <c r="A61" s="4">
        <v>44742</v>
      </c>
      <c r="B61" s="4">
        <v>44742</v>
      </c>
      <c r="C61" s="7" t="s">
        <v>46</v>
      </c>
      <c r="D61" s="7" t="s">
        <v>36</v>
      </c>
      <c r="E61" s="7" t="s">
        <v>36</v>
      </c>
      <c r="F61" s="7" t="s">
        <v>36</v>
      </c>
      <c r="G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R61" s="7" t="s">
        <v>47</v>
      </c>
      <c r="S61" s="8">
        <v>13477.146129999999</v>
      </c>
      <c r="U61" s="8">
        <v>13477.146129999999</v>
      </c>
      <c r="V61" s="7" t="s">
        <v>56</v>
      </c>
      <c r="W61" s="7" t="s">
        <v>2621</v>
      </c>
      <c r="X61" s="7" t="s">
        <v>2618</v>
      </c>
      <c r="Y61" s="7" t="s">
        <v>1691</v>
      </c>
      <c r="AA61" s="7" t="s">
        <v>2617</v>
      </c>
      <c r="AB61" s="7">
        <v>8</v>
      </c>
      <c r="AC61" s="7" t="s">
        <v>48</v>
      </c>
      <c r="AD61" s="7" t="s">
        <v>319</v>
      </c>
      <c r="AF61" s="7" t="s">
        <v>44</v>
      </c>
      <c r="AH61" s="4">
        <v>44742.999988425923</v>
      </c>
    </row>
    <row r="62" spans="1:34" x14ac:dyDescent="0.3">
      <c r="A62" s="4">
        <v>44742</v>
      </c>
      <c r="B62" s="4">
        <v>44742</v>
      </c>
      <c r="C62" s="7" t="s">
        <v>46</v>
      </c>
      <c r="D62" s="7" t="s">
        <v>36</v>
      </c>
      <c r="E62" s="7" t="s">
        <v>36</v>
      </c>
      <c r="F62" s="7" t="s">
        <v>36</v>
      </c>
      <c r="G62" s="7" t="s">
        <v>37</v>
      </c>
      <c r="K62" s="7" t="s">
        <v>38</v>
      </c>
      <c r="L62" s="7" t="s">
        <v>39</v>
      </c>
      <c r="M62" s="7" t="s">
        <v>38</v>
      </c>
      <c r="N62" s="7" t="s">
        <v>41</v>
      </c>
      <c r="R62" s="7" t="s">
        <v>49</v>
      </c>
      <c r="T62" s="8">
        <v>13477.146129999999</v>
      </c>
      <c r="U62" s="8">
        <v>-13477.146129999999</v>
      </c>
      <c r="V62" s="7" t="s">
        <v>56</v>
      </c>
      <c r="W62" s="7" t="s">
        <v>2621</v>
      </c>
      <c r="X62" s="7" t="s">
        <v>2618</v>
      </c>
      <c r="Y62" s="7" t="s">
        <v>1691</v>
      </c>
      <c r="AA62" s="7" t="s">
        <v>2617</v>
      </c>
      <c r="AB62" s="7">
        <v>8</v>
      </c>
      <c r="AC62" s="7" t="s">
        <v>48</v>
      </c>
      <c r="AD62" s="7" t="s">
        <v>321</v>
      </c>
      <c r="AF62" s="7" t="s">
        <v>44</v>
      </c>
      <c r="AH62" s="4">
        <v>44742.999988425923</v>
      </c>
    </row>
    <row r="63" spans="1:34" x14ac:dyDescent="0.3">
      <c r="A63" s="4">
        <v>44742</v>
      </c>
      <c r="B63" s="4">
        <v>44562</v>
      </c>
      <c r="C63" s="7" t="s">
        <v>35</v>
      </c>
      <c r="D63" s="7" t="s">
        <v>36</v>
      </c>
      <c r="E63" s="7" t="s">
        <v>36</v>
      </c>
      <c r="F63" s="7" t="s">
        <v>36</v>
      </c>
      <c r="G63" s="7" t="s">
        <v>37</v>
      </c>
      <c r="K63" s="7" t="s">
        <v>38</v>
      </c>
      <c r="L63" s="7" t="s">
        <v>39</v>
      </c>
      <c r="M63" s="7" t="s">
        <v>40</v>
      </c>
      <c r="N63" s="7" t="s">
        <v>41</v>
      </c>
      <c r="R63" s="7" t="s">
        <v>50</v>
      </c>
      <c r="S63" s="8">
        <v>42330.49</v>
      </c>
      <c r="U63" s="8">
        <v>42330.49</v>
      </c>
      <c r="V63" s="7" t="s">
        <v>56</v>
      </c>
      <c r="W63" s="7" t="s">
        <v>2619</v>
      </c>
      <c r="X63" s="7" t="s">
        <v>2618</v>
      </c>
      <c r="Y63" s="7" t="s">
        <v>1691</v>
      </c>
      <c r="AA63" s="7" t="s">
        <v>2617</v>
      </c>
      <c r="AB63" s="7">
        <v>10</v>
      </c>
      <c r="AC63" s="7" t="s">
        <v>51</v>
      </c>
      <c r="AD63" s="7" t="s">
        <v>322</v>
      </c>
      <c r="AF63" s="7" t="s">
        <v>44</v>
      </c>
      <c r="AH63" s="4">
        <v>44742.999988425923</v>
      </c>
    </row>
    <row r="64" spans="1:34" x14ac:dyDescent="0.3">
      <c r="A64" s="4">
        <v>44742</v>
      </c>
      <c r="B64" s="4">
        <v>44562</v>
      </c>
      <c r="C64" s="7" t="s">
        <v>35</v>
      </c>
      <c r="D64" s="7" t="s">
        <v>36</v>
      </c>
      <c r="E64" s="7" t="s">
        <v>36</v>
      </c>
      <c r="F64" s="7" t="s">
        <v>36</v>
      </c>
      <c r="G64" s="7" t="s">
        <v>37</v>
      </c>
      <c r="K64" s="7" t="s">
        <v>38</v>
      </c>
      <c r="L64" s="7" t="s">
        <v>39</v>
      </c>
      <c r="M64" s="7" t="s">
        <v>40</v>
      </c>
      <c r="N64" s="7" t="s">
        <v>41</v>
      </c>
      <c r="R64" s="7" t="s">
        <v>52</v>
      </c>
      <c r="T64" s="8">
        <v>42330.49</v>
      </c>
      <c r="U64" s="8">
        <v>-42330.49</v>
      </c>
      <c r="V64" s="7" t="s">
        <v>56</v>
      </c>
      <c r="W64" s="7" t="s">
        <v>2619</v>
      </c>
      <c r="X64" s="7" t="s">
        <v>2618</v>
      </c>
      <c r="Y64" s="7" t="s">
        <v>1691</v>
      </c>
      <c r="AA64" s="7" t="s">
        <v>2617</v>
      </c>
      <c r="AB64" s="7">
        <v>10</v>
      </c>
      <c r="AC64" s="7" t="s">
        <v>51</v>
      </c>
      <c r="AD64" s="7" t="s">
        <v>324</v>
      </c>
      <c r="AF64" s="7" t="s">
        <v>44</v>
      </c>
      <c r="AH64" s="4">
        <v>44742.999988425923</v>
      </c>
    </row>
    <row r="65" spans="1:34" x14ac:dyDescent="0.3">
      <c r="A65" s="4">
        <v>44742</v>
      </c>
      <c r="B65" s="4">
        <v>44742</v>
      </c>
      <c r="C65" s="7" t="s">
        <v>35</v>
      </c>
      <c r="D65" s="7" t="s">
        <v>36</v>
      </c>
      <c r="E65" s="7" t="s">
        <v>36</v>
      </c>
      <c r="F65" s="7" t="s">
        <v>36</v>
      </c>
      <c r="G65" s="7" t="s">
        <v>37</v>
      </c>
      <c r="K65" s="7" t="s">
        <v>38</v>
      </c>
      <c r="L65" s="7" t="s">
        <v>39</v>
      </c>
      <c r="M65" s="7" t="s">
        <v>40</v>
      </c>
      <c r="N65" s="7" t="s">
        <v>41</v>
      </c>
      <c r="R65" s="7" t="s">
        <v>45</v>
      </c>
      <c r="S65" s="8">
        <v>452612.58</v>
      </c>
      <c r="U65" s="8">
        <v>452612.58</v>
      </c>
      <c r="V65" s="7" t="s">
        <v>56</v>
      </c>
      <c r="W65" s="7" t="s">
        <v>2620</v>
      </c>
      <c r="X65" s="7" t="s">
        <v>2618</v>
      </c>
      <c r="Y65" s="7" t="s">
        <v>1691</v>
      </c>
      <c r="AA65" s="7" t="s">
        <v>2617</v>
      </c>
      <c r="AB65" s="7">
        <v>11</v>
      </c>
      <c r="AC65" s="7" t="s">
        <v>53</v>
      </c>
      <c r="AD65" s="7" t="s">
        <v>325</v>
      </c>
      <c r="AF65" s="7" t="s">
        <v>44</v>
      </c>
      <c r="AH65" s="4">
        <v>44742.999988425923</v>
      </c>
    </row>
    <row r="66" spans="1:34" x14ac:dyDescent="0.3">
      <c r="A66" s="4">
        <v>44742</v>
      </c>
      <c r="B66" s="4">
        <v>44742</v>
      </c>
      <c r="C66" s="7" t="s">
        <v>35</v>
      </c>
      <c r="D66" s="7" t="s">
        <v>36</v>
      </c>
      <c r="E66" s="7" t="s">
        <v>36</v>
      </c>
      <c r="F66" s="7" t="s">
        <v>36</v>
      </c>
      <c r="G66" s="7" t="s">
        <v>37</v>
      </c>
      <c r="K66" s="7" t="s">
        <v>38</v>
      </c>
      <c r="L66" s="7" t="s">
        <v>39</v>
      </c>
      <c r="M66" s="7" t="s">
        <v>40</v>
      </c>
      <c r="N66" s="7" t="s">
        <v>41</v>
      </c>
      <c r="R66" s="7" t="s">
        <v>54</v>
      </c>
      <c r="T66" s="8">
        <v>452612.58</v>
      </c>
      <c r="U66" s="8">
        <v>-452612.58</v>
      </c>
      <c r="V66" s="7" t="s">
        <v>56</v>
      </c>
      <c r="W66" s="7" t="s">
        <v>2620</v>
      </c>
      <c r="X66" s="7" t="s">
        <v>2618</v>
      </c>
      <c r="Y66" s="7" t="s">
        <v>1691</v>
      </c>
      <c r="AA66" s="7" t="s">
        <v>2617</v>
      </c>
      <c r="AB66" s="7">
        <v>11</v>
      </c>
      <c r="AC66" s="7" t="s">
        <v>53</v>
      </c>
      <c r="AD66" s="7" t="s">
        <v>327</v>
      </c>
      <c r="AF66" s="7" t="s">
        <v>44</v>
      </c>
      <c r="AH66" s="4">
        <v>44742.999988425923</v>
      </c>
    </row>
    <row r="67" spans="1:34" x14ac:dyDescent="0.3">
      <c r="A67" s="4">
        <v>44743</v>
      </c>
      <c r="B67" s="4">
        <v>44743</v>
      </c>
      <c r="C67" s="7" t="s">
        <v>35</v>
      </c>
      <c r="D67" s="7" t="s">
        <v>36</v>
      </c>
      <c r="E67" s="7" t="s">
        <v>36</v>
      </c>
      <c r="F67" s="7" t="s">
        <v>36</v>
      </c>
      <c r="G67" s="7" t="s">
        <v>37</v>
      </c>
      <c r="K67" s="7" t="s">
        <v>38</v>
      </c>
      <c r="L67" s="7" t="s">
        <v>39</v>
      </c>
      <c r="M67" s="7" t="s">
        <v>40</v>
      </c>
      <c r="N67" s="7" t="s">
        <v>41</v>
      </c>
      <c r="R67" s="7" t="s">
        <v>54</v>
      </c>
      <c r="S67" s="8">
        <v>452612.58</v>
      </c>
      <c r="U67" s="8">
        <v>452612.58</v>
      </c>
      <c r="V67" s="7" t="s">
        <v>56</v>
      </c>
      <c r="W67" s="7" t="s">
        <v>2620</v>
      </c>
      <c r="X67" s="7" t="s">
        <v>2618</v>
      </c>
      <c r="Y67" s="7" t="s">
        <v>1691</v>
      </c>
      <c r="AA67" s="7" t="s">
        <v>2617</v>
      </c>
      <c r="AB67" s="7">
        <v>11</v>
      </c>
      <c r="AC67" s="7" t="s">
        <v>55</v>
      </c>
      <c r="AD67" s="7" t="s">
        <v>329</v>
      </c>
      <c r="AF67" s="7" t="s">
        <v>44</v>
      </c>
      <c r="AH67" s="4">
        <v>44773.999988425923</v>
      </c>
    </row>
    <row r="68" spans="1:34" x14ac:dyDescent="0.3">
      <c r="A68" s="4">
        <v>44743</v>
      </c>
      <c r="B68" s="4">
        <v>44743</v>
      </c>
      <c r="C68" s="7" t="s">
        <v>35</v>
      </c>
      <c r="D68" s="7" t="s">
        <v>36</v>
      </c>
      <c r="E68" s="7" t="s">
        <v>36</v>
      </c>
      <c r="F68" s="7" t="s">
        <v>36</v>
      </c>
      <c r="G68" s="7" t="s">
        <v>37</v>
      </c>
      <c r="K68" s="7" t="s">
        <v>38</v>
      </c>
      <c r="L68" s="7" t="s">
        <v>39</v>
      </c>
      <c r="M68" s="7" t="s">
        <v>40</v>
      </c>
      <c r="N68" s="7" t="s">
        <v>41</v>
      </c>
      <c r="R68" s="7" t="s">
        <v>45</v>
      </c>
      <c r="T68" s="8">
        <v>452612.58</v>
      </c>
      <c r="U68" s="8">
        <v>-452612.58</v>
      </c>
      <c r="V68" s="7" t="s">
        <v>56</v>
      </c>
      <c r="W68" s="7" t="s">
        <v>2620</v>
      </c>
      <c r="X68" s="7" t="s">
        <v>2618</v>
      </c>
      <c r="Y68" s="7" t="s">
        <v>1691</v>
      </c>
      <c r="AA68" s="7" t="s">
        <v>2617</v>
      </c>
      <c r="AB68" s="7">
        <v>11</v>
      </c>
      <c r="AC68" s="7" t="s">
        <v>55</v>
      </c>
      <c r="AD68" s="7" t="s">
        <v>331</v>
      </c>
      <c r="AF68" s="7" t="s">
        <v>44</v>
      </c>
      <c r="AH68" s="4">
        <v>44773.999988425923</v>
      </c>
    </row>
    <row r="69" spans="1:34" x14ac:dyDescent="0.3">
      <c r="A69" s="4">
        <v>44743</v>
      </c>
      <c r="B69" s="4">
        <v>44773</v>
      </c>
      <c r="C69" s="7" t="s">
        <v>46</v>
      </c>
      <c r="D69" s="7" t="s">
        <v>36</v>
      </c>
      <c r="E69" s="7" t="s">
        <v>36</v>
      </c>
      <c r="F69" s="7" t="s">
        <v>36</v>
      </c>
      <c r="G69" s="7" t="s">
        <v>37</v>
      </c>
      <c r="K69" s="7" t="s">
        <v>38</v>
      </c>
      <c r="L69" s="7" t="s">
        <v>39</v>
      </c>
      <c r="M69" s="7" t="s">
        <v>38</v>
      </c>
      <c r="N69" s="7" t="s">
        <v>41</v>
      </c>
      <c r="R69" s="7" t="s">
        <v>49</v>
      </c>
      <c r="S69" s="8">
        <v>13477.146129999999</v>
      </c>
      <c r="U69" s="8">
        <v>13477.146129999999</v>
      </c>
      <c r="V69" s="7" t="s">
        <v>56</v>
      </c>
      <c r="W69" s="7" t="s">
        <v>57</v>
      </c>
      <c r="X69" s="7" t="s">
        <v>2618</v>
      </c>
      <c r="Y69" s="7" t="s">
        <v>1691</v>
      </c>
      <c r="AA69" s="7" t="s">
        <v>2617</v>
      </c>
      <c r="AB69" s="7">
        <v>12</v>
      </c>
      <c r="AC69" s="7" t="s">
        <v>57</v>
      </c>
      <c r="AD69" s="7" t="s">
        <v>332</v>
      </c>
      <c r="AF69" s="7" t="s">
        <v>44</v>
      </c>
      <c r="AH69" s="4">
        <v>44773.999988425923</v>
      </c>
    </row>
    <row r="70" spans="1:34" x14ac:dyDescent="0.3">
      <c r="A70" s="4">
        <v>44743</v>
      </c>
      <c r="B70" s="4">
        <v>44773</v>
      </c>
      <c r="C70" s="7" t="s">
        <v>46</v>
      </c>
      <c r="D70" s="7" t="s">
        <v>36</v>
      </c>
      <c r="E70" s="7" t="s">
        <v>36</v>
      </c>
      <c r="F70" s="7" t="s">
        <v>36</v>
      </c>
      <c r="G70" s="7" t="s">
        <v>37</v>
      </c>
      <c r="K70" s="7" t="s">
        <v>38</v>
      </c>
      <c r="L70" s="7" t="s">
        <v>39</v>
      </c>
      <c r="M70" s="7" t="s">
        <v>40</v>
      </c>
      <c r="N70" s="7" t="s">
        <v>41</v>
      </c>
      <c r="R70" s="7" t="s">
        <v>45</v>
      </c>
      <c r="S70" s="8">
        <v>36522.853869999999</v>
      </c>
      <c r="U70" s="8">
        <v>36522.853869999999</v>
      </c>
      <c r="V70" s="7" t="s">
        <v>56</v>
      </c>
      <c r="W70" s="7" t="s">
        <v>57</v>
      </c>
      <c r="X70" s="7" t="s">
        <v>2618</v>
      </c>
      <c r="Y70" s="7" t="s">
        <v>1691</v>
      </c>
      <c r="AA70" s="7" t="s">
        <v>2617</v>
      </c>
      <c r="AB70" s="7">
        <v>12</v>
      </c>
      <c r="AC70" s="7" t="s">
        <v>57</v>
      </c>
      <c r="AD70" s="7" t="s">
        <v>334</v>
      </c>
      <c r="AF70" s="7" t="s">
        <v>44</v>
      </c>
      <c r="AH70" s="4">
        <v>44773.999988425923</v>
      </c>
    </row>
    <row r="71" spans="1:34" x14ac:dyDescent="0.3">
      <c r="A71" s="4">
        <v>44743</v>
      </c>
      <c r="B71" s="4">
        <v>44773</v>
      </c>
      <c r="C71" s="7" t="s">
        <v>46</v>
      </c>
      <c r="D71" s="7" t="s">
        <v>36</v>
      </c>
      <c r="E71" s="7" t="s">
        <v>36</v>
      </c>
      <c r="F71" s="7" t="s">
        <v>36</v>
      </c>
      <c r="G71" s="7" t="s">
        <v>37</v>
      </c>
      <c r="K71" s="7" t="s">
        <v>38</v>
      </c>
      <c r="L71" s="7" t="s">
        <v>39</v>
      </c>
      <c r="M71" s="7" t="s">
        <v>40</v>
      </c>
      <c r="N71" s="7" t="s">
        <v>41</v>
      </c>
      <c r="R71" s="7" t="s">
        <v>58</v>
      </c>
      <c r="T71" s="8">
        <v>50000</v>
      </c>
      <c r="U71" s="8">
        <v>-50000</v>
      </c>
      <c r="V71" s="7" t="s">
        <v>56</v>
      </c>
      <c r="W71" s="7" t="s">
        <v>57</v>
      </c>
      <c r="X71" s="7" t="s">
        <v>2618</v>
      </c>
      <c r="Y71" s="7" t="s">
        <v>1691</v>
      </c>
      <c r="AA71" s="7" t="s">
        <v>2617</v>
      </c>
      <c r="AB71" s="7">
        <v>12</v>
      </c>
      <c r="AC71" s="7" t="s">
        <v>57</v>
      </c>
      <c r="AD71" s="7" t="s">
        <v>335</v>
      </c>
      <c r="AF71" s="7" t="s">
        <v>44</v>
      </c>
      <c r="AH71" s="4">
        <v>44773.999988425923</v>
      </c>
    </row>
    <row r="72" spans="1:34" x14ac:dyDescent="0.3">
      <c r="A72" s="4">
        <v>44773</v>
      </c>
      <c r="B72" s="4">
        <v>44773</v>
      </c>
      <c r="C72" s="7" t="s">
        <v>46</v>
      </c>
      <c r="D72" s="7" t="s">
        <v>36</v>
      </c>
      <c r="E72" s="7" t="s">
        <v>36</v>
      </c>
      <c r="F72" s="7" t="s">
        <v>36</v>
      </c>
      <c r="G72" s="7" t="s">
        <v>37</v>
      </c>
      <c r="K72" s="7" t="s">
        <v>38</v>
      </c>
      <c r="L72" s="7" t="s">
        <v>39</v>
      </c>
      <c r="M72" s="7" t="s">
        <v>40</v>
      </c>
      <c r="N72" s="7" t="s">
        <v>41</v>
      </c>
      <c r="R72" s="7" t="s">
        <v>47</v>
      </c>
      <c r="S72" s="8">
        <v>13264.096149000001</v>
      </c>
      <c r="U72" s="8">
        <v>13264.096149000001</v>
      </c>
      <c r="V72" s="7" t="s">
        <v>56</v>
      </c>
      <c r="W72" s="7" t="s">
        <v>2621</v>
      </c>
      <c r="X72" s="7" t="s">
        <v>2618</v>
      </c>
      <c r="Y72" s="7" t="s">
        <v>1691</v>
      </c>
      <c r="AA72" s="7" t="s">
        <v>2617</v>
      </c>
      <c r="AB72" s="7">
        <v>8</v>
      </c>
      <c r="AC72" s="7" t="s">
        <v>48</v>
      </c>
      <c r="AD72" s="7" t="s">
        <v>337</v>
      </c>
      <c r="AF72" s="7" t="s">
        <v>44</v>
      </c>
      <c r="AH72" s="4">
        <v>44773.999988425923</v>
      </c>
    </row>
    <row r="73" spans="1:34" x14ac:dyDescent="0.3">
      <c r="A73" s="4">
        <v>44773</v>
      </c>
      <c r="B73" s="4">
        <v>44773</v>
      </c>
      <c r="C73" s="7" t="s">
        <v>46</v>
      </c>
      <c r="D73" s="7" t="s">
        <v>36</v>
      </c>
      <c r="E73" s="7" t="s">
        <v>36</v>
      </c>
      <c r="F73" s="7" t="s">
        <v>36</v>
      </c>
      <c r="G73" s="7" t="s">
        <v>37</v>
      </c>
      <c r="K73" s="7" t="s">
        <v>38</v>
      </c>
      <c r="L73" s="7" t="s">
        <v>39</v>
      </c>
      <c r="M73" s="7" t="s">
        <v>38</v>
      </c>
      <c r="N73" s="7" t="s">
        <v>41</v>
      </c>
      <c r="R73" s="7" t="s">
        <v>49</v>
      </c>
      <c r="T73" s="8">
        <v>13264.096149000001</v>
      </c>
      <c r="U73" s="8">
        <v>-13264.096149000001</v>
      </c>
      <c r="V73" s="7" t="s">
        <v>56</v>
      </c>
      <c r="W73" s="7" t="s">
        <v>2621</v>
      </c>
      <c r="X73" s="7" t="s">
        <v>2618</v>
      </c>
      <c r="Y73" s="7" t="s">
        <v>1691</v>
      </c>
      <c r="AA73" s="7" t="s">
        <v>2617</v>
      </c>
      <c r="AB73" s="7">
        <v>8</v>
      </c>
      <c r="AC73" s="7" t="s">
        <v>48</v>
      </c>
      <c r="AD73" s="7" t="s">
        <v>339</v>
      </c>
      <c r="AF73" s="7" t="s">
        <v>44</v>
      </c>
      <c r="AH73" s="4">
        <v>44773.999988425923</v>
      </c>
    </row>
    <row r="74" spans="1:34" x14ac:dyDescent="0.3">
      <c r="A74" s="4">
        <v>44773</v>
      </c>
      <c r="B74" s="4">
        <v>44562</v>
      </c>
      <c r="C74" s="7" t="s">
        <v>35</v>
      </c>
      <c r="D74" s="7" t="s">
        <v>36</v>
      </c>
      <c r="E74" s="7" t="s">
        <v>36</v>
      </c>
      <c r="F74" s="7" t="s">
        <v>36</v>
      </c>
      <c r="G74" s="7" t="s">
        <v>37</v>
      </c>
      <c r="K74" s="7" t="s">
        <v>38</v>
      </c>
      <c r="L74" s="7" t="s">
        <v>39</v>
      </c>
      <c r="M74" s="7" t="s">
        <v>40</v>
      </c>
      <c r="N74" s="7" t="s">
        <v>41</v>
      </c>
      <c r="R74" s="7" t="s">
        <v>50</v>
      </c>
      <c r="S74" s="8">
        <v>42330.49</v>
      </c>
      <c r="U74" s="8">
        <v>42330.49</v>
      </c>
      <c r="V74" s="7" t="s">
        <v>56</v>
      </c>
      <c r="W74" s="7" t="s">
        <v>2619</v>
      </c>
      <c r="X74" s="7" t="s">
        <v>2618</v>
      </c>
      <c r="Y74" s="7" t="s">
        <v>1691</v>
      </c>
      <c r="AA74" s="7" t="s">
        <v>2617</v>
      </c>
      <c r="AB74" s="7">
        <v>10</v>
      </c>
      <c r="AC74" s="7" t="s">
        <v>51</v>
      </c>
      <c r="AD74" s="7" t="s">
        <v>340</v>
      </c>
      <c r="AF74" s="7" t="s">
        <v>44</v>
      </c>
      <c r="AH74" s="4">
        <v>44773.999988425923</v>
      </c>
    </row>
    <row r="75" spans="1:34" x14ac:dyDescent="0.3">
      <c r="A75" s="4">
        <v>44773</v>
      </c>
      <c r="B75" s="4">
        <v>44562</v>
      </c>
      <c r="C75" s="7" t="s">
        <v>35</v>
      </c>
      <c r="D75" s="7" t="s">
        <v>36</v>
      </c>
      <c r="E75" s="7" t="s">
        <v>36</v>
      </c>
      <c r="F75" s="7" t="s">
        <v>36</v>
      </c>
      <c r="G75" s="7" t="s">
        <v>37</v>
      </c>
      <c r="K75" s="7" t="s">
        <v>38</v>
      </c>
      <c r="L75" s="7" t="s">
        <v>39</v>
      </c>
      <c r="M75" s="7" t="s">
        <v>40</v>
      </c>
      <c r="N75" s="7" t="s">
        <v>41</v>
      </c>
      <c r="R75" s="7" t="s">
        <v>52</v>
      </c>
      <c r="T75" s="8">
        <v>42330.49</v>
      </c>
      <c r="U75" s="8">
        <v>-42330.49</v>
      </c>
      <c r="V75" s="7" t="s">
        <v>56</v>
      </c>
      <c r="W75" s="7" t="s">
        <v>2619</v>
      </c>
      <c r="X75" s="7" t="s">
        <v>2618</v>
      </c>
      <c r="Y75" s="7" t="s">
        <v>1691</v>
      </c>
      <c r="AA75" s="7" t="s">
        <v>2617</v>
      </c>
      <c r="AB75" s="7">
        <v>10</v>
      </c>
      <c r="AC75" s="7" t="s">
        <v>51</v>
      </c>
      <c r="AD75" s="7" t="s">
        <v>342</v>
      </c>
      <c r="AF75" s="7" t="s">
        <v>44</v>
      </c>
      <c r="AH75" s="4">
        <v>44773.999988425923</v>
      </c>
    </row>
    <row r="76" spans="1:34" x14ac:dyDescent="0.3">
      <c r="A76" s="4">
        <v>44773</v>
      </c>
      <c r="B76" s="4">
        <v>44773</v>
      </c>
      <c r="C76" s="7" t="s">
        <v>35</v>
      </c>
      <c r="D76" s="7" t="s">
        <v>36</v>
      </c>
      <c r="E76" s="7" t="s">
        <v>36</v>
      </c>
      <c r="F76" s="7" t="s">
        <v>36</v>
      </c>
      <c r="G76" s="7" t="s">
        <v>37</v>
      </c>
      <c r="K76" s="7" t="s">
        <v>38</v>
      </c>
      <c r="L76" s="7" t="s">
        <v>39</v>
      </c>
      <c r="M76" s="7" t="s">
        <v>40</v>
      </c>
      <c r="N76" s="7" t="s">
        <v>41</v>
      </c>
      <c r="R76" s="7" t="s">
        <v>45</v>
      </c>
      <c r="S76" s="8">
        <v>455252.83</v>
      </c>
      <c r="U76" s="8">
        <v>455252.83</v>
      </c>
      <c r="V76" s="7" t="s">
        <v>56</v>
      </c>
      <c r="W76" s="7" t="s">
        <v>2620</v>
      </c>
      <c r="X76" s="7" t="s">
        <v>2618</v>
      </c>
      <c r="Y76" s="7" t="s">
        <v>1691</v>
      </c>
      <c r="AA76" s="7" t="s">
        <v>2617</v>
      </c>
      <c r="AB76" s="7">
        <v>11</v>
      </c>
      <c r="AC76" s="7" t="s">
        <v>53</v>
      </c>
      <c r="AD76" s="7" t="s">
        <v>343</v>
      </c>
      <c r="AF76" s="7" t="s">
        <v>44</v>
      </c>
      <c r="AH76" s="4">
        <v>44773.999988425923</v>
      </c>
    </row>
    <row r="77" spans="1:34" x14ac:dyDescent="0.3">
      <c r="A77" s="4">
        <v>44773</v>
      </c>
      <c r="B77" s="4">
        <v>44773</v>
      </c>
      <c r="C77" s="7" t="s">
        <v>35</v>
      </c>
      <c r="D77" s="7" t="s">
        <v>36</v>
      </c>
      <c r="E77" s="7" t="s">
        <v>36</v>
      </c>
      <c r="F77" s="7" t="s">
        <v>36</v>
      </c>
      <c r="G77" s="7" t="s">
        <v>37</v>
      </c>
      <c r="K77" s="7" t="s">
        <v>38</v>
      </c>
      <c r="L77" s="7" t="s">
        <v>39</v>
      </c>
      <c r="M77" s="7" t="s">
        <v>40</v>
      </c>
      <c r="N77" s="7" t="s">
        <v>41</v>
      </c>
      <c r="R77" s="7" t="s">
        <v>54</v>
      </c>
      <c r="T77" s="8">
        <v>455252.83</v>
      </c>
      <c r="U77" s="8">
        <v>-455252.83</v>
      </c>
      <c r="V77" s="7" t="s">
        <v>56</v>
      </c>
      <c r="W77" s="7" t="s">
        <v>2620</v>
      </c>
      <c r="X77" s="7" t="s">
        <v>2618</v>
      </c>
      <c r="Y77" s="7" t="s">
        <v>1691</v>
      </c>
      <c r="AA77" s="7" t="s">
        <v>2617</v>
      </c>
      <c r="AB77" s="7">
        <v>11</v>
      </c>
      <c r="AC77" s="7" t="s">
        <v>53</v>
      </c>
      <c r="AD77" s="7" t="s">
        <v>345</v>
      </c>
      <c r="AF77" s="7" t="s">
        <v>44</v>
      </c>
      <c r="AH77" s="4">
        <v>44773.999988425923</v>
      </c>
    </row>
    <row r="78" spans="1:34" x14ac:dyDescent="0.3">
      <c r="A78" s="4">
        <v>44774</v>
      </c>
      <c r="B78" s="4">
        <v>44774</v>
      </c>
      <c r="C78" s="7" t="s">
        <v>35</v>
      </c>
      <c r="D78" s="7" t="s">
        <v>36</v>
      </c>
      <c r="E78" s="7" t="s">
        <v>36</v>
      </c>
      <c r="F78" s="7" t="s">
        <v>36</v>
      </c>
      <c r="G78" s="7" t="s">
        <v>37</v>
      </c>
      <c r="K78" s="7" t="s">
        <v>38</v>
      </c>
      <c r="L78" s="7" t="s">
        <v>39</v>
      </c>
      <c r="M78" s="7" t="s">
        <v>40</v>
      </c>
      <c r="N78" s="7" t="s">
        <v>41</v>
      </c>
      <c r="R78" s="7" t="s">
        <v>54</v>
      </c>
      <c r="S78" s="8">
        <v>455252.83</v>
      </c>
      <c r="U78" s="8">
        <v>455252.83</v>
      </c>
      <c r="V78" s="7" t="s">
        <v>56</v>
      </c>
      <c r="W78" s="7" t="s">
        <v>2620</v>
      </c>
      <c r="X78" s="7" t="s">
        <v>2618</v>
      </c>
      <c r="Y78" s="7" t="s">
        <v>1691</v>
      </c>
      <c r="AA78" s="7" t="s">
        <v>2617</v>
      </c>
      <c r="AB78" s="7">
        <v>11</v>
      </c>
      <c r="AC78" s="7" t="s">
        <v>55</v>
      </c>
      <c r="AD78" s="7" t="s">
        <v>347</v>
      </c>
      <c r="AF78" s="7" t="s">
        <v>44</v>
      </c>
      <c r="AH78" s="4">
        <v>44804.999988425923</v>
      </c>
    </row>
    <row r="79" spans="1:34" x14ac:dyDescent="0.3">
      <c r="A79" s="4">
        <v>44774</v>
      </c>
      <c r="B79" s="4">
        <v>44774</v>
      </c>
      <c r="C79" s="7" t="s">
        <v>35</v>
      </c>
      <c r="D79" s="7" t="s">
        <v>36</v>
      </c>
      <c r="E79" s="7" t="s">
        <v>36</v>
      </c>
      <c r="F79" s="7" t="s">
        <v>36</v>
      </c>
      <c r="G79" s="7" t="s">
        <v>37</v>
      </c>
      <c r="K79" s="7" t="s">
        <v>38</v>
      </c>
      <c r="L79" s="7" t="s">
        <v>39</v>
      </c>
      <c r="M79" s="7" t="s">
        <v>40</v>
      </c>
      <c r="N79" s="7" t="s">
        <v>41</v>
      </c>
      <c r="R79" s="7" t="s">
        <v>45</v>
      </c>
      <c r="T79" s="8">
        <v>455252.83</v>
      </c>
      <c r="U79" s="8">
        <v>-455252.83</v>
      </c>
      <c r="V79" s="7" t="s">
        <v>56</v>
      </c>
      <c r="W79" s="7" t="s">
        <v>2620</v>
      </c>
      <c r="X79" s="7" t="s">
        <v>2618</v>
      </c>
      <c r="Y79" s="7" t="s">
        <v>1691</v>
      </c>
      <c r="AA79" s="7" t="s">
        <v>2617</v>
      </c>
      <c r="AB79" s="7">
        <v>11</v>
      </c>
      <c r="AC79" s="7" t="s">
        <v>55</v>
      </c>
      <c r="AD79" s="7" t="s">
        <v>349</v>
      </c>
      <c r="AF79" s="7" t="s">
        <v>44</v>
      </c>
      <c r="AH79" s="4">
        <v>44804.999988425923</v>
      </c>
    </row>
    <row r="80" spans="1:34" x14ac:dyDescent="0.3">
      <c r="A80" s="4">
        <v>44774</v>
      </c>
      <c r="B80" s="4">
        <v>44804</v>
      </c>
      <c r="C80" s="7" t="s">
        <v>46</v>
      </c>
      <c r="D80" s="7" t="s">
        <v>36</v>
      </c>
      <c r="E80" s="7" t="s">
        <v>36</v>
      </c>
      <c r="F80" s="7" t="s">
        <v>36</v>
      </c>
      <c r="G80" s="7" t="s">
        <v>37</v>
      </c>
      <c r="K80" s="7" t="s">
        <v>38</v>
      </c>
      <c r="L80" s="7" t="s">
        <v>39</v>
      </c>
      <c r="M80" s="7" t="s">
        <v>38</v>
      </c>
      <c r="N80" s="7" t="s">
        <v>41</v>
      </c>
      <c r="R80" s="7" t="s">
        <v>49</v>
      </c>
      <c r="S80" s="8">
        <v>13264.096149000001</v>
      </c>
      <c r="U80" s="8">
        <v>13264.096149000001</v>
      </c>
      <c r="V80" s="7" t="s">
        <v>56</v>
      </c>
      <c r="W80" s="7" t="s">
        <v>57</v>
      </c>
      <c r="X80" s="7" t="s">
        <v>2618</v>
      </c>
      <c r="Y80" s="7" t="s">
        <v>1691</v>
      </c>
      <c r="AA80" s="7" t="s">
        <v>2617</v>
      </c>
      <c r="AB80" s="7">
        <v>12</v>
      </c>
      <c r="AC80" s="7" t="s">
        <v>57</v>
      </c>
      <c r="AD80" s="7" t="s">
        <v>350</v>
      </c>
      <c r="AF80" s="7" t="s">
        <v>44</v>
      </c>
      <c r="AH80" s="4">
        <v>44804.999988425923</v>
      </c>
    </row>
    <row r="81" spans="1:34" x14ac:dyDescent="0.3">
      <c r="A81" s="4">
        <v>44774</v>
      </c>
      <c r="B81" s="4">
        <v>44804</v>
      </c>
      <c r="C81" s="7" t="s">
        <v>46</v>
      </c>
      <c r="D81" s="7" t="s">
        <v>36</v>
      </c>
      <c r="E81" s="7" t="s">
        <v>36</v>
      </c>
      <c r="F81" s="7" t="s">
        <v>36</v>
      </c>
      <c r="G81" s="7" t="s">
        <v>37</v>
      </c>
      <c r="K81" s="7" t="s">
        <v>38</v>
      </c>
      <c r="L81" s="7" t="s">
        <v>39</v>
      </c>
      <c r="M81" s="7" t="s">
        <v>40</v>
      </c>
      <c r="N81" s="7" t="s">
        <v>41</v>
      </c>
      <c r="R81" s="7" t="s">
        <v>45</v>
      </c>
      <c r="S81" s="8">
        <v>36735.903851000003</v>
      </c>
      <c r="U81" s="8">
        <v>36735.903851000003</v>
      </c>
      <c r="V81" s="7" t="s">
        <v>56</v>
      </c>
      <c r="W81" s="7" t="s">
        <v>57</v>
      </c>
      <c r="X81" s="7" t="s">
        <v>2618</v>
      </c>
      <c r="Y81" s="7" t="s">
        <v>1691</v>
      </c>
      <c r="AA81" s="7" t="s">
        <v>2617</v>
      </c>
      <c r="AB81" s="7">
        <v>12</v>
      </c>
      <c r="AC81" s="7" t="s">
        <v>57</v>
      </c>
      <c r="AD81" s="7" t="s">
        <v>352</v>
      </c>
      <c r="AF81" s="7" t="s">
        <v>44</v>
      </c>
      <c r="AH81" s="4">
        <v>44804.999988425923</v>
      </c>
    </row>
    <row r="82" spans="1:34" x14ac:dyDescent="0.3">
      <c r="A82" s="4">
        <v>44774</v>
      </c>
      <c r="B82" s="4">
        <v>44804</v>
      </c>
      <c r="C82" s="7" t="s">
        <v>46</v>
      </c>
      <c r="D82" s="7" t="s">
        <v>36</v>
      </c>
      <c r="E82" s="7" t="s">
        <v>36</v>
      </c>
      <c r="F82" s="7" t="s">
        <v>36</v>
      </c>
      <c r="G82" s="7" t="s">
        <v>37</v>
      </c>
      <c r="K82" s="7" t="s">
        <v>38</v>
      </c>
      <c r="L82" s="7" t="s">
        <v>39</v>
      </c>
      <c r="M82" s="7" t="s">
        <v>40</v>
      </c>
      <c r="N82" s="7" t="s">
        <v>41</v>
      </c>
      <c r="R82" s="7" t="s">
        <v>58</v>
      </c>
      <c r="T82" s="8">
        <v>50000</v>
      </c>
      <c r="U82" s="8">
        <v>-50000</v>
      </c>
      <c r="V82" s="7" t="s">
        <v>56</v>
      </c>
      <c r="W82" s="7" t="s">
        <v>57</v>
      </c>
      <c r="X82" s="7" t="s">
        <v>2618</v>
      </c>
      <c r="Y82" s="7" t="s">
        <v>1691</v>
      </c>
      <c r="AA82" s="7" t="s">
        <v>2617</v>
      </c>
      <c r="AB82" s="7">
        <v>12</v>
      </c>
      <c r="AC82" s="7" t="s">
        <v>57</v>
      </c>
      <c r="AD82" s="7" t="s">
        <v>353</v>
      </c>
      <c r="AF82" s="7" t="s">
        <v>44</v>
      </c>
      <c r="AH82" s="4">
        <v>44804.999988425923</v>
      </c>
    </row>
    <row r="83" spans="1:34" x14ac:dyDescent="0.3">
      <c r="A83" s="4">
        <v>44804</v>
      </c>
      <c r="B83" s="4">
        <v>44804</v>
      </c>
      <c r="C83" s="7" t="s">
        <v>46</v>
      </c>
      <c r="D83" s="7" t="s">
        <v>36</v>
      </c>
      <c r="E83" s="7" t="s">
        <v>36</v>
      </c>
      <c r="F83" s="7" t="s">
        <v>36</v>
      </c>
      <c r="G83" s="7" t="s">
        <v>37</v>
      </c>
      <c r="K83" s="7" t="s">
        <v>38</v>
      </c>
      <c r="L83" s="7" t="s">
        <v>39</v>
      </c>
      <c r="M83" s="7" t="s">
        <v>40</v>
      </c>
      <c r="N83" s="7" t="s">
        <v>41</v>
      </c>
      <c r="R83" s="7" t="s">
        <v>47</v>
      </c>
      <c r="S83" s="8">
        <v>13049.803377</v>
      </c>
      <c r="U83" s="8">
        <v>13049.803377</v>
      </c>
      <c r="V83" s="7" t="s">
        <v>56</v>
      </c>
      <c r="W83" s="7" t="s">
        <v>2621</v>
      </c>
      <c r="X83" s="7" t="s">
        <v>2618</v>
      </c>
      <c r="Y83" s="7" t="s">
        <v>1691</v>
      </c>
      <c r="AA83" s="7" t="s">
        <v>2617</v>
      </c>
      <c r="AB83" s="7">
        <v>8</v>
      </c>
      <c r="AC83" s="7" t="s">
        <v>48</v>
      </c>
      <c r="AD83" s="7" t="s">
        <v>355</v>
      </c>
      <c r="AF83" s="7" t="s">
        <v>44</v>
      </c>
      <c r="AH83" s="4">
        <v>44804.999988425923</v>
      </c>
    </row>
    <row r="84" spans="1:34" x14ac:dyDescent="0.3">
      <c r="A84" s="4">
        <v>44804</v>
      </c>
      <c r="B84" s="4">
        <v>44804</v>
      </c>
      <c r="C84" s="7" t="s">
        <v>46</v>
      </c>
      <c r="D84" s="7" t="s">
        <v>36</v>
      </c>
      <c r="E84" s="7" t="s">
        <v>36</v>
      </c>
      <c r="F84" s="7" t="s">
        <v>36</v>
      </c>
      <c r="G84" s="7" t="s">
        <v>37</v>
      </c>
      <c r="K84" s="7" t="s">
        <v>38</v>
      </c>
      <c r="L84" s="7" t="s">
        <v>39</v>
      </c>
      <c r="M84" s="7" t="s">
        <v>38</v>
      </c>
      <c r="N84" s="7" t="s">
        <v>41</v>
      </c>
      <c r="R84" s="7" t="s">
        <v>49</v>
      </c>
      <c r="T84" s="8">
        <v>13049.803377</v>
      </c>
      <c r="U84" s="8">
        <v>-13049.803377</v>
      </c>
      <c r="V84" s="7" t="s">
        <v>56</v>
      </c>
      <c r="W84" s="7" t="s">
        <v>2621</v>
      </c>
      <c r="X84" s="7" t="s">
        <v>2618</v>
      </c>
      <c r="Y84" s="7" t="s">
        <v>1691</v>
      </c>
      <c r="AA84" s="7" t="s">
        <v>2617</v>
      </c>
      <c r="AB84" s="7">
        <v>8</v>
      </c>
      <c r="AC84" s="7" t="s">
        <v>48</v>
      </c>
      <c r="AD84" s="7" t="s">
        <v>357</v>
      </c>
      <c r="AF84" s="7" t="s">
        <v>44</v>
      </c>
      <c r="AH84" s="4">
        <v>44804.999988425923</v>
      </c>
    </row>
    <row r="85" spans="1:34" x14ac:dyDescent="0.3">
      <c r="A85" s="4">
        <v>44804</v>
      </c>
      <c r="B85" s="4">
        <v>44562</v>
      </c>
      <c r="C85" s="7" t="s">
        <v>35</v>
      </c>
      <c r="D85" s="7" t="s">
        <v>36</v>
      </c>
      <c r="E85" s="7" t="s">
        <v>36</v>
      </c>
      <c r="F85" s="7" t="s">
        <v>36</v>
      </c>
      <c r="G85" s="7" t="s">
        <v>37</v>
      </c>
      <c r="K85" s="7" t="s">
        <v>38</v>
      </c>
      <c r="L85" s="7" t="s">
        <v>39</v>
      </c>
      <c r="M85" s="7" t="s">
        <v>40</v>
      </c>
      <c r="N85" s="7" t="s">
        <v>41</v>
      </c>
      <c r="R85" s="7" t="s">
        <v>50</v>
      </c>
      <c r="S85" s="8">
        <v>42330.49</v>
      </c>
      <c r="U85" s="8">
        <v>42330.49</v>
      </c>
      <c r="V85" s="7" t="s">
        <v>56</v>
      </c>
      <c r="W85" s="7" t="s">
        <v>2619</v>
      </c>
      <c r="X85" s="7" t="s">
        <v>2618</v>
      </c>
      <c r="Y85" s="7" t="s">
        <v>1691</v>
      </c>
      <c r="AA85" s="7" t="s">
        <v>2617</v>
      </c>
      <c r="AB85" s="7">
        <v>10</v>
      </c>
      <c r="AC85" s="7" t="s">
        <v>51</v>
      </c>
      <c r="AD85" s="7" t="s">
        <v>358</v>
      </c>
      <c r="AF85" s="7" t="s">
        <v>44</v>
      </c>
      <c r="AH85" s="4">
        <v>44804.999988425923</v>
      </c>
    </row>
    <row r="86" spans="1:34" x14ac:dyDescent="0.3">
      <c r="A86" s="4">
        <v>44804</v>
      </c>
      <c r="B86" s="4">
        <v>44562</v>
      </c>
      <c r="C86" s="7" t="s">
        <v>35</v>
      </c>
      <c r="D86" s="7" t="s">
        <v>36</v>
      </c>
      <c r="E86" s="7" t="s">
        <v>36</v>
      </c>
      <c r="F86" s="7" t="s">
        <v>36</v>
      </c>
      <c r="G86" s="7" t="s">
        <v>37</v>
      </c>
      <c r="K86" s="7" t="s">
        <v>38</v>
      </c>
      <c r="L86" s="7" t="s">
        <v>39</v>
      </c>
      <c r="M86" s="7" t="s">
        <v>40</v>
      </c>
      <c r="N86" s="7" t="s">
        <v>41</v>
      </c>
      <c r="R86" s="7" t="s">
        <v>52</v>
      </c>
      <c r="T86" s="8">
        <v>42330.49</v>
      </c>
      <c r="U86" s="8">
        <v>-42330.49</v>
      </c>
      <c r="V86" s="7" t="s">
        <v>56</v>
      </c>
      <c r="W86" s="7" t="s">
        <v>2619</v>
      </c>
      <c r="X86" s="7" t="s">
        <v>2618</v>
      </c>
      <c r="Y86" s="7" t="s">
        <v>1691</v>
      </c>
      <c r="AA86" s="7" t="s">
        <v>2617</v>
      </c>
      <c r="AB86" s="7">
        <v>10</v>
      </c>
      <c r="AC86" s="7" t="s">
        <v>51</v>
      </c>
      <c r="AD86" s="7" t="s">
        <v>360</v>
      </c>
      <c r="AF86" s="7" t="s">
        <v>44</v>
      </c>
      <c r="AH86" s="4">
        <v>44804.999988425923</v>
      </c>
    </row>
    <row r="87" spans="1:34" x14ac:dyDescent="0.3">
      <c r="A87" s="4">
        <v>44804</v>
      </c>
      <c r="B87" s="4">
        <v>44804</v>
      </c>
      <c r="C87" s="7" t="s">
        <v>35</v>
      </c>
      <c r="D87" s="7" t="s">
        <v>36</v>
      </c>
      <c r="E87" s="7" t="s">
        <v>36</v>
      </c>
      <c r="F87" s="7" t="s">
        <v>36</v>
      </c>
      <c r="G87" s="7" t="s">
        <v>37</v>
      </c>
      <c r="K87" s="7" t="s">
        <v>38</v>
      </c>
      <c r="L87" s="7" t="s">
        <v>39</v>
      </c>
      <c r="M87" s="7" t="s">
        <v>40</v>
      </c>
      <c r="N87" s="7" t="s">
        <v>41</v>
      </c>
      <c r="R87" s="7" t="s">
        <v>45</v>
      </c>
      <c r="S87" s="8">
        <v>457908.46</v>
      </c>
      <c r="U87" s="8">
        <v>457908.46</v>
      </c>
      <c r="V87" s="7" t="s">
        <v>56</v>
      </c>
      <c r="W87" s="7" t="s">
        <v>2620</v>
      </c>
      <c r="X87" s="7" t="s">
        <v>2618</v>
      </c>
      <c r="Y87" s="7" t="s">
        <v>1691</v>
      </c>
      <c r="AA87" s="7" t="s">
        <v>2617</v>
      </c>
      <c r="AB87" s="7">
        <v>11</v>
      </c>
      <c r="AC87" s="7" t="s">
        <v>53</v>
      </c>
      <c r="AD87" s="7" t="s">
        <v>361</v>
      </c>
      <c r="AF87" s="7" t="s">
        <v>44</v>
      </c>
      <c r="AH87" s="4">
        <v>44804.999988425923</v>
      </c>
    </row>
    <row r="88" spans="1:34" x14ac:dyDescent="0.3">
      <c r="A88" s="4">
        <v>44804</v>
      </c>
      <c r="B88" s="4">
        <v>44804</v>
      </c>
      <c r="C88" s="7" t="s">
        <v>35</v>
      </c>
      <c r="D88" s="7" t="s">
        <v>36</v>
      </c>
      <c r="E88" s="7" t="s">
        <v>36</v>
      </c>
      <c r="F88" s="7" t="s">
        <v>36</v>
      </c>
      <c r="G88" s="7" t="s">
        <v>37</v>
      </c>
      <c r="K88" s="7" t="s">
        <v>38</v>
      </c>
      <c r="L88" s="7" t="s">
        <v>39</v>
      </c>
      <c r="M88" s="7" t="s">
        <v>40</v>
      </c>
      <c r="N88" s="7" t="s">
        <v>41</v>
      </c>
      <c r="R88" s="7" t="s">
        <v>54</v>
      </c>
      <c r="T88" s="8">
        <v>457908.46</v>
      </c>
      <c r="U88" s="8">
        <v>-457908.46</v>
      </c>
      <c r="V88" s="7" t="s">
        <v>56</v>
      </c>
      <c r="W88" s="7" t="s">
        <v>2620</v>
      </c>
      <c r="X88" s="7" t="s">
        <v>2618</v>
      </c>
      <c r="Y88" s="7" t="s">
        <v>1691</v>
      </c>
      <c r="AA88" s="7" t="s">
        <v>2617</v>
      </c>
      <c r="AB88" s="7">
        <v>11</v>
      </c>
      <c r="AC88" s="7" t="s">
        <v>53</v>
      </c>
      <c r="AD88" s="7" t="s">
        <v>363</v>
      </c>
      <c r="AF88" s="7" t="s">
        <v>44</v>
      </c>
      <c r="AH88" s="4">
        <v>44804.999988425923</v>
      </c>
    </row>
    <row r="89" spans="1:34" x14ac:dyDescent="0.3">
      <c r="A89" s="4">
        <v>44805</v>
      </c>
      <c r="B89" s="4">
        <v>44805</v>
      </c>
      <c r="C89" s="7" t="s">
        <v>35</v>
      </c>
      <c r="D89" s="7" t="s">
        <v>36</v>
      </c>
      <c r="E89" s="7" t="s">
        <v>36</v>
      </c>
      <c r="F89" s="7" t="s">
        <v>36</v>
      </c>
      <c r="G89" s="7" t="s">
        <v>37</v>
      </c>
      <c r="K89" s="7" t="s">
        <v>38</v>
      </c>
      <c r="L89" s="7" t="s">
        <v>39</v>
      </c>
      <c r="M89" s="7" t="s">
        <v>40</v>
      </c>
      <c r="N89" s="7" t="s">
        <v>41</v>
      </c>
      <c r="R89" s="7" t="s">
        <v>54</v>
      </c>
      <c r="S89" s="8">
        <v>457908.46</v>
      </c>
      <c r="U89" s="8">
        <v>457908.46</v>
      </c>
      <c r="V89" s="7" t="s">
        <v>56</v>
      </c>
      <c r="W89" s="7" t="s">
        <v>2620</v>
      </c>
      <c r="X89" s="7" t="s">
        <v>2618</v>
      </c>
      <c r="Y89" s="7" t="s">
        <v>1691</v>
      </c>
      <c r="AA89" s="7" t="s">
        <v>2617</v>
      </c>
      <c r="AB89" s="7">
        <v>11</v>
      </c>
      <c r="AC89" s="7" t="s">
        <v>55</v>
      </c>
      <c r="AD89" s="7" t="s">
        <v>365</v>
      </c>
      <c r="AF89" s="7" t="s">
        <v>44</v>
      </c>
      <c r="AH89" s="4">
        <v>44834.999988425923</v>
      </c>
    </row>
    <row r="90" spans="1:34" x14ac:dyDescent="0.3">
      <c r="A90" s="4">
        <v>44805</v>
      </c>
      <c r="B90" s="4">
        <v>44805</v>
      </c>
      <c r="C90" s="7" t="s">
        <v>35</v>
      </c>
      <c r="D90" s="7" t="s">
        <v>36</v>
      </c>
      <c r="E90" s="7" t="s">
        <v>36</v>
      </c>
      <c r="F90" s="7" t="s">
        <v>36</v>
      </c>
      <c r="G90" s="7" t="s">
        <v>37</v>
      </c>
      <c r="K90" s="7" t="s">
        <v>38</v>
      </c>
      <c r="L90" s="7" t="s">
        <v>39</v>
      </c>
      <c r="M90" s="7" t="s">
        <v>40</v>
      </c>
      <c r="N90" s="7" t="s">
        <v>41</v>
      </c>
      <c r="R90" s="7" t="s">
        <v>45</v>
      </c>
      <c r="T90" s="8">
        <v>457908.46</v>
      </c>
      <c r="U90" s="8">
        <v>-457908.46</v>
      </c>
      <c r="V90" s="7" t="s">
        <v>56</v>
      </c>
      <c r="W90" s="7" t="s">
        <v>2620</v>
      </c>
      <c r="X90" s="7" t="s">
        <v>2618</v>
      </c>
      <c r="Y90" s="7" t="s">
        <v>1691</v>
      </c>
      <c r="AA90" s="7" t="s">
        <v>2617</v>
      </c>
      <c r="AB90" s="7">
        <v>11</v>
      </c>
      <c r="AC90" s="7" t="s">
        <v>55</v>
      </c>
      <c r="AD90" s="7" t="s">
        <v>367</v>
      </c>
      <c r="AF90" s="7" t="s">
        <v>44</v>
      </c>
      <c r="AH90" s="4">
        <v>44834.999988425923</v>
      </c>
    </row>
    <row r="91" spans="1:34" x14ac:dyDescent="0.3">
      <c r="A91" s="4">
        <v>44805</v>
      </c>
      <c r="B91" s="4">
        <v>44834</v>
      </c>
      <c r="C91" s="7" t="s">
        <v>46</v>
      </c>
      <c r="D91" s="7" t="s">
        <v>36</v>
      </c>
      <c r="E91" s="7" t="s">
        <v>36</v>
      </c>
      <c r="F91" s="7" t="s">
        <v>36</v>
      </c>
      <c r="G91" s="7" t="s">
        <v>37</v>
      </c>
      <c r="K91" s="7" t="s">
        <v>38</v>
      </c>
      <c r="L91" s="7" t="s">
        <v>39</v>
      </c>
      <c r="M91" s="7" t="s">
        <v>38</v>
      </c>
      <c r="N91" s="7" t="s">
        <v>41</v>
      </c>
      <c r="R91" s="7" t="s">
        <v>49</v>
      </c>
      <c r="S91" s="8">
        <v>13049.803377</v>
      </c>
      <c r="U91" s="8">
        <v>13049.803377</v>
      </c>
      <c r="V91" s="7" t="s">
        <v>56</v>
      </c>
      <c r="W91" s="7" t="s">
        <v>57</v>
      </c>
      <c r="X91" s="7" t="s">
        <v>2618</v>
      </c>
      <c r="Y91" s="7" t="s">
        <v>1691</v>
      </c>
      <c r="AA91" s="7" t="s">
        <v>2617</v>
      </c>
      <c r="AB91" s="7">
        <v>12</v>
      </c>
      <c r="AC91" s="7" t="s">
        <v>57</v>
      </c>
      <c r="AD91" s="7" t="s">
        <v>368</v>
      </c>
      <c r="AF91" s="7" t="s">
        <v>44</v>
      </c>
      <c r="AH91" s="4">
        <v>44834.999988425923</v>
      </c>
    </row>
    <row r="92" spans="1:34" x14ac:dyDescent="0.3">
      <c r="A92" s="4">
        <v>44805</v>
      </c>
      <c r="B92" s="4">
        <v>44834</v>
      </c>
      <c r="C92" s="7" t="s">
        <v>46</v>
      </c>
      <c r="D92" s="7" t="s">
        <v>36</v>
      </c>
      <c r="E92" s="7" t="s">
        <v>36</v>
      </c>
      <c r="F92" s="7" t="s">
        <v>36</v>
      </c>
      <c r="G92" s="7" t="s">
        <v>37</v>
      </c>
      <c r="K92" s="7" t="s">
        <v>38</v>
      </c>
      <c r="L92" s="7" t="s">
        <v>39</v>
      </c>
      <c r="M92" s="7" t="s">
        <v>40</v>
      </c>
      <c r="N92" s="7" t="s">
        <v>41</v>
      </c>
      <c r="R92" s="7" t="s">
        <v>45</v>
      </c>
      <c r="S92" s="8">
        <v>36950.196623000003</v>
      </c>
      <c r="U92" s="8">
        <v>36950.196623000003</v>
      </c>
      <c r="V92" s="7" t="s">
        <v>56</v>
      </c>
      <c r="W92" s="7" t="s">
        <v>57</v>
      </c>
      <c r="X92" s="7" t="s">
        <v>2618</v>
      </c>
      <c r="Y92" s="7" t="s">
        <v>1691</v>
      </c>
      <c r="AA92" s="7" t="s">
        <v>2617</v>
      </c>
      <c r="AB92" s="7">
        <v>12</v>
      </c>
      <c r="AC92" s="7" t="s">
        <v>57</v>
      </c>
      <c r="AD92" s="7" t="s">
        <v>370</v>
      </c>
      <c r="AF92" s="7" t="s">
        <v>44</v>
      </c>
      <c r="AH92" s="4">
        <v>44834.999988425923</v>
      </c>
    </row>
    <row r="93" spans="1:34" x14ac:dyDescent="0.3">
      <c r="A93" s="4">
        <v>44805</v>
      </c>
      <c r="B93" s="4">
        <v>44834</v>
      </c>
      <c r="C93" s="7" t="s">
        <v>46</v>
      </c>
      <c r="D93" s="7" t="s">
        <v>36</v>
      </c>
      <c r="E93" s="7" t="s">
        <v>36</v>
      </c>
      <c r="F93" s="7" t="s">
        <v>36</v>
      </c>
      <c r="G93" s="7" t="s">
        <v>37</v>
      </c>
      <c r="K93" s="7" t="s">
        <v>38</v>
      </c>
      <c r="L93" s="7" t="s">
        <v>39</v>
      </c>
      <c r="M93" s="7" t="s">
        <v>40</v>
      </c>
      <c r="N93" s="7" t="s">
        <v>41</v>
      </c>
      <c r="R93" s="7" t="s">
        <v>58</v>
      </c>
      <c r="T93" s="8">
        <v>50000</v>
      </c>
      <c r="U93" s="8">
        <v>-50000</v>
      </c>
      <c r="V93" s="7" t="s">
        <v>56</v>
      </c>
      <c r="W93" s="7" t="s">
        <v>57</v>
      </c>
      <c r="X93" s="7" t="s">
        <v>2618</v>
      </c>
      <c r="Y93" s="7" t="s">
        <v>1691</v>
      </c>
      <c r="AA93" s="7" t="s">
        <v>2617</v>
      </c>
      <c r="AB93" s="7">
        <v>12</v>
      </c>
      <c r="AC93" s="7" t="s">
        <v>57</v>
      </c>
      <c r="AD93" s="7" t="s">
        <v>371</v>
      </c>
      <c r="AF93" s="7" t="s">
        <v>44</v>
      </c>
      <c r="AH93" s="4">
        <v>44834.999988425923</v>
      </c>
    </row>
    <row r="94" spans="1:34" x14ac:dyDescent="0.3">
      <c r="A94" s="4">
        <v>44834</v>
      </c>
      <c r="B94" s="4">
        <v>44834</v>
      </c>
      <c r="C94" s="7" t="s">
        <v>46</v>
      </c>
      <c r="D94" s="7" t="s">
        <v>36</v>
      </c>
      <c r="E94" s="7" t="s">
        <v>36</v>
      </c>
      <c r="F94" s="7" t="s">
        <v>36</v>
      </c>
      <c r="G94" s="7" t="s">
        <v>37</v>
      </c>
      <c r="K94" s="7" t="s">
        <v>38</v>
      </c>
      <c r="L94" s="7" t="s">
        <v>39</v>
      </c>
      <c r="M94" s="7" t="s">
        <v>40</v>
      </c>
      <c r="N94" s="7" t="s">
        <v>41</v>
      </c>
      <c r="R94" s="7" t="s">
        <v>47</v>
      </c>
      <c r="S94" s="8">
        <v>12834.260563</v>
      </c>
      <c r="U94" s="8">
        <v>12834.260563</v>
      </c>
      <c r="V94" s="7" t="s">
        <v>56</v>
      </c>
      <c r="W94" s="7" t="s">
        <v>2621</v>
      </c>
      <c r="X94" s="7" t="s">
        <v>2618</v>
      </c>
      <c r="Y94" s="7" t="s">
        <v>1691</v>
      </c>
      <c r="AA94" s="7" t="s">
        <v>2617</v>
      </c>
      <c r="AB94" s="7">
        <v>8</v>
      </c>
      <c r="AC94" s="7" t="s">
        <v>48</v>
      </c>
      <c r="AD94" s="7" t="s">
        <v>373</v>
      </c>
      <c r="AF94" s="7" t="s">
        <v>44</v>
      </c>
      <c r="AH94" s="4">
        <v>44834.999988425923</v>
      </c>
    </row>
    <row r="95" spans="1:34" x14ac:dyDescent="0.3">
      <c r="A95" s="4">
        <v>44834</v>
      </c>
      <c r="B95" s="4">
        <v>44834</v>
      </c>
      <c r="C95" s="7" t="s">
        <v>46</v>
      </c>
      <c r="D95" s="7" t="s">
        <v>36</v>
      </c>
      <c r="E95" s="7" t="s">
        <v>36</v>
      </c>
      <c r="F95" s="7" t="s">
        <v>36</v>
      </c>
      <c r="G95" s="7" t="s">
        <v>37</v>
      </c>
      <c r="K95" s="7" t="s">
        <v>38</v>
      </c>
      <c r="L95" s="7" t="s">
        <v>39</v>
      </c>
      <c r="M95" s="7" t="s">
        <v>38</v>
      </c>
      <c r="N95" s="7" t="s">
        <v>41</v>
      </c>
      <c r="R95" s="7" t="s">
        <v>49</v>
      </c>
      <c r="T95" s="8">
        <v>12834.260563</v>
      </c>
      <c r="U95" s="8">
        <v>-12834.260563</v>
      </c>
      <c r="V95" s="7" t="s">
        <v>56</v>
      </c>
      <c r="W95" s="7" t="s">
        <v>2621</v>
      </c>
      <c r="X95" s="7" t="s">
        <v>2618</v>
      </c>
      <c r="Y95" s="7" t="s">
        <v>1691</v>
      </c>
      <c r="AA95" s="7" t="s">
        <v>2617</v>
      </c>
      <c r="AB95" s="7">
        <v>8</v>
      </c>
      <c r="AC95" s="7" t="s">
        <v>48</v>
      </c>
      <c r="AD95" s="7" t="s">
        <v>375</v>
      </c>
      <c r="AF95" s="7" t="s">
        <v>44</v>
      </c>
      <c r="AH95" s="4">
        <v>44834.999988425923</v>
      </c>
    </row>
    <row r="96" spans="1:34" x14ac:dyDescent="0.3">
      <c r="A96" s="4">
        <v>44834</v>
      </c>
      <c r="B96" s="4">
        <v>44562</v>
      </c>
      <c r="C96" s="7" t="s">
        <v>35</v>
      </c>
      <c r="D96" s="7" t="s">
        <v>36</v>
      </c>
      <c r="E96" s="7" t="s">
        <v>36</v>
      </c>
      <c r="F96" s="7" t="s">
        <v>36</v>
      </c>
      <c r="G96" s="7" t="s">
        <v>37</v>
      </c>
      <c r="K96" s="7" t="s">
        <v>38</v>
      </c>
      <c r="L96" s="7" t="s">
        <v>39</v>
      </c>
      <c r="M96" s="7" t="s">
        <v>40</v>
      </c>
      <c r="N96" s="7" t="s">
        <v>41</v>
      </c>
      <c r="R96" s="7" t="s">
        <v>50</v>
      </c>
      <c r="S96" s="8">
        <v>42330.49</v>
      </c>
      <c r="U96" s="8">
        <v>42330.49</v>
      </c>
      <c r="V96" s="7" t="s">
        <v>56</v>
      </c>
      <c r="W96" s="7" t="s">
        <v>2619</v>
      </c>
      <c r="X96" s="7" t="s">
        <v>2618</v>
      </c>
      <c r="Y96" s="7" t="s">
        <v>1691</v>
      </c>
      <c r="AA96" s="7" t="s">
        <v>2617</v>
      </c>
      <c r="AB96" s="7">
        <v>10</v>
      </c>
      <c r="AC96" s="7" t="s">
        <v>51</v>
      </c>
      <c r="AD96" s="7" t="s">
        <v>376</v>
      </c>
      <c r="AF96" s="7" t="s">
        <v>44</v>
      </c>
      <c r="AH96" s="4">
        <v>44834.999988425923</v>
      </c>
    </row>
    <row r="97" spans="1:34" x14ac:dyDescent="0.3">
      <c r="A97" s="4">
        <v>44834</v>
      </c>
      <c r="B97" s="4">
        <v>44562</v>
      </c>
      <c r="C97" s="7" t="s">
        <v>35</v>
      </c>
      <c r="D97" s="7" t="s">
        <v>36</v>
      </c>
      <c r="E97" s="7" t="s">
        <v>36</v>
      </c>
      <c r="F97" s="7" t="s">
        <v>36</v>
      </c>
      <c r="G97" s="7" t="s">
        <v>37</v>
      </c>
      <c r="K97" s="7" t="s">
        <v>38</v>
      </c>
      <c r="L97" s="7" t="s">
        <v>39</v>
      </c>
      <c r="M97" s="7" t="s">
        <v>40</v>
      </c>
      <c r="N97" s="7" t="s">
        <v>41</v>
      </c>
      <c r="R97" s="7" t="s">
        <v>52</v>
      </c>
      <c r="T97" s="8">
        <v>42330.49</v>
      </c>
      <c r="U97" s="8">
        <v>-42330.49</v>
      </c>
      <c r="V97" s="7" t="s">
        <v>56</v>
      </c>
      <c r="W97" s="7" t="s">
        <v>2619</v>
      </c>
      <c r="X97" s="7" t="s">
        <v>2618</v>
      </c>
      <c r="Y97" s="7" t="s">
        <v>1691</v>
      </c>
      <c r="AA97" s="7" t="s">
        <v>2617</v>
      </c>
      <c r="AB97" s="7">
        <v>10</v>
      </c>
      <c r="AC97" s="7" t="s">
        <v>51</v>
      </c>
      <c r="AD97" s="7" t="s">
        <v>378</v>
      </c>
      <c r="AF97" s="7" t="s">
        <v>44</v>
      </c>
      <c r="AH97" s="4">
        <v>44834.999988425923</v>
      </c>
    </row>
    <row r="98" spans="1:34" x14ac:dyDescent="0.3">
      <c r="A98" s="4">
        <v>44834</v>
      </c>
      <c r="B98" s="4">
        <v>44834</v>
      </c>
      <c r="C98" s="7" t="s">
        <v>35</v>
      </c>
      <c r="D98" s="7" t="s">
        <v>36</v>
      </c>
      <c r="E98" s="7" t="s">
        <v>36</v>
      </c>
      <c r="F98" s="7" t="s">
        <v>36</v>
      </c>
      <c r="G98" s="7" t="s">
        <v>37</v>
      </c>
      <c r="K98" s="7" t="s">
        <v>38</v>
      </c>
      <c r="L98" s="7" t="s">
        <v>39</v>
      </c>
      <c r="M98" s="7" t="s">
        <v>40</v>
      </c>
      <c r="N98" s="7" t="s">
        <v>41</v>
      </c>
      <c r="R98" s="7" t="s">
        <v>45</v>
      </c>
      <c r="S98" s="8">
        <v>460579.59</v>
      </c>
      <c r="U98" s="8">
        <v>460579.59</v>
      </c>
      <c r="V98" s="7" t="s">
        <v>56</v>
      </c>
      <c r="W98" s="7" t="s">
        <v>2620</v>
      </c>
      <c r="X98" s="7" t="s">
        <v>2618</v>
      </c>
      <c r="Y98" s="7" t="s">
        <v>1691</v>
      </c>
      <c r="AA98" s="7" t="s">
        <v>2617</v>
      </c>
      <c r="AB98" s="7">
        <v>11</v>
      </c>
      <c r="AC98" s="7" t="s">
        <v>53</v>
      </c>
      <c r="AD98" s="7" t="s">
        <v>379</v>
      </c>
      <c r="AF98" s="7" t="s">
        <v>44</v>
      </c>
      <c r="AH98" s="4">
        <v>44834.999988425923</v>
      </c>
    </row>
    <row r="99" spans="1:34" x14ac:dyDescent="0.3">
      <c r="A99" s="4">
        <v>44834</v>
      </c>
      <c r="B99" s="4">
        <v>44834</v>
      </c>
      <c r="C99" s="7" t="s">
        <v>35</v>
      </c>
      <c r="D99" s="7" t="s">
        <v>36</v>
      </c>
      <c r="E99" s="7" t="s">
        <v>36</v>
      </c>
      <c r="F99" s="7" t="s">
        <v>36</v>
      </c>
      <c r="G99" s="7" t="s">
        <v>37</v>
      </c>
      <c r="K99" s="7" t="s">
        <v>38</v>
      </c>
      <c r="L99" s="7" t="s">
        <v>39</v>
      </c>
      <c r="M99" s="7" t="s">
        <v>40</v>
      </c>
      <c r="N99" s="7" t="s">
        <v>41</v>
      </c>
      <c r="R99" s="7" t="s">
        <v>54</v>
      </c>
      <c r="T99" s="8">
        <v>460579.59</v>
      </c>
      <c r="U99" s="8">
        <v>-460579.59</v>
      </c>
      <c r="V99" s="7" t="s">
        <v>56</v>
      </c>
      <c r="W99" s="7" t="s">
        <v>2620</v>
      </c>
      <c r="X99" s="7" t="s">
        <v>2618</v>
      </c>
      <c r="Y99" s="7" t="s">
        <v>1691</v>
      </c>
      <c r="AA99" s="7" t="s">
        <v>2617</v>
      </c>
      <c r="AB99" s="7">
        <v>11</v>
      </c>
      <c r="AC99" s="7" t="s">
        <v>53</v>
      </c>
      <c r="AD99" s="7" t="s">
        <v>381</v>
      </c>
      <c r="AF99" s="7" t="s">
        <v>44</v>
      </c>
      <c r="AH99" s="4">
        <v>44834.999988425923</v>
      </c>
    </row>
    <row r="100" spans="1:34" x14ac:dyDescent="0.3">
      <c r="A100" s="4">
        <v>44835</v>
      </c>
      <c r="B100" s="4">
        <v>44835</v>
      </c>
      <c r="C100" s="7" t="s">
        <v>35</v>
      </c>
      <c r="D100" s="7" t="s">
        <v>36</v>
      </c>
      <c r="E100" s="7" t="s">
        <v>36</v>
      </c>
      <c r="F100" s="7" t="s">
        <v>36</v>
      </c>
      <c r="G100" s="7" t="s">
        <v>37</v>
      </c>
      <c r="K100" s="7" t="s">
        <v>38</v>
      </c>
      <c r="L100" s="7" t="s">
        <v>39</v>
      </c>
      <c r="M100" s="7" t="s">
        <v>40</v>
      </c>
      <c r="N100" s="7" t="s">
        <v>41</v>
      </c>
      <c r="R100" s="7" t="s">
        <v>54</v>
      </c>
      <c r="S100" s="8">
        <v>460579.59</v>
      </c>
      <c r="U100" s="8">
        <v>460579.59</v>
      </c>
      <c r="V100" s="7" t="s">
        <v>56</v>
      </c>
      <c r="W100" s="7" t="s">
        <v>2620</v>
      </c>
      <c r="X100" s="7" t="s">
        <v>2618</v>
      </c>
      <c r="Y100" s="7" t="s">
        <v>1691</v>
      </c>
      <c r="AA100" s="7" t="s">
        <v>2617</v>
      </c>
      <c r="AB100" s="7">
        <v>11</v>
      </c>
      <c r="AC100" s="7" t="s">
        <v>55</v>
      </c>
      <c r="AD100" s="7" t="s">
        <v>382</v>
      </c>
      <c r="AF100" s="7" t="s">
        <v>44</v>
      </c>
      <c r="AH100" s="4">
        <v>44865.999988425923</v>
      </c>
    </row>
    <row r="101" spans="1:34" x14ac:dyDescent="0.3">
      <c r="A101" s="4">
        <v>44835</v>
      </c>
      <c r="B101" s="4">
        <v>44835</v>
      </c>
      <c r="C101" s="7" t="s">
        <v>35</v>
      </c>
      <c r="D101" s="7" t="s">
        <v>36</v>
      </c>
      <c r="E101" s="7" t="s">
        <v>36</v>
      </c>
      <c r="F101" s="7" t="s">
        <v>36</v>
      </c>
      <c r="G101" s="7" t="s">
        <v>37</v>
      </c>
      <c r="K101" s="7" t="s">
        <v>38</v>
      </c>
      <c r="L101" s="7" t="s">
        <v>39</v>
      </c>
      <c r="M101" s="7" t="s">
        <v>40</v>
      </c>
      <c r="N101" s="7" t="s">
        <v>41</v>
      </c>
      <c r="R101" s="7" t="s">
        <v>45</v>
      </c>
      <c r="T101" s="8">
        <v>460579.59</v>
      </c>
      <c r="U101" s="8">
        <v>-460579.59</v>
      </c>
      <c r="V101" s="7" t="s">
        <v>56</v>
      </c>
      <c r="W101" s="7" t="s">
        <v>2620</v>
      </c>
      <c r="X101" s="7" t="s">
        <v>2618</v>
      </c>
      <c r="Y101" s="7" t="s">
        <v>1691</v>
      </c>
      <c r="AA101" s="7" t="s">
        <v>2617</v>
      </c>
      <c r="AB101" s="7">
        <v>11</v>
      </c>
      <c r="AC101" s="7" t="s">
        <v>55</v>
      </c>
      <c r="AD101" s="7" t="s">
        <v>384</v>
      </c>
      <c r="AF101" s="7" t="s">
        <v>44</v>
      </c>
      <c r="AH101" s="4">
        <v>44865.999988425923</v>
      </c>
    </row>
    <row r="102" spans="1:34" x14ac:dyDescent="0.3">
      <c r="A102" s="4">
        <v>44835</v>
      </c>
      <c r="B102" s="4">
        <v>44865</v>
      </c>
      <c r="C102" s="7" t="s">
        <v>46</v>
      </c>
      <c r="D102" s="7" t="s">
        <v>36</v>
      </c>
      <c r="E102" s="7" t="s">
        <v>36</v>
      </c>
      <c r="F102" s="7" t="s">
        <v>36</v>
      </c>
      <c r="G102" s="7" t="s">
        <v>37</v>
      </c>
      <c r="K102" s="7" t="s">
        <v>38</v>
      </c>
      <c r="L102" s="7" t="s">
        <v>39</v>
      </c>
      <c r="M102" s="7" t="s">
        <v>38</v>
      </c>
      <c r="N102" s="7" t="s">
        <v>41</v>
      </c>
      <c r="R102" s="7" t="s">
        <v>49</v>
      </c>
      <c r="S102" s="8">
        <v>12834.260563</v>
      </c>
      <c r="U102" s="8">
        <v>12834.260563</v>
      </c>
      <c r="V102" s="7" t="s">
        <v>56</v>
      </c>
      <c r="W102" s="7" t="s">
        <v>57</v>
      </c>
      <c r="X102" s="7" t="s">
        <v>2618</v>
      </c>
      <c r="Y102" s="7" t="s">
        <v>1691</v>
      </c>
      <c r="AA102" s="7" t="s">
        <v>2617</v>
      </c>
      <c r="AB102" s="7">
        <v>12</v>
      </c>
      <c r="AC102" s="7" t="s">
        <v>57</v>
      </c>
      <c r="AD102" s="7" t="s">
        <v>385</v>
      </c>
      <c r="AF102" s="7" t="s">
        <v>44</v>
      </c>
      <c r="AH102" s="4">
        <v>44865.999988425923</v>
      </c>
    </row>
    <row r="103" spans="1:34" x14ac:dyDescent="0.3">
      <c r="A103" s="4">
        <v>44835</v>
      </c>
      <c r="B103" s="4">
        <v>44865</v>
      </c>
      <c r="C103" s="7" t="s">
        <v>46</v>
      </c>
      <c r="D103" s="7" t="s">
        <v>36</v>
      </c>
      <c r="E103" s="7" t="s">
        <v>36</v>
      </c>
      <c r="F103" s="7" t="s">
        <v>36</v>
      </c>
      <c r="G103" s="7" t="s">
        <v>37</v>
      </c>
      <c r="K103" s="7" t="s">
        <v>38</v>
      </c>
      <c r="L103" s="7" t="s">
        <v>39</v>
      </c>
      <c r="M103" s="7" t="s">
        <v>40</v>
      </c>
      <c r="N103" s="7" t="s">
        <v>41</v>
      </c>
      <c r="R103" s="7" t="s">
        <v>45</v>
      </c>
      <c r="S103" s="8">
        <v>37165.739436999997</v>
      </c>
      <c r="U103" s="8">
        <v>37165.739436999997</v>
      </c>
      <c r="V103" s="7" t="s">
        <v>56</v>
      </c>
      <c r="W103" s="7" t="s">
        <v>57</v>
      </c>
      <c r="X103" s="7" t="s">
        <v>2618</v>
      </c>
      <c r="Y103" s="7" t="s">
        <v>1691</v>
      </c>
      <c r="AA103" s="7" t="s">
        <v>2617</v>
      </c>
      <c r="AB103" s="7">
        <v>12</v>
      </c>
      <c r="AC103" s="7" t="s">
        <v>57</v>
      </c>
      <c r="AD103" s="7" t="s">
        <v>387</v>
      </c>
      <c r="AF103" s="7" t="s">
        <v>44</v>
      </c>
      <c r="AH103" s="4">
        <v>44865.999988425923</v>
      </c>
    </row>
    <row r="104" spans="1:34" x14ac:dyDescent="0.3">
      <c r="A104" s="4">
        <v>44835</v>
      </c>
      <c r="B104" s="4">
        <v>44865</v>
      </c>
      <c r="C104" s="7" t="s">
        <v>46</v>
      </c>
      <c r="D104" s="7" t="s">
        <v>36</v>
      </c>
      <c r="E104" s="7" t="s">
        <v>36</v>
      </c>
      <c r="F104" s="7" t="s">
        <v>36</v>
      </c>
      <c r="G104" s="7" t="s">
        <v>37</v>
      </c>
      <c r="K104" s="7" t="s">
        <v>38</v>
      </c>
      <c r="L104" s="7" t="s">
        <v>39</v>
      </c>
      <c r="M104" s="7" t="s">
        <v>40</v>
      </c>
      <c r="N104" s="7" t="s">
        <v>41</v>
      </c>
      <c r="R104" s="7" t="s">
        <v>58</v>
      </c>
      <c r="T104" s="8">
        <v>50000</v>
      </c>
      <c r="U104" s="8">
        <v>-50000</v>
      </c>
      <c r="V104" s="7" t="s">
        <v>56</v>
      </c>
      <c r="W104" s="7" t="s">
        <v>57</v>
      </c>
      <c r="X104" s="7" t="s">
        <v>2618</v>
      </c>
      <c r="Y104" s="7" t="s">
        <v>1691</v>
      </c>
      <c r="AA104" s="7" t="s">
        <v>2617</v>
      </c>
      <c r="AB104" s="7">
        <v>12</v>
      </c>
      <c r="AC104" s="7" t="s">
        <v>57</v>
      </c>
      <c r="AD104" s="7" t="s">
        <v>388</v>
      </c>
      <c r="AF104" s="7" t="s">
        <v>44</v>
      </c>
      <c r="AH104" s="4">
        <v>44865.999988425923</v>
      </c>
    </row>
    <row r="105" spans="1:34" x14ac:dyDescent="0.3">
      <c r="A105" s="4">
        <v>44865</v>
      </c>
      <c r="B105" s="4">
        <v>44865</v>
      </c>
      <c r="C105" s="7" t="s">
        <v>46</v>
      </c>
      <c r="D105" s="7" t="s">
        <v>36</v>
      </c>
      <c r="E105" s="7" t="s">
        <v>36</v>
      </c>
      <c r="F105" s="7" t="s">
        <v>36</v>
      </c>
      <c r="G105" s="7" t="s">
        <v>37</v>
      </c>
      <c r="K105" s="7" t="s">
        <v>38</v>
      </c>
      <c r="L105" s="7" t="s">
        <v>39</v>
      </c>
      <c r="M105" s="7" t="s">
        <v>40</v>
      </c>
      <c r="N105" s="7" t="s">
        <v>41</v>
      </c>
      <c r="R105" s="7" t="s">
        <v>47</v>
      </c>
      <c r="S105" s="8">
        <v>12617.460416</v>
      </c>
      <c r="U105" s="8">
        <v>12617.460416</v>
      </c>
      <c r="V105" s="7" t="s">
        <v>56</v>
      </c>
      <c r="W105" s="7" t="s">
        <v>2621</v>
      </c>
      <c r="X105" s="7" t="s">
        <v>2618</v>
      </c>
      <c r="Y105" s="7" t="s">
        <v>1691</v>
      </c>
      <c r="AA105" s="7" t="s">
        <v>2617</v>
      </c>
      <c r="AB105" s="7">
        <v>8</v>
      </c>
      <c r="AC105" s="7" t="s">
        <v>48</v>
      </c>
      <c r="AD105" s="7" t="s">
        <v>389</v>
      </c>
      <c r="AF105" s="7" t="s">
        <v>44</v>
      </c>
      <c r="AH105" s="4">
        <v>44865.999988425923</v>
      </c>
    </row>
    <row r="106" spans="1:34" x14ac:dyDescent="0.3">
      <c r="A106" s="4">
        <v>44865</v>
      </c>
      <c r="B106" s="4">
        <v>44865</v>
      </c>
      <c r="C106" s="7" t="s">
        <v>46</v>
      </c>
      <c r="D106" s="7" t="s">
        <v>36</v>
      </c>
      <c r="E106" s="7" t="s">
        <v>36</v>
      </c>
      <c r="F106" s="7" t="s">
        <v>36</v>
      </c>
      <c r="G106" s="7" t="s">
        <v>37</v>
      </c>
      <c r="K106" s="7" t="s">
        <v>38</v>
      </c>
      <c r="L106" s="7" t="s">
        <v>39</v>
      </c>
      <c r="M106" s="7" t="s">
        <v>38</v>
      </c>
      <c r="N106" s="7" t="s">
        <v>41</v>
      </c>
      <c r="R106" s="7" t="s">
        <v>49</v>
      </c>
      <c r="T106" s="8">
        <v>12617.460416</v>
      </c>
      <c r="U106" s="8">
        <v>-12617.460416</v>
      </c>
      <c r="V106" s="7" t="s">
        <v>56</v>
      </c>
      <c r="W106" s="7" t="s">
        <v>2621</v>
      </c>
      <c r="X106" s="7" t="s">
        <v>2618</v>
      </c>
      <c r="Y106" s="7" t="s">
        <v>1691</v>
      </c>
      <c r="AA106" s="7" t="s">
        <v>2617</v>
      </c>
      <c r="AB106" s="7">
        <v>8</v>
      </c>
      <c r="AC106" s="7" t="s">
        <v>48</v>
      </c>
      <c r="AD106" s="7" t="s">
        <v>391</v>
      </c>
      <c r="AF106" s="7" t="s">
        <v>44</v>
      </c>
      <c r="AH106" s="4">
        <v>44865.999988425923</v>
      </c>
    </row>
    <row r="107" spans="1:34" x14ac:dyDescent="0.3">
      <c r="A107" s="4">
        <v>44865</v>
      </c>
      <c r="B107" s="4">
        <v>44562</v>
      </c>
      <c r="C107" s="7" t="s">
        <v>35</v>
      </c>
      <c r="D107" s="7" t="s">
        <v>36</v>
      </c>
      <c r="E107" s="7" t="s">
        <v>36</v>
      </c>
      <c r="F107" s="7" t="s">
        <v>36</v>
      </c>
      <c r="G107" s="7" t="s">
        <v>37</v>
      </c>
      <c r="K107" s="7" t="s">
        <v>38</v>
      </c>
      <c r="L107" s="7" t="s">
        <v>39</v>
      </c>
      <c r="M107" s="7" t="s">
        <v>40</v>
      </c>
      <c r="N107" s="7" t="s">
        <v>41</v>
      </c>
      <c r="R107" s="7" t="s">
        <v>50</v>
      </c>
      <c r="S107" s="8">
        <v>42330.49</v>
      </c>
      <c r="U107" s="8">
        <v>42330.49</v>
      </c>
      <c r="V107" s="7" t="s">
        <v>56</v>
      </c>
      <c r="W107" s="7" t="s">
        <v>2619</v>
      </c>
      <c r="X107" s="7" t="s">
        <v>2618</v>
      </c>
      <c r="Y107" s="7" t="s">
        <v>1691</v>
      </c>
      <c r="AA107" s="7" t="s">
        <v>2617</v>
      </c>
      <c r="AB107" s="7">
        <v>10</v>
      </c>
      <c r="AC107" s="7" t="s">
        <v>51</v>
      </c>
      <c r="AD107" s="7" t="s">
        <v>392</v>
      </c>
      <c r="AF107" s="7" t="s">
        <v>44</v>
      </c>
      <c r="AH107" s="4">
        <v>44865.999988425923</v>
      </c>
    </row>
    <row r="108" spans="1:34" x14ac:dyDescent="0.3">
      <c r="A108" s="4">
        <v>44865</v>
      </c>
      <c r="B108" s="4">
        <v>44562</v>
      </c>
      <c r="C108" s="7" t="s">
        <v>35</v>
      </c>
      <c r="D108" s="7" t="s">
        <v>36</v>
      </c>
      <c r="E108" s="7" t="s">
        <v>36</v>
      </c>
      <c r="F108" s="7" t="s">
        <v>36</v>
      </c>
      <c r="G108" s="7" t="s">
        <v>37</v>
      </c>
      <c r="K108" s="7" t="s">
        <v>38</v>
      </c>
      <c r="L108" s="7" t="s">
        <v>39</v>
      </c>
      <c r="M108" s="7" t="s">
        <v>40</v>
      </c>
      <c r="N108" s="7" t="s">
        <v>41</v>
      </c>
      <c r="R108" s="7" t="s">
        <v>52</v>
      </c>
      <c r="T108" s="8">
        <v>42330.49</v>
      </c>
      <c r="U108" s="8">
        <v>-42330.49</v>
      </c>
      <c r="V108" s="7" t="s">
        <v>56</v>
      </c>
      <c r="W108" s="7" t="s">
        <v>2619</v>
      </c>
      <c r="X108" s="7" t="s">
        <v>2618</v>
      </c>
      <c r="Y108" s="7" t="s">
        <v>1691</v>
      </c>
      <c r="AA108" s="7" t="s">
        <v>2617</v>
      </c>
      <c r="AB108" s="7">
        <v>10</v>
      </c>
      <c r="AC108" s="7" t="s">
        <v>51</v>
      </c>
      <c r="AD108" s="7" t="s">
        <v>394</v>
      </c>
      <c r="AF108" s="7" t="s">
        <v>44</v>
      </c>
      <c r="AH108" s="4">
        <v>44865.999988425923</v>
      </c>
    </row>
    <row r="109" spans="1:34" x14ac:dyDescent="0.3">
      <c r="A109" s="4">
        <v>44865</v>
      </c>
      <c r="B109" s="4">
        <v>44865</v>
      </c>
      <c r="C109" s="7" t="s">
        <v>35</v>
      </c>
      <c r="D109" s="7" t="s">
        <v>36</v>
      </c>
      <c r="E109" s="7" t="s">
        <v>36</v>
      </c>
      <c r="F109" s="7" t="s">
        <v>36</v>
      </c>
      <c r="G109" s="7" t="s">
        <v>37</v>
      </c>
      <c r="K109" s="7" t="s">
        <v>38</v>
      </c>
      <c r="L109" s="7" t="s">
        <v>39</v>
      </c>
      <c r="M109" s="7" t="s">
        <v>40</v>
      </c>
      <c r="N109" s="7" t="s">
        <v>41</v>
      </c>
      <c r="R109" s="7" t="s">
        <v>45</v>
      </c>
      <c r="S109" s="8">
        <v>463266.31</v>
      </c>
      <c r="U109" s="8">
        <v>463266.31</v>
      </c>
      <c r="V109" s="7" t="s">
        <v>56</v>
      </c>
      <c r="W109" s="7" t="s">
        <v>2620</v>
      </c>
      <c r="X109" s="7" t="s">
        <v>2618</v>
      </c>
      <c r="Y109" s="7" t="s">
        <v>1691</v>
      </c>
      <c r="AA109" s="7" t="s">
        <v>2617</v>
      </c>
      <c r="AB109" s="7">
        <v>11</v>
      </c>
      <c r="AC109" s="7" t="s">
        <v>53</v>
      </c>
      <c r="AD109" s="7" t="s">
        <v>395</v>
      </c>
      <c r="AF109" s="7" t="s">
        <v>44</v>
      </c>
      <c r="AH109" s="4">
        <v>44865.999988425923</v>
      </c>
    </row>
    <row r="110" spans="1:34" x14ac:dyDescent="0.3">
      <c r="A110" s="4">
        <v>44865</v>
      </c>
      <c r="B110" s="4">
        <v>44865</v>
      </c>
      <c r="C110" s="7" t="s">
        <v>35</v>
      </c>
      <c r="D110" s="7" t="s">
        <v>36</v>
      </c>
      <c r="E110" s="7" t="s">
        <v>36</v>
      </c>
      <c r="F110" s="7" t="s">
        <v>36</v>
      </c>
      <c r="G110" s="7" t="s">
        <v>37</v>
      </c>
      <c r="K110" s="7" t="s">
        <v>38</v>
      </c>
      <c r="L110" s="7" t="s">
        <v>39</v>
      </c>
      <c r="M110" s="7" t="s">
        <v>40</v>
      </c>
      <c r="N110" s="7" t="s">
        <v>41</v>
      </c>
      <c r="R110" s="7" t="s">
        <v>54</v>
      </c>
      <c r="T110" s="8">
        <v>463266.31</v>
      </c>
      <c r="U110" s="8">
        <v>-463266.31</v>
      </c>
      <c r="V110" s="7" t="s">
        <v>56</v>
      </c>
      <c r="W110" s="7" t="s">
        <v>2620</v>
      </c>
      <c r="X110" s="7" t="s">
        <v>2618</v>
      </c>
      <c r="Y110" s="7" t="s">
        <v>1691</v>
      </c>
      <c r="AA110" s="7" t="s">
        <v>2617</v>
      </c>
      <c r="AB110" s="7">
        <v>11</v>
      </c>
      <c r="AC110" s="7" t="s">
        <v>53</v>
      </c>
      <c r="AD110" s="7" t="s">
        <v>397</v>
      </c>
      <c r="AF110" s="7" t="s">
        <v>44</v>
      </c>
      <c r="AH110" s="4">
        <v>44865.999988425923</v>
      </c>
    </row>
    <row r="111" spans="1:34" x14ac:dyDescent="0.3">
      <c r="A111" s="4">
        <v>44866</v>
      </c>
      <c r="B111" s="4">
        <v>44866</v>
      </c>
      <c r="C111" s="7" t="s">
        <v>35</v>
      </c>
      <c r="D111" s="7" t="s">
        <v>36</v>
      </c>
      <c r="E111" s="7" t="s">
        <v>36</v>
      </c>
      <c r="F111" s="7" t="s">
        <v>36</v>
      </c>
      <c r="G111" s="7" t="s">
        <v>37</v>
      </c>
      <c r="K111" s="7" t="s">
        <v>38</v>
      </c>
      <c r="L111" s="7" t="s">
        <v>39</v>
      </c>
      <c r="M111" s="7" t="s">
        <v>40</v>
      </c>
      <c r="N111" s="7" t="s">
        <v>41</v>
      </c>
      <c r="R111" s="7" t="s">
        <v>54</v>
      </c>
      <c r="S111" s="8">
        <v>463266.31</v>
      </c>
      <c r="U111" s="8">
        <v>463266.31</v>
      </c>
      <c r="V111" s="7" t="s">
        <v>56</v>
      </c>
      <c r="W111" s="7" t="s">
        <v>2620</v>
      </c>
      <c r="X111" s="7" t="s">
        <v>2618</v>
      </c>
      <c r="Y111" s="7" t="s">
        <v>1691</v>
      </c>
      <c r="AA111" s="7" t="s">
        <v>2617</v>
      </c>
      <c r="AB111" s="7">
        <v>11</v>
      </c>
      <c r="AC111" s="7" t="s">
        <v>55</v>
      </c>
      <c r="AD111" s="7" t="s">
        <v>398</v>
      </c>
      <c r="AF111" s="7" t="s">
        <v>44</v>
      </c>
      <c r="AH111" s="4">
        <v>44895.999988425923</v>
      </c>
    </row>
    <row r="112" spans="1:34" x14ac:dyDescent="0.3">
      <c r="A112" s="4">
        <v>44866</v>
      </c>
      <c r="B112" s="4">
        <v>44866</v>
      </c>
      <c r="C112" s="7" t="s">
        <v>35</v>
      </c>
      <c r="D112" s="7" t="s">
        <v>36</v>
      </c>
      <c r="E112" s="7" t="s">
        <v>36</v>
      </c>
      <c r="F112" s="7" t="s">
        <v>36</v>
      </c>
      <c r="G112" s="7" t="s">
        <v>37</v>
      </c>
      <c r="K112" s="7" t="s">
        <v>38</v>
      </c>
      <c r="L112" s="7" t="s">
        <v>39</v>
      </c>
      <c r="M112" s="7" t="s">
        <v>40</v>
      </c>
      <c r="N112" s="7" t="s">
        <v>41</v>
      </c>
      <c r="R112" s="7" t="s">
        <v>45</v>
      </c>
      <c r="T112" s="8">
        <v>463266.31</v>
      </c>
      <c r="U112" s="8">
        <v>-463266.31</v>
      </c>
      <c r="V112" s="7" t="s">
        <v>56</v>
      </c>
      <c r="W112" s="7" t="s">
        <v>2620</v>
      </c>
      <c r="X112" s="7" t="s">
        <v>2618</v>
      </c>
      <c r="Y112" s="7" t="s">
        <v>1691</v>
      </c>
      <c r="AA112" s="7" t="s">
        <v>2617</v>
      </c>
      <c r="AB112" s="7">
        <v>11</v>
      </c>
      <c r="AC112" s="7" t="s">
        <v>55</v>
      </c>
      <c r="AD112" s="7" t="s">
        <v>400</v>
      </c>
      <c r="AF112" s="7" t="s">
        <v>44</v>
      </c>
      <c r="AH112" s="4">
        <v>44895.999988425923</v>
      </c>
    </row>
    <row r="113" spans="1:34" x14ac:dyDescent="0.3">
      <c r="A113" s="4">
        <v>44866</v>
      </c>
      <c r="B113" s="4">
        <v>44895</v>
      </c>
      <c r="C113" s="7" t="s">
        <v>46</v>
      </c>
      <c r="D113" s="7" t="s">
        <v>36</v>
      </c>
      <c r="E113" s="7" t="s">
        <v>36</v>
      </c>
      <c r="F113" s="7" t="s">
        <v>36</v>
      </c>
      <c r="G113" s="7" t="s">
        <v>37</v>
      </c>
      <c r="K113" s="7" t="s">
        <v>38</v>
      </c>
      <c r="L113" s="7" t="s">
        <v>39</v>
      </c>
      <c r="M113" s="7" t="s">
        <v>38</v>
      </c>
      <c r="N113" s="7" t="s">
        <v>41</v>
      </c>
      <c r="R113" s="7" t="s">
        <v>49</v>
      </c>
      <c r="S113" s="8">
        <v>12617.460416</v>
      </c>
      <c r="U113" s="8">
        <v>12617.460416</v>
      </c>
      <c r="V113" s="7" t="s">
        <v>56</v>
      </c>
      <c r="W113" s="7" t="s">
        <v>57</v>
      </c>
      <c r="X113" s="7" t="s">
        <v>2618</v>
      </c>
      <c r="Y113" s="7" t="s">
        <v>1691</v>
      </c>
      <c r="AA113" s="7" t="s">
        <v>2617</v>
      </c>
      <c r="AB113" s="7">
        <v>12</v>
      </c>
      <c r="AC113" s="7" t="s">
        <v>57</v>
      </c>
      <c r="AD113" s="7" t="s">
        <v>401</v>
      </c>
      <c r="AF113" s="7" t="s">
        <v>44</v>
      </c>
      <c r="AH113" s="4">
        <v>44895.999988425923</v>
      </c>
    </row>
    <row r="114" spans="1:34" x14ac:dyDescent="0.3">
      <c r="A114" s="4">
        <v>44866</v>
      </c>
      <c r="B114" s="4">
        <v>44895</v>
      </c>
      <c r="C114" s="7" t="s">
        <v>46</v>
      </c>
      <c r="D114" s="7" t="s">
        <v>36</v>
      </c>
      <c r="E114" s="7" t="s">
        <v>36</v>
      </c>
      <c r="F114" s="7" t="s">
        <v>36</v>
      </c>
      <c r="G114" s="7" t="s">
        <v>37</v>
      </c>
      <c r="K114" s="7" t="s">
        <v>38</v>
      </c>
      <c r="L114" s="7" t="s">
        <v>39</v>
      </c>
      <c r="M114" s="7" t="s">
        <v>40</v>
      </c>
      <c r="N114" s="7" t="s">
        <v>41</v>
      </c>
      <c r="R114" s="7" t="s">
        <v>45</v>
      </c>
      <c r="S114" s="8">
        <v>37382.539583999998</v>
      </c>
      <c r="U114" s="8">
        <v>37382.539583999998</v>
      </c>
      <c r="V114" s="7" t="s">
        <v>56</v>
      </c>
      <c r="W114" s="7" t="s">
        <v>57</v>
      </c>
      <c r="X114" s="7" t="s">
        <v>2618</v>
      </c>
      <c r="Y114" s="7" t="s">
        <v>1691</v>
      </c>
      <c r="AA114" s="7" t="s">
        <v>2617</v>
      </c>
      <c r="AB114" s="7">
        <v>12</v>
      </c>
      <c r="AC114" s="7" t="s">
        <v>57</v>
      </c>
      <c r="AD114" s="7" t="s">
        <v>403</v>
      </c>
      <c r="AF114" s="7" t="s">
        <v>44</v>
      </c>
      <c r="AH114" s="4">
        <v>44895.999988425923</v>
      </c>
    </row>
    <row r="115" spans="1:34" x14ac:dyDescent="0.3">
      <c r="A115" s="4">
        <v>44866</v>
      </c>
      <c r="B115" s="4">
        <v>44895</v>
      </c>
      <c r="C115" s="7" t="s">
        <v>46</v>
      </c>
      <c r="D115" s="7" t="s">
        <v>36</v>
      </c>
      <c r="E115" s="7" t="s">
        <v>36</v>
      </c>
      <c r="F115" s="7" t="s">
        <v>36</v>
      </c>
      <c r="G115" s="7" t="s">
        <v>37</v>
      </c>
      <c r="K115" s="7" t="s">
        <v>38</v>
      </c>
      <c r="L115" s="7" t="s">
        <v>39</v>
      </c>
      <c r="M115" s="7" t="s">
        <v>40</v>
      </c>
      <c r="N115" s="7" t="s">
        <v>41</v>
      </c>
      <c r="R115" s="7" t="s">
        <v>58</v>
      </c>
      <c r="T115" s="8">
        <v>50000</v>
      </c>
      <c r="U115" s="8">
        <v>-50000</v>
      </c>
      <c r="V115" s="7" t="s">
        <v>56</v>
      </c>
      <c r="W115" s="7" t="s">
        <v>57</v>
      </c>
      <c r="X115" s="7" t="s">
        <v>2618</v>
      </c>
      <c r="Y115" s="7" t="s">
        <v>1691</v>
      </c>
      <c r="AA115" s="7" t="s">
        <v>2617</v>
      </c>
      <c r="AB115" s="7">
        <v>12</v>
      </c>
      <c r="AC115" s="7" t="s">
        <v>57</v>
      </c>
      <c r="AD115" s="7" t="s">
        <v>404</v>
      </c>
      <c r="AF115" s="7" t="s">
        <v>44</v>
      </c>
      <c r="AH115" s="4">
        <v>44895.999988425923</v>
      </c>
    </row>
    <row r="116" spans="1:34" x14ac:dyDescent="0.3">
      <c r="A116" s="4">
        <v>44895</v>
      </c>
      <c r="B116" s="4">
        <v>44895</v>
      </c>
      <c r="C116" s="7" t="s">
        <v>46</v>
      </c>
      <c r="D116" s="7" t="s">
        <v>36</v>
      </c>
      <c r="E116" s="7" t="s">
        <v>36</v>
      </c>
      <c r="F116" s="7" t="s">
        <v>36</v>
      </c>
      <c r="G116" s="7" t="s">
        <v>37</v>
      </c>
      <c r="K116" s="7" t="s">
        <v>38</v>
      </c>
      <c r="L116" s="7" t="s">
        <v>39</v>
      </c>
      <c r="M116" s="7" t="s">
        <v>40</v>
      </c>
      <c r="N116" s="7" t="s">
        <v>41</v>
      </c>
      <c r="R116" s="7" t="s">
        <v>47</v>
      </c>
      <c r="S116" s="8">
        <v>12399.395602000001</v>
      </c>
      <c r="U116" s="8">
        <v>12399.395602000001</v>
      </c>
      <c r="V116" s="7" t="s">
        <v>56</v>
      </c>
      <c r="W116" s="7" t="s">
        <v>2621</v>
      </c>
      <c r="X116" s="7" t="s">
        <v>2618</v>
      </c>
      <c r="Y116" s="7" t="s">
        <v>1691</v>
      </c>
      <c r="AA116" s="7" t="s">
        <v>2617</v>
      </c>
      <c r="AB116" s="7">
        <v>8</v>
      </c>
      <c r="AC116" s="7" t="s">
        <v>48</v>
      </c>
      <c r="AD116" s="7" t="s">
        <v>405</v>
      </c>
      <c r="AF116" s="7" t="s">
        <v>44</v>
      </c>
      <c r="AH116" s="4">
        <v>44895.999988425923</v>
      </c>
    </row>
    <row r="117" spans="1:34" x14ac:dyDescent="0.3">
      <c r="A117" s="4">
        <v>44895</v>
      </c>
      <c r="B117" s="4">
        <v>44895</v>
      </c>
      <c r="C117" s="7" t="s">
        <v>46</v>
      </c>
      <c r="D117" s="7" t="s">
        <v>36</v>
      </c>
      <c r="E117" s="7" t="s">
        <v>36</v>
      </c>
      <c r="F117" s="7" t="s">
        <v>36</v>
      </c>
      <c r="G117" s="7" t="s">
        <v>37</v>
      </c>
      <c r="K117" s="7" t="s">
        <v>38</v>
      </c>
      <c r="L117" s="7" t="s">
        <v>39</v>
      </c>
      <c r="M117" s="7" t="s">
        <v>38</v>
      </c>
      <c r="N117" s="7" t="s">
        <v>41</v>
      </c>
      <c r="R117" s="7" t="s">
        <v>49</v>
      </c>
      <c r="T117" s="8">
        <v>12399.395602000001</v>
      </c>
      <c r="U117" s="8">
        <v>-12399.395602000001</v>
      </c>
      <c r="V117" s="7" t="s">
        <v>56</v>
      </c>
      <c r="W117" s="7" t="s">
        <v>2621</v>
      </c>
      <c r="X117" s="7" t="s">
        <v>2618</v>
      </c>
      <c r="Y117" s="7" t="s">
        <v>1691</v>
      </c>
      <c r="AA117" s="7" t="s">
        <v>2617</v>
      </c>
      <c r="AB117" s="7">
        <v>8</v>
      </c>
      <c r="AC117" s="7" t="s">
        <v>48</v>
      </c>
      <c r="AD117" s="7" t="s">
        <v>407</v>
      </c>
      <c r="AF117" s="7" t="s">
        <v>44</v>
      </c>
      <c r="AH117" s="4">
        <v>44895.999988425923</v>
      </c>
    </row>
    <row r="118" spans="1:34" x14ac:dyDescent="0.3">
      <c r="A118" s="4">
        <v>44895</v>
      </c>
      <c r="B118" s="4">
        <v>44562</v>
      </c>
      <c r="C118" s="7" t="s">
        <v>35</v>
      </c>
      <c r="D118" s="7" t="s">
        <v>36</v>
      </c>
      <c r="E118" s="7" t="s">
        <v>36</v>
      </c>
      <c r="F118" s="7" t="s">
        <v>36</v>
      </c>
      <c r="G118" s="7" t="s">
        <v>37</v>
      </c>
      <c r="K118" s="7" t="s">
        <v>38</v>
      </c>
      <c r="L118" s="7" t="s">
        <v>39</v>
      </c>
      <c r="M118" s="7" t="s">
        <v>40</v>
      </c>
      <c r="N118" s="7" t="s">
        <v>41</v>
      </c>
      <c r="R118" s="7" t="s">
        <v>50</v>
      </c>
      <c r="S118" s="8">
        <v>42330.49</v>
      </c>
      <c r="U118" s="8">
        <v>42330.49</v>
      </c>
      <c r="V118" s="7" t="s">
        <v>56</v>
      </c>
      <c r="W118" s="7" t="s">
        <v>2619</v>
      </c>
      <c r="X118" s="7" t="s">
        <v>2618</v>
      </c>
      <c r="Y118" s="7" t="s">
        <v>1691</v>
      </c>
      <c r="AA118" s="7" t="s">
        <v>2617</v>
      </c>
      <c r="AB118" s="7">
        <v>10</v>
      </c>
      <c r="AC118" s="7" t="s">
        <v>51</v>
      </c>
      <c r="AD118" s="7" t="s">
        <v>408</v>
      </c>
      <c r="AF118" s="7" t="s">
        <v>44</v>
      </c>
      <c r="AH118" s="4">
        <v>44895.999988425923</v>
      </c>
    </row>
    <row r="119" spans="1:34" x14ac:dyDescent="0.3">
      <c r="A119" s="4">
        <v>44895</v>
      </c>
      <c r="B119" s="4">
        <v>44562</v>
      </c>
      <c r="C119" s="7" t="s">
        <v>35</v>
      </c>
      <c r="D119" s="7" t="s">
        <v>36</v>
      </c>
      <c r="E119" s="7" t="s">
        <v>36</v>
      </c>
      <c r="F119" s="7" t="s">
        <v>36</v>
      </c>
      <c r="G119" s="7" t="s">
        <v>37</v>
      </c>
      <c r="K119" s="7" t="s">
        <v>38</v>
      </c>
      <c r="L119" s="7" t="s">
        <v>39</v>
      </c>
      <c r="M119" s="7" t="s">
        <v>40</v>
      </c>
      <c r="N119" s="7" t="s">
        <v>41</v>
      </c>
      <c r="R119" s="7" t="s">
        <v>52</v>
      </c>
      <c r="T119" s="8">
        <v>42330.49</v>
      </c>
      <c r="U119" s="8">
        <v>-42330.49</v>
      </c>
      <c r="V119" s="7" t="s">
        <v>56</v>
      </c>
      <c r="W119" s="7" t="s">
        <v>2619</v>
      </c>
      <c r="X119" s="7" t="s">
        <v>2618</v>
      </c>
      <c r="Y119" s="7" t="s">
        <v>1691</v>
      </c>
      <c r="AA119" s="7" t="s">
        <v>2617</v>
      </c>
      <c r="AB119" s="7">
        <v>10</v>
      </c>
      <c r="AC119" s="7" t="s">
        <v>51</v>
      </c>
      <c r="AD119" s="7" t="s">
        <v>410</v>
      </c>
      <c r="AF119" s="7" t="s">
        <v>44</v>
      </c>
      <c r="AH119" s="4">
        <v>44895.999988425923</v>
      </c>
    </row>
    <row r="120" spans="1:34" x14ac:dyDescent="0.3">
      <c r="A120" s="4">
        <v>44895</v>
      </c>
      <c r="B120" s="4">
        <v>44895</v>
      </c>
      <c r="C120" s="7" t="s">
        <v>35</v>
      </c>
      <c r="D120" s="7" t="s">
        <v>36</v>
      </c>
      <c r="E120" s="7" t="s">
        <v>36</v>
      </c>
      <c r="F120" s="7" t="s">
        <v>36</v>
      </c>
      <c r="G120" s="7" t="s">
        <v>37</v>
      </c>
      <c r="K120" s="7" t="s">
        <v>38</v>
      </c>
      <c r="L120" s="7" t="s">
        <v>39</v>
      </c>
      <c r="M120" s="7" t="s">
        <v>40</v>
      </c>
      <c r="N120" s="7" t="s">
        <v>41</v>
      </c>
      <c r="R120" s="7" t="s">
        <v>45</v>
      </c>
      <c r="S120" s="8">
        <v>465968.7</v>
      </c>
      <c r="U120" s="8">
        <v>465968.7</v>
      </c>
      <c r="V120" s="7" t="s">
        <v>56</v>
      </c>
      <c r="W120" s="7" t="s">
        <v>2620</v>
      </c>
      <c r="X120" s="7" t="s">
        <v>2618</v>
      </c>
      <c r="Y120" s="7" t="s">
        <v>1691</v>
      </c>
      <c r="AA120" s="7" t="s">
        <v>2617</v>
      </c>
      <c r="AB120" s="7">
        <v>11</v>
      </c>
      <c r="AC120" s="7" t="s">
        <v>53</v>
      </c>
      <c r="AD120" s="7" t="s">
        <v>411</v>
      </c>
      <c r="AF120" s="7" t="s">
        <v>44</v>
      </c>
      <c r="AH120" s="4">
        <v>44895.999988425923</v>
      </c>
    </row>
    <row r="121" spans="1:34" x14ac:dyDescent="0.3">
      <c r="A121" s="4">
        <v>44895</v>
      </c>
      <c r="B121" s="4">
        <v>44895</v>
      </c>
      <c r="C121" s="7" t="s">
        <v>35</v>
      </c>
      <c r="D121" s="7" t="s">
        <v>36</v>
      </c>
      <c r="E121" s="7" t="s">
        <v>36</v>
      </c>
      <c r="F121" s="7" t="s">
        <v>36</v>
      </c>
      <c r="G121" s="7" t="s">
        <v>37</v>
      </c>
      <c r="K121" s="7" t="s">
        <v>38</v>
      </c>
      <c r="L121" s="7" t="s">
        <v>39</v>
      </c>
      <c r="M121" s="7" t="s">
        <v>40</v>
      </c>
      <c r="N121" s="7" t="s">
        <v>41</v>
      </c>
      <c r="R121" s="7" t="s">
        <v>54</v>
      </c>
      <c r="T121" s="8">
        <v>465968.7</v>
      </c>
      <c r="U121" s="8">
        <v>-465968.7</v>
      </c>
      <c r="V121" s="7" t="s">
        <v>56</v>
      </c>
      <c r="W121" s="7" t="s">
        <v>2620</v>
      </c>
      <c r="X121" s="7" t="s">
        <v>2618</v>
      </c>
      <c r="Y121" s="7" t="s">
        <v>1691</v>
      </c>
      <c r="AA121" s="7" t="s">
        <v>2617</v>
      </c>
      <c r="AB121" s="7">
        <v>11</v>
      </c>
      <c r="AC121" s="7" t="s">
        <v>53</v>
      </c>
      <c r="AD121" s="7" t="s">
        <v>413</v>
      </c>
      <c r="AF121" s="7" t="s">
        <v>44</v>
      </c>
      <c r="AH121" s="4">
        <v>44895.999988425923</v>
      </c>
    </row>
    <row r="122" spans="1:34" x14ac:dyDescent="0.3">
      <c r="A122" s="4">
        <v>44896</v>
      </c>
      <c r="B122" s="4">
        <v>44896</v>
      </c>
      <c r="C122" s="7" t="s">
        <v>35</v>
      </c>
      <c r="D122" s="7" t="s">
        <v>36</v>
      </c>
      <c r="E122" s="7" t="s">
        <v>36</v>
      </c>
      <c r="F122" s="7" t="s">
        <v>36</v>
      </c>
      <c r="G122" s="7" t="s">
        <v>37</v>
      </c>
      <c r="K122" s="7" t="s">
        <v>38</v>
      </c>
      <c r="L122" s="7" t="s">
        <v>39</v>
      </c>
      <c r="M122" s="7" t="s">
        <v>40</v>
      </c>
      <c r="N122" s="7" t="s">
        <v>41</v>
      </c>
      <c r="R122" s="7" t="s">
        <v>54</v>
      </c>
      <c r="S122" s="8">
        <v>465968.7</v>
      </c>
      <c r="U122" s="8">
        <v>465968.7</v>
      </c>
      <c r="V122" s="7" t="s">
        <v>56</v>
      </c>
      <c r="W122" s="7" t="s">
        <v>2620</v>
      </c>
      <c r="X122" s="7" t="s">
        <v>2618</v>
      </c>
      <c r="Y122" s="7" t="s">
        <v>1691</v>
      </c>
      <c r="AA122" s="7" t="s">
        <v>2617</v>
      </c>
      <c r="AB122" s="7">
        <v>11</v>
      </c>
      <c r="AC122" s="7" t="s">
        <v>55</v>
      </c>
      <c r="AD122" s="7" t="s">
        <v>414</v>
      </c>
      <c r="AF122" s="7" t="s">
        <v>44</v>
      </c>
      <c r="AH122" s="4">
        <v>44926.999988425923</v>
      </c>
    </row>
    <row r="123" spans="1:34" x14ac:dyDescent="0.3">
      <c r="A123" s="4">
        <v>44896</v>
      </c>
      <c r="B123" s="4">
        <v>44896</v>
      </c>
      <c r="C123" s="7" t="s">
        <v>35</v>
      </c>
      <c r="D123" s="7" t="s">
        <v>36</v>
      </c>
      <c r="E123" s="7" t="s">
        <v>36</v>
      </c>
      <c r="F123" s="7" t="s">
        <v>36</v>
      </c>
      <c r="G123" s="7" t="s">
        <v>37</v>
      </c>
      <c r="K123" s="7" t="s">
        <v>38</v>
      </c>
      <c r="L123" s="7" t="s">
        <v>39</v>
      </c>
      <c r="M123" s="7" t="s">
        <v>40</v>
      </c>
      <c r="N123" s="7" t="s">
        <v>41</v>
      </c>
      <c r="R123" s="7" t="s">
        <v>45</v>
      </c>
      <c r="T123" s="8">
        <v>465968.7</v>
      </c>
      <c r="U123" s="8">
        <v>-465968.7</v>
      </c>
      <c r="V123" s="7" t="s">
        <v>56</v>
      </c>
      <c r="W123" s="7" t="s">
        <v>2620</v>
      </c>
      <c r="X123" s="7" t="s">
        <v>2618</v>
      </c>
      <c r="Y123" s="7" t="s">
        <v>1691</v>
      </c>
      <c r="AA123" s="7" t="s">
        <v>2617</v>
      </c>
      <c r="AB123" s="7">
        <v>11</v>
      </c>
      <c r="AC123" s="7" t="s">
        <v>55</v>
      </c>
      <c r="AD123" s="7" t="s">
        <v>416</v>
      </c>
      <c r="AF123" s="7" t="s">
        <v>44</v>
      </c>
      <c r="AH123" s="4">
        <v>44926.999988425923</v>
      </c>
    </row>
    <row r="124" spans="1:34" x14ac:dyDescent="0.3">
      <c r="A124" s="4">
        <v>44896</v>
      </c>
      <c r="B124" s="4">
        <v>44926</v>
      </c>
      <c r="C124" s="7" t="s">
        <v>46</v>
      </c>
      <c r="D124" s="7" t="s">
        <v>36</v>
      </c>
      <c r="E124" s="7" t="s">
        <v>36</v>
      </c>
      <c r="F124" s="7" t="s">
        <v>36</v>
      </c>
      <c r="G124" s="7" t="s">
        <v>37</v>
      </c>
      <c r="K124" s="7" t="s">
        <v>38</v>
      </c>
      <c r="L124" s="7" t="s">
        <v>39</v>
      </c>
      <c r="M124" s="7" t="s">
        <v>38</v>
      </c>
      <c r="N124" s="7" t="s">
        <v>41</v>
      </c>
      <c r="R124" s="7" t="s">
        <v>49</v>
      </c>
      <c r="S124" s="8">
        <v>12399.395602000001</v>
      </c>
      <c r="U124" s="8">
        <v>12399.395602000001</v>
      </c>
      <c r="V124" s="7" t="s">
        <v>56</v>
      </c>
      <c r="W124" s="7" t="s">
        <v>57</v>
      </c>
      <c r="X124" s="7" t="s">
        <v>2618</v>
      </c>
      <c r="Y124" s="7" t="s">
        <v>1691</v>
      </c>
      <c r="AA124" s="7" t="s">
        <v>2617</v>
      </c>
      <c r="AB124" s="7">
        <v>12</v>
      </c>
      <c r="AC124" s="7" t="s">
        <v>57</v>
      </c>
      <c r="AD124" s="7" t="s">
        <v>417</v>
      </c>
      <c r="AF124" s="7" t="s">
        <v>44</v>
      </c>
      <c r="AH124" s="4">
        <v>44926.999988425923</v>
      </c>
    </row>
    <row r="125" spans="1:34" x14ac:dyDescent="0.3">
      <c r="A125" s="4">
        <v>44896</v>
      </c>
      <c r="B125" s="4">
        <v>44926</v>
      </c>
      <c r="C125" s="7" t="s">
        <v>46</v>
      </c>
      <c r="D125" s="7" t="s">
        <v>36</v>
      </c>
      <c r="E125" s="7" t="s">
        <v>36</v>
      </c>
      <c r="F125" s="7" t="s">
        <v>36</v>
      </c>
      <c r="G125" s="7" t="s">
        <v>37</v>
      </c>
      <c r="K125" s="7" t="s">
        <v>38</v>
      </c>
      <c r="L125" s="7" t="s">
        <v>39</v>
      </c>
      <c r="M125" s="7" t="s">
        <v>40</v>
      </c>
      <c r="N125" s="7" t="s">
        <v>41</v>
      </c>
      <c r="R125" s="7" t="s">
        <v>45</v>
      </c>
      <c r="S125" s="8">
        <v>37600.604398000003</v>
      </c>
      <c r="U125" s="8">
        <v>37600.604398000003</v>
      </c>
      <c r="V125" s="7" t="s">
        <v>56</v>
      </c>
      <c r="W125" s="7" t="s">
        <v>57</v>
      </c>
      <c r="X125" s="7" t="s">
        <v>2618</v>
      </c>
      <c r="Y125" s="7" t="s">
        <v>1691</v>
      </c>
      <c r="AA125" s="7" t="s">
        <v>2617</v>
      </c>
      <c r="AB125" s="7">
        <v>12</v>
      </c>
      <c r="AC125" s="7" t="s">
        <v>57</v>
      </c>
      <c r="AD125" s="7" t="s">
        <v>419</v>
      </c>
      <c r="AF125" s="7" t="s">
        <v>44</v>
      </c>
      <c r="AH125" s="4">
        <v>44926.999988425923</v>
      </c>
    </row>
    <row r="126" spans="1:34" x14ac:dyDescent="0.3">
      <c r="A126" s="4">
        <v>44896</v>
      </c>
      <c r="B126" s="4">
        <v>44926</v>
      </c>
      <c r="C126" s="7" t="s">
        <v>46</v>
      </c>
      <c r="D126" s="7" t="s">
        <v>36</v>
      </c>
      <c r="E126" s="7" t="s">
        <v>36</v>
      </c>
      <c r="F126" s="7" t="s">
        <v>36</v>
      </c>
      <c r="G126" s="7" t="s">
        <v>37</v>
      </c>
      <c r="K126" s="7" t="s">
        <v>38</v>
      </c>
      <c r="L126" s="7" t="s">
        <v>39</v>
      </c>
      <c r="M126" s="7" t="s">
        <v>40</v>
      </c>
      <c r="N126" s="7" t="s">
        <v>41</v>
      </c>
      <c r="R126" s="7" t="s">
        <v>58</v>
      </c>
      <c r="T126" s="8">
        <v>50000</v>
      </c>
      <c r="U126" s="8">
        <v>-50000</v>
      </c>
      <c r="V126" s="7" t="s">
        <v>56</v>
      </c>
      <c r="W126" s="7" t="s">
        <v>57</v>
      </c>
      <c r="X126" s="7" t="s">
        <v>2618</v>
      </c>
      <c r="Y126" s="7" t="s">
        <v>1691</v>
      </c>
      <c r="AA126" s="7" t="s">
        <v>2617</v>
      </c>
      <c r="AB126" s="7">
        <v>12</v>
      </c>
      <c r="AC126" s="7" t="s">
        <v>57</v>
      </c>
      <c r="AD126" s="7" t="s">
        <v>420</v>
      </c>
      <c r="AF126" s="7" t="s">
        <v>44</v>
      </c>
      <c r="AH126" s="4">
        <v>44926.999988425923</v>
      </c>
    </row>
    <row r="127" spans="1:34" x14ac:dyDescent="0.3">
      <c r="A127" s="4">
        <v>44926</v>
      </c>
      <c r="B127" s="4">
        <v>44926</v>
      </c>
      <c r="C127" s="7" t="s">
        <v>46</v>
      </c>
      <c r="D127" s="7" t="s">
        <v>36</v>
      </c>
      <c r="E127" s="7" t="s">
        <v>36</v>
      </c>
      <c r="F127" s="7" t="s">
        <v>36</v>
      </c>
      <c r="G127" s="7" t="s">
        <v>37</v>
      </c>
      <c r="K127" s="7" t="s">
        <v>38</v>
      </c>
      <c r="L127" s="7" t="s">
        <v>39</v>
      </c>
      <c r="M127" s="7" t="s">
        <v>40</v>
      </c>
      <c r="N127" s="7" t="s">
        <v>41</v>
      </c>
      <c r="R127" s="7" t="s">
        <v>47</v>
      </c>
      <c r="S127" s="8">
        <v>12180.058743</v>
      </c>
      <c r="U127" s="8">
        <v>12180.058743</v>
      </c>
      <c r="V127" s="7" t="s">
        <v>56</v>
      </c>
      <c r="W127" s="7" t="s">
        <v>2621</v>
      </c>
      <c r="X127" s="7" t="s">
        <v>2618</v>
      </c>
      <c r="Y127" s="7" t="s">
        <v>1691</v>
      </c>
      <c r="AA127" s="7" t="s">
        <v>2617</v>
      </c>
      <c r="AB127" s="7">
        <v>8</v>
      </c>
      <c r="AC127" s="7" t="s">
        <v>48</v>
      </c>
      <c r="AD127" s="7" t="s">
        <v>421</v>
      </c>
      <c r="AF127" s="7" t="s">
        <v>44</v>
      </c>
      <c r="AH127" s="4">
        <v>44926.999988425923</v>
      </c>
    </row>
    <row r="128" spans="1:34" x14ac:dyDescent="0.3">
      <c r="A128" s="4">
        <v>44926</v>
      </c>
      <c r="B128" s="4">
        <v>44926</v>
      </c>
      <c r="C128" s="7" t="s">
        <v>46</v>
      </c>
      <c r="D128" s="7" t="s">
        <v>36</v>
      </c>
      <c r="E128" s="7" t="s">
        <v>36</v>
      </c>
      <c r="F128" s="7" t="s">
        <v>36</v>
      </c>
      <c r="G128" s="7" t="s">
        <v>37</v>
      </c>
      <c r="K128" s="7" t="s">
        <v>38</v>
      </c>
      <c r="L128" s="7" t="s">
        <v>39</v>
      </c>
      <c r="M128" s="7" t="s">
        <v>38</v>
      </c>
      <c r="N128" s="7" t="s">
        <v>41</v>
      </c>
      <c r="R128" s="7" t="s">
        <v>49</v>
      </c>
      <c r="T128" s="8">
        <v>12180.058743</v>
      </c>
      <c r="U128" s="8">
        <v>-12180.058743</v>
      </c>
      <c r="V128" s="7" t="s">
        <v>56</v>
      </c>
      <c r="W128" s="7" t="s">
        <v>2621</v>
      </c>
      <c r="X128" s="7" t="s">
        <v>2618</v>
      </c>
      <c r="Y128" s="7" t="s">
        <v>1691</v>
      </c>
      <c r="AA128" s="7" t="s">
        <v>2617</v>
      </c>
      <c r="AB128" s="7">
        <v>8</v>
      </c>
      <c r="AC128" s="7" t="s">
        <v>48</v>
      </c>
      <c r="AD128" s="7" t="s">
        <v>423</v>
      </c>
      <c r="AF128" s="7" t="s">
        <v>44</v>
      </c>
      <c r="AH128" s="4">
        <v>44926.999988425923</v>
      </c>
    </row>
    <row r="129" spans="1:34" x14ac:dyDescent="0.3">
      <c r="A129" s="4">
        <v>44926</v>
      </c>
      <c r="B129" s="4">
        <v>44562</v>
      </c>
      <c r="C129" s="7" t="s">
        <v>35</v>
      </c>
      <c r="D129" s="7" t="s">
        <v>36</v>
      </c>
      <c r="E129" s="7" t="s">
        <v>36</v>
      </c>
      <c r="F129" s="7" t="s">
        <v>36</v>
      </c>
      <c r="G129" s="7" t="s">
        <v>37</v>
      </c>
      <c r="K129" s="7" t="s">
        <v>38</v>
      </c>
      <c r="L129" s="7" t="s">
        <v>39</v>
      </c>
      <c r="M129" s="7" t="s">
        <v>40</v>
      </c>
      <c r="N129" s="7" t="s">
        <v>41</v>
      </c>
      <c r="R129" s="7" t="s">
        <v>50</v>
      </c>
      <c r="S129" s="8">
        <v>42330.49</v>
      </c>
      <c r="U129" s="8">
        <v>42330.49</v>
      </c>
      <c r="V129" s="7" t="s">
        <v>56</v>
      </c>
      <c r="W129" s="7" t="s">
        <v>2619</v>
      </c>
      <c r="X129" s="7" t="s">
        <v>2618</v>
      </c>
      <c r="Y129" s="7" t="s">
        <v>1691</v>
      </c>
      <c r="AA129" s="7" t="s">
        <v>2617</v>
      </c>
      <c r="AB129" s="7">
        <v>10</v>
      </c>
      <c r="AC129" s="7" t="s">
        <v>51</v>
      </c>
      <c r="AD129" s="7" t="s">
        <v>424</v>
      </c>
      <c r="AF129" s="7" t="s">
        <v>44</v>
      </c>
      <c r="AH129" s="4">
        <v>44926.999988425923</v>
      </c>
    </row>
    <row r="130" spans="1:34" x14ac:dyDescent="0.3">
      <c r="A130" s="4">
        <v>44926</v>
      </c>
      <c r="B130" s="4">
        <v>44562</v>
      </c>
      <c r="C130" s="7" t="s">
        <v>35</v>
      </c>
      <c r="D130" s="7" t="s">
        <v>36</v>
      </c>
      <c r="E130" s="7" t="s">
        <v>36</v>
      </c>
      <c r="F130" s="7" t="s">
        <v>36</v>
      </c>
      <c r="G130" s="7" t="s">
        <v>37</v>
      </c>
      <c r="K130" s="7" t="s">
        <v>38</v>
      </c>
      <c r="L130" s="7" t="s">
        <v>39</v>
      </c>
      <c r="M130" s="7" t="s">
        <v>40</v>
      </c>
      <c r="N130" s="7" t="s">
        <v>41</v>
      </c>
      <c r="R130" s="7" t="s">
        <v>52</v>
      </c>
      <c r="T130" s="8">
        <v>42330.49</v>
      </c>
      <c r="U130" s="8">
        <v>-42330.49</v>
      </c>
      <c r="V130" s="7" t="s">
        <v>56</v>
      </c>
      <c r="W130" s="7" t="s">
        <v>2619</v>
      </c>
      <c r="X130" s="7" t="s">
        <v>2618</v>
      </c>
      <c r="Y130" s="7" t="s">
        <v>1691</v>
      </c>
      <c r="AA130" s="7" t="s">
        <v>2617</v>
      </c>
      <c r="AB130" s="7">
        <v>10</v>
      </c>
      <c r="AC130" s="7" t="s">
        <v>51</v>
      </c>
      <c r="AD130" s="7" t="s">
        <v>426</v>
      </c>
      <c r="AF130" s="7" t="s">
        <v>44</v>
      </c>
      <c r="AH130" s="4">
        <v>44926.999988425923</v>
      </c>
    </row>
    <row r="131" spans="1:34" x14ac:dyDescent="0.3">
      <c r="A131" s="4">
        <v>44926</v>
      </c>
      <c r="B131" s="4">
        <v>44926</v>
      </c>
      <c r="C131" s="7" t="s">
        <v>35</v>
      </c>
      <c r="D131" s="7" t="s">
        <v>36</v>
      </c>
      <c r="E131" s="7" t="s">
        <v>36</v>
      </c>
      <c r="F131" s="7" t="s">
        <v>36</v>
      </c>
      <c r="G131" s="7" t="s">
        <v>37</v>
      </c>
      <c r="K131" s="7" t="s">
        <v>38</v>
      </c>
      <c r="L131" s="7" t="s">
        <v>39</v>
      </c>
      <c r="M131" s="7" t="s">
        <v>40</v>
      </c>
      <c r="N131" s="7" t="s">
        <v>41</v>
      </c>
      <c r="R131" s="7" t="s">
        <v>45</v>
      </c>
      <c r="S131" s="8">
        <v>468686.85</v>
      </c>
      <c r="U131" s="8">
        <v>468686.85</v>
      </c>
      <c r="V131" s="7" t="s">
        <v>56</v>
      </c>
      <c r="W131" s="7" t="s">
        <v>2620</v>
      </c>
      <c r="X131" s="7" t="s">
        <v>2618</v>
      </c>
      <c r="Y131" s="7" t="s">
        <v>1691</v>
      </c>
      <c r="AA131" s="7" t="s">
        <v>2617</v>
      </c>
      <c r="AB131" s="7">
        <v>11</v>
      </c>
      <c r="AC131" s="7" t="s">
        <v>53</v>
      </c>
      <c r="AD131" s="7" t="s">
        <v>427</v>
      </c>
      <c r="AF131" s="7" t="s">
        <v>44</v>
      </c>
      <c r="AH131" s="4">
        <v>44926.999988425923</v>
      </c>
    </row>
    <row r="132" spans="1:34" x14ac:dyDescent="0.3">
      <c r="A132" s="4">
        <v>44926</v>
      </c>
      <c r="B132" s="4">
        <v>44926</v>
      </c>
      <c r="C132" s="7" t="s">
        <v>35</v>
      </c>
      <c r="D132" s="7" t="s">
        <v>36</v>
      </c>
      <c r="E132" s="7" t="s">
        <v>36</v>
      </c>
      <c r="F132" s="7" t="s">
        <v>36</v>
      </c>
      <c r="G132" s="7" t="s">
        <v>37</v>
      </c>
      <c r="K132" s="7" t="s">
        <v>38</v>
      </c>
      <c r="L132" s="7" t="s">
        <v>39</v>
      </c>
      <c r="M132" s="7" t="s">
        <v>40</v>
      </c>
      <c r="N132" s="7" t="s">
        <v>41</v>
      </c>
      <c r="R132" s="7" t="s">
        <v>54</v>
      </c>
      <c r="T132" s="8">
        <v>468686.85</v>
      </c>
      <c r="U132" s="8">
        <v>-468686.85</v>
      </c>
      <c r="V132" s="7" t="s">
        <v>56</v>
      </c>
      <c r="W132" s="7" t="s">
        <v>2620</v>
      </c>
      <c r="X132" s="7" t="s">
        <v>2618</v>
      </c>
      <c r="Y132" s="7" t="s">
        <v>1691</v>
      </c>
      <c r="AA132" s="7" t="s">
        <v>2617</v>
      </c>
      <c r="AB132" s="7">
        <v>11</v>
      </c>
      <c r="AC132" s="7" t="s">
        <v>53</v>
      </c>
      <c r="AD132" s="7" t="s">
        <v>429</v>
      </c>
      <c r="AF132" s="7" t="s">
        <v>44</v>
      </c>
      <c r="AH132" s="4">
        <v>44926.999988425923</v>
      </c>
    </row>
    <row r="133" spans="1:34" x14ac:dyDescent="0.3">
      <c r="A133" s="4">
        <v>44927</v>
      </c>
      <c r="B133" s="4">
        <v>44927</v>
      </c>
      <c r="C133" s="7" t="s">
        <v>35</v>
      </c>
      <c r="D133" s="7" t="s">
        <v>36</v>
      </c>
      <c r="E133" s="7" t="s">
        <v>36</v>
      </c>
      <c r="F133" s="7" t="s">
        <v>36</v>
      </c>
      <c r="G133" s="7" t="s">
        <v>37</v>
      </c>
      <c r="K133" s="7" t="s">
        <v>38</v>
      </c>
      <c r="L133" s="7" t="s">
        <v>39</v>
      </c>
      <c r="M133" s="7" t="s">
        <v>40</v>
      </c>
      <c r="N133" s="7" t="s">
        <v>41</v>
      </c>
      <c r="R133" s="7" t="s">
        <v>54</v>
      </c>
      <c r="S133" s="8">
        <v>468686.85</v>
      </c>
      <c r="U133" s="8">
        <v>468686.85</v>
      </c>
      <c r="V133" s="7" t="s">
        <v>56</v>
      </c>
      <c r="W133" s="7" t="s">
        <v>2620</v>
      </c>
      <c r="X133" s="7" t="s">
        <v>2618</v>
      </c>
      <c r="Y133" s="7" t="s">
        <v>1691</v>
      </c>
      <c r="AA133" s="7" t="s">
        <v>2617</v>
      </c>
      <c r="AB133" s="7">
        <v>11</v>
      </c>
      <c r="AC133" s="7" t="s">
        <v>55</v>
      </c>
      <c r="AD133" s="7" t="s">
        <v>430</v>
      </c>
      <c r="AF133" s="7" t="s">
        <v>44</v>
      </c>
      <c r="AH133" s="4">
        <v>44957.999988425923</v>
      </c>
    </row>
    <row r="134" spans="1:34" x14ac:dyDescent="0.3">
      <c r="A134" s="4">
        <v>44927</v>
      </c>
      <c r="B134" s="4">
        <v>44927</v>
      </c>
      <c r="C134" s="7" t="s">
        <v>35</v>
      </c>
      <c r="D134" s="7" t="s">
        <v>36</v>
      </c>
      <c r="E134" s="7" t="s">
        <v>36</v>
      </c>
      <c r="F134" s="7" t="s">
        <v>36</v>
      </c>
      <c r="G134" s="7" t="s">
        <v>37</v>
      </c>
      <c r="K134" s="7" t="s">
        <v>38</v>
      </c>
      <c r="L134" s="7" t="s">
        <v>39</v>
      </c>
      <c r="M134" s="7" t="s">
        <v>40</v>
      </c>
      <c r="N134" s="7" t="s">
        <v>41</v>
      </c>
      <c r="R134" s="7" t="s">
        <v>45</v>
      </c>
      <c r="T134" s="8">
        <v>468686.85</v>
      </c>
      <c r="U134" s="8">
        <v>-468686.85</v>
      </c>
      <c r="V134" s="7" t="s">
        <v>56</v>
      </c>
      <c r="W134" s="7" t="s">
        <v>2620</v>
      </c>
      <c r="X134" s="7" t="s">
        <v>2618</v>
      </c>
      <c r="Y134" s="7" t="s">
        <v>1691</v>
      </c>
      <c r="AA134" s="7" t="s">
        <v>2617</v>
      </c>
      <c r="AB134" s="7">
        <v>11</v>
      </c>
      <c r="AC134" s="7" t="s">
        <v>55</v>
      </c>
      <c r="AD134" s="7" t="s">
        <v>432</v>
      </c>
      <c r="AF134" s="7" t="s">
        <v>44</v>
      </c>
      <c r="AH134" s="4">
        <v>44957.999988425923</v>
      </c>
    </row>
    <row r="135" spans="1:34" x14ac:dyDescent="0.3">
      <c r="A135" s="4">
        <v>44927</v>
      </c>
      <c r="B135" s="4">
        <v>44957</v>
      </c>
      <c r="C135" s="7" t="s">
        <v>46</v>
      </c>
      <c r="D135" s="7" t="s">
        <v>36</v>
      </c>
      <c r="E135" s="7" t="s">
        <v>36</v>
      </c>
      <c r="F135" s="7" t="s">
        <v>36</v>
      </c>
      <c r="G135" s="7" t="s">
        <v>37</v>
      </c>
      <c r="K135" s="7" t="s">
        <v>38</v>
      </c>
      <c r="L135" s="7" t="s">
        <v>39</v>
      </c>
      <c r="M135" s="7" t="s">
        <v>38</v>
      </c>
      <c r="N135" s="7" t="s">
        <v>41</v>
      </c>
      <c r="R135" s="7" t="s">
        <v>49</v>
      </c>
      <c r="S135" s="8">
        <v>12180.058743</v>
      </c>
      <c r="U135" s="8">
        <v>12180.058743</v>
      </c>
      <c r="V135" s="7" t="s">
        <v>56</v>
      </c>
      <c r="W135" s="7" t="s">
        <v>57</v>
      </c>
      <c r="X135" s="7" t="s">
        <v>2618</v>
      </c>
      <c r="Y135" s="7" t="s">
        <v>1691</v>
      </c>
      <c r="AA135" s="7" t="s">
        <v>2617</v>
      </c>
      <c r="AB135" s="7">
        <v>12</v>
      </c>
      <c r="AC135" s="7" t="s">
        <v>57</v>
      </c>
      <c r="AD135" s="7" t="s">
        <v>433</v>
      </c>
      <c r="AF135" s="7" t="s">
        <v>44</v>
      </c>
      <c r="AH135" s="4">
        <v>44957.999988425923</v>
      </c>
    </row>
    <row r="136" spans="1:34" x14ac:dyDescent="0.3">
      <c r="A136" s="4">
        <v>44927</v>
      </c>
      <c r="B136" s="4">
        <v>44957</v>
      </c>
      <c r="C136" s="7" t="s">
        <v>46</v>
      </c>
      <c r="D136" s="7" t="s">
        <v>36</v>
      </c>
      <c r="E136" s="7" t="s">
        <v>36</v>
      </c>
      <c r="F136" s="7" t="s">
        <v>36</v>
      </c>
      <c r="G136" s="7" t="s">
        <v>37</v>
      </c>
      <c r="K136" s="7" t="s">
        <v>38</v>
      </c>
      <c r="L136" s="7" t="s">
        <v>39</v>
      </c>
      <c r="M136" s="7" t="s">
        <v>40</v>
      </c>
      <c r="N136" s="7" t="s">
        <v>41</v>
      </c>
      <c r="R136" s="7" t="s">
        <v>45</v>
      </c>
      <c r="S136" s="8">
        <v>37819.941256999999</v>
      </c>
      <c r="U136" s="8">
        <v>37819.941256999999</v>
      </c>
      <c r="V136" s="7" t="s">
        <v>56</v>
      </c>
      <c r="W136" s="7" t="s">
        <v>57</v>
      </c>
      <c r="X136" s="7" t="s">
        <v>2618</v>
      </c>
      <c r="Y136" s="7" t="s">
        <v>1691</v>
      </c>
      <c r="AA136" s="7" t="s">
        <v>2617</v>
      </c>
      <c r="AB136" s="7">
        <v>12</v>
      </c>
      <c r="AC136" s="7" t="s">
        <v>57</v>
      </c>
      <c r="AD136" s="7" t="s">
        <v>435</v>
      </c>
      <c r="AF136" s="7" t="s">
        <v>44</v>
      </c>
      <c r="AH136" s="4">
        <v>44957.999988425923</v>
      </c>
    </row>
    <row r="137" spans="1:34" x14ac:dyDescent="0.3">
      <c r="A137" s="4">
        <v>44927</v>
      </c>
      <c r="B137" s="4">
        <v>44957</v>
      </c>
      <c r="C137" s="7" t="s">
        <v>46</v>
      </c>
      <c r="D137" s="7" t="s">
        <v>36</v>
      </c>
      <c r="E137" s="7" t="s">
        <v>36</v>
      </c>
      <c r="F137" s="7" t="s">
        <v>36</v>
      </c>
      <c r="G137" s="7" t="s">
        <v>37</v>
      </c>
      <c r="K137" s="7" t="s">
        <v>38</v>
      </c>
      <c r="L137" s="7" t="s">
        <v>39</v>
      </c>
      <c r="M137" s="7" t="s">
        <v>40</v>
      </c>
      <c r="N137" s="7" t="s">
        <v>41</v>
      </c>
      <c r="R137" s="7" t="s">
        <v>58</v>
      </c>
      <c r="T137" s="8">
        <v>50000</v>
      </c>
      <c r="U137" s="8">
        <v>-50000</v>
      </c>
      <c r="V137" s="7" t="s">
        <v>56</v>
      </c>
      <c r="W137" s="7" t="s">
        <v>57</v>
      </c>
      <c r="X137" s="7" t="s">
        <v>2618</v>
      </c>
      <c r="Y137" s="7" t="s">
        <v>1691</v>
      </c>
      <c r="AA137" s="7" t="s">
        <v>2617</v>
      </c>
      <c r="AB137" s="7">
        <v>12</v>
      </c>
      <c r="AC137" s="7" t="s">
        <v>57</v>
      </c>
      <c r="AD137" s="7" t="s">
        <v>436</v>
      </c>
      <c r="AF137" s="7" t="s">
        <v>44</v>
      </c>
      <c r="AH137" s="4">
        <v>44957.999988425923</v>
      </c>
    </row>
    <row r="138" spans="1:34" x14ac:dyDescent="0.3">
      <c r="A138" s="4">
        <v>44957</v>
      </c>
      <c r="B138" s="4">
        <v>44957</v>
      </c>
      <c r="C138" s="7" t="s">
        <v>46</v>
      </c>
      <c r="D138" s="7" t="s">
        <v>36</v>
      </c>
      <c r="E138" s="7" t="s">
        <v>36</v>
      </c>
      <c r="F138" s="7" t="s">
        <v>36</v>
      </c>
      <c r="G138" s="7" t="s">
        <v>37</v>
      </c>
      <c r="K138" s="7" t="s">
        <v>38</v>
      </c>
      <c r="L138" s="7" t="s">
        <v>39</v>
      </c>
      <c r="M138" s="7" t="s">
        <v>40</v>
      </c>
      <c r="N138" s="7" t="s">
        <v>41</v>
      </c>
      <c r="R138" s="7" t="s">
        <v>47</v>
      </c>
      <c r="S138" s="8">
        <v>11959.442419000001</v>
      </c>
      <c r="U138" s="8">
        <v>11959.442419000001</v>
      </c>
      <c r="V138" s="7" t="s">
        <v>56</v>
      </c>
      <c r="W138" s="7" t="s">
        <v>2621</v>
      </c>
      <c r="X138" s="7" t="s">
        <v>2618</v>
      </c>
      <c r="Y138" s="7" t="s">
        <v>1691</v>
      </c>
      <c r="AA138" s="7" t="s">
        <v>2617</v>
      </c>
      <c r="AB138" s="7">
        <v>8</v>
      </c>
      <c r="AC138" s="7" t="s">
        <v>48</v>
      </c>
      <c r="AD138" s="7" t="s">
        <v>437</v>
      </c>
      <c r="AF138" s="7" t="s">
        <v>44</v>
      </c>
      <c r="AH138" s="4">
        <v>44957.999988425923</v>
      </c>
    </row>
    <row r="139" spans="1:34" x14ac:dyDescent="0.3">
      <c r="A139" s="4">
        <v>44957</v>
      </c>
      <c r="B139" s="4">
        <v>44957</v>
      </c>
      <c r="C139" s="7" t="s">
        <v>46</v>
      </c>
      <c r="D139" s="7" t="s">
        <v>36</v>
      </c>
      <c r="E139" s="7" t="s">
        <v>36</v>
      </c>
      <c r="F139" s="7" t="s">
        <v>36</v>
      </c>
      <c r="G139" s="7" t="s">
        <v>37</v>
      </c>
      <c r="K139" s="7" t="s">
        <v>38</v>
      </c>
      <c r="L139" s="7" t="s">
        <v>39</v>
      </c>
      <c r="M139" s="7" t="s">
        <v>38</v>
      </c>
      <c r="N139" s="7" t="s">
        <v>41</v>
      </c>
      <c r="R139" s="7" t="s">
        <v>49</v>
      </c>
      <c r="T139" s="8">
        <v>11959.442419000001</v>
      </c>
      <c r="U139" s="8">
        <v>-11959.442419000001</v>
      </c>
      <c r="V139" s="7" t="s">
        <v>56</v>
      </c>
      <c r="W139" s="7" t="s">
        <v>2621</v>
      </c>
      <c r="X139" s="7" t="s">
        <v>2618</v>
      </c>
      <c r="Y139" s="7" t="s">
        <v>1691</v>
      </c>
      <c r="AA139" s="7" t="s">
        <v>2617</v>
      </c>
      <c r="AB139" s="7">
        <v>8</v>
      </c>
      <c r="AC139" s="7" t="s">
        <v>48</v>
      </c>
      <c r="AD139" s="7" t="s">
        <v>439</v>
      </c>
      <c r="AF139" s="7" t="s">
        <v>44</v>
      </c>
      <c r="AH139" s="4">
        <v>44957.999988425923</v>
      </c>
    </row>
    <row r="140" spans="1:34" x14ac:dyDescent="0.3">
      <c r="A140" s="4">
        <v>44957</v>
      </c>
      <c r="B140" s="4">
        <v>44562</v>
      </c>
      <c r="C140" s="7" t="s">
        <v>35</v>
      </c>
      <c r="D140" s="7" t="s">
        <v>36</v>
      </c>
      <c r="E140" s="7" t="s">
        <v>36</v>
      </c>
      <c r="F140" s="7" t="s">
        <v>36</v>
      </c>
      <c r="G140" s="7" t="s">
        <v>37</v>
      </c>
      <c r="K140" s="7" t="s">
        <v>38</v>
      </c>
      <c r="L140" s="7" t="s">
        <v>39</v>
      </c>
      <c r="M140" s="7" t="s">
        <v>40</v>
      </c>
      <c r="N140" s="7" t="s">
        <v>41</v>
      </c>
      <c r="R140" s="7" t="s">
        <v>50</v>
      </c>
      <c r="S140" s="8">
        <v>42330.5</v>
      </c>
      <c r="U140" s="8">
        <v>42330.5</v>
      </c>
      <c r="V140" s="7" t="s">
        <v>56</v>
      </c>
      <c r="W140" s="7" t="s">
        <v>2619</v>
      </c>
      <c r="X140" s="7" t="s">
        <v>2618</v>
      </c>
      <c r="Y140" s="7" t="s">
        <v>1691</v>
      </c>
      <c r="AA140" s="7" t="s">
        <v>2617</v>
      </c>
      <c r="AB140" s="7">
        <v>10</v>
      </c>
      <c r="AC140" s="7" t="s">
        <v>51</v>
      </c>
      <c r="AD140" s="7" t="s">
        <v>440</v>
      </c>
      <c r="AF140" s="7" t="s">
        <v>44</v>
      </c>
      <c r="AH140" s="4">
        <v>44957.999988425923</v>
      </c>
    </row>
    <row r="141" spans="1:34" x14ac:dyDescent="0.3">
      <c r="A141" s="4">
        <v>44957</v>
      </c>
      <c r="B141" s="4">
        <v>44562</v>
      </c>
      <c r="C141" s="7" t="s">
        <v>35</v>
      </c>
      <c r="D141" s="7" t="s">
        <v>36</v>
      </c>
      <c r="E141" s="7" t="s">
        <v>36</v>
      </c>
      <c r="F141" s="7" t="s">
        <v>36</v>
      </c>
      <c r="G141" s="7" t="s">
        <v>37</v>
      </c>
      <c r="K141" s="7" t="s">
        <v>38</v>
      </c>
      <c r="L141" s="7" t="s">
        <v>39</v>
      </c>
      <c r="M141" s="7" t="s">
        <v>40</v>
      </c>
      <c r="N141" s="7" t="s">
        <v>41</v>
      </c>
      <c r="R141" s="7" t="s">
        <v>52</v>
      </c>
      <c r="T141" s="8">
        <v>42330.5</v>
      </c>
      <c r="U141" s="8">
        <v>-42330.5</v>
      </c>
      <c r="V141" s="7" t="s">
        <v>56</v>
      </c>
      <c r="W141" s="7" t="s">
        <v>2619</v>
      </c>
      <c r="X141" s="7" t="s">
        <v>2618</v>
      </c>
      <c r="Y141" s="7" t="s">
        <v>1691</v>
      </c>
      <c r="AA141" s="7" t="s">
        <v>2617</v>
      </c>
      <c r="AB141" s="7">
        <v>10</v>
      </c>
      <c r="AC141" s="7" t="s">
        <v>51</v>
      </c>
      <c r="AD141" s="7" t="s">
        <v>442</v>
      </c>
      <c r="AF141" s="7" t="s">
        <v>44</v>
      </c>
      <c r="AH141" s="4">
        <v>44957.999988425923</v>
      </c>
    </row>
    <row r="142" spans="1:34" x14ac:dyDescent="0.3">
      <c r="A142" s="4">
        <v>44957</v>
      </c>
      <c r="B142" s="4">
        <v>44957</v>
      </c>
      <c r="C142" s="7" t="s">
        <v>35</v>
      </c>
      <c r="D142" s="7" t="s">
        <v>36</v>
      </c>
      <c r="E142" s="7" t="s">
        <v>36</v>
      </c>
      <c r="F142" s="7" t="s">
        <v>36</v>
      </c>
      <c r="G142" s="7" t="s">
        <v>37</v>
      </c>
      <c r="K142" s="7" t="s">
        <v>38</v>
      </c>
      <c r="L142" s="7" t="s">
        <v>39</v>
      </c>
      <c r="M142" s="7" t="s">
        <v>40</v>
      </c>
      <c r="N142" s="7" t="s">
        <v>41</v>
      </c>
      <c r="R142" s="7" t="s">
        <v>45</v>
      </c>
      <c r="S142" s="8">
        <v>471420.85</v>
      </c>
      <c r="U142" s="8">
        <v>471420.85</v>
      </c>
      <c r="V142" s="7" t="s">
        <v>56</v>
      </c>
      <c r="W142" s="7" t="s">
        <v>2620</v>
      </c>
      <c r="X142" s="7" t="s">
        <v>2618</v>
      </c>
      <c r="Y142" s="7" t="s">
        <v>1691</v>
      </c>
      <c r="AA142" s="7" t="s">
        <v>2617</v>
      </c>
      <c r="AB142" s="7">
        <v>11</v>
      </c>
      <c r="AC142" s="7" t="s">
        <v>53</v>
      </c>
      <c r="AD142" s="7" t="s">
        <v>443</v>
      </c>
      <c r="AF142" s="7" t="s">
        <v>44</v>
      </c>
      <c r="AH142" s="4">
        <v>44957.999988425923</v>
      </c>
    </row>
    <row r="143" spans="1:34" x14ac:dyDescent="0.3">
      <c r="A143" s="4">
        <v>44957</v>
      </c>
      <c r="B143" s="4">
        <v>44957</v>
      </c>
      <c r="C143" s="7" t="s">
        <v>35</v>
      </c>
      <c r="D143" s="7" t="s">
        <v>36</v>
      </c>
      <c r="E143" s="7" t="s">
        <v>36</v>
      </c>
      <c r="F143" s="7" t="s">
        <v>36</v>
      </c>
      <c r="G143" s="7" t="s">
        <v>37</v>
      </c>
      <c r="K143" s="7" t="s">
        <v>38</v>
      </c>
      <c r="L143" s="7" t="s">
        <v>39</v>
      </c>
      <c r="M143" s="7" t="s">
        <v>40</v>
      </c>
      <c r="N143" s="7" t="s">
        <v>41</v>
      </c>
      <c r="R143" s="7" t="s">
        <v>54</v>
      </c>
      <c r="T143" s="8">
        <v>471420.85</v>
      </c>
      <c r="U143" s="8">
        <v>-471420.85</v>
      </c>
      <c r="V143" s="7" t="s">
        <v>56</v>
      </c>
      <c r="W143" s="7" t="s">
        <v>2620</v>
      </c>
      <c r="X143" s="7" t="s">
        <v>2618</v>
      </c>
      <c r="Y143" s="7" t="s">
        <v>1691</v>
      </c>
      <c r="AA143" s="7" t="s">
        <v>2617</v>
      </c>
      <c r="AB143" s="7">
        <v>11</v>
      </c>
      <c r="AC143" s="7" t="s">
        <v>53</v>
      </c>
      <c r="AD143" s="7" t="s">
        <v>445</v>
      </c>
      <c r="AF143" s="7" t="s">
        <v>44</v>
      </c>
      <c r="AH143" s="4">
        <v>44957.999988425923</v>
      </c>
    </row>
    <row r="144" spans="1:34" x14ac:dyDescent="0.3">
      <c r="A144" s="4">
        <v>44958</v>
      </c>
      <c r="B144" s="4">
        <v>44958</v>
      </c>
      <c r="C144" s="7" t="s">
        <v>35</v>
      </c>
      <c r="D144" s="7" t="s">
        <v>36</v>
      </c>
      <c r="E144" s="7" t="s">
        <v>36</v>
      </c>
      <c r="F144" s="7" t="s">
        <v>36</v>
      </c>
      <c r="G144" s="7" t="s">
        <v>37</v>
      </c>
      <c r="K144" s="7" t="s">
        <v>38</v>
      </c>
      <c r="L144" s="7" t="s">
        <v>39</v>
      </c>
      <c r="M144" s="7" t="s">
        <v>40</v>
      </c>
      <c r="N144" s="7" t="s">
        <v>41</v>
      </c>
      <c r="R144" s="7" t="s">
        <v>54</v>
      </c>
      <c r="S144" s="8">
        <v>471420.85</v>
      </c>
      <c r="U144" s="8">
        <v>471420.85</v>
      </c>
      <c r="V144" s="7" t="s">
        <v>56</v>
      </c>
      <c r="W144" s="7" t="s">
        <v>2620</v>
      </c>
      <c r="X144" s="7" t="s">
        <v>2618</v>
      </c>
      <c r="Y144" s="7" t="s">
        <v>1691</v>
      </c>
      <c r="AA144" s="7" t="s">
        <v>2617</v>
      </c>
      <c r="AB144" s="7">
        <v>11</v>
      </c>
      <c r="AC144" s="7" t="s">
        <v>55</v>
      </c>
      <c r="AD144" s="7" t="s">
        <v>446</v>
      </c>
      <c r="AF144" s="7" t="s">
        <v>44</v>
      </c>
      <c r="AH144" s="4">
        <v>44985.999988425923</v>
      </c>
    </row>
    <row r="145" spans="1:34" x14ac:dyDescent="0.3">
      <c r="A145" s="4">
        <v>44958</v>
      </c>
      <c r="B145" s="4">
        <v>44958</v>
      </c>
      <c r="C145" s="7" t="s">
        <v>35</v>
      </c>
      <c r="D145" s="7" t="s">
        <v>36</v>
      </c>
      <c r="E145" s="7" t="s">
        <v>36</v>
      </c>
      <c r="F145" s="7" t="s">
        <v>36</v>
      </c>
      <c r="G145" s="7" t="s">
        <v>37</v>
      </c>
      <c r="K145" s="7" t="s">
        <v>38</v>
      </c>
      <c r="L145" s="7" t="s">
        <v>39</v>
      </c>
      <c r="M145" s="7" t="s">
        <v>40</v>
      </c>
      <c r="N145" s="7" t="s">
        <v>41</v>
      </c>
      <c r="R145" s="7" t="s">
        <v>45</v>
      </c>
      <c r="T145" s="8">
        <v>471420.85</v>
      </c>
      <c r="U145" s="8">
        <v>-471420.85</v>
      </c>
      <c r="V145" s="7" t="s">
        <v>56</v>
      </c>
      <c r="W145" s="7" t="s">
        <v>2620</v>
      </c>
      <c r="X145" s="7" t="s">
        <v>2618</v>
      </c>
      <c r="Y145" s="7" t="s">
        <v>1691</v>
      </c>
      <c r="AA145" s="7" t="s">
        <v>2617</v>
      </c>
      <c r="AB145" s="7">
        <v>11</v>
      </c>
      <c r="AC145" s="7" t="s">
        <v>55</v>
      </c>
      <c r="AD145" s="7" t="s">
        <v>448</v>
      </c>
      <c r="AF145" s="7" t="s">
        <v>44</v>
      </c>
      <c r="AH145" s="4">
        <v>44985.999988425923</v>
      </c>
    </row>
    <row r="146" spans="1:34" x14ac:dyDescent="0.3">
      <c r="A146" s="4">
        <v>44958</v>
      </c>
      <c r="B146" s="4">
        <v>44985</v>
      </c>
      <c r="C146" s="7" t="s">
        <v>46</v>
      </c>
      <c r="D146" s="7" t="s">
        <v>36</v>
      </c>
      <c r="E146" s="7" t="s">
        <v>36</v>
      </c>
      <c r="F146" s="7" t="s">
        <v>36</v>
      </c>
      <c r="G146" s="7" t="s">
        <v>37</v>
      </c>
      <c r="K146" s="7" t="s">
        <v>38</v>
      </c>
      <c r="L146" s="7" t="s">
        <v>39</v>
      </c>
      <c r="M146" s="7" t="s">
        <v>38</v>
      </c>
      <c r="N146" s="7" t="s">
        <v>41</v>
      </c>
      <c r="R146" s="7" t="s">
        <v>49</v>
      </c>
      <c r="S146" s="8">
        <v>11959.442419000001</v>
      </c>
      <c r="U146" s="8">
        <v>11959.442419000001</v>
      </c>
      <c r="V146" s="7" t="s">
        <v>56</v>
      </c>
      <c r="W146" s="7" t="s">
        <v>57</v>
      </c>
      <c r="X146" s="7" t="s">
        <v>2618</v>
      </c>
      <c r="Y146" s="7" t="s">
        <v>1691</v>
      </c>
      <c r="AA146" s="7" t="s">
        <v>2617</v>
      </c>
      <c r="AB146" s="7">
        <v>12</v>
      </c>
      <c r="AC146" s="7" t="s">
        <v>57</v>
      </c>
      <c r="AD146" s="7" t="s">
        <v>449</v>
      </c>
      <c r="AF146" s="7" t="s">
        <v>44</v>
      </c>
      <c r="AH146" s="4">
        <v>44985.999988425923</v>
      </c>
    </row>
    <row r="147" spans="1:34" x14ac:dyDescent="0.3">
      <c r="A147" s="4">
        <v>44958</v>
      </c>
      <c r="B147" s="4">
        <v>44985</v>
      </c>
      <c r="C147" s="7" t="s">
        <v>46</v>
      </c>
      <c r="D147" s="7" t="s">
        <v>36</v>
      </c>
      <c r="E147" s="7" t="s">
        <v>36</v>
      </c>
      <c r="F147" s="7" t="s">
        <v>36</v>
      </c>
      <c r="G147" s="7" t="s">
        <v>37</v>
      </c>
      <c r="K147" s="7" t="s">
        <v>38</v>
      </c>
      <c r="L147" s="7" t="s">
        <v>39</v>
      </c>
      <c r="M147" s="7" t="s">
        <v>40</v>
      </c>
      <c r="N147" s="7" t="s">
        <v>41</v>
      </c>
      <c r="R147" s="7" t="s">
        <v>45</v>
      </c>
      <c r="S147" s="8">
        <v>38040.557581000001</v>
      </c>
      <c r="U147" s="8">
        <v>38040.557581000001</v>
      </c>
      <c r="V147" s="7" t="s">
        <v>56</v>
      </c>
      <c r="W147" s="7" t="s">
        <v>57</v>
      </c>
      <c r="X147" s="7" t="s">
        <v>2618</v>
      </c>
      <c r="Y147" s="7" t="s">
        <v>1691</v>
      </c>
      <c r="AA147" s="7" t="s">
        <v>2617</v>
      </c>
      <c r="AB147" s="7">
        <v>12</v>
      </c>
      <c r="AC147" s="7" t="s">
        <v>57</v>
      </c>
      <c r="AD147" s="7" t="s">
        <v>451</v>
      </c>
      <c r="AF147" s="7" t="s">
        <v>44</v>
      </c>
      <c r="AH147" s="4">
        <v>44985.999988425923</v>
      </c>
    </row>
    <row r="148" spans="1:34" x14ac:dyDescent="0.3">
      <c r="A148" s="4">
        <v>44958</v>
      </c>
      <c r="B148" s="4">
        <v>44985</v>
      </c>
      <c r="C148" s="7" t="s">
        <v>46</v>
      </c>
      <c r="D148" s="7" t="s">
        <v>36</v>
      </c>
      <c r="E148" s="7" t="s">
        <v>36</v>
      </c>
      <c r="F148" s="7" t="s">
        <v>36</v>
      </c>
      <c r="G148" s="7" t="s">
        <v>37</v>
      </c>
      <c r="K148" s="7" t="s">
        <v>38</v>
      </c>
      <c r="L148" s="7" t="s">
        <v>39</v>
      </c>
      <c r="M148" s="7" t="s">
        <v>40</v>
      </c>
      <c r="N148" s="7" t="s">
        <v>41</v>
      </c>
      <c r="R148" s="7" t="s">
        <v>58</v>
      </c>
      <c r="T148" s="8">
        <v>50000</v>
      </c>
      <c r="U148" s="8">
        <v>-50000</v>
      </c>
      <c r="V148" s="7" t="s">
        <v>56</v>
      </c>
      <c r="W148" s="7" t="s">
        <v>57</v>
      </c>
      <c r="X148" s="7" t="s">
        <v>2618</v>
      </c>
      <c r="Y148" s="7" t="s">
        <v>1691</v>
      </c>
      <c r="AA148" s="7" t="s">
        <v>2617</v>
      </c>
      <c r="AB148" s="7">
        <v>12</v>
      </c>
      <c r="AC148" s="7" t="s">
        <v>57</v>
      </c>
      <c r="AD148" s="7" t="s">
        <v>452</v>
      </c>
      <c r="AF148" s="7" t="s">
        <v>44</v>
      </c>
      <c r="AH148" s="4">
        <v>44985.999988425923</v>
      </c>
    </row>
    <row r="149" spans="1:34" x14ac:dyDescent="0.3">
      <c r="A149" s="4">
        <v>44985</v>
      </c>
      <c r="B149" s="4">
        <v>44985</v>
      </c>
      <c r="C149" s="7" t="s">
        <v>46</v>
      </c>
      <c r="D149" s="7" t="s">
        <v>36</v>
      </c>
      <c r="E149" s="7" t="s">
        <v>36</v>
      </c>
      <c r="F149" s="7" t="s">
        <v>36</v>
      </c>
      <c r="G149" s="7" t="s">
        <v>37</v>
      </c>
      <c r="K149" s="7" t="s">
        <v>38</v>
      </c>
      <c r="L149" s="7" t="s">
        <v>39</v>
      </c>
      <c r="M149" s="7" t="s">
        <v>40</v>
      </c>
      <c r="N149" s="7" t="s">
        <v>41</v>
      </c>
      <c r="R149" s="7" t="s">
        <v>47</v>
      </c>
      <c r="S149" s="8">
        <v>11737.539167000001</v>
      </c>
      <c r="U149" s="8">
        <v>11737.539167000001</v>
      </c>
      <c r="V149" s="7" t="s">
        <v>56</v>
      </c>
      <c r="W149" s="7" t="s">
        <v>2621</v>
      </c>
      <c r="X149" s="7" t="s">
        <v>2618</v>
      </c>
      <c r="Y149" s="7" t="s">
        <v>1691</v>
      </c>
      <c r="AA149" s="7" t="s">
        <v>2617</v>
      </c>
      <c r="AB149" s="7">
        <v>8</v>
      </c>
      <c r="AC149" s="7" t="s">
        <v>48</v>
      </c>
      <c r="AD149" s="7" t="s">
        <v>453</v>
      </c>
      <c r="AF149" s="7" t="s">
        <v>44</v>
      </c>
      <c r="AH149" s="4">
        <v>44985.999988425923</v>
      </c>
    </row>
    <row r="150" spans="1:34" x14ac:dyDescent="0.3">
      <c r="A150" s="4">
        <v>44985</v>
      </c>
      <c r="B150" s="4">
        <v>44985</v>
      </c>
      <c r="C150" s="7" t="s">
        <v>46</v>
      </c>
      <c r="D150" s="7" t="s">
        <v>36</v>
      </c>
      <c r="E150" s="7" t="s">
        <v>36</v>
      </c>
      <c r="F150" s="7" t="s">
        <v>36</v>
      </c>
      <c r="G150" s="7" t="s">
        <v>37</v>
      </c>
      <c r="K150" s="7" t="s">
        <v>38</v>
      </c>
      <c r="L150" s="7" t="s">
        <v>39</v>
      </c>
      <c r="M150" s="7" t="s">
        <v>38</v>
      </c>
      <c r="N150" s="7" t="s">
        <v>41</v>
      </c>
      <c r="R150" s="7" t="s">
        <v>49</v>
      </c>
      <c r="T150" s="8">
        <v>11737.539167000001</v>
      </c>
      <c r="U150" s="8">
        <v>-11737.539167000001</v>
      </c>
      <c r="V150" s="7" t="s">
        <v>56</v>
      </c>
      <c r="W150" s="7" t="s">
        <v>2621</v>
      </c>
      <c r="X150" s="7" t="s">
        <v>2618</v>
      </c>
      <c r="Y150" s="7" t="s">
        <v>1691</v>
      </c>
      <c r="AA150" s="7" t="s">
        <v>2617</v>
      </c>
      <c r="AB150" s="7">
        <v>8</v>
      </c>
      <c r="AC150" s="7" t="s">
        <v>48</v>
      </c>
      <c r="AD150" s="7" t="s">
        <v>455</v>
      </c>
      <c r="AF150" s="7" t="s">
        <v>44</v>
      </c>
      <c r="AH150" s="4">
        <v>44985.999988425923</v>
      </c>
    </row>
    <row r="151" spans="1:34" x14ac:dyDescent="0.3">
      <c r="A151" s="4">
        <v>44985</v>
      </c>
      <c r="B151" s="4">
        <v>44562</v>
      </c>
      <c r="C151" s="7" t="s">
        <v>35</v>
      </c>
      <c r="D151" s="7" t="s">
        <v>36</v>
      </c>
      <c r="E151" s="7" t="s">
        <v>36</v>
      </c>
      <c r="F151" s="7" t="s">
        <v>36</v>
      </c>
      <c r="G151" s="7" t="s">
        <v>37</v>
      </c>
      <c r="K151" s="7" t="s">
        <v>38</v>
      </c>
      <c r="L151" s="7" t="s">
        <v>39</v>
      </c>
      <c r="M151" s="7" t="s">
        <v>40</v>
      </c>
      <c r="N151" s="7" t="s">
        <v>41</v>
      </c>
      <c r="R151" s="7" t="s">
        <v>50</v>
      </c>
      <c r="S151" s="8">
        <v>42330.49</v>
      </c>
      <c r="U151" s="8">
        <v>42330.49</v>
      </c>
      <c r="V151" s="7" t="s">
        <v>56</v>
      </c>
      <c r="W151" s="7" t="s">
        <v>2619</v>
      </c>
      <c r="X151" s="7" t="s">
        <v>2618</v>
      </c>
      <c r="Y151" s="7" t="s">
        <v>1691</v>
      </c>
      <c r="AA151" s="7" t="s">
        <v>2617</v>
      </c>
      <c r="AB151" s="7">
        <v>10</v>
      </c>
      <c r="AC151" s="7" t="s">
        <v>51</v>
      </c>
      <c r="AD151" s="7" t="s">
        <v>456</v>
      </c>
      <c r="AF151" s="7" t="s">
        <v>44</v>
      </c>
      <c r="AH151" s="4">
        <v>44985.999988425923</v>
      </c>
    </row>
    <row r="152" spans="1:34" x14ac:dyDescent="0.3">
      <c r="A152" s="4">
        <v>44985</v>
      </c>
      <c r="B152" s="4">
        <v>44562</v>
      </c>
      <c r="C152" s="7" t="s">
        <v>35</v>
      </c>
      <c r="D152" s="7" t="s">
        <v>36</v>
      </c>
      <c r="E152" s="7" t="s">
        <v>36</v>
      </c>
      <c r="F152" s="7" t="s">
        <v>36</v>
      </c>
      <c r="G152" s="7" t="s">
        <v>37</v>
      </c>
      <c r="K152" s="7" t="s">
        <v>38</v>
      </c>
      <c r="L152" s="7" t="s">
        <v>39</v>
      </c>
      <c r="M152" s="7" t="s">
        <v>40</v>
      </c>
      <c r="N152" s="7" t="s">
        <v>41</v>
      </c>
      <c r="R152" s="7" t="s">
        <v>52</v>
      </c>
      <c r="T152" s="8">
        <v>42330.49</v>
      </c>
      <c r="U152" s="8">
        <v>-42330.49</v>
      </c>
      <c r="V152" s="7" t="s">
        <v>56</v>
      </c>
      <c r="W152" s="7" t="s">
        <v>2619</v>
      </c>
      <c r="X152" s="7" t="s">
        <v>2618</v>
      </c>
      <c r="Y152" s="7" t="s">
        <v>1691</v>
      </c>
      <c r="AA152" s="7" t="s">
        <v>2617</v>
      </c>
      <c r="AB152" s="7">
        <v>10</v>
      </c>
      <c r="AC152" s="7" t="s">
        <v>51</v>
      </c>
      <c r="AD152" s="7" t="s">
        <v>458</v>
      </c>
      <c r="AF152" s="7" t="s">
        <v>44</v>
      </c>
      <c r="AH152" s="4">
        <v>44985.999988425923</v>
      </c>
    </row>
    <row r="153" spans="1:34" x14ac:dyDescent="0.3">
      <c r="A153" s="4">
        <v>44985</v>
      </c>
      <c r="B153" s="4">
        <v>44985</v>
      </c>
      <c r="C153" s="7" t="s">
        <v>35</v>
      </c>
      <c r="D153" s="7" t="s">
        <v>36</v>
      </c>
      <c r="E153" s="7" t="s">
        <v>36</v>
      </c>
      <c r="F153" s="7" t="s">
        <v>36</v>
      </c>
      <c r="G153" s="7" t="s">
        <v>37</v>
      </c>
      <c r="K153" s="7" t="s">
        <v>38</v>
      </c>
      <c r="L153" s="7" t="s">
        <v>39</v>
      </c>
      <c r="M153" s="7" t="s">
        <v>40</v>
      </c>
      <c r="N153" s="7" t="s">
        <v>41</v>
      </c>
      <c r="R153" s="7" t="s">
        <v>45</v>
      </c>
      <c r="S153" s="8">
        <v>474170.81</v>
      </c>
      <c r="U153" s="8">
        <v>474170.81</v>
      </c>
      <c r="V153" s="7" t="s">
        <v>56</v>
      </c>
      <c r="W153" s="7" t="s">
        <v>2620</v>
      </c>
      <c r="X153" s="7" t="s">
        <v>2618</v>
      </c>
      <c r="Y153" s="7" t="s">
        <v>1691</v>
      </c>
      <c r="AA153" s="7" t="s">
        <v>2617</v>
      </c>
      <c r="AB153" s="7">
        <v>11</v>
      </c>
      <c r="AC153" s="7" t="s">
        <v>53</v>
      </c>
      <c r="AD153" s="7" t="s">
        <v>459</v>
      </c>
      <c r="AF153" s="7" t="s">
        <v>44</v>
      </c>
      <c r="AH153" s="4">
        <v>44985.999988425923</v>
      </c>
    </row>
    <row r="154" spans="1:34" x14ac:dyDescent="0.3">
      <c r="A154" s="4">
        <v>44985</v>
      </c>
      <c r="B154" s="4">
        <v>44985</v>
      </c>
      <c r="C154" s="7" t="s">
        <v>35</v>
      </c>
      <c r="D154" s="7" t="s">
        <v>36</v>
      </c>
      <c r="E154" s="7" t="s">
        <v>36</v>
      </c>
      <c r="F154" s="7" t="s">
        <v>36</v>
      </c>
      <c r="G154" s="7" t="s">
        <v>37</v>
      </c>
      <c r="K154" s="7" t="s">
        <v>38</v>
      </c>
      <c r="L154" s="7" t="s">
        <v>39</v>
      </c>
      <c r="M154" s="7" t="s">
        <v>40</v>
      </c>
      <c r="N154" s="7" t="s">
        <v>41</v>
      </c>
      <c r="R154" s="7" t="s">
        <v>54</v>
      </c>
      <c r="T154" s="8">
        <v>474170.81</v>
      </c>
      <c r="U154" s="8">
        <v>-474170.81</v>
      </c>
      <c r="V154" s="7" t="s">
        <v>56</v>
      </c>
      <c r="W154" s="7" t="s">
        <v>2620</v>
      </c>
      <c r="X154" s="7" t="s">
        <v>2618</v>
      </c>
      <c r="Y154" s="7" t="s">
        <v>1691</v>
      </c>
      <c r="AA154" s="7" t="s">
        <v>2617</v>
      </c>
      <c r="AB154" s="7">
        <v>11</v>
      </c>
      <c r="AC154" s="7" t="s">
        <v>53</v>
      </c>
      <c r="AD154" s="7" t="s">
        <v>461</v>
      </c>
      <c r="AF154" s="7" t="s">
        <v>44</v>
      </c>
      <c r="AH154" s="4">
        <v>44985.999988425923</v>
      </c>
    </row>
    <row r="155" spans="1:34" x14ac:dyDescent="0.3">
      <c r="A155" s="4">
        <v>44986</v>
      </c>
      <c r="B155" s="4">
        <v>44986</v>
      </c>
      <c r="C155" s="7" t="s">
        <v>35</v>
      </c>
      <c r="D155" s="7" t="s">
        <v>36</v>
      </c>
      <c r="E155" s="7" t="s">
        <v>36</v>
      </c>
      <c r="F155" s="7" t="s">
        <v>36</v>
      </c>
      <c r="G155" s="7" t="s">
        <v>37</v>
      </c>
      <c r="K155" s="7" t="s">
        <v>38</v>
      </c>
      <c r="L155" s="7" t="s">
        <v>39</v>
      </c>
      <c r="M155" s="7" t="s">
        <v>40</v>
      </c>
      <c r="N155" s="7" t="s">
        <v>41</v>
      </c>
      <c r="R155" s="7" t="s">
        <v>54</v>
      </c>
      <c r="S155" s="8">
        <v>474170.81</v>
      </c>
      <c r="U155" s="8">
        <v>474170.81</v>
      </c>
      <c r="V155" s="7" t="s">
        <v>56</v>
      </c>
      <c r="W155" s="7" t="s">
        <v>2620</v>
      </c>
      <c r="X155" s="7" t="s">
        <v>2618</v>
      </c>
      <c r="Y155" s="7" t="s">
        <v>1691</v>
      </c>
      <c r="AA155" s="7" t="s">
        <v>2617</v>
      </c>
      <c r="AB155" s="7">
        <v>11</v>
      </c>
      <c r="AC155" s="7" t="s">
        <v>55</v>
      </c>
      <c r="AD155" s="7" t="s">
        <v>462</v>
      </c>
      <c r="AF155" s="7" t="s">
        <v>44</v>
      </c>
      <c r="AH155" s="4">
        <v>45016.999988425923</v>
      </c>
    </row>
    <row r="156" spans="1:34" x14ac:dyDescent="0.3">
      <c r="A156" s="4">
        <v>44986</v>
      </c>
      <c r="B156" s="4">
        <v>44986</v>
      </c>
      <c r="C156" s="7" t="s">
        <v>35</v>
      </c>
      <c r="D156" s="7" t="s">
        <v>36</v>
      </c>
      <c r="E156" s="7" t="s">
        <v>36</v>
      </c>
      <c r="F156" s="7" t="s">
        <v>36</v>
      </c>
      <c r="G156" s="7" t="s">
        <v>37</v>
      </c>
      <c r="K156" s="7" t="s">
        <v>38</v>
      </c>
      <c r="L156" s="7" t="s">
        <v>39</v>
      </c>
      <c r="M156" s="7" t="s">
        <v>40</v>
      </c>
      <c r="N156" s="7" t="s">
        <v>41</v>
      </c>
      <c r="R156" s="7" t="s">
        <v>45</v>
      </c>
      <c r="T156" s="8">
        <v>474170.81</v>
      </c>
      <c r="U156" s="8">
        <v>-474170.81</v>
      </c>
      <c r="V156" s="7" t="s">
        <v>56</v>
      </c>
      <c r="W156" s="7" t="s">
        <v>2620</v>
      </c>
      <c r="X156" s="7" t="s">
        <v>2618</v>
      </c>
      <c r="Y156" s="7" t="s">
        <v>1691</v>
      </c>
      <c r="AA156" s="7" t="s">
        <v>2617</v>
      </c>
      <c r="AB156" s="7">
        <v>11</v>
      </c>
      <c r="AC156" s="7" t="s">
        <v>55</v>
      </c>
      <c r="AD156" s="7" t="s">
        <v>464</v>
      </c>
      <c r="AF156" s="7" t="s">
        <v>44</v>
      </c>
      <c r="AH156" s="4">
        <v>45016.999988425923</v>
      </c>
    </row>
    <row r="157" spans="1:34" x14ac:dyDescent="0.3">
      <c r="A157" s="4">
        <v>44986</v>
      </c>
      <c r="B157" s="4">
        <v>45016</v>
      </c>
      <c r="C157" s="7" t="s">
        <v>46</v>
      </c>
      <c r="D157" s="7" t="s">
        <v>36</v>
      </c>
      <c r="E157" s="7" t="s">
        <v>36</v>
      </c>
      <c r="F157" s="7" t="s">
        <v>36</v>
      </c>
      <c r="G157" s="7" t="s">
        <v>37</v>
      </c>
      <c r="K157" s="7" t="s">
        <v>38</v>
      </c>
      <c r="L157" s="7" t="s">
        <v>39</v>
      </c>
      <c r="M157" s="7" t="s">
        <v>38</v>
      </c>
      <c r="N157" s="7" t="s">
        <v>41</v>
      </c>
      <c r="R157" s="7" t="s">
        <v>49</v>
      </c>
      <c r="S157" s="8">
        <v>11737.539167000001</v>
      </c>
      <c r="U157" s="8">
        <v>11737.539167000001</v>
      </c>
      <c r="V157" s="7" t="s">
        <v>56</v>
      </c>
      <c r="W157" s="7" t="s">
        <v>57</v>
      </c>
      <c r="X157" s="7" t="s">
        <v>2618</v>
      </c>
      <c r="Y157" s="7" t="s">
        <v>1691</v>
      </c>
      <c r="AA157" s="7" t="s">
        <v>2617</v>
      </c>
      <c r="AB157" s="7">
        <v>12</v>
      </c>
      <c r="AC157" s="7" t="s">
        <v>57</v>
      </c>
      <c r="AD157" s="7" t="s">
        <v>465</v>
      </c>
      <c r="AF157" s="7" t="s">
        <v>44</v>
      </c>
      <c r="AH157" s="4">
        <v>45016.999988425923</v>
      </c>
    </row>
    <row r="158" spans="1:34" x14ac:dyDescent="0.3">
      <c r="A158" s="4">
        <v>44986</v>
      </c>
      <c r="B158" s="4">
        <v>45016</v>
      </c>
      <c r="C158" s="7" t="s">
        <v>46</v>
      </c>
      <c r="D158" s="7" t="s">
        <v>36</v>
      </c>
      <c r="E158" s="7" t="s">
        <v>36</v>
      </c>
      <c r="F158" s="7" t="s">
        <v>36</v>
      </c>
      <c r="G158" s="7" t="s">
        <v>37</v>
      </c>
      <c r="K158" s="7" t="s">
        <v>38</v>
      </c>
      <c r="L158" s="7" t="s">
        <v>39</v>
      </c>
      <c r="M158" s="7" t="s">
        <v>40</v>
      </c>
      <c r="N158" s="7" t="s">
        <v>41</v>
      </c>
      <c r="R158" s="7" t="s">
        <v>45</v>
      </c>
      <c r="S158" s="8">
        <v>38262.460832999997</v>
      </c>
      <c r="U158" s="8">
        <v>38262.460832999997</v>
      </c>
      <c r="V158" s="7" t="s">
        <v>56</v>
      </c>
      <c r="W158" s="7" t="s">
        <v>57</v>
      </c>
      <c r="X158" s="7" t="s">
        <v>2618</v>
      </c>
      <c r="Y158" s="7" t="s">
        <v>1691</v>
      </c>
      <c r="AA158" s="7" t="s">
        <v>2617</v>
      </c>
      <c r="AB158" s="7">
        <v>12</v>
      </c>
      <c r="AC158" s="7" t="s">
        <v>57</v>
      </c>
      <c r="AD158" s="7" t="s">
        <v>467</v>
      </c>
      <c r="AF158" s="7" t="s">
        <v>44</v>
      </c>
      <c r="AH158" s="4">
        <v>45016.999988425923</v>
      </c>
    </row>
    <row r="159" spans="1:34" x14ac:dyDescent="0.3">
      <c r="A159" s="4">
        <v>44986</v>
      </c>
      <c r="B159" s="4">
        <v>45016</v>
      </c>
      <c r="C159" s="7" t="s">
        <v>46</v>
      </c>
      <c r="D159" s="7" t="s">
        <v>36</v>
      </c>
      <c r="E159" s="7" t="s">
        <v>36</v>
      </c>
      <c r="F159" s="7" t="s">
        <v>36</v>
      </c>
      <c r="G159" s="7" t="s">
        <v>37</v>
      </c>
      <c r="K159" s="7" t="s">
        <v>38</v>
      </c>
      <c r="L159" s="7" t="s">
        <v>39</v>
      </c>
      <c r="M159" s="7" t="s">
        <v>40</v>
      </c>
      <c r="N159" s="7" t="s">
        <v>41</v>
      </c>
      <c r="R159" s="7" t="s">
        <v>58</v>
      </c>
      <c r="T159" s="8">
        <v>50000</v>
      </c>
      <c r="U159" s="8">
        <v>-50000</v>
      </c>
      <c r="V159" s="7" t="s">
        <v>56</v>
      </c>
      <c r="W159" s="7" t="s">
        <v>57</v>
      </c>
      <c r="X159" s="7" t="s">
        <v>2618</v>
      </c>
      <c r="Y159" s="7" t="s">
        <v>1691</v>
      </c>
      <c r="AA159" s="7" t="s">
        <v>2617</v>
      </c>
      <c r="AB159" s="7">
        <v>12</v>
      </c>
      <c r="AC159" s="7" t="s">
        <v>57</v>
      </c>
      <c r="AD159" s="7" t="s">
        <v>468</v>
      </c>
      <c r="AF159" s="7" t="s">
        <v>44</v>
      </c>
      <c r="AH159" s="4">
        <v>45016.999988425923</v>
      </c>
    </row>
    <row r="160" spans="1:34" x14ac:dyDescent="0.3">
      <c r="A160" s="4">
        <v>45016</v>
      </c>
      <c r="B160" s="4">
        <v>45016</v>
      </c>
      <c r="C160" s="7" t="s">
        <v>46</v>
      </c>
      <c r="D160" s="7" t="s">
        <v>36</v>
      </c>
      <c r="E160" s="7" t="s">
        <v>36</v>
      </c>
      <c r="F160" s="7" t="s">
        <v>36</v>
      </c>
      <c r="G160" s="7" t="s">
        <v>37</v>
      </c>
      <c r="K160" s="7" t="s">
        <v>38</v>
      </c>
      <c r="L160" s="7" t="s">
        <v>39</v>
      </c>
      <c r="M160" s="7" t="s">
        <v>40</v>
      </c>
      <c r="N160" s="7" t="s">
        <v>41</v>
      </c>
      <c r="R160" s="7" t="s">
        <v>47</v>
      </c>
      <c r="S160" s="8">
        <v>11514.341478</v>
      </c>
      <c r="U160" s="8">
        <v>11514.341478</v>
      </c>
      <c r="V160" s="7" t="s">
        <v>56</v>
      </c>
      <c r="W160" s="7" t="s">
        <v>2621</v>
      </c>
      <c r="X160" s="7" t="s">
        <v>2618</v>
      </c>
      <c r="Y160" s="7" t="s">
        <v>1691</v>
      </c>
      <c r="AA160" s="7" t="s">
        <v>2617</v>
      </c>
      <c r="AB160" s="7">
        <v>8</v>
      </c>
      <c r="AC160" s="7" t="s">
        <v>48</v>
      </c>
      <c r="AD160" s="7" t="s">
        <v>469</v>
      </c>
      <c r="AF160" s="7" t="s">
        <v>44</v>
      </c>
      <c r="AH160" s="4">
        <v>45016.999988425923</v>
      </c>
    </row>
    <row r="161" spans="1:34" x14ac:dyDescent="0.3">
      <c r="A161" s="4">
        <v>45016</v>
      </c>
      <c r="B161" s="4">
        <v>45016</v>
      </c>
      <c r="C161" s="7" t="s">
        <v>46</v>
      </c>
      <c r="D161" s="7" t="s">
        <v>36</v>
      </c>
      <c r="E161" s="7" t="s">
        <v>36</v>
      </c>
      <c r="F161" s="7" t="s">
        <v>36</v>
      </c>
      <c r="G161" s="7" t="s">
        <v>37</v>
      </c>
      <c r="K161" s="7" t="s">
        <v>38</v>
      </c>
      <c r="L161" s="7" t="s">
        <v>39</v>
      </c>
      <c r="M161" s="7" t="s">
        <v>38</v>
      </c>
      <c r="N161" s="7" t="s">
        <v>41</v>
      </c>
      <c r="R161" s="7" t="s">
        <v>49</v>
      </c>
      <c r="T161" s="8">
        <v>11514.341478</v>
      </c>
      <c r="U161" s="8">
        <v>-11514.341478</v>
      </c>
      <c r="V161" s="7" t="s">
        <v>56</v>
      </c>
      <c r="W161" s="7" t="s">
        <v>2621</v>
      </c>
      <c r="X161" s="7" t="s">
        <v>2618</v>
      </c>
      <c r="Y161" s="7" t="s">
        <v>1691</v>
      </c>
      <c r="AA161" s="7" t="s">
        <v>2617</v>
      </c>
      <c r="AB161" s="7">
        <v>8</v>
      </c>
      <c r="AC161" s="7" t="s">
        <v>48</v>
      </c>
      <c r="AD161" s="7" t="s">
        <v>471</v>
      </c>
      <c r="AF161" s="7" t="s">
        <v>44</v>
      </c>
      <c r="AH161" s="4">
        <v>45016.999988425923</v>
      </c>
    </row>
    <row r="162" spans="1:34" x14ac:dyDescent="0.3">
      <c r="A162" s="4">
        <v>45016</v>
      </c>
      <c r="B162" s="4">
        <v>44562</v>
      </c>
      <c r="C162" s="7" t="s">
        <v>35</v>
      </c>
      <c r="D162" s="7" t="s">
        <v>36</v>
      </c>
      <c r="E162" s="7" t="s">
        <v>36</v>
      </c>
      <c r="F162" s="7" t="s">
        <v>36</v>
      </c>
      <c r="G162" s="7" t="s">
        <v>37</v>
      </c>
      <c r="K162" s="7" t="s">
        <v>38</v>
      </c>
      <c r="L162" s="7" t="s">
        <v>39</v>
      </c>
      <c r="M162" s="7" t="s">
        <v>40</v>
      </c>
      <c r="N162" s="7" t="s">
        <v>41</v>
      </c>
      <c r="R162" s="7" t="s">
        <v>50</v>
      </c>
      <c r="S162" s="8">
        <v>42330.49</v>
      </c>
      <c r="U162" s="8">
        <v>42330.49</v>
      </c>
      <c r="V162" s="7" t="s">
        <v>56</v>
      </c>
      <c r="W162" s="7" t="s">
        <v>2619</v>
      </c>
      <c r="X162" s="7" t="s">
        <v>2618</v>
      </c>
      <c r="Y162" s="7" t="s">
        <v>1691</v>
      </c>
      <c r="AA162" s="7" t="s">
        <v>2617</v>
      </c>
      <c r="AB162" s="7">
        <v>10</v>
      </c>
      <c r="AC162" s="7" t="s">
        <v>51</v>
      </c>
      <c r="AD162" s="7" t="s">
        <v>472</v>
      </c>
      <c r="AF162" s="7" t="s">
        <v>44</v>
      </c>
      <c r="AH162" s="4">
        <v>45016.999988425923</v>
      </c>
    </row>
    <row r="163" spans="1:34" x14ac:dyDescent="0.3">
      <c r="A163" s="4">
        <v>45016</v>
      </c>
      <c r="B163" s="4">
        <v>44562</v>
      </c>
      <c r="C163" s="7" t="s">
        <v>35</v>
      </c>
      <c r="D163" s="7" t="s">
        <v>36</v>
      </c>
      <c r="E163" s="7" t="s">
        <v>36</v>
      </c>
      <c r="F163" s="7" t="s">
        <v>36</v>
      </c>
      <c r="G163" s="7" t="s">
        <v>37</v>
      </c>
      <c r="K163" s="7" t="s">
        <v>38</v>
      </c>
      <c r="L163" s="7" t="s">
        <v>39</v>
      </c>
      <c r="M163" s="7" t="s">
        <v>40</v>
      </c>
      <c r="N163" s="7" t="s">
        <v>41</v>
      </c>
      <c r="R163" s="7" t="s">
        <v>52</v>
      </c>
      <c r="T163" s="8">
        <v>42330.49</v>
      </c>
      <c r="U163" s="8">
        <v>-42330.49</v>
      </c>
      <c r="V163" s="7" t="s">
        <v>56</v>
      </c>
      <c r="W163" s="7" t="s">
        <v>2619</v>
      </c>
      <c r="X163" s="7" t="s">
        <v>2618</v>
      </c>
      <c r="Y163" s="7" t="s">
        <v>1691</v>
      </c>
      <c r="AA163" s="7" t="s">
        <v>2617</v>
      </c>
      <c r="AB163" s="7">
        <v>10</v>
      </c>
      <c r="AC163" s="7" t="s">
        <v>51</v>
      </c>
      <c r="AD163" s="7" t="s">
        <v>474</v>
      </c>
      <c r="AF163" s="7" t="s">
        <v>44</v>
      </c>
      <c r="AH163" s="4">
        <v>45016.999988425923</v>
      </c>
    </row>
    <row r="164" spans="1:34" x14ac:dyDescent="0.3">
      <c r="A164" s="4">
        <v>45016</v>
      </c>
      <c r="B164" s="4">
        <v>45016</v>
      </c>
      <c r="C164" s="7" t="s">
        <v>35</v>
      </c>
      <c r="D164" s="7" t="s">
        <v>36</v>
      </c>
      <c r="E164" s="7" t="s">
        <v>36</v>
      </c>
      <c r="F164" s="7" t="s">
        <v>36</v>
      </c>
      <c r="G164" s="7" t="s">
        <v>37</v>
      </c>
      <c r="K164" s="7" t="s">
        <v>38</v>
      </c>
      <c r="L164" s="7" t="s">
        <v>39</v>
      </c>
      <c r="M164" s="7" t="s">
        <v>40</v>
      </c>
      <c r="N164" s="7" t="s">
        <v>41</v>
      </c>
      <c r="R164" s="7" t="s">
        <v>45</v>
      </c>
      <c r="S164" s="8">
        <v>476936.81</v>
      </c>
      <c r="U164" s="8">
        <v>476936.81</v>
      </c>
      <c r="V164" s="7" t="s">
        <v>56</v>
      </c>
      <c r="W164" s="7" t="s">
        <v>2620</v>
      </c>
      <c r="X164" s="7" t="s">
        <v>2618</v>
      </c>
      <c r="Y164" s="7" t="s">
        <v>1691</v>
      </c>
      <c r="AA164" s="7" t="s">
        <v>2617</v>
      </c>
      <c r="AB164" s="7">
        <v>11</v>
      </c>
      <c r="AC164" s="7" t="s">
        <v>53</v>
      </c>
      <c r="AD164" s="7" t="s">
        <v>475</v>
      </c>
      <c r="AF164" s="7" t="s">
        <v>44</v>
      </c>
      <c r="AH164" s="4">
        <v>45016.999988425923</v>
      </c>
    </row>
    <row r="165" spans="1:34" x14ac:dyDescent="0.3">
      <c r="A165" s="4">
        <v>45016</v>
      </c>
      <c r="B165" s="4">
        <v>45016</v>
      </c>
      <c r="C165" s="7" t="s">
        <v>35</v>
      </c>
      <c r="D165" s="7" t="s">
        <v>36</v>
      </c>
      <c r="E165" s="7" t="s">
        <v>36</v>
      </c>
      <c r="F165" s="7" t="s">
        <v>36</v>
      </c>
      <c r="G165" s="7" t="s">
        <v>37</v>
      </c>
      <c r="K165" s="7" t="s">
        <v>38</v>
      </c>
      <c r="L165" s="7" t="s">
        <v>39</v>
      </c>
      <c r="M165" s="7" t="s">
        <v>40</v>
      </c>
      <c r="N165" s="7" t="s">
        <v>41</v>
      </c>
      <c r="R165" s="7" t="s">
        <v>54</v>
      </c>
      <c r="T165" s="8">
        <v>476936.81</v>
      </c>
      <c r="U165" s="8">
        <v>-476936.81</v>
      </c>
      <c r="V165" s="7" t="s">
        <v>56</v>
      </c>
      <c r="W165" s="7" t="s">
        <v>2620</v>
      </c>
      <c r="X165" s="7" t="s">
        <v>2618</v>
      </c>
      <c r="Y165" s="7" t="s">
        <v>1691</v>
      </c>
      <c r="AA165" s="7" t="s">
        <v>2617</v>
      </c>
      <c r="AB165" s="7">
        <v>11</v>
      </c>
      <c r="AC165" s="7" t="s">
        <v>53</v>
      </c>
      <c r="AD165" s="7" t="s">
        <v>477</v>
      </c>
      <c r="AF165" s="7" t="s">
        <v>44</v>
      </c>
      <c r="AH165" s="4">
        <v>45016.999988425923</v>
      </c>
    </row>
    <row r="166" spans="1:34" x14ac:dyDescent="0.3">
      <c r="A166" s="4">
        <v>45017</v>
      </c>
      <c r="B166" s="4">
        <v>45017</v>
      </c>
      <c r="C166" s="7" t="s">
        <v>35</v>
      </c>
      <c r="D166" s="7" t="s">
        <v>36</v>
      </c>
      <c r="E166" s="7" t="s">
        <v>36</v>
      </c>
      <c r="F166" s="7" t="s">
        <v>36</v>
      </c>
      <c r="G166" s="7" t="s">
        <v>37</v>
      </c>
      <c r="K166" s="7" t="s">
        <v>38</v>
      </c>
      <c r="L166" s="7" t="s">
        <v>39</v>
      </c>
      <c r="M166" s="7" t="s">
        <v>40</v>
      </c>
      <c r="N166" s="7" t="s">
        <v>41</v>
      </c>
      <c r="R166" s="7" t="s">
        <v>54</v>
      </c>
      <c r="S166" s="8">
        <v>476936.81</v>
      </c>
      <c r="U166" s="8">
        <v>476936.81</v>
      </c>
      <c r="V166" s="7" t="s">
        <v>56</v>
      </c>
      <c r="W166" s="7" t="s">
        <v>2620</v>
      </c>
      <c r="X166" s="7" t="s">
        <v>2618</v>
      </c>
      <c r="Y166" s="7" t="s">
        <v>1691</v>
      </c>
      <c r="AA166" s="7" t="s">
        <v>2617</v>
      </c>
      <c r="AB166" s="7">
        <v>11</v>
      </c>
      <c r="AC166" s="7" t="s">
        <v>55</v>
      </c>
      <c r="AD166" s="7" t="s">
        <v>478</v>
      </c>
      <c r="AF166" s="7" t="s">
        <v>44</v>
      </c>
      <c r="AH166" s="4">
        <v>45046.999988425923</v>
      </c>
    </row>
    <row r="167" spans="1:34" x14ac:dyDescent="0.3">
      <c r="A167" s="4">
        <v>45017</v>
      </c>
      <c r="B167" s="4">
        <v>45017</v>
      </c>
      <c r="C167" s="7" t="s">
        <v>35</v>
      </c>
      <c r="D167" s="7" t="s">
        <v>36</v>
      </c>
      <c r="E167" s="7" t="s">
        <v>36</v>
      </c>
      <c r="F167" s="7" t="s">
        <v>36</v>
      </c>
      <c r="G167" s="7" t="s">
        <v>37</v>
      </c>
      <c r="K167" s="7" t="s">
        <v>38</v>
      </c>
      <c r="L167" s="7" t="s">
        <v>39</v>
      </c>
      <c r="M167" s="7" t="s">
        <v>40</v>
      </c>
      <c r="N167" s="7" t="s">
        <v>41</v>
      </c>
      <c r="R167" s="7" t="s">
        <v>45</v>
      </c>
      <c r="T167" s="8">
        <v>476936.81</v>
      </c>
      <c r="U167" s="8">
        <v>-476936.81</v>
      </c>
      <c r="V167" s="7" t="s">
        <v>56</v>
      </c>
      <c r="W167" s="7" t="s">
        <v>2620</v>
      </c>
      <c r="X167" s="7" t="s">
        <v>2618</v>
      </c>
      <c r="Y167" s="7" t="s">
        <v>1691</v>
      </c>
      <c r="AA167" s="7" t="s">
        <v>2617</v>
      </c>
      <c r="AB167" s="7">
        <v>11</v>
      </c>
      <c r="AC167" s="7" t="s">
        <v>55</v>
      </c>
      <c r="AD167" s="7" t="s">
        <v>480</v>
      </c>
      <c r="AF167" s="7" t="s">
        <v>44</v>
      </c>
      <c r="AH167" s="4">
        <v>45046.999988425923</v>
      </c>
    </row>
    <row r="168" spans="1:34" x14ac:dyDescent="0.3">
      <c r="A168" s="4">
        <v>45017</v>
      </c>
      <c r="B168" s="4">
        <v>45046</v>
      </c>
      <c r="C168" s="7" t="s">
        <v>46</v>
      </c>
      <c r="D168" s="7" t="s">
        <v>36</v>
      </c>
      <c r="E168" s="7" t="s">
        <v>36</v>
      </c>
      <c r="F168" s="7" t="s">
        <v>36</v>
      </c>
      <c r="G168" s="7" t="s">
        <v>37</v>
      </c>
      <c r="K168" s="7" t="s">
        <v>38</v>
      </c>
      <c r="L168" s="7" t="s">
        <v>39</v>
      </c>
      <c r="M168" s="7" t="s">
        <v>38</v>
      </c>
      <c r="N168" s="7" t="s">
        <v>41</v>
      </c>
      <c r="R168" s="7" t="s">
        <v>49</v>
      </c>
      <c r="S168" s="8">
        <v>11514.341478</v>
      </c>
      <c r="U168" s="8">
        <v>11514.341478</v>
      </c>
      <c r="V168" s="7" t="s">
        <v>56</v>
      </c>
      <c r="W168" s="7" t="s">
        <v>57</v>
      </c>
      <c r="X168" s="7" t="s">
        <v>2618</v>
      </c>
      <c r="Y168" s="7" t="s">
        <v>1691</v>
      </c>
      <c r="AA168" s="7" t="s">
        <v>2617</v>
      </c>
      <c r="AB168" s="7">
        <v>12</v>
      </c>
      <c r="AC168" s="7" t="s">
        <v>57</v>
      </c>
      <c r="AD168" s="7" t="s">
        <v>481</v>
      </c>
      <c r="AF168" s="7" t="s">
        <v>44</v>
      </c>
      <c r="AH168" s="4">
        <v>45046.999988425923</v>
      </c>
    </row>
    <row r="169" spans="1:34" x14ac:dyDescent="0.3">
      <c r="A169" s="4">
        <v>45017</v>
      </c>
      <c r="B169" s="4">
        <v>45046</v>
      </c>
      <c r="C169" s="7" t="s">
        <v>46</v>
      </c>
      <c r="D169" s="7" t="s">
        <v>36</v>
      </c>
      <c r="E169" s="7" t="s">
        <v>36</v>
      </c>
      <c r="F169" s="7" t="s">
        <v>36</v>
      </c>
      <c r="G169" s="7" t="s">
        <v>37</v>
      </c>
      <c r="K169" s="7" t="s">
        <v>38</v>
      </c>
      <c r="L169" s="7" t="s">
        <v>39</v>
      </c>
      <c r="M169" s="7" t="s">
        <v>40</v>
      </c>
      <c r="N169" s="7" t="s">
        <v>41</v>
      </c>
      <c r="R169" s="7" t="s">
        <v>45</v>
      </c>
      <c r="S169" s="8">
        <v>38485.658521999998</v>
      </c>
      <c r="U169" s="8">
        <v>38485.658521999998</v>
      </c>
      <c r="V169" s="7" t="s">
        <v>56</v>
      </c>
      <c r="W169" s="7" t="s">
        <v>57</v>
      </c>
      <c r="X169" s="7" t="s">
        <v>2618</v>
      </c>
      <c r="Y169" s="7" t="s">
        <v>1691</v>
      </c>
      <c r="AA169" s="7" t="s">
        <v>2617</v>
      </c>
      <c r="AB169" s="7">
        <v>12</v>
      </c>
      <c r="AC169" s="7" t="s">
        <v>57</v>
      </c>
      <c r="AD169" s="7" t="s">
        <v>483</v>
      </c>
      <c r="AF169" s="7" t="s">
        <v>44</v>
      </c>
      <c r="AH169" s="4">
        <v>45046.999988425923</v>
      </c>
    </row>
    <row r="170" spans="1:34" x14ac:dyDescent="0.3">
      <c r="A170" s="4">
        <v>45017</v>
      </c>
      <c r="B170" s="4">
        <v>45046</v>
      </c>
      <c r="C170" s="7" t="s">
        <v>46</v>
      </c>
      <c r="D170" s="7" t="s">
        <v>36</v>
      </c>
      <c r="E170" s="7" t="s">
        <v>36</v>
      </c>
      <c r="F170" s="7" t="s">
        <v>36</v>
      </c>
      <c r="G170" s="7" t="s">
        <v>37</v>
      </c>
      <c r="K170" s="7" t="s">
        <v>38</v>
      </c>
      <c r="L170" s="7" t="s">
        <v>39</v>
      </c>
      <c r="M170" s="7" t="s">
        <v>40</v>
      </c>
      <c r="N170" s="7" t="s">
        <v>41</v>
      </c>
      <c r="R170" s="7" t="s">
        <v>58</v>
      </c>
      <c r="T170" s="8">
        <v>50000</v>
      </c>
      <c r="U170" s="8">
        <v>-50000</v>
      </c>
      <c r="V170" s="7" t="s">
        <v>56</v>
      </c>
      <c r="W170" s="7" t="s">
        <v>57</v>
      </c>
      <c r="X170" s="7" t="s">
        <v>2618</v>
      </c>
      <c r="Y170" s="7" t="s">
        <v>1691</v>
      </c>
      <c r="AA170" s="7" t="s">
        <v>2617</v>
      </c>
      <c r="AB170" s="7">
        <v>12</v>
      </c>
      <c r="AC170" s="7" t="s">
        <v>57</v>
      </c>
      <c r="AD170" s="7" t="s">
        <v>484</v>
      </c>
      <c r="AF170" s="7" t="s">
        <v>44</v>
      </c>
      <c r="AH170" s="4">
        <v>45046.999988425923</v>
      </c>
    </row>
    <row r="171" spans="1:34" x14ac:dyDescent="0.3">
      <c r="A171" s="4">
        <v>45046</v>
      </c>
      <c r="B171" s="4">
        <v>45046</v>
      </c>
      <c r="C171" s="7" t="s">
        <v>46</v>
      </c>
      <c r="D171" s="7" t="s">
        <v>36</v>
      </c>
      <c r="E171" s="7" t="s">
        <v>36</v>
      </c>
      <c r="F171" s="7" t="s">
        <v>36</v>
      </c>
      <c r="G171" s="7" t="s">
        <v>37</v>
      </c>
      <c r="K171" s="7" t="s">
        <v>38</v>
      </c>
      <c r="L171" s="7" t="s">
        <v>39</v>
      </c>
      <c r="M171" s="7" t="s">
        <v>40</v>
      </c>
      <c r="N171" s="7" t="s">
        <v>41</v>
      </c>
      <c r="R171" s="7" t="s">
        <v>47</v>
      </c>
      <c r="S171" s="8">
        <v>11289.841804</v>
      </c>
      <c r="U171" s="8">
        <v>11289.841804</v>
      </c>
      <c r="V171" s="7" t="s">
        <v>56</v>
      </c>
      <c r="W171" s="7" t="s">
        <v>2621</v>
      </c>
      <c r="X171" s="7" t="s">
        <v>2618</v>
      </c>
      <c r="Y171" s="7" t="s">
        <v>1691</v>
      </c>
      <c r="AA171" s="7" t="s">
        <v>2617</v>
      </c>
      <c r="AB171" s="7">
        <v>8</v>
      </c>
      <c r="AC171" s="7" t="s">
        <v>48</v>
      </c>
      <c r="AD171" s="7" t="s">
        <v>485</v>
      </c>
      <c r="AF171" s="7" t="s">
        <v>44</v>
      </c>
      <c r="AH171" s="4">
        <v>45046.999988425923</v>
      </c>
    </row>
    <row r="172" spans="1:34" x14ac:dyDescent="0.3">
      <c r="A172" s="4">
        <v>45046</v>
      </c>
      <c r="B172" s="4">
        <v>45046</v>
      </c>
      <c r="C172" s="7" t="s">
        <v>46</v>
      </c>
      <c r="D172" s="7" t="s">
        <v>36</v>
      </c>
      <c r="E172" s="7" t="s">
        <v>36</v>
      </c>
      <c r="F172" s="7" t="s">
        <v>36</v>
      </c>
      <c r="G172" s="7" t="s">
        <v>37</v>
      </c>
      <c r="K172" s="7" t="s">
        <v>38</v>
      </c>
      <c r="L172" s="7" t="s">
        <v>39</v>
      </c>
      <c r="M172" s="7" t="s">
        <v>38</v>
      </c>
      <c r="N172" s="7" t="s">
        <v>41</v>
      </c>
      <c r="R172" s="7" t="s">
        <v>49</v>
      </c>
      <c r="T172" s="8">
        <v>11289.841804</v>
      </c>
      <c r="U172" s="8">
        <v>-11289.841804</v>
      </c>
      <c r="V172" s="7" t="s">
        <v>56</v>
      </c>
      <c r="W172" s="7" t="s">
        <v>2621</v>
      </c>
      <c r="X172" s="7" t="s">
        <v>2618</v>
      </c>
      <c r="Y172" s="7" t="s">
        <v>1691</v>
      </c>
      <c r="AA172" s="7" t="s">
        <v>2617</v>
      </c>
      <c r="AB172" s="7">
        <v>8</v>
      </c>
      <c r="AC172" s="7" t="s">
        <v>48</v>
      </c>
      <c r="AD172" s="7" t="s">
        <v>487</v>
      </c>
      <c r="AF172" s="7" t="s">
        <v>44</v>
      </c>
      <c r="AH172" s="4">
        <v>45046.999988425923</v>
      </c>
    </row>
    <row r="173" spans="1:34" x14ac:dyDescent="0.3">
      <c r="A173" s="4">
        <v>45046</v>
      </c>
      <c r="B173" s="4">
        <v>44562</v>
      </c>
      <c r="C173" s="7" t="s">
        <v>35</v>
      </c>
      <c r="D173" s="7" t="s">
        <v>36</v>
      </c>
      <c r="E173" s="7" t="s">
        <v>36</v>
      </c>
      <c r="F173" s="7" t="s">
        <v>36</v>
      </c>
      <c r="G173" s="7" t="s">
        <v>37</v>
      </c>
      <c r="K173" s="7" t="s">
        <v>38</v>
      </c>
      <c r="L173" s="7" t="s">
        <v>39</v>
      </c>
      <c r="M173" s="7" t="s">
        <v>40</v>
      </c>
      <c r="N173" s="7" t="s">
        <v>41</v>
      </c>
      <c r="R173" s="7" t="s">
        <v>50</v>
      </c>
      <c r="S173" s="8">
        <v>42330.49</v>
      </c>
      <c r="U173" s="8">
        <v>42330.49</v>
      </c>
      <c r="V173" s="7" t="s">
        <v>56</v>
      </c>
      <c r="W173" s="7" t="s">
        <v>2619</v>
      </c>
      <c r="X173" s="7" t="s">
        <v>2618</v>
      </c>
      <c r="Y173" s="7" t="s">
        <v>1691</v>
      </c>
      <c r="AA173" s="7" t="s">
        <v>2617</v>
      </c>
      <c r="AB173" s="7">
        <v>10</v>
      </c>
      <c r="AC173" s="7" t="s">
        <v>51</v>
      </c>
      <c r="AD173" s="7" t="s">
        <v>488</v>
      </c>
      <c r="AF173" s="7" t="s">
        <v>44</v>
      </c>
      <c r="AH173" s="4">
        <v>45046.999988425923</v>
      </c>
    </row>
    <row r="174" spans="1:34" x14ac:dyDescent="0.3">
      <c r="A174" s="4">
        <v>45046</v>
      </c>
      <c r="B174" s="4">
        <v>44562</v>
      </c>
      <c r="C174" s="7" t="s">
        <v>35</v>
      </c>
      <c r="D174" s="7" t="s">
        <v>36</v>
      </c>
      <c r="E174" s="7" t="s">
        <v>36</v>
      </c>
      <c r="F174" s="7" t="s">
        <v>36</v>
      </c>
      <c r="G174" s="7" t="s">
        <v>37</v>
      </c>
      <c r="K174" s="7" t="s">
        <v>38</v>
      </c>
      <c r="L174" s="7" t="s">
        <v>39</v>
      </c>
      <c r="M174" s="7" t="s">
        <v>40</v>
      </c>
      <c r="N174" s="7" t="s">
        <v>41</v>
      </c>
      <c r="R174" s="7" t="s">
        <v>52</v>
      </c>
      <c r="T174" s="8">
        <v>42330.49</v>
      </c>
      <c r="U174" s="8">
        <v>-42330.49</v>
      </c>
      <c r="V174" s="7" t="s">
        <v>56</v>
      </c>
      <c r="W174" s="7" t="s">
        <v>2619</v>
      </c>
      <c r="X174" s="7" t="s">
        <v>2618</v>
      </c>
      <c r="Y174" s="7" t="s">
        <v>1691</v>
      </c>
      <c r="AA174" s="7" t="s">
        <v>2617</v>
      </c>
      <c r="AB174" s="7">
        <v>10</v>
      </c>
      <c r="AC174" s="7" t="s">
        <v>51</v>
      </c>
      <c r="AD174" s="7" t="s">
        <v>490</v>
      </c>
      <c r="AF174" s="7" t="s">
        <v>44</v>
      </c>
      <c r="AH174" s="4">
        <v>45046.999988425923</v>
      </c>
    </row>
    <row r="175" spans="1:34" x14ac:dyDescent="0.3">
      <c r="A175" s="4">
        <v>45046</v>
      </c>
      <c r="B175" s="4">
        <v>45046</v>
      </c>
      <c r="C175" s="7" t="s">
        <v>35</v>
      </c>
      <c r="D175" s="7" t="s">
        <v>36</v>
      </c>
      <c r="E175" s="7" t="s">
        <v>36</v>
      </c>
      <c r="F175" s="7" t="s">
        <v>36</v>
      </c>
      <c r="G175" s="7" t="s">
        <v>37</v>
      </c>
      <c r="K175" s="7" t="s">
        <v>38</v>
      </c>
      <c r="L175" s="7" t="s">
        <v>39</v>
      </c>
      <c r="M175" s="7" t="s">
        <v>40</v>
      </c>
      <c r="N175" s="7" t="s">
        <v>41</v>
      </c>
      <c r="R175" s="7" t="s">
        <v>45</v>
      </c>
      <c r="S175" s="8">
        <v>479718.94</v>
      </c>
      <c r="U175" s="8">
        <v>479718.94</v>
      </c>
      <c r="V175" s="7" t="s">
        <v>56</v>
      </c>
      <c r="W175" s="7" t="s">
        <v>2620</v>
      </c>
      <c r="X175" s="7" t="s">
        <v>2618</v>
      </c>
      <c r="Y175" s="7" t="s">
        <v>1691</v>
      </c>
      <c r="AA175" s="7" t="s">
        <v>2617</v>
      </c>
      <c r="AB175" s="7">
        <v>11</v>
      </c>
      <c r="AC175" s="7" t="s">
        <v>53</v>
      </c>
      <c r="AD175" s="7" t="s">
        <v>491</v>
      </c>
      <c r="AF175" s="7" t="s">
        <v>44</v>
      </c>
      <c r="AH175" s="4">
        <v>45046.999988425923</v>
      </c>
    </row>
    <row r="176" spans="1:34" x14ac:dyDescent="0.3">
      <c r="A176" s="4">
        <v>45046</v>
      </c>
      <c r="B176" s="4">
        <v>45046</v>
      </c>
      <c r="C176" s="7" t="s">
        <v>35</v>
      </c>
      <c r="D176" s="7" t="s">
        <v>36</v>
      </c>
      <c r="E176" s="7" t="s">
        <v>36</v>
      </c>
      <c r="F176" s="7" t="s">
        <v>36</v>
      </c>
      <c r="G176" s="7" t="s">
        <v>37</v>
      </c>
      <c r="K176" s="7" t="s">
        <v>38</v>
      </c>
      <c r="L176" s="7" t="s">
        <v>39</v>
      </c>
      <c r="M176" s="7" t="s">
        <v>40</v>
      </c>
      <c r="N176" s="7" t="s">
        <v>41</v>
      </c>
      <c r="R176" s="7" t="s">
        <v>54</v>
      </c>
      <c r="T176" s="8">
        <v>479718.94</v>
      </c>
      <c r="U176" s="8">
        <v>-479718.94</v>
      </c>
      <c r="V176" s="7" t="s">
        <v>56</v>
      </c>
      <c r="W176" s="7" t="s">
        <v>2620</v>
      </c>
      <c r="X176" s="7" t="s">
        <v>2618</v>
      </c>
      <c r="Y176" s="7" t="s">
        <v>1691</v>
      </c>
      <c r="AA176" s="7" t="s">
        <v>2617</v>
      </c>
      <c r="AB176" s="7">
        <v>11</v>
      </c>
      <c r="AC176" s="7" t="s">
        <v>53</v>
      </c>
      <c r="AD176" s="7" t="s">
        <v>493</v>
      </c>
      <c r="AF176" s="7" t="s">
        <v>44</v>
      </c>
      <c r="AH176" s="4">
        <v>45046.999988425923</v>
      </c>
    </row>
    <row r="177" spans="1:34" x14ac:dyDescent="0.3">
      <c r="A177" s="4">
        <v>45047</v>
      </c>
      <c r="B177" s="4">
        <v>45047</v>
      </c>
      <c r="C177" s="7" t="s">
        <v>35</v>
      </c>
      <c r="D177" s="7" t="s">
        <v>36</v>
      </c>
      <c r="E177" s="7" t="s">
        <v>36</v>
      </c>
      <c r="F177" s="7" t="s">
        <v>36</v>
      </c>
      <c r="G177" s="7" t="s">
        <v>37</v>
      </c>
      <c r="K177" s="7" t="s">
        <v>38</v>
      </c>
      <c r="L177" s="7" t="s">
        <v>39</v>
      </c>
      <c r="M177" s="7" t="s">
        <v>40</v>
      </c>
      <c r="N177" s="7" t="s">
        <v>41</v>
      </c>
      <c r="R177" s="7" t="s">
        <v>54</v>
      </c>
      <c r="S177" s="8">
        <v>479718.94</v>
      </c>
      <c r="U177" s="8">
        <v>479718.94</v>
      </c>
      <c r="V177" s="7" t="s">
        <v>56</v>
      </c>
      <c r="W177" s="7" t="s">
        <v>2620</v>
      </c>
      <c r="X177" s="7" t="s">
        <v>2618</v>
      </c>
      <c r="Y177" s="7" t="s">
        <v>1691</v>
      </c>
      <c r="AA177" s="7" t="s">
        <v>2617</v>
      </c>
      <c r="AB177" s="7">
        <v>11</v>
      </c>
      <c r="AC177" s="7" t="s">
        <v>55</v>
      </c>
      <c r="AD177" s="7" t="s">
        <v>494</v>
      </c>
      <c r="AF177" s="7" t="s">
        <v>44</v>
      </c>
      <c r="AH177" s="4">
        <v>45077.999988425923</v>
      </c>
    </row>
    <row r="178" spans="1:34" x14ac:dyDescent="0.3">
      <c r="A178" s="4">
        <v>45047</v>
      </c>
      <c r="B178" s="4">
        <v>45047</v>
      </c>
      <c r="C178" s="7" t="s">
        <v>35</v>
      </c>
      <c r="D178" s="7" t="s">
        <v>36</v>
      </c>
      <c r="E178" s="7" t="s">
        <v>36</v>
      </c>
      <c r="F178" s="7" t="s">
        <v>36</v>
      </c>
      <c r="G178" s="7" t="s">
        <v>37</v>
      </c>
      <c r="K178" s="7" t="s">
        <v>38</v>
      </c>
      <c r="L178" s="7" t="s">
        <v>39</v>
      </c>
      <c r="M178" s="7" t="s">
        <v>40</v>
      </c>
      <c r="N178" s="7" t="s">
        <v>41</v>
      </c>
      <c r="R178" s="7" t="s">
        <v>45</v>
      </c>
      <c r="T178" s="8">
        <v>479718.94</v>
      </c>
      <c r="U178" s="8">
        <v>-479718.94</v>
      </c>
      <c r="V178" s="7" t="s">
        <v>56</v>
      </c>
      <c r="W178" s="7" t="s">
        <v>2620</v>
      </c>
      <c r="X178" s="7" t="s">
        <v>2618</v>
      </c>
      <c r="Y178" s="7" t="s">
        <v>1691</v>
      </c>
      <c r="AA178" s="7" t="s">
        <v>2617</v>
      </c>
      <c r="AB178" s="7">
        <v>11</v>
      </c>
      <c r="AC178" s="7" t="s">
        <v>55</v>
      </c>
      <c r="AD178" s="7" t="s">
        <v>496</v>
      </c>
      <c r="AF178" s="7" t="s">
        <v>44</v>
      </c>
      <c r="AH178" s="4">
        <v>45077.999988425923</v>
      </c>
    </row>
    <row r="179" spans="1:34" x14ac:dyDescent="0.3">
      <c r="A179" s="4">
        <v>45047</v>
      </c>
      <c r="B179" s="4">
        <v>45077</v>
      </c>
      <c r="C179" s="7" t="s">
        <v>46</v>
      </c>
      <c r="D179" s="7" t="s">
        <v>36</v>
      </c>
      <c r="E179" s="7" t="s">
        <v>36</v>
      </c>
      <c r="F179" s="7" t="s">
        <v>36</v>
      </c>
      <c r="G179" s="7" t="s">
        <v>37</v>
      </c>
      <c r="K179" s="7" t="s">
        <v>38</v>
      </c>
      <c r="L179" s="7" t="s">
        <v>39</v>
      </c>
      <c r="M179" s="7" t="s">
        <v>38</v>
      </c>
      <c r="N179" s="7" t="s">
        <v>41</v>
      </c>
      <c r="R179" s="7" t="s">
        <v>49</v>
      </c>
      <c r="S179" s="8">
        <v>11289.841804</v>
      </c>
      <c r="U179" s="8">
        <v>11289.841804</v>
      </c>
      <c r="V179" s="7" t="s">
        <v>56</v>
      </c>
      <c r="W179" s="7" t="s">
        <v>57</v>
      </c>
      <c r="X179" s="7" t="s">
        <v>2618</v>
      </c>
      <c r="Y179" s="7" t="s">
        <v>1691</v>
      </c>
      <c r="AA179" s="7" t="s">
        <v>2617</v>
      </c>
      <c r="AB179" s="7">
        <v>12</v>
      </c>
      <c r="AC179" s="7" t="s">
        <v>57</v>
      </c>
      <c r="AD179" s="7" t="s">
        <v>497</v>
      </c>
      <c r="AF179" s="7" t="s">
        <v>44</v>
      </c>
      <c r="AH179" s="4">
        <v>45077.999988425923</v>
      </c>
    </row>
    <row r="180" spans="1:34" x14ac:dyDescent="0.3">
      <c r="A180" s="4">
        <v>45047</v>
      </c>
      <c r="B180" s="4">
        <v>45077</v>
      </c>
      <c r="C180" s="7" t="s">
        <v>46</v>
      </c>
      <c r="D180" s="7" t="s">
        <v>36</v>
      </c>
      <c r="E180" s="7" t="s">
        <v>36</v>
      </c>
      <c r="F180" s="7" t="s">
        <v>36</v>
      </c>
      <c r="G180" s="7" t="s">
        <v>37</v>
      </c>
      <c r="K180" s="7" t="s">
        <v>38</v>
      </c>
      <c r="L180" s="7" t="s">
        <v>39</v>
      </c>
      <c r="M180" s="7" t="s">
        <v>40</v>
      </c>
      <c r="N180" s="7" t="s">
        <v>41</v>
      </c>
      <c r="R180" s="7" t="s">
        <v>45</v>
      </c>
      <c r="S180" s="8">
        <v>38710.158195999997</v>
      </c>
      <c r="U180" s="8">
        <v>38710.158195999997</v>
      </c>
      <c r="V180" s="7" t="s">
        <v>56</v>
      </c>
      <c r="W180" s="7" t="s">
        <v>57</v>
      </c>
      <c r="X180" s="7" t="s">
        <v>2618</v>
      </c>
      <c r="Y180" s="7" t="s">
        <v>1691</v>
      </c>
      <c r="AA180" s="7" t="s">
        <v>2617</v>
      </c>
      <c r="AB180" s="7">
        <v>12</v>
      </c>
      <c r="AC180" s="7" t="s">
        <v>57</v>
      </c>
      <c r="AD180" s="7" t="s">
        <v>499</v>
      </c>
      <c r="AF180" s="7" t="s">
        <v>44</v>
      </c>
      <c r="AH180" s="4">
        <v>45077.999988425923</v>
      </c>
    </row>
    <row r="181" spans="1:34" x14ac:dyDescent="0.3">
      <c r="A181" s="4">
        <v>45047</v>
      </c>
      <c r="B181" s="4">
        <v>45077</v>
      </c>
      <c r="C181" s="7" t="s">
        <v>46</v>
      </c>
      <c r="D181" s="7" t="s">
        <v>36</v>
      </c>
      <c r="E181" s="7" t="s">
        <v>36</v>
      </c>
      <c r="F181" s="7" t="s">
        <v>36</v>
      </c>
      <c r="G181" s="7" t="s">
        <v>37</v>
      </c>
      <c r="K181" s="7" t="s">
        <v>38</v>
      </c>
      <c r="L181" s="7" t="s">
        <v>39</v>
      </c>
      <c r="M181" s="7" t="s">
        <v>40</v>
      </c>
      <c r="N181" s="7" t="s">
        <v>41</v>
      </c>
      <c r="R181" s="7" t="s">
        <v>58</v>
      </c>
      <c r="T181" s="8">
        <v>50000</v>
      </c>
      <c r="U181" s="8">
        <v>-50000</v>
      </c>
      <c r="V181" s="7" t="s">
        <v>56</v>
      </c>
      <c r="W181" s="7" t="s">
        <v>57</v>
      </c>
      <c r="X181" s="7" t="s">
        <v>2618</v>
      </c>
      <c r="Y181" s="7" t="s">
        <v>1691</v>
      </c>
      <c r="AA181" s="7" t="s">
        <v>2617</v>
      </c>
      <c r="AB181" s="7">
        <v>12</v>
      </c>
      <c r="AC181" s="7" t="s">
        <v>57</v>
      </c>
      <c r="AD181" s="7" t="s">
        <v>500</v>
      </c>
      <c r="AF181" s="7" t="s">
        <v>44</v>
      </c>
      <c r="AH181" s="4">
        <v>45077.999988425923</v>
      </c>
    </row>
    <row r="182" spans="1:34" x14ac:dyDescent="0.3">
      <c r="A182" s="4">
        <v>45077</v>
      </c>
      <c r="B182" s="4">
        <v>45077</v>
      </c>
      <c r="C182" s="7" t="s">
        <v>46</v>
      </c>
      <c r="D182" s="7" t="s">
        <v>36</v>
      </c>
      <c r="E182" s="7" t="s">
        <v>36</v>
      </c>
      <c r="F182" s="7" t="s">
        <v>36</v>
      </c>
      <c r="G182" s="7" t="s">
        <v>37</v>
      </c>
      <c r="K182" s="7" t="s">
        <v>38</v>
      </c>
      <c r="L182" s="7" t="s">
        <v>39</v>
      </c>
      <c r="M182" s="7" t="s">
        <v>40</v>
      </c>
      <c r="N182" s="7" t="s">
        <v>41</v>
      </c>
      <c r="R182" s="7" t="s">
        <v>47</v>
      </c>
      <c r="S182" s="8">
        <v>11064.032547999999</v>
      </c>
      <c r="U182" s="8">
        <v>11064.032547999999</v>
      </c>
      <c r="V182" s="7" t="s">
        <v>56</v>
      </c>
      <c r="W182" s="7" t="s">
        <v>2621</v>
      </c>
      <c r="X182" s="7" t="s">
        <v>2618</v>
      </c>
      <c r="Y182" s="7" t="s">
        <v>1691</v>
      </c>
      <c r="AA182" s="7" t="s">
        <v>2617</v>
      </c>
      <c r="AB182" s="7">
        <v>8</v>
      </c>
      <c r="AC182" s="7" t="s">
        <v>48</v>
      </c>
      <c r="AD182" s="7" t="s">
        <v>501</v>
      </c>
      <c r="AF182" s="7" t="s">
        <v>44</v>
      </c>
      <c r="AH182" s="4">
        <v>45077.999988425923</v>
      </c>
    </row>
    <row r="183" spans="1:34" x14ac:dyDescent="0.3">
      <c r="A183" s="4">
        <v>45077</v>
      </c>
      <c r="B183" s="4">
        <v>45077</v>
      </c>
      <c r="C183" s="7" t="s">
        <v>46</v>
      </c>
      <c r="D183" s="7" t="s">
        <v>36</v>
      </c>
      <c r="E183" s="7" t="s">
        <v>36</v>
      </c>
      <c r="F183" s="7" t="s">
        <v>36</v>
      </c>
      <c r="G183" s="7" t="s">
        <v>37</v>
      </c>
      <c r="K183" s="7" t="s">
        <v>38</v>
      </c>
      <c r="L183" s="7" t="s">
        <v>39</v>
      </c>
      <c r="M183" s="7" t="s">
        <v>38</v>
      </c>
      <c r="N183" s="7" t="s">
        <v>41</v>
      </c>
      <c r="R183" s="7" t="s">
        <v>49</v>
      </c>
      <c r="T183" s="8">
        <v>11064.032547999999</v>
      </c>
      <c r="U183" s="8">
        <v>-11064.032547999999</v>
      </c>
      <c r="V183" s="7" t="s">
        <v>56</v>
      </c>
      <c r="W183" s="7" t="s">
        <v>2621</v>
      </c>
      <c r="X183" s="7" t="s">
        <v>2618</v>
      </c>
      <c r="Y183" s="7" t="s">
        <v>1691</v>
      </c>
      <c r="AA183" s="7" t="s">
        <v>2617</v>
      </c>
      <c r="AB183" s="7">
        <v>8</v>
      </c>
      <c r="AC183" s="7" t="s">
        <v>48</v>
      </c>
      <c r="AD183" s="7" t="s">
        <v>503</v>
      </c>
      <c r="AF183" s="7" t="s">
        <v>44</v>
      </c>
      <c r="AH183" s="4">
        <v>45077.999988425923</v>
      </c>
    </row>
    <row r="184" spans="1:34" x14ac:dyDescent="0.3">
      <c r="A184" s="4">
        <v>45077</v>
      </c>
      <c r="B184" s="4">
        <v>44562</v>
      </c>
      <c r="C184" s="7" t="s">
        <v>35</v>
      </c>
      <c r="D184" s="7" t="s">
        <v>36</v>
      </c>
      <c r="E184" s="7" t="s">
        <v>36</v>
      </c>
      <c r="F184" s="7" t="s">
        <v>36</v>
      </c>
      <c r="G184" s="7" t="s">
        <v>37</v>
      </c>
      <c r="K184" s="7" t="s">
        <v>38</v>
      </c>
      <c r="L184" s="7" t="s">
        <v>39</v>
      </c>
      <c r="M184" s="7" t="s">
        <v>40</v>
      </c>
      <c r="N184" s="7" t="s">
        <v>41</v>
      </c>
      <c r="R184" s="7" t="s">
        <v>50</v>
      </c>
      <c r="S184" s="8">
        <v>42330.49</v>
      </c>
      <c r="U184" s="8">
        <v>42330.49</v>
      </c>
      <c r="V184" s="7" t="s">
        <v>56</v>
      </c>
      <c r="W184" s="7" t="s">
        <v>2619</v>
      </c>
      <c r="X184" s="7" t="s">
        <v>2618</v>
      </c>
      <c r="Y184" s="7" t="s">
        <v>1691</v>
      </c>
      <c r="AA184" s="7" t="s">
        <v>2617</v>
      </c>
      <c r="AB184" s="7">
        <v>10</v>
      </c>
      <c r="AC184" s="7" t="s">
        <v>51</v>
      </c>
      <c r="AD184" s="7" t="s">
        <v>504</v>
      </c>
      <c r="AF184" s="7" t="s">
        <v>44</v>
      </c>
      <c r="AH184" s="4">
        <v>45077.999988425923</v>
      </c>
    </row>
    <row r="185" spans="1:34" x14ac:dyDescent="0.3">
      <c r="A185" s="4">
        <v>45077</v>
      </c>
      <c r="B185" s="4">
        <v>44562</v>
      </c>
      <c r="C185" s="7" t="s">
        <v>35</v>
      </c>
      <c r="D185" s="7" t="s">
        <v>36</v>
      </c>
      <c r="E185" s="7" t="s">
        <v>36</v>
      </c>
      <c r="F185" s="7" t="s">
        <v>36</v>
      </c>
      <c r="G185" s="7" t="s">
        <v>37</v>
      </c>
      <c r="K185" s="7" t="s">
        <v>38</v>
      </c>
      <c r="L185" s="7" t="s">
        <v>39</v>
      </c>
      <c r="M185" s="7" t="s">
        <v>40</v>
      </c>
      <c r="N185" s="7" t="s">
        <v>41</v>
      </c>
      <c r="R185" s="7" t="s">
        <v>52</v>
      </c>
      <c r="T185" s="8">
        <v>42330.49</v>
      </c>
      <c r="U185" s="8">
        <v>-42330.49</v>
      </c>
      <c r="V185" s="7" t="s">
        <v>56</v>
      </c>
      <c r="W185" s="7" t="s">
        <v>2619</v>
      </c>
      <c r="X185" s="7" t="s">
        <v>2618</v>
      </c>
      <c r="Y185" s="7" t="s">
        <v>1691</v>
      </c>
      <c r="AA185" s="7" t="s">
        <v>2617</v>
      </c>
      <c r="AB185" s="7">
        <v>10</v>
      </c>
      <c r="AC185" s="7" t="s">
        <v>51</v>
      </c>
      <c r="AD185" s="7" t="s">
        <v>506</v>
      </c>
      <c r="AF185" s="7" t="s">
        <v>44</v>
      </c>
      <c r="AH185" s="4">
        <v>45077.999988425923</v>
      </c>
    </row>
    <row r="186" spans="1:34" x14ac:dyDescent="0.3">
      <c r="A186" s="4">
        <v>45077</v>
      </c>
      <c r="B186" s="4">
        <v>45077</v>
      </c>
      <c r="C186" s="7" t="s">
        <v>35</v>
      </c>
      <c r="D186" s="7" t="s">
        <v>36</v>
      </c>
      <c r="E186" s="7" t="s">
        <v>36</v>
      </c>
      <c r="F186" s="7" t="s">
        <v>36</v>
      </c>
      <c r="G186" s="7" t="s">
        <v>37</v>
      </c>
      <c r="K186" s="7" t="s">
        <v>38</v>
      </c>
      <c r="L186" s="7" t="s">
        <v>39</v>
      </c>
      <c r="M186" s="7" t="s">
        <v>40</v>
      </c>
      <c r="N186" s="7" t="s">
        <v>41</v>
      </c>
      <c r="R186" s="7" t="s">
        <v>45</v>
      </c>
      <c r="S186" s="8">
        <v>482517.29</v>
      </c>
      <c r="U186" s="8">
        <v>482517.29</v>
      </c>
      <c r="V186" s="7" t="s">
        <v>56</v>
      </c>
      <c r="W186" s="7" t="s">
        <v>2620</v>
      </c>
      <c r="X186" s="7" t="s">
        <v>2618</v>
      </c>
      <c r="Y186" s="7" t="s">
        <v>1691</v>
      </c>
      <c r="AA186" s="7" t="s">
        <v>2617</v>
      </c>
      <c r="AB186" s="7">
        <v>11</v>
      </c>
      <c r="AC186" s="7" t="s">
        <v>53</v>
      </c>
      <c r="AD186" s="7" t="s">
        <v>507</v>
      </c>
      <c r="AF186" s="7" t="s">
        <v>44</v>
      </c>
      <c r="AH186" s="4">
        <v>45077.999988425923</v>
      </c>
    </row>
    <row r="187" spans="1:34" x14ac:dyDescent="0.3">
      <c r="A187" s="4">
        <v>45077</v>
      </c>
      <c r="B187" s="4">
        <v>45077</v>
      </c>
      <c r="C187" s="7" t="s">
        <v>35</v>
      </c>
      <c r="D187" s="7" t="s">
        <v>36</v>
      </c>
      <c r="E187" s="7" t="s">
        <v>36</v>
      </c>
      <c r="F187" s="7" t="s">
        <v>36</v>
      </c>
      <c r="G187" s="7" t="s">
        <v>37</v>
      </c>
      <c r="K187" s="7" t="s">
        <v>38</v>
      </c>
      <c r="L187" s="7" t="s">
        <v>39</v>
      </c>
      <c r="M187" s="7" t="s">
        <v>40</v>
      </c>
      <c r="N187" s="7" t="s">
        <v>41</v>
      </c>
      <c r="R187" s="7" t="s">
        <v>54</v>
      </c>
      <c r="T187" s="8">
        <v>482517.29</v>
      </c>
      <c r="U187" s="8">
        <v>-482517.29</v>
      </c>
      <c r="V187" s="7" t="s">
        <v>56</v>
      </c>
      <c r="W187" s="7" t="s">
        <v>2620</v>
      </c>
      <c r="X187" s="7" t="s">
        <v>2618</v>
      </c>
      <c r="Y187" s="7" t="s">
        <v>1691</v>
      </c>
      <c r="AA187" s="7" t="s">
        <v>2617</v>
      </c>
      <c r="AB187" s="7">
        <v>11</v>
      </c>
      <c r="AC187" s="7" t="s">
        <v>53</v>
      </c>
      <c r="AD187" s="7" t="s">
        <v>509</v>
      </c>
      <c r="AF187" s="7" t="s">
        <v>44</v>
      </c>
      <c r="AH187" s="4">
        <v>45077.999988425923</v>
      </c>
    </row>
    <row r="188" spans="1:34" x14ac:dyDescent="0.3">
      <c r="A188" s="4">
        <v>45078</v>
      </c>
      <c r="B188" s="4">
        <v>45078</v>
      </c>
      <c r="C188" s="7" t="s">
        <v>35</v>
      </c>
      <c r="D188" s="7" t="s">
        <v>36</v>
      </c>
      <c r="E188" s="7" t="s">
        <v>36</v>
      </c>
      <c r="F188" s="7" t="s">
        <v>36</v>
      </c>
      <c r="G188" s="7" t="s">
        <v>37</v>
      </c>
      <c r="K188" s="7" t="s">
        <v>38</v>
      </c>
      <c r="L188" s="7" t="s">
        <v>39</v>
      </c>
      <c r="M188" s="7" t="s">
        <v>40</v>
      </c>
      <c r="N188" s="7" t="s">
        <v>41</v>
      </c>
      <c r="R188" s="7" t="s">
        <v>54</v>
      </c>
      <c r="S188" s="8">
        <v>482517.29</v>
      </c>
      <c r="U188" s="8">
        <v>482517.29</v>
      </c>
      <c r="V188" s="7" t="s">
        <v>56</v>
      </c>
      <c r="W188" s="7" t="s">
        <v>2620</v>
      </c>
      <c r="X188" s="7" t="s">
        <v>2618</v>
      </c>
      <c r="Y188" s="7" t="s">
        <v>1691</v>
      </c>
      <c r="AA188" s="7" t="s">
        <v>2617</v>
      </c>
      <c r="AB188" s="7">
        <v>11</v>
      </c>
      <c r="AC188" s="7" t="s">
        <v>55</v>
      </c>
      <c r="AD188" s="7" t="s">
        <v>510</v>
      </c>
      <c r="AF188" s="7" t="s">
        <v>44</v>
      </c>
      <c r="AH188" s="4">
        <v>45107.999988425923</v>
      </c>
    </row>
    <row r="189" spans="1:34" x14ac:dyDescent="0.3">
      <c r="A189" s="4">
        <v>45078</v>
      </c>
      <c r="B189" s="4">
        <v>45078</v>
      </c>
      <c r="C189" s="7" t="s">
        <v>35</v>
      </c>
      <c r="D189" s="7" t="s">
        <v>36</v>
      </c>
      <c r="E189" s="7" t="s">
        <v>36</v>
      </c>
      <c r="F189" s="7" t="s">
        <v>36</v>
      </c>
      <c r="G189" s="7" t="s">
        <v>37</v>
      </c>
      <c r="K189" s="7" t="s">
        <v>38</v>
      </c>
      <c r="L189" s="7" t="s">
        <v>39</v>
      </c>
      <c r="M189" s="7" t="s">
        <v>40</v>
      </c>
      <c r="N189" s="7" t="s">
        <v>41</v>
      </c>
      <c r="R189" s="7" t="s">
        <v>45</v>
      </c>
      <c r="T189" s="8">
        <v>482517.29</v>
      </c>
      <c r="U189" s="8">
        <v>-482517.29</v>
      </c>
      <c r="V189" s="7" t="s">
        <v>56</v>
      </c>
      <c r="W189" s="7" t="s">
        <v>2620</v>
      </c>
      <c r="X189" s="7" t="s">
        <v>2618</v>
      </c>
      <c r="Y189" s="7" t="s">
        <v>1691</v>
      </c>
      <c r="AA189" s="7" t="s">
        <v>2617</v>
      </c>
      <c r="AB189" s="7">
        <v>11</v>
      </c>
      <c r="AC189" s="7" t="s">
        <v>55</v>
      </c>
      <c r="AD189" s="7" t="s">
        <v>512</v>
      </c>
      <c r="AF189" s="7" t="s">
        <v>44</v>
      </c>
      <c r="AH189" s="4">
        <v>45107.999988425923</v>
      </c>
    </row>
    <row r="190" spans="1:34" x14ac:dyDescent="0.3">
      <c r="A190" s="4">
        <v>45078</v>
      </c>
      <c r="B190" s="4">
        <v>45107</v>
      </c>
      <c r="C190" s="7" t="s">
        <v>46</v>
      </c>
      <c r="D190" s="7" t="s">
        <v>36</v>
      </c>
      <c r="E190" s="7" t="s">
        <v>36</v>
      </c>
      <c r="F190" s="7" t="s">
        <v>36</v>
      </c>
      <c r="G190" s="7" t="s">
        <v>37</v>
      </c>
      <c r="K190" s="7" t="s">
        <v>38</v>
      </c>
      <c r="L190" s="7" t="s">
        <v>39</v>
      </c>
      <c r="M190" s="7" t="s">
        <v>38</v>
      </c>
      <c r="N190" s="7" t="s">
        <v>41</v>
      </c>
      <c r="R190" s="7" t="s">
        <v>49</v>
      </c>
      <c r="S190" s="8">
        <v>11064.032547999999</v>
      </c>
      <c r="U190" s="8">
        <v>11064.032547999999</v>
      </c>
      <c r="V190" s="7" t="s">
        <v>56</v>
      </c>
      <c r="W190" s="7" t="s">
        <v>57</v>
      </c>
      <c r="X190" s="7" t="s">
        <v>2618</v>
      </c>
      <c r="Y190" s="7" t="s">
        <v>1691</v>
      </c>
      <c r="AA190" s="7" t="s">
        <v>2617</v>
      </c>
      <c r="AB190" s="7">
        <v>12</v>
      </c>
      <c r="AC190" s="7" t="s">
        <v>57</v>
      </c>
      <c r="AD190" s="7" t="s">
        <v>513</v>
      </c>
      <c r="AF190" s="7" t="s">
        <v>44</v>
      </c>
      <c r="AH190" s="4">
        <v>45107.999988425923</v>
      </c>
    </row>
    <row r="191" spans="1:34" x14ac:dyDescent="0.3">
      <c r="A191" s="4">
        <v>45078</v>
      </c>
      <c r="B191" s="4">
        <v>45107</v>
      </c>
      <c r="C191" s="7" t="s">
        <v>46</v>
      </c>
      <c r="D191" s="7" t="s">
        <v>36</v>
      </c>
      <c r="E191" s="7" t="s">
        <v>36</v>
      </c>
      <c r="F191" s="7" t="s">
        <v>36</v>
      </c>
      <c r="G191" s="7" t="s">
        <v>37</v>
      </c>
      <c r="K191" s="7" t="s">
        <v>38</v>
      </c>
      <c r="L191" s="7" t="s">
        <v>39</v>
      </c>
      <c r="M191" s="7" t="s">
        <v>40</v>
      </c>
      <c r="N191" s="7" t="s">
        <v>41</v>
      </c>
      <c r="R191" s="7" t="s">
        <v>45</v>
      </c>
      <c r="S191" s="8">
        <v>38935.967451999997</v>
      </c>
      <c r="U191" s="8">
        <v>38935.967451999997</v>
      </c>
      <c r="V191" s="7" t="s">
        <v>56</v>
      </c>
      <c r="W191" s="7" t="s">
        <v>57</v>
      </c>
      <c r="X191" s="7" t="s">
        <v>2618</v>
      </c>
      <c r="Y191" s="7" t="s">
        <v>1691</v>
      </c>
      <c r="AA191" s="7" t="s">
        <v>2617</v>
      </c>
      <c r="AB191" s="7">
        <v>12</v>
      </c>
      <c r="AC191" s="7" t="s">
        <v>57</v>
      </c>
      <c r="AD191" s="7" t="s">
        <v>515</v>
      </c>
      <c r="AF191" s="7" t="s">
        <v>44</v>
      </c>
      <c r="AH191" s="4">
        <v>45107.999988425923</v>
      </c>
    </row>
    <row r="192" spans="1:34" x14ac:dyDescent="0.3">
      <c r="A192" s="4">
        <v>45078</v>
      </c>
      <c r="B192" s="4">
        <v>45107</v>
      </c>
      <c r="C192" s="7" t="s">
        <v>46</v>
      </c>
      <c r="D192" s="7" t="s">
        <v>36</v>
      </c>
      <c r="E192" s="7" t="s">
        <v>36</v>
      </c>
      <c r="F192" s="7" t="s">
        <v>36</v>
      </c>
      <c r="G192" s="7" t="s">
        <v>37</v>
      </c>
      <c r="K192" s="7" t="s">
        <v>38</v>
      </c>
      <c r="L192" s="7" t="s">
        <v>39</v>
      </c>
      <c r="M192" s="7" t="s">
        <v>40</v>
      </c>
      <c r="N192" s="7" t="s">
        <v>41</v>
      </c>
      <c r="R192" s="7" t="s">
        <v>58</v>
      </c>
      <c r="T192" s="8">
        <v>50000</v>
      </c>
      <c r="U192" s="8">
        <v>-50000</v>
      </c>
      <c r="V192" s="7" t="s">
        <v>56</v>
      </c>
      <c r="W192" s="7" t="s">
        <v>57</v>
      </c>
      <c r="X192" s="7" t="s">
        <v>2618</v>
      </c>
      <c r="Y192" s="7" t="s">
        <v>1691</v>
      </c>
      <c r="AA192" s="7" t="s">
        <v>2617</v>
      </c>
      <c r="AB192" s="7">
        <v>12</v>
      </c>
      <c r="AC192" s="7" t="s">
        <v>57</v>
      </c>
      <c r="AD192" s="7" t="s">
        <v>516</v>
      </c>
      <c r="AF192" s="7" t="s">
        <v>44</v>
      </c>
      <c r="AH192" s="4">
        <v>45107.999988425923</v>
      </c>
    </row>
    <row r="193" spans="1:34" x14ac:dyDescent="0.3">
      <c r="A193" s="4">
        <v>45107</v>
      </c>
      <c r="B193" s="4">
        <v>45107</v>
      </c>
      <c r="C193" s="7" t="s">
        <v>46</v>
      </c>
      <c r="D193" s="7" t="s">
        <v>36</v>
      </c>
      <c r="E193" s="7" t="s">
        <v>36</v>
      </c>
      <c r="F193" s="7" t="s">
        <v>36</v>
      </c>
      <c r="G193" s="7" t="s">
        <v>37</v>
      </c>
      <c r="K193" s="7" t="s">
        <v>38</v>
      </c>
      <c r="L193" s="7" t="s">
        <v>39</v>
      </c>
      <c r="M193" s="7" t="s">
        <v>40</v>
      </c>
      <c r="N193" s="7" t="s">
        <v>41</v>
      </c>
      <c r="R193" s="7" t="s">
        <v>47</v>
      </c>
      <c r="S193" s="8">
        <v>10836.906070999999</v>
      </c>
      <c r="U193" s="8">
        <v>10836.906070999999</v>
      </c>
      <c r="V193" s="7" t="s">
        <v>56</v>
      </c>
      <c r="W193" s="7" t="s">
        <v>2621</v>
      </c>
      <c r="X193" s="7" t="s">
        <v>2618</v>
      </c>
      <c r="Y193" s="7" t="s">
        <v>1691</v>
      </c>
      <c r="AA193" s="7" t="s">
        <v>2617</v>
      </c>
      <c r="AB193" s="7">
        <v>8</v>
      </c>
      <c r="AC193" s="7" t="s">
        <v>48</v>
      </c>
      <c r="AD193" s="7" t="s">
        <v>517</v>
      </c>
      <c r="AF193" s="7" t="s">
        <v>44</v>
      </c>
      <c r="AH193" s="4">
        <v>45107.999988425923</v>
      </c>
    </row>
    <row r="194" spans="1:34" x14ac:dyDescent="0.3">
      <c r="A194" s="4">
        <v>45107</v>
      </c>
      <c r="B194" s="4">
        <v>45107</v>
      </c>
      <c r="C194" s="7" t="s">
        <v>46</v>
      </c>
      <c r="D194" s="7" t="s">
        <v>36</v>
      </c>
      <c r="E194" s="7" t="s">
        <v>36</v>
      </c>
      <c r="F194" s="7" t="s">
        <v>36</v>
      </c>
      <c r="G194" s="7" t="s">
        <v>37</v>
      </c>
      <c r="K194" s="7" t="s">
        <v>38</v>
      </c>
      <c r="L194" s="7" t="s">
        <v>39</v>
      </c>
      <c r="M194" s="7" t="s">
        <v>38</v>
      </c>
      <c r="N194" s="7" t="s">
        <v>41</v>
      </c>
      <c r="R194" s="7" t="s">
        <v>49</v>
      </c>
      <c r="T194" s="8">
        <v>10836.906070999999</v>
      </c>
      <c r="U194" s="8">
        <v>-10836.906070999999</v>
      </c>
      <c r="V194" s="7" t="s">
        <v>56</v>
      </c>
      <c r="W194" s="7" t="s">
        <v>2621</v>
      </c>
      <c r="X194" s="7" t="s">
        <v>2618</v>
      </c>
      <c r="Y194" s="7" t="s">
        <v>1691</v>
      </c>
      <c r="AA194" s="7" t="s">
        <v>2617</v>
      </c>
      <c r="AB194" s="7">
        <v>8</v>
      </c>
      <c r="AC194" s="7" t="s">
        <v>48</v>
      </c>
      <c r="AD194" s="7" t="s">
        <v>519</v>
      </c>
      <c r="AF194" s="7" t="s">
        <v>44</v>
      </c>
      <c r="AH194" s="4">
        <v>45107.999988425923</v>
      </c>
    </row>
    <row r="195" spans="1:34" x14ac:dyDescent="0.3">
      <c r="A195" s="4">
        <v>45107</v>
      </c>
      <c r="B195" s="4">
        <v>44562</v>
      </c>
      <c r="C195" s="7" t="s">
        <v>35</v>
      </c>
      <c r="D195" s="7" t="s">
        <v>36</v>
      </c>
      <c r="E195" s="7" t="s">
        <v>36</v>
      </c>
      <c r="F195" s="7" t="s">
        <v>36</v>
      </c>
      <c r="G195" s="7" t="s">
        <v>37</v>
      </c>
      <c r="K195" s="7" t="s">
        <v>38</v>
      </c>
      <c r="L195" s="7" t="s">
        <v>39</v>
      </c>
      <c r="M195" s="7" t="s">
        <v>40</v>
      </c>
      <c r="N195" s="7" t="s">
        <v>41</v>
      </c>
      <c r="R195" s="7" t="s">
        <v>50</v>
      </c>
      <c r="S195" s="8">
        <v>42330.49</v>
      </c>
      <c r="U195" s="8">
        <v>42330.49</v>
      </c>
      <c r="V195" s="7" t="s">
        <v>56</v>
      </c>
      <c r="W195" s="7" t="s">
        <v>2619</v>
      </c>
      <c r="X195" s="7" t="s">
        <v>2618</v>
      </c>
      <c r="Y195" s="7" t="s">
        <v>1691</v>
      </c>
      <c r="AA195" s="7" t="s">
        <v>2617</v>
      </c>
      <c r="AB195" s="7">
        <v>10</v>
      </c>
      <c r="AC195" s="7" t="s">
        <v>51</v>
      </c>
      <c r="AD195" s="7" t="s">
        <v>520</v>
      </c>
      <c r="AF195" s="7" t="s">
        <v>44</v>
      </c>
      <c r="AH195" s="4">
        <v>45107.999988425923</v>
      </c>
    </row>
    <row r="196" spans="1:34" x14ac:dyDescent="0.3">
      <c r="A196" s="4">
        <v>45107</v>
      </c>
      <c r="B196" s="4">
        <v>44562</v>
      </c>
      <c r="C196" s="7" t="s">
        <v>35</v>
      </c>
      <c r="D196" s="7" t="s">
        <v>36</v>
      </c>
      <c r="E196" s="7" t="s">
        <v>36</v>
      </c>
      <c r="F196" s="7" t="s">
        <v>36</v>
      </c>
      <c r="G196" s="7" t="s">
        <v>37</v>
      </c>
      <c r="K196" s="7" t="s">
        <v>38</v>
      </c>
      <c r="L196" s="7" t="s">
        <v>39</v>
      </c>
      <c r="M196" s="7" t="s">
        <v>40</v>
      </c>
      <c r="N196" s="7" t="s">
        <v>41</v>
      </c>
      <c r="R196" s="7" t="s">
        <v>52</v>
      </c>
      <c r="T196" s="8">
        <v>42330.49</v>
      </c>
      <c r="U196" s="8">
        <v>-42330.49</v>
      </c>
      <c r="V196" s="7" t="s">
        <v>56</v>
      </c>
      <c r="W196" s="7" t="s">
        <v>2619</v>
      </c>
      <c r="X196" s="7" t="s">
        <v>2618</v>
      </c>
      <c r="Y196" s="7" t="s">
        <v>1691</v>
      </c>
      <c r="AA196" s="7" t="s">
        <v>2617</v>
      </c>
      <c r="AB196" s="7">
        <v>10</v>
      </c>
      <c r="AC196" s="7" t="s">
        <v>51</v>
      </c>
      <c r="AD196" s="7" t="s">
        <v>522</v>
      </c>
      <c r="AF196" s="7" t="s">
        <v>44</v>
      </c>
      <c r="AH196" s="4">
        <v>45107.999988425923</v>
      </c>
    </row>
    <row r="197" spans="1:34" x14ac:dyDescent="0.3">
      <c r="A197" s="4">
        <v>45107</v>
      </c>
      <c r="B197" s="4">
        <v>45107</v>
      </c>
      <c r="C197" s="7" t="s">
        <v>35</v>
      </c>
      <c r="D197" s="7" t="s">
        <v>36</v>
      </c>
      <c r="E197" s="7" t="s">
        <v>36</v>
      </c>
      <c r="F197" s="7" t="s">
        <v>36</v>
      </c>
      <c r="G197" s="7" t="s">
        <v>37</v>
      </c>
      <c r="K197" s="7" t="s">
        <v>38</v>
      </c>
      <c r="L197" s="7" t="s">
        <v>39</v>
      </c>
      <c r="M197" s="7" t="s">
        <v>40</v>
      </c>
      <c r="N197" s="7" t="s">
        <v>41</v>
      </c>
      <c r="R197" s="7" t="s">
        <v>45</v>
      </c>
      <c r="S197" s="8">
        <v>485331.99</v>
      </c>
      <c r="U197" s="8">
        <v>485331.99</v>
      </c>
      <c r="V197" s="7" t="s">
        <v>56</v>
      </c>
      <c r="W197" s="7" t="s">
        <v>2620</v>
      </c>
      <c r="X197" s="7" t="s">
        <v>2618</v>
      </c>
      <c r="Y197" s="7" t="s">
        <v>1691</v>
      </c>
      <c r="AA197" s="7" t="s">
        <v>2617</v>
      </c>
      <c r="AB197" s="7">
        <v>11</v>
      </c>
      <c r="AC197" s="7" t="s">
        <v>53</v>
      </c>
      <c r="AD197" s="7" t="s">
        <v>523</v>
      </c>
      <c r="AF197" s="7" t="s">
        <v>44</v>
      </c>
      <c r="AH197" s="4">
        <v>45107.999988425923</v>
      </c>
    </row>
    <row r="198" spans="1:34" x14ac:dyDescent="0.3">
      <c r="A198" s="4">
        <v>45107</v>
      </c>
      <c r="B198" s="4">
        <v>45107</v>
      </c>
      <c r="C198" s="7" t="s">
        <v>35</v>
      </c>
      <c r="D198" s="7" t="s">
        <v>36</v>
      </c>
      <c r="E198" s="7" t="s">
        <v>36</v>
      </c>
      <c r="F198" s="7" t="s">
        <v>36</v>
      </c>
      <c r="G198" s="7" t="s">
        <v>37</v>
      </c>
      <c r="K198" s="7" t="s">
        <v>38</v>
      </c>
      <c r="L198" s="7" t="s">
        <v>39</v>
      </c>
      <c r="M198" s="7" t="s">
        <v>40</v>
      </c>
      <c r="N198" s="7" t="s">
        <v>41</v>
      </c>
      <c r="R198" s="7" t="s">
        <v>54</v>
      </c>
      <c r="T198" s="8">
        <v>485331.99</v>
      </c>
      <c r="U198" s="8">
        <v>-485331.99</v>
      </c>
      <c r="V198" s="7" t="s">
        <v>56</v>
      </c>
      <c r="W198" s="7" t="s">
        <v>2620</v>
      </c>
      <c r="X198" s="7" t="s">
        <v>2618</v>
      </c>
      <c r="Y198" s="7" t="s">
        <v>1691</v>
      </c>
      <c r="AA198" s="7" t="s">
        <v>2617</v>
      </c>
      <c r="AB198" s="7">
        <v>11</v>
      </c>
      <c r="AC198" s="7" t="s">
        <v>53</v>
      </c>
      <c r="AD198" s="7" t="s">
        <v>525</v>
      </c>
      <c r="AF198" s="7" t="s">
        <v>44</v>
      </c>
      <c r="AH198" s="4">
        <v>45107.999988425923</v>
      </c>
    </row>
    <row r="199" spans="1:34" x14ac:dyDescent="0.3">
      <c r="A199" s="4">
        <v>45108</v>
      </c>
      <c r="B199" s="4">
        <v>45108</v>
      </c>
      <c r="C199" s="7" t="s">
        <v>35</v>
      </c>
      <c r="D199" s="7" t="s">
        <v>36</v>
      </c>
      <c r="E199" s="7" t="s">
        <v>36</v>
      </c>
      <c r="F199" s="7" t="s">
        <v>36</v>
      </c>
      <c r="G199" s="7" t="s">
        <v>37</v>
      </c>
      <c r="K199" s="7" t="s">
        <v>38</v>
      </c>
      <c r="L199" s="7" t="s">
        <v>39</v>
      </c>
      <c r="M199" s="7" t="s">
        <v>40</v>
      </c>
      <c r="N199" s="7" t="s">
        <v>41</v>
      </c>
      <c r="R199" s="7" t="s">
        <v>54</v>
      </c>
      <c r="S199" s="8">
        <v>485331.99</v>
      </c>
      <c r="U199" s="8">
        <v>485331.99</v>
      </c>
      <c r="V199" s="7" t="s">
        <v>56</v>
      </c>
      <c r="W199" s="7" t="s">
        <v>2620</v>
      </c>
      <c r="X199" s="7" t="s">
        <v>2618</v>
      </c>
      <c r="Y199" s="7" t="s">
        <v>1691</v>
      </c>
      <c r="AA199" s="7" t="s">
        <v>2617</v>
      </c>
      <c r="AB199" s="7">
        <v>11</v>
      </c>
      <c r="AC199" s="7" t="s">
        <v>55</v>
      </c>
      <c r="AD199" s="7" t="s">
        <v>526</v>
      </c>
      <c r="AF199" s="7" t="s">
        <v>44</v>
      </c>
      <c r="AH199" s="4">
        <v>45138.999988425923</v>
      </c>
    </row>
    <row r="200" spans="1:34" x14ac:dyDescent="0.3">
      <c r="A200" s="4">
        <v>45108</v>
      </c>
      <c r="B200" s="4">
        <v>45108</v>
      </c>
      <c r="C200" s="7" t="s">
        <v>35</v>
      </c>
      <c r="D200" s="7" t="s">
        <v>36</v>
      </c>
      <c r="E200" s="7" t="s">
        <v>36</v>
      </c>
      <c r="F200" s="7" t="s">
        <v>36</v>
      </c>
      <c r="G200" s="7" t="s">
        <v>37</v>
      </c>
      <c r="K200" s="7" t="s">
        <v>38</v>
      </c>
      <c r="L200" s="7" t="s">
        <v>39</v>
      </c>
      <c r="M200" s="7" t="s">
        <v>40</v>
      </c>
      <c r="N200" s="7" t="s">
        <v>41</v>
      </c>
      <c r="R200" s="7" t="s">
        <v>45</v>
      </c>
      <c r="T200" s="8">
        <v>485331.99</v>
      </c>
      <c r="U200" s="8">
        <v>-485331.99</v>
      </c>
      <c r="V200" s="7" t="s">
        <v>56</v>
      </c>
      <c r="W200" s="7" t="s">
        <v>2620</v>
      </c>
      <c r="X200" s="7" t="s">
        <v>2618</v>
      </c>
      <c r="Y200" s="7" t="s">
        <v>1691</v>
      </c>
      <c r="AA200" s="7" t="s">
        <v>2617</v>
      </c>
      <c r="AB200" s="7">
        <v>11</v>
      </c>
      <c r="AC200" s="7" t="s">
        <v>55</v>
      </c>
      <c r="AD200" s="7" t="s">
        <v>528</v>
      </c>
      <c r="AF200" s="7" t="s">
        <v>44</v>
      </c>
      <c r="AH200" s="4">
        <v>45138.999988425923</v>
      </c>
    </row>
    <row r="201" spans="1:34" x14ac:dyDescent="0.3">
      <c r="A201" s="4">
        <v>45108</v>
      </c>
      <c r="B201" s="4">
        <v>45138</v>
      </c>
      <c r="C201" s="7" t="s">
        <v>46</v>
      </c>
      <c r="D201" s="7" t="s">
        <v>36</v>
      </c>
      <c r="E201" s="7" t="s">
        <v>36</v>
      </c>
      <c r="F201" s="7" t="s">
        <v>36</v>
      </c>
      <c r="G201" s="7" t="s">
        <v>37</v>
      </c>
      <c r="K201" s="7" t="s">
        <v>38</v>
      </c>
      <c r="L201" s="7" t="s">
        <v>39</v>
      </c>
      <c r="M201" s="7" t="s">
        <v>38</v>
      </c>
      <c r="N201" s="7" t="s">
        <v>41</v>
      </c>
      <c r="R201" s="7" t="s">
        <v>49</v>
      </c>
      <c r="S201" s="8">
        <v>10836.906070999999</v>
      </c>
      <c r="U201" s="8">
        <v>10836.906070999999</v>
      </c>
      <c r="V201" s="7" t="s">
        <v>56</v>
      </c>
      <c r="W201" s="7" t="s">
        <v>57</v>
      </c>
      <c r="X201" s="7" t="s">
        <v>2618</v>
      </c>
      <c r="Y201" s="7" t="s">
        <v>1691</v>
      </c>
      <c r="AA201" s="7" t="s">
        <v>2617</v>
      </c>
      <c r="AB201" s="7">
        <v>12</v>
      </c>
      <c r="AC201" s="7" t="s">
        <v>57</v>
      </c>
      <c r="AD201" s="7" t="s">
        <v>529</v>
      </c>
      <c r="AF201" s="7" t="s">
        <v>44</v>
      </c>
      <c r="AH201" s="4">
        <v>45138.999988425923</v>
      </c>
    </row>
    <row r="202" spans="1:34" x14ac:dyDescent="0.3">
      <c r="A202" s="4">
        <v>45108</v>
      </c>
      <c r="B202" s="4">
        <v>45138</v>
      </c>
      <c r="C202" s="7" t="s">
        <v>46</v>
      </c>
      <c r="D202" s="7" t="s">
        <v>36</v>
      </c>
      <c r="E202" s="7" t="s">
        <v>36</v>
      </c>
      <c r="F202" s="7" t="s">
        <v>36</v>
      </c>
      <c r="G202" s="7" t="s">
        <v>37</v>
      </c>
      <c r="K202" s="7" t="s">
        <v>38</v>
      </c>
      <c r="L202" s="7" t="s">
        <v>39</v>
      </c>
      <c r="M202" s="7" t="s">
        <v>40</v>
      </c>
      <c r="N202" s="7" t="s">
        <v>41</v>
      </c>
      <c r="R202" s="7" t="s">
        <v>45</v>
      </c>
      <c r="S202" s="8">
        <v>39163.093929000002</v>
      </c>
      <c r="U202" s="8">
        <v>39163.093929000002</v>
      </c>
      <c r="V202" s="7" t="s">
        <v>56</v>
      </c>
      <c r="W202" s="7" t="s">
        <v>57</v>
      </c>
      <c r="X202" s="7" t="s">
        <v>2618</v>
      </c>
      <c r="Y202" s="7" t="s">
        <v>1691</v>
      </c>
      <c r="AA202" s="7" t="s">
        <v>2617</v>
      </c>
      <c r="AB202" s="7">
        <v>12</v>
      </c>
      <c r="AC202" s="7" t="s">
        <v>57</v>
      </c>
      <c r="AD202" s="7" t="s">
        <v>531</v>
      </c>
      <c r="AF202" s="7" t="s">
        <v>44</v>
      </c>
      <c r="AH202" s="4">
        <v>45138.999988425923</v>
      </c>
    </row>
    <row r="203" spans="1:34" x14ac:dyDescent="0.3">
      <c r="A203" s="4">
        <v>45108</v>
      </c>
      <c r="B203" s="4">
        <v>45138</v>
      </c>
      <c r="C203" s="7" t="s">
        <v>46</v>
      </c>
      <c r="D203" s="7" t="s">
        <v>36</v>
      </c>
      <c r="E203" s="7" t="s">
        <v>36</v>
      </c>
      <c r="F203" s="7" t="s">
        <v>36</v>
      </c>
      <c r="G203" s="7" t="s">
        <v>37</v>
      </c>
      <c r="K203" s="7" t="s">
        <v>38</v>
      </c>
      <c r="L203" s="7" t="s">
        <v>39</v>
      </c>
      <c r="M203" s="7" t="s">
        <v>40</v>
      </c>
      <c r="N203" s="7" t="s">
        <v>41</v>
      </c>
      <c r="R203" s="7" t="s">
        <v>58</v>
      </c>
      <c r="T203" s="8">
        <v>50000</v>
      </c>
      <c r="U203" s="8">
        <v>-50000</v>
      </c>
      <c r="V203" s="7" t="s">
        <v>56</v>
      </c>
      <c r="W203" s="7" t="s">
        <v>57</v>
      </c>
      <c r="X203" s="7" t="s">
        <v>2618</v>
      </c>
      <c r="Y203" s="7" t="s">
        <v>1691</v>
      </c>
      <c r="AA203" s="7" t="s">
        <v>2617</v>
      </c>
      <c r="AB203" s="7">
        <v>12</v>
      </c>
      <c r="AC203" s="7" t="s">
        <v>57</v>
      </c>
      <c r="AD203" s="7" t="s">
        <v>532</v>
      </c>
      <c r="AF203" s="7" t="s">
        <v>44</v>
      </c>
      <c r="AH203" s="4">
        <v>45138.999988425923</v>
      </c>
    </row>
    <row r="204" spans="1:34" x14ac:dyDescent="0.3">
      <c r="A204" s="4">
        <v>45138</v>
      </c>
      <c r="B204" s="4">
        <v>45138</v>
      </c>
      <c r="C204" s="7" t="s">
        <v>46</v>
      </c>
      <c r="D204" s="7" t="s">
        <v>36</v>
      </c>
      <c r="E204" s="7" t="s">
        <v>36</v>
      </c>
      <c r="F204" s="7" t="s">
        <v>36</v>
      </c>
      <c r="G204" s="7" t="s">
        <v>37</v>
      </c>
      <c r="K204" s="7" t="s">
        <v>38</v>
      </c>
      <c r="L204" s="7" t="s">
        <v>39</v>
      </c>
      <c r="M204" s="7" t="s">
        <v>40</v>
      </c>
      <c r="N204" s="7" t="s">
        <v>41</v>
      </c>
      <c r="R204" s="7" t="s">
        <v>47</v>
      </c>
      <c r="S204" s="8">
        <v>10608.454689</v>
      </c>
      <c r="U204" s="8">
        <v>10608.454689</v>
      </c>
      <c r="V204" s="7" t="s">
        <v>56</v>
      </c>
      <c r="W204" s="7" t="s">
        <v>2621</v>
      </c>
      <c r="X204" s="7" t="s">
        <v>2618</v>
      </c>
      <c r="Y204" s="7" t="s">
        <v>1691</v>
      </c>
      <c r="AA204" s="7" t="s">
        <v>2617</v>
      </c>
      <c r="AB204" s="7">
        <v>8</v>
      </c>
      <c r="AC204" s="7" t="s">
        <v>48</v>
      </c>
      <c r="AD204" s="7" t="s">
        <v>533</v>
      </c>
      <c r="AF204" s="7" t="s">
        <v>44</v>
      </c>
      <c r="AH204" s="4">
        <v>45138.999988425923</v>
      </c>
    </row>
    <row r="205" spans="1:34" x14ac:dyDescent="0.3">
      <c r="A205" s="4">
        <v>45138</v>
      </c>
      <c r="B205" s="4">
        <v>45138</v>
      </c>
      <c r="C205" s="7" t="s">
        <v>46</v>
      </c>
      <c r="D205" s="7" t="s">
        <v>36</v>
      </c>
      <c r="E205" s="7" t="s">
        <v>36</v>
      </c>
      <c r="F205" s="7" t="s">
        <v>36</v>
      </c>
      <c r="G205" s="7" t="s">
        <v>37</v>
      </c>
      <c r="K205" s="7" t="s">
        <v>38</v>
      </c>
      <c r="L205" s="7" t="s">
        <v>39</v>
      </c>
      <c r="M205" s="7" t="s">
        <v>38</v>
      </c>
      <c r="N205" s="7" t="s">
        <v>41</v>
      </c>
      <c r="R205" s="7" t="s">
        <v>49</v>
      </c>
      <c r="T205" s="8">
        <v>10608.454689</v>
      </c>
      <c r="U205" s="8">
        <v>-10608.454689</v>
      </c>
      <c r="V205" s="7" t="s">
        <v>56</v>
      </c>
      <c r="W205" s="7" t="s">
        <v>2621</v>
      </c>
      <c r="X205" s="7" t="s">
        <v>2618</v>
      </c>
      <c r="Y205" s="7" t="s">
        <v>1691</v>
      </c>
      <c r="AA205" s="7" t="s">
        <v>2617</v>
      </c>
      <c r="AB205" s="7">
        <v>8</v>
      </c>
      <c r="AC205" s="7" t="s">
        <v>48</v>
      </c>
      <c r="AD205" s="7" t="s">
        <v>535</v>
      </c>
      <c r="AF205" s="7" t="s">
        <v>44</v>
      </c>
      <c r="AH205" s="4">
        <v>45138.999988425923</v>
      </c>
    </row>
    <row r="206" spans="1:34" x14ac:dyDescent="0.3">
      <c r="A206" s="4">
        <v>45138</v>
      </c>
      <c r="B206" s="4">
        <v>44562</v>
      </c>
      <c r="C206" s="7" t="s">
        <v>35</v>
      </c>
      <c r="D206" s="7" t="s">
        <v>36</v>
      </c>
      <c r="E206" s="7" t="s">
        <v>36</v>
      </c>
      <c r="F206" s="7" t="s">
        <v>36</v>
      </c>
      <c r="G206" s="7" t="s">
        <v>37</v>
      </c>
      <c r="K206" s="7" t="s">
        <v>38</v>
      </c>
      <c r="L206" s="7" t="s">
        <v>39</v>
      </c>
      <c r="M206" s="7" t="s">
        <v>40</v>
      </c>
      <c r="N206" s="7" t="s">
        <v>41</v>
      </c>
      <c r="R206" s="7" t="s">
        <v>50</v>
      </c>
      <c r="S206" s="8">
        <v>42330.49</v>
      </c>
      <c r="U206" s="8">
        <v>42330.49</v>
      </c>
      <c r="V206" s="7" t="s">
        <v>56</v>
      </c>
      <c r="W206" s="7" t="s">
        <v>2619</v>
      </c>
      <c r="X206" s="7" t="s">
        <v>2618</v>
      </c>
      <c r="Y206" s="7" t="s">
        <v>1691</v>
      </c>
      <c r="AA206" s="7" t="s">
        <v>2617</v>
      </c>
      <c r="AB206" s="7">
        <v>10</v>
      </c>
      <c r="AC206" s="7" t="s">
        <v>51</v>
      </c>
      <c r="AD206" s="7" t="s">
        <v>536</v>
      </c>
      <c r="AF206" s="7" t="s">
        <v>44</v>
      </c>
      <c r="AH206" s="4">
        <v>45138.999988425923</v>
      </c>
    </row>
    <row r="207" spans="1:34" x14ac:dyDescent="0.3">
      <c r="A207" s="4">
        <v>45138</v>
      </c>
      <c r="B207" s="4">
        <v>44562</v>
      </c>
      <c r="C207" s="7" t="s">
        <v>35</v>
      </c>
      <c r="D207" s="7" t="s">
        <v>36</v>
      </c>
      <c r="E207" s="7" t="s">
        <v>36</v>
      </c>
      <c r="F207" s="7" t="s">
        <v>36</v>
      </c>
      <c r="G207" s="7" t="s">
        <v>37</v>
      </c>
      <c r="K207" s="7" t="s">
        <v>38</v>
      </c>
      <c r="L207" s="7" t="s">
        <v>39</v>
      </c>
      <c r="M207" s="7" t="s">
        <v>40</v>
      </c>
      <c r="N207" s="7" t="s">
        <v>41</v>
      </c>
      <c r="R207" s="7" t="s">
        <v>52</v>
      </c>
      <c r="T207" s="8">
        <v>42330.49</v>
      </c>
      <c r="U207" s="8">
        <v>-42330.49</v>
      </c>
      <c r="V207" s="7" t="s">
        <v>56</v>
      </c>
      <c r="W207" s="7" t="s">
        <v>2619</v>
      </c>
      <c r="X207" s="7" t="s">
        <v>2618</v>
      </c>
      <c r="Y207" s="7" t="s">
        <v>1691</v>
      </c>
      <c r="AA207" s="7" t="s">
        <v>2617</v>
      </c>
      <c r="AB207" s="7">
        <v>10</v>
      </c>
      <c r="AC207" s="7" t="s">
        <v>51</v>
      </c>
      <c r="AD207" s="7" t="s">
        <v>538</v>
      </c>
      <c r="AF207" s="7" t="s">
        <v>44</v>
      </c>
      <c r="AH207" s="4">
        <v>45138.999988425923</v>
      </c>
    </row>
    <row r="208" spans="1:34" x14ac:dyDescent="0.3">
      <c r="A208" s="4">
        <v>45138</v>
      </c>
      <c r="B208" s="4">
        <v>45138</v>
      </c>
      <c r="C208" s="7" t="s">
        <v>35</v>
      </c>
      <c r="D208" s="7" t="s">
        <v>36</v>
      </c>
      <c r="E208" s="7" t="s">
        <v>36</v>
      </c>
      <c r="F208" s="7" t="s">
        <v>36</v>
      </c>
      <c r="G208" s="7" t="s">
        <v>37</v>
      </c>
      <c r="K208" s="7" t="s">
        <v>38</v>
      </c>
      <c r="L208" s="7" t="s">
        <v>39</v>
      </c>
      <c r="M208" s="7" t="s">
        <v>40</v>
      </c>
      <c r="N208" s="7" t="s">
        <v>41</v>
      </c>
      <c r="R208" s="7" t="s">
        <v>45</v>
      </c>
      <c r="S208" s="8">
        <v>488163.08</v>
      </c>
      <c r="U208" s="8">
        <v>488163.08</v>
      </c>
      <c r="V208" s="7" t="s">
        <v>56</v>
      </c>
      <c r="W208" s="7" t="s">
        <v>2620</v>
      </c>
      <c r="X208" s="7" t="s">
        <v>2618</v>
      </c>
      <c r="Y208" s="7" t="s">
        <v>1691</v>
      </c>
      <c r="AA208" s="7" t="s">
        <v>2617</v>
      </c>
      <c r="AB208" s="7">
        <v>11</v>
      </c>
      <c r="AC208" s="7" t="s">
        <v>53</v>
      </c>
      <c r="AD208" s="7" t="s">
        <v>539</v>
      </c>
      <c r="AF208" s="7" t="s">
        <v>44</v>
      </c>
      <c r="AH208" s="4">
        <v>45138.999988425923</v>
      </c>
    </row>
    <row r="209" spans="1:34" x14ac:dyDescent="0.3">
      <c r="A209" s="4">
        <v>45138</v>
      </c>
      <c r="B209" s="4">
        <v>45138</v>
      </c>
      <c r="C209" s="7" t="s">
        <v>35</v>
      </c>
      <c r="D209" s="7" t="s">
        <v>36</v>
      </c>
      <c r="E209" s="7" t="s">
        <v>36</v>
      </c>
      <c r="F209" s="7" t="s">
        <v>36</v>
      </c>
      <c r="G209" s="7" t="s">
        <v>37</v>
      </c>
      <c r="K209" s="7" t="s">
        <v>38</v>
      </c>
      <c r="L209" s="7" t="s">
        <v>39</v>
      </c>
      <c r="M209" s="7" t="s">
        <v>40</v>
      </c>
      <c r="N209" s="7" t="s">
        <v>41</v>
      </c>
      <c r="R209" s="7" t="s">
        <v>54</v>
      </c>
      <c r="T209" s="8">
        <v>488163.08</v>
      </c>
      <c r="U209" s="8">
        <v>-488163.08</v>
      </c>
      <c r="V209" s="7" t="s">
        <v>56</v>
      </c>
      <c r="W209" s="7" t="s">
        <v>2620</v>
      </c>
      <c r="X209" s="7" t="s">
        <v>2618</v>
      </c>
      <c r="Y209" s="7" t="s">
        <v>1691</v>
      </c>
      <c r="AA209" s="7" t="s">
        <v>2617</v>
      </c>
      <c r="AB209" s="7">
        <v>11</v>
      </c>
      <c r="AC209" s="7" t="s">
        <v>53</v>
      </c>
      <c r="AD209" s="7" t="s">
        <v>541</v>
      </c>
      <c r="AF209" s="7" t="s">
        <v>44</v>
      </c>
      <c r="AH209" s="4">
        <v>45138.999988425923</v>
      </c>
    </row>
    <row r="210" spans="1:34" x14ac:dyDescent="0.3">
      <c r="A210" s="4">
        <v>45139</v>
      </c>
      <c r="B210" s="4">
        <v>45139</v>
      </c>
      <c r="C210" s="7" t="s">
        <v>35</v>
      </c>
      <c r="D210" s="7" t="s">
        <v>36</v>
      </c>
      <c r="E210" s="7" t="s">
        <v>36</v>
      </c>
      <c r="F210" s="7" t="s">
        <v>36</v>
      </c>
      <c r="G210" s="7" t="s">
        <v>37</v>
      </c>
      <c r="K210" s="7" t="s">
        <v>38</v>
      </c>
      <c r="L210" s="7" t="s">
        <v>39</v>
      </c>
      <c r="M210" s="7" t="s">
        <v>40</v>
      </c>
      <c r="N210" s="7" t="s">
        <v>41</v>
      </c>
      <c r="R210" s="7" t="s">
        <v>54</v>
      </c>
      <c r="S210" s="8">
        <v>488163.08</v>
      </c>
      <c r="U210" s="8">
        <v>488163.08</v>
      </c>
      <c r="V210" s="7" t="s">
        <v>56</v>
      </c>
      <c r="W210" s="7" t="s">
        <v>2620</v>
      </c>
      <c r="X210" s="7" t="s">
        <v>2618</v>
      </c>
      <c r="Y210" s="7" t="s">
        <v>1691</v>
      </c>
      <c r="AA210" s="7" t="s">
        <v>2617</v>
      </c>
      <c r="AB210" s="7">
        <v>11</v>
      </c>
      <c r="AC210" s="7" t="s">
        <v>55</v>
      </c>
      <c r="AD210" s="7" t="s">
        <v>542</v>
      </c>
      <c r="AF210" s="7" t="s">
        <v>44</v>
      </c>
      <c r="AH210" s="4">
        <v>45169.999988425923</v>
      </c>
    </row>
    <row r="211" spans="1:34" x14ac:dyDescent="0.3">
      <c r="A211" s="4">
        <v>45139</v>
      </c>
      <c r="B211" s="4">
        <v>45139</v>
      </c>
      <c r="C211" s="7" t="s">
        <v>35</v>
      </c>
      <c r="D211" s="7" t="s">
        <v>36</v>
      </c>
      <c r="E211" s="7" t="s">
        <v>36</v>
      </c>
      <c r="F211" s="7" t="s">
        <v>36</v>
      </c>
      <c r="G211" s="7" t="s">
        <v>37</v>
      </c>
      <c r="K211" s="7" t="s">
        <v>38</v>
      </c>
      <c r="L211" s="7" t="s">
        <v>39</v>
      </c>
      <c r="M211" s="7" t="s">
        <v>40</v>
      </c>
      <c r="N211" s="7" t="s">
        <v>41</v>
      </c>
      <c r="R211" s="7" t="s">
        <v>45</v>
      </c>
      <c r="T211" s="8">
        <v>488163.08</v>
      </c>
      <c r="U211" s="8">
        <v>-488163.08</v>
      </c>
      <c r="V211" s="7" t="s">
        <v>56</v>
      </c>
      <c r="W211" s="7" t="s">
        <v>2620</v>
      </c>
      <c r="X211" s="7" t="s">
        <v>2618</v>
      </c>
      <c r="Y211" s="7" t="s">
        <v>1691</v>
      </c>
      <c r="AA211" s="7" t="s">
        <v>2617</v>
      </c>
      <c r="AB211" s="7">
        <v>11</v>
      </c>
      <c r="AC211" s="7" t="s">
        <v>55</v>
      </c>
      <c r="AD211" s="7" t="s">
        <v>544</v>
      </c>
      <c r="AF211" s="7" t="s">
        <v>44</v>
      </c>
      <c r="AH211" s="4">
        <v>45169.999988425923</v>
      </c>
    </row>
    <row r="212" spans="1:34" x14ac:dyDescent="0.3">
      <c r="A212" s="4">
        <v>45139</v>
      </c>
      <c r="B212" s="4">
        <v>45169</v>
      </c>
      <c r="C212" s="7" t="s">
        <v>46</v>
      </c>
      <c r="D212" s="7" t="s">
        <v>36</v>
      </c>
      <c r="E212" s="7" t="s">
        <v>36</v>
      </c>
      <c r="F212" s="7" t="s">
        <v>36</v>
      </c>
      <c r="G212" s="7" t="s">
        <v>37</v>
      </c>
      <c r="K212" s="7" t="s">
        <v>38</v>
      </c>
      <c r="L212" s="7" t="s">
        <v>39</v>
      </c>
      <c r="M212" s="7" t="s">
        <v>38</v>
      </c>
      <c r="N212" s="7" t="s">
        <v>41</v>
      </c>
      <c r="R212" s="7" t="s">
        <v>49</v>
      </c>
      <c r="S212" s="8">
        <v>10608.454689</v>
      </c>
      <c r="U212" s="8">
        <v>10608.454689</v>
      </c>
      <c r="V212" s="7" t="s">
        <v>56</v>
      </c>
      <c r="W212" s="7" t="s">
        <v>57</v>
      </c>
      <c r="X212" s="7" t="s">
        <v>2618</v>
      </c>
      <c r="Y212" s="7" t="s">
        <v>1691</v>
      </c>
      <c r="AA212" s="7" t="s">
        <v>2617</v>
      </c>
      <c r="AB212" s="7">
        <v>12</v>
      </c>
      <c r="AC212" s="7" t="s">
        <v>57</v>
      </c>
      <c r="AD212" s="7" t="s">
        <v>545</v>
      </c>
      <c r="AF212" s="7" t="s">
        <v>44</v>
      </c>
      <c r="AH212" s="4">
        <v>45169.999988425923</v>
      </c>
    </row>
    <row r="213" spans="1:34" x14ac:dyDescent="0.3">
      <c r="A213" s="4">
        <v>45139</v>
      </c>
      <c r="B213" s="4">
        <v>45169</v>
      </c>
      <c r="C213" s="7" t="s">
        <v>46</v>
      </c>
      <c r="D213" s="7" t="s">
        <v>36</v>
      </c>
      <c r="E213" s="7" t="s">
        <v>36</v>
      </c>
      <c r="F213" s="7" t="s">
        <v>36</v>
      </c>
      <c r="G213" s="7" t="s">
        <v>37</v>
      </c>
      <c r="K213" s="7" t="s">
        <v>38</v>
      </c>
      <c r="L213" s="7" t="s">
        <v>39</v>
      </c>
      <c r="M213" s="7" t="s">
        <v>40</v>
      </c>
      <c r="N213" s="7" t="s">
        <v>41</v>
      </c>
      <c r="R213" s="7" t="s">
        <v>45</v>
      </c>
      <c r="S213" s="8">
        <v>39391.545311000002</v>
      </c>
      <c r="U213" s="8">
        <v>39391.545311000002</v>
      </c>
      <c r="V213" s="7" t="s">
        <v>56</v>
      </c>
      <c r="W213" s="7" t="s">
        <v>57</v>
      </c>
      <c r="X213" s="7" t="s">
        <v>2618</v>
      </c>
      <c r="Y213" s="7" t="s">
        <v>1691</v>
      </c>
      <c r="AA213" s="7" t="s">
        <v>2617</v>
      </c>
      <c r="AB213" s="7">
        <v>12</v>
      </c>
      <c r="AC213" s="7" t="s">
        <v>57</v>
      </c>
      <c r="AD213" s="7" t="s">
        <v>547</v>
      </c>
      <c r="AF213" s="7" t="s">
        <v>44</v>
      </c>
      <c r="AH213" s="4">
        <v>45169.999988425923</v>
      </c>
    </row>
    <row r="214" spans="1:34" x14ac:dyDescent="0.3">
      <c r="A214" s="4">
        <v>45139</v>
      </c>
      <c r="B214" s="4">
        <v>45169</v>
      </c>
      <c r="C214" s="7" t="s">
        <v>46</v>
      </c>
      <c r="D214" s="7" t="s">
        <v>36</v>
      </c>
      <c r="E214" s="7" t="s">
        <v>36</v>
      </c>
      <c r="F214" s="7" t="s">
        <v>36</v>
      </c>
      <c r="G214" s="7" t="s">
        <v>37</v>
      </c>
      <c r="K214" s="7" t="s">
        <v>38</v>
      </c>
      <c r="L214" s="7" t="s">
        <v>39</v>
      </c>
      <c r="M214" s="7" t="s">
        <v>40</v>
      </c>
      <c r="N214" s="7" t="s">
        <v>41</v>
      </c>
      <c r="R214" s="7" t="s">
        <v>58</v>
      </c>
      <c r="T214" s="8">
        <v>50000</v>
      </c>
      <c r="U214" s="8">
        <v>-50000</v>
      </c>
      <c r="V214" s="7" t="s">
        <v>56</v>
      </c>
      <c r="W214" s="7" t="s">
        <v>57</v>
      </c>
      <c r="X214" s="7" t="s">
        <v>2618</v>
      </c>
      <c r="Y214" s="7" t="s">
        <v>1691</v>
      </c>
      <c r="AA214" s="7" t="s">
        <v>2617</v>
      </c>
      <c r="AB214" s="7">
        <v>12</v>
      </c>
      <c r="AC214" s="7" t="s">
        <v>57</v>
      </c>
      <c r="AD214" s="7" t="s">
        <v>548</v>
      </c>
      <c r="AF214" s="7" t="s">
        <v>44</v>
      </c>
      <c r="AH214" s="4">
        <v>45169.999988425923</v>
      </c>
    </row>
    <row r="215" spans="1:34" x14ac:dyDescent="0.3">
      <c r="A215" s="4">
        <v>45169</v>
      </c>
      <c r="B215" s="4">
        <v>45169</v>
      </c>
      <c r="C215" s="7" t="s">
        <v>46</v>
      </c>
      <c r="D215" s="7" t="s">
        <v>36</v>
      </c>
      <c r="E215" s="7" t="s">
        <v>36</v>
      </c>
      <c r="F215" s="7" t="s">
        <v>36</v>
      </c>
      <c r="G215" s="7" t="s">
        <v>37</v>
      </c>
      <c r="K215" s="7" t="s">
        <v>38</v>
      </c>
      <c r="L215" s="7" t="s">
        <v>39</v>
      </c>
      <c r="M215" s="7" t="s">
        <v>40</v>
      </c>
      <c r="N215" s="7" t="s">
        <v>41</v>
      </c>
      <c r="R215" s="7" t="s">
        <v>47</v>
      </c>
      <c r="S215" s="8">
        <v>10378.670674999999</v>
      </c>
      <c r="U215" s="8">
        <v>10378.670674999999</v>
      </c>
      <c r="V215" s="7" t="s">
        <v>56</v>
      </c>
      <c r="W215" s="7" t="s">
        <v>2621</v>
      </c>
      <c r="X215" s="7" t="s">
        <v>2618</v>
      </c>
      <c r="Y215" s="7" t="s">
        <v>1691</v>
      </c>
      <c r="AA215" s="7" t="s">
        <v>2617</v>
      </c>
      <c r="AB215" s="7">
        <v>8</v>
      </c>
      <c r="AC215" s="7" t="s">
        <v>48</v>
      </c>
      <c r="AD215" s="7" t="s">
        <v>549</v>
      </c>
      <c r="AF215" s="7" t="s">
        <v>44</v>
      </c>
      <c r="AH215" s="4">
        <v>45169.999988425923</v>
      </c>
    </row>
    <row r="216" spans="1:34" x14ac:dyDescent="0.3">
      <c r="A216" s="4">
        <v>45169</v>
      </c>
      <c r="B216" s="4">
        <v>45169</v>
      </c>
      <c r="C216" s="7" t="s">
        <v>46</v>
      </c>
      <c r="D216" s="7" t="s">
        <v>36</v>
      </c>
      <c r="E216" s="7" t="s">
        <v>36</v>
      </c>
      <c r="F216" s="7" t="s">
        <v>36</v>
      </c>
      <c r="G216" s="7" t="s">
        <v>37</v>
      </c>
      <c r="K216" s="7" t="s">
        <v>38</v>
      </c>
      <c r="L216" s="7" t="s">
        <v>39</v>
      </c>
      <c r="M216" s="7" t="s">
        <v>38</v>
      </c>
      <c r="N216" s="7" t="s">
        <v>41</v>
      </c>
      <c r="R216" s="7" t="s">
        <v>49</v>
      </c>
      <c r="T216" s="8">
        <v>10378.670674999999</v>
      </c>
      <c r="U216" s="8">
        <v>-10378.670674999999</v>
      </c>
      <c r="V216" s="7" t="s">
        <v>56</v>
      </c>
      <c r="W216" s="7" t="s">
        <v>2621</v>
      </c>
      <c r="X216" s="7" t="s">
        <v>2618</v>
      </c>
      <c r="Y216" s="7" t="s">
        <v>1691</v>
      </c>
      <c r="AA216" s="7" t="s">
        <v>2617</v>
      </c>
      <c r="AB216" s="7">
        <v>8</v>
      </c>
      <c r="AC216" s="7" t="s">
        <v>48</v>
      </c>
      <c r="AD216" s="7" t="s">
        <v>551</v>
      </c>
      <c r="AF216" s="7" t="s">
        <v>44</v>
      </c>
      <c r="AH216" s="4">
        <v>45169.999988425923</v>
      </c>
    </row>
    <row r="217" spans="1:34" x14ac:dyDescent="0.3">
      <c r="A217" s="4">
        <v>45169</v>
      </c>
      <c r="B217" s="4">
        <v>44562</v>
      </c>
      <c r="C217" s="7" t="s">
        <v>35</v>
      </c>
      <c r="D217" s="7" t="s">
        <v>36</v>
      </c>
      <c r="E217" s="7" t="s">
        <v>36</v>
      </c>
      <c r="F217" s="7" t="s">
        <v>36</v>
      </c>
      <c r="G217" s="7" t="s">
        <v>37</v>
      </c>
      <c r="K217" s="7" t="s">
        <v>38</v>
      </c>
      <c r="L217" s="7" t="s">
        <v>39</v>
      </c>
      <c r="M217" s="7" t="s">
        <v>40</v>
      </c>
      <c r="N217" s="7" t="s">
        <v>41</v>
      </c>
      <c r="R217" s="7" t="s">
        <v>50</v>
      </c>
      <c r="S217" s="8">
        <v>42330.49</v>
      </c>
      <c r="U217" s="8">
        <v>42330.49</v>
      </c>
      <c r="V217" s="7" t="s">
        <v>56</v>
      </c>
      <c r="W217" s="7" t="s">
        <v>2619</v>
      </c>
      <c r="X217" s="7" t="s">
        <v>2618</v>
      </c>
      <c r="Y217" s="7" t="s">
        <v>1691</v>
      </c>
      <c r="AA217" s="7" t="s">
        <v>2617</v>
      </c>
      <c r="AB217" s="7">
        <v>10</v>
      </c>
      <c r="AC217" s="7" t="s">
        <v>51</v>
      </c>
      <c r="AD217" s="7" t="s">
        <v>552</v>
      </c>
      <c r="AF217" s="7" t="s">
        <v>44</v>
      </c>
      <c r="AH217" s="4">
        <v>45169.999988425923</v>
      </c>
    </row>
    <row r="218" spans="1:34" x14ac:dyDescent="0.3">
      <c r="A218" s="4">
        <v>45169</v>
      </c>
      <c r="B218" s="4">
        <v>44562</v>
      </c>
      <c r="C218" s="7" t="s">
        <v>35</v>
      </c>
      <c r="D218" s="7" t="s">
        <v>36</v>
      </c>
      <c r="E218" s="7" t="s">
        <v>36</v>
      </c>
      <c r="F218" s="7" t="s">
        <v>36</v>
      </c>
      <c r="G218" s="7" t="s">
        <v>37</v>
      </c>
      <c r="K218" s="7" t="s">
        <v>38</v>
      </c>
      <c r="L218" s="7" t="s">
        <v>39</v>
      </c>
      <c r="M218" s="7" t="s">
        <v>40</v>
      </c>
      <c r="N218" s="7" t="s">
        <v>41</v>
      </c>
      <c r="R218" s="7" t="s">
        <v>52</v>
      </c>
      <c r="T218" s="8">
        <v>42330.49</v>
      </c>
      <c r="U218" s="8">
        <v>-42330.49</v>
      </c>
      <c r="V218" s="7" t="s">
        <v>56</v>
      </c>
      <c r="W218" s="7" t="s">
        <v>2619</v>
      </c>
      <c r="X218" s="7" t="s">
        <v>2618</v>
      </c>
      <c r="Y218" s="7" t="s">
        <v>1691</v>
      </c>
      <c r="AA218" s="7" t="s">
        <v>2617</v>
      </c>
      <c r="AB218" s="7">
        <v>10</v>
      </c>
      <c r="AC218" s="7" t="s">
        <v>51</v>
      </c>
      <c r="AD218" s="7" t="s">
        <v>554</v>
      </c>
      <c r="AF218" s="7" t="s">
        <v>44</v>
      </c>
      <c r="AH218" s="4">
        <v>45169.999988425923</v>
      </c>
    </row>
    <row r="219" spans="1:34" x14ac:dyDescent="0.3">
      <c r="A219" s="4">
        <v>45169</v>
      </c>
      <c r="B219" s="4">
        <v>45169</v>
      </c>
      <c r="C219" s="7" t="s">
        <v>35</v>
      </c>
      <c r="D219" s="7" t="s">
        <v>36</v>
      </c>
      <c r="E219" s="7" t="s">
        <v>36</v>
      </c>
      <c r="F219" s="7" t="s">
        <v>36</v>
      </c>
      <c r="G219" s="7" t="s">
        <v>37</v>
      </c>
      <c r="K219" s="7" t="s">
        <v>38</v>
      </c>
      <c r="L219" s="7" t="s">
        <v>39</v>
      </c>
      <c r="M219" s="7" t="s">
        <v>40</v>
      </c>
      <c r="N219" s="7" t="s">
        <v>41</v>
      </c>
      <c r="R219" s="7" t="s">
        <v>45</v>
      </c>
      <c r="S219" s="8">
        <v>491010.7</v>
      </c>
      <c r="U219" s="8">
        <v>491010.7</v>
      </c>
      <c r="V219" s="7" t="s">
        <v>56</v>
      </c>
      <c r="W219" s="7" t="s">
        <v>2620</v>
      </c>
      <c r="X219" s="7" t="s">
        <v>2618</v>
      </c>
      <c r="Y219" s="7" t="s">
        <v>1691</v>
      </c>
      <c r="AA219" s="7" t="s">
        <v>2617</v>
      </c>
      <c r="AB219" s="7">
        <v>11</v>
      </c>
      <c r="AC219" s="7" t="s">
        <v>53</v>
      </c>
      <c r="AD219" s="7" t="s">
        <v>555</v>
      </c>
      <c r="AF219" s="7" t="s">
        <v>44</v>
      </c>
      <c r="AH219" s="4">
        <v>45169.999988425923</v>
      </c>
    </row>
    <row r="220" spans="1:34" x14ac:dyDescent="0.3">
      <c r="A220" s="4">
        <v>45169</v>
      </c>
      <c r="B220" s="4">
        <v>45169</v>
      </c>
      <c r="C220" s="7" t="s">
        <v>35</v>
      </c>
      <c r="D220" s="7" t="s">
        <v>36</v>
      </c>
      <c r="E220" s="7" t="s">
        <v>36</v>
      </c>
      <c r="F220" s="7" t="s">
        <v>36</v>
      </c>
      <c r="G220" s="7" t="s">
        <v>37</v>
      </c>
      <c r="K220" s="7" t="s">
        <v>38</v>
      </c>
      <c r="L220" s="7" t="s">
        <v>39</v>
      </c>
      <c r="M220" s="7" t="s">
        <v>40</v>
      </c>
      <c r="N220" s="7" t="s">
        <v>41</v>
      </c>
      <c r="R220" s="7" t="s">
        <v>54</v>
      </c>
      <c r="T220" s="8">
        <v>491010.7</v>
      </c>
      <c r="U220" s="8">
        <v>-491010.7</v>
      </c>
      <c r="V220" s="7" t="s">
        <v>56</v>
      </c>
      <c r="W220" s="7" t="s">
        <v>2620</v>
      </c>
      <c r="X220" s="7" t="s">
        <v>2618</v>
      </c>
      <c r="Y220" s="7" t="s">
        <v>1691</v>
      </c>
      <c r="AA220" s="7" t="s">
        <v>2617</v>
      </c>
      <c r="AB220" s="7">
        <v>11</v>
      </c>
      <c r="AC220" s="7" t="s">
        <v>53</v>
      </c>
      <c r="AD220" s="7" t="s">
        <v>557</v>
      </c>
      <c r="AF220" s="7" t="s">
        <v>44</v>
      </c>
      <c r="AH220" s="4">
        <v>45169.999988425923</v>
      </c>
    </row>
    <row r="221" spans="1:34" x14ac:dyDescent="0.3">
      <c r="A221" s="4">
        <v>45170</v>
      </c>
      <c r="B221" s="4">
        <v>45170</v>
      </c>
      <c r="C221" s="7" t="s">
        <v>35</v>
      </c>
      <c r="D221" s="7" t="s">
        <v>36</v>
      </c>
      <c r="E221" s="7" t="s">
        <v>36</v>
      </c>
      <c r="F221" s="7" t="s">
        <v>36</v>
      </c>
      <c r="G221" s="7" t="s">
        <v>37</v>
      </c>
      <c r="K221" s="7" t="s">
        <v>38</v>
      </c>
      <c r="L221" s="7" t="s">
        <v>39</v>
      </c>
      <c r="M221" s="7" t="s">
        <v>40</v>
      </c>
      <c r="N221" s="7" t="s">
        <v>41</v>
      </c>
      <c r="R221" s="7" t="s">
        <v>54</v>
      </c>
      <c r="S221" s="8">
        <v>491010.7</v>
      </c>
      <c r="U221" s="8">
        <v>491010.7</v>
      </c>
      <c r="V221" s="7" t="s">
        <v>56</v>
      </c>
      <c r="W221" s="7" t="s">
        <v>2620</v>
      </c>
      <c r="X221" s="7" t="s">
        <v>2618</v>
      </c>
      <c r="Y221" s="7" t="s">
        <v>1691</v>
      </c>
      <c r="AA221" s="7" t="s">
        <v>2617</v>
      </c>
      <c r="AB221" s="7">
        <v>11</v>
      </c>
      <c r="AC221" s="7" t="s">
        <v>55</v>
      </c>
      <c r="AD221" s="7" t="s">
        <v>558</v>
      </c>
      <c r="AF221" s="7" t="s">
        <v>44</v>
      </c>
      <c r="AH221" s="4">
        <v>45199.999988425923</v>
      </c>
    </row>
    <row r="222" spans="1:34" x14ac:dyDescent="0.3">
      <c r="A222" s="4">
        <v>45170</v>
      </c>
      <c r="B222" s="4">
        <v>45170</v>
      </c>
      <c r="C222" s="7" t="s">
        <v>35</v>
      </c>
      <c r="D222" s="7" t="s">
        <v>36</v>
      </c>
      <c r="E222" s="7" t="s">
        <v>36</v>
      </c>
      <c r="F222" s="7" t="s">
        <v>36</v>
      </c>
      <c r="G222" s="7" t="s">
        <v>37</v>
      </c>
      <c r="K222" s="7" t="s">
        <v>38</v>
      </c>
      <c r="L222" s="7" t="s">
        <v>39</v>
      </c>
      <c r="M222" s="7" t="s">
        <v>40</v>
      </c>
      <c r="N222" s="7" t="s">
        <v>41</v>
      </c>
      <c r="R222" s="7" t="s">
        <v>45</v>
      </c>
      <c r="T222" s="8">
        <v>491010.7</v>
      </c>
      <c r="U222" s="8">
        <v>-491010.7</v>
      </c>
      <c r="V222" s="7" t="s">
        <v>56</v>
      </c>
      <c r="W222" s="7" t="s">
        <v>2620</v>
      </c>
      <c r="X222" s="7" t="s">
        <v>2618</v>
      </c>
      <c r="Y222" s="7" t="s">
        <v>1691</v>
      </c>
      <c r="AA222" s="7" t="s">
        <v>2617</v>
      </c>
      <c r="AB222" s="7">
        <v>11</v>
      </c>
      <c r="AC222" s="7" t="s">
        <v>55</v>
      </c>
      <c r="AD222" s="7" t="s">
        <v>560</v>
      </c>
      <c r="AF222" s="7" t="s">
        <v>44</v>
      </c>
      <c r="AH222" s="4">
        <v>45199.999988425923</v>
      </c>
    </row>
    <row r="223" spans="1:34" x14ac:dyDescent="0.3">
      <c r="A223" s="4">
        <v>45170</v>
      </c>
      <c r="B223" s="4">
        <v>45199</v>
      </c>
      <c r="C223" s="7" t="s">
        <v>46</v>
      </c>
      <c r="D223" s="7" t="s">
        <v>36</v>
      </c>
      <c r="E223" s="7" t="s">
        <v>36</v>
      </c>
      <c r="F223" s="7" t="s">
        <v>36</v>
      </c>
      <c r="G223" s="7" t="s">
        <v>37</v>
      </c>
      <c r="K223" s="7" t="s">
        <v>38</v>
      </c>
      <c r="L223" s="7" t="s">
        <v>39</v>
      </c>
      <c r="M223" s="7" t="s">
        <v>38</v>
      </c>
      <c r="N223" s="7" t="s">
        <v>41</v>
      </c>
      <c r="R223" s="7" t="s">
        <v>49</v>
      </c>
      <c r="S223" s="8">
        <v>10378.670674999999</v>
      </c>
      <c r="U223" s="8">
        <v>10378.670674999999</v>
      </c>
      <c r="V223" s="7" t="s">
        <v>56</v>
      </c>
      <c r="W223" s="7" t="s">
        <v>57</v>
      </c>
      <c r="X223" s="7" t="s">
        <v>2618</v>
      </c>
      <c r="Y223" s="7" t="s">
        <v>1691</v>
      </c>
      <c r="AA223" s="7" t="s">
        <v>2617</v>
      </c>
      <c r="AB223" s="7">
        <v>12</v>
      </c>
      <c r="AC223" s="7" t="s">
        <v>57</v>
      </c>
      <c r="AD223" s="7" t="s">
        <v>561</v>
      </c>
      <c r="AF223" s="7" t="s">
        <v>44</v>
      </c>
      <c r="AH223" s="4">
        <v>45199.999988425923</v>
      </c>
    </row>
    <row r="224" spans="1:34" x14ac:dyDescent="0.3">
      <c r="A224" s="4">
        <v>45170</v>
      </c>
      <c r="B224" s="4">
        <v>45199</v>
      </c>
      <c r="C224" s="7" t="s">
        <v>46</v>
      </c>
      <c r="D224" s="7" t="s">
        <v>36</v>
      </c>
      <c r="E224" s="7" t="s">
        <v>36</v>
      </c>
      <c r="F224" s="7" t="s">
        <v>36</v>
      </c>
      <c r="G224" s="7" t="s">
        <v>37</v>
      </c>
      <c r="K224" s="7" t="s">
        <v>38</v>
      </c>
      <c r="L224" s="7" t="s">
        <v>39</v>
      </c>
      <c r="M224" s="7" t="s">
        <v>40</v>
      </c>
      <c r="N224" s="7" t="s">
        <v>41</v>
      </c>
      <c r="R224" s="7" t="s">
        <v>45</v>
      </c>
      <c r="S224" s="8">
        <v>39621.329324999999</v>
      </c>
      <c r="U224" s="8">
        <v>39621.329324999999</v>
      </c>
      <c r="V224" s="7" t="s">
        <v>56</v>
      </c>
      <c r="W224" s="7" t="s">
        <v>57</v>
      </c>
      <c r="X224" s="7" t="s">
        <v>2618</v>
      </c>
      <c r="Y224" s="7" t="s">
        <v>1691</v>
      </c>
      <c r="AA224" s="7" t="s">
        <v>2617</v>
      </c>
      <c r="AB224" s="7">
        <v>12</v>
      </c>
      <c r="AC224" s="7" t="s">
        <v>57</v>
      </c>
      <c r="AD224" s="7" t="s">
        <v>563</v>
      </c>
      <c r="AF224" s="7" t="s">
        <v>44</v>
      </c>
      <c r="AH224" s="4">
        <v>45199.999988425923</v>
      </c>
    </row>
    <row r="225" spans="1:34" x14ac:dyDescent="0.3">
      <c r="A225" s="4">
        <v>45170</v>
      </c>
      <c r="B225" s="4">
        <v>45199</v>
      </c>
      <c r="C225" s="7" t="s">
        <v>46</v>
      </c>
      <c r="D225" s="7" t="s">
        <v>36</v>
      </c>
      <c r="E225" s="7" t="s">
        <v>36</v>
      </c>
      <c r="F225" s="7" t="s">
        <v>36</v>
      </c>
      <c r="G225" s="7" t="s">
        <v>37</v>
      </c>
      <c r="K225" s="7" t="s">
        <v>38</v>
      </c>
      <c r="L225" s="7" t="s">
        <v>39</v>
      </c>
      <c r="M225" s="7" t="s">
        <v>40</v>
      </c>
      <c r="N225" s="7" t="s">
        <v>41</v>
      </c>
      <c r="R225" s="7" t="s">
        <v>58</v>
      </c>
      <c r="T225" s="8">
        <v>50000</v>
      </c>
      <c r="U225" s="8">
        <v>-50000</v>
      </c>
      <c r="V225" s="7" t="s">
        <v>56</v>
      </c>
      <c r="W225" s="7" t="s">
        <v>57</v>
      </c>
      <c r="X225" s="7" t="s">
        <v>2618</v>
      </c>
      <c r="Y225" s="7" t="s">
        <v>1691</v>
      </c>
      <c r="AA225" s="7" t="s">
        <v>2617</v>
      </c>
      <c r="AB225" s="7">
        <v>12</v>
      </c>
      <c r="AC225" s="7" t="s">
        <v>57</v>
      </c>
      <c r="AD225" s="7" t="s">
        <v>564</v>
      </c>
      <c r="AF225" s="7" t="s">
        <v>44</v>
      </c>
      <c r="AH225" s="4">
        <v>45199.999988425923</v>
      </c>
    </row>
    <row r="226" spans="1:34" x14ac:dyDescent="0.3">
      <c r="A226" s="4">
        <v>45199</v>
      </c>
      <c r="B226" s="4">
        <v>45199</v>
      </c>
      <c r="C226" s="7" t="s">
        <v>46</v>
      </c>
      <c r="D226" s="7" t="s">
        <v>36</v>
      </c>
      <c r="E226" s="7" t="s">
        <v>36</v>
      </c>
      <c r="F226" s="7" t="s">
        <v>36</v>
      </c>
      <c r="G226" s="7" t="s">
        <v>37</v>
      </c>
      <c r="K226" s="7" t="s">
        <v>38</v>
      </c>
      <c r="L226" s="7" t="s">
        <v>39</v>
      </c>
      <c r="M226" s="7" t="s">
        <v>40</v>
      </c>
      <c r="N226" s="7" t="s">
        <v>41</v>
      </c>
      <c r="R226" s="7" t="s">
        <v>47</v>
      </c>
      <c r="S226" s="8">
        <v>10147.546254000001</v>
      </c>
      <c r="U226" s="8">
        <v>10147.546254000001</v>
      </c>
      <c r="V226" s="7" t="s">
        <v>56</v>
      </c>
      <c r="W226" s="7" t="s">
        <v>2621</v>
      </c>
      <c r="X226" s="7" t="s">
        <v>2618</v>
      </c>
      <c r="Y226" s="7" t="s">
        <v>1691</v>
      </c>
      <c r="AA226" s="7" t="s">
        <v>2617</v>
      </c>
      <c r="AB226" s="7">
        <v>8</v>
      </c>
      <c r="AC226" s="7" t="s">
        <v>48</v>
      </c>
      <c r="AD226" s="7" t="s">
        <v>565</v>
      </c>
      <c r="AF226" s="7" t="s">
        <v>44</v>
      </c>
      <c r="AH226" s="4">
        <v>45199.999988425923</v>
      </c>
    </row>
    <row r="227" spans="1:34" x14ac:dyDescent="0.3">
      <c r="A227" s="4">
        <v>45199</v>
      </c>
      <c r="B227" s="4">
        <v>45199</v>
      </c>
      <c r="C227" s="7" t="s">
        <v>46</v>
      </c>
      <c r="D227" s="7" t="s">
        <v>36</v>
      </c>
      <c r="E227" s="7" t="s">
        <v>36</v>
      </c>
      <c r="F227" s="7" t="s">
        <v>36</v>
      </c>
      <c r="G227" s="7" t="s">
        <v>37</v>
      </c>
      <c r="K227" s="7" t="s">
        <v>38</v>
      </c>
      <c r="L227" s="7" t="s">
        <v>39</v>
      </c>
      <c r="M227" s="7" t="s">
        <v>38</v>
      </c>
      <c r="N227" s="7" t="s">
        <v>41</v>
      </c>
      <c r="R227" s="7" t="s">
        <v>49</v>
      </c>
      <c r="T227" s="8">
        <v>10147.546254000001</v>
      </c>
      <c r="U227" s="8">
        <v>-10147.546254000001</v>
      </c>
      <c r="V227" s="7" t="s">
        <v>56</v>
      </c>
      <c r="W227" s="7" t="s">
        <v>2621</v>
      </c>
      <c r="X227" s="7" t="s">
        <v>2618</v>
      </c>
      <c r="Y227" s="7" t="s">
        <v>1691</v>
      </c>
      <c r="AA227" s="7" t="s">
        <v>2617</v>
      </c>
      <c r="AB227" s="7">
        <v>8</v>
      </c>
      <c r="AC227" s="7" t="s">
        <v>48</v>
      </c>
      <c r="AD227" s="7" t="s">
        <v>567</v>
      </c>
      <c r="AF227" s="7" t="s">
        <v>44</v>
      </c>
      <c r="AH227" s="4">
        <v>45199.999988425923</v>
      </c>
    </row>
    <row r="228" spans="1:34" x14ac:dyDescent="0.3">
      <c r="A228" s="4">
        <v>45199</v>
      </c>
      <c r="B228" s="4">
        <v>44562</v>
      </c>
      <c r="C228" s="7" t="s">
        <v>35</v>
      </c>
      <c r="D228" s="7" t="s">
        <v>36</v>
      </c>
      <c r="E228" s="7" t="s">
        <v>36</v>
      </c>
      <c r="F228" s="7" t="s">
        <v>36</v>
      </c>
      <c r="G228" s="7" t="s">
        <v>37</v>
      </c>
      <c r="K228" s="7" t="s">
        <v>38</v>
      </c>
      <c r="L228" s="7" t="s">
        <v>39</v>
      </c>
      <c r="M228" s="7" t="s">
        <v>40</v>
      </c>
      <c r="N228" s="7" t="s">
        <v>41</v>
      </c>
      <c r="R228" s="7" t="s">
        <v>50</v>
      </c>
      <c r="S228" s="8">
        <v>42330.49</v>
      </c>
      <c r="U228" s="8">
        <v>42330.49</v>
      </c>
      <c r="V228" s="7" t="s">
        <v>56</v>
      </c>
      <c r="W228" s="7" t="s">
        <v>2619</v>
      </c>
      <c r="X228" s="7" t="s">
        <v>2618</v>
      </c>
      <c r="Y228" s="7" t="s">
        <v>1691</v>
      </c>
      <c r="AA228" s="7" t="s">
        <v>2617</v>
      </c>
      <c r="AB228" s="7">
        <v>10</v>
      </c>
      <c r="AC228" s="7" t="s">
        <v>51</v>
      </c>
      <c r="AD228" s="7" t="s">
        <v>568</v>
      </c>
      <c r="AF228" s="7" t="s">
        <v>44</v>
      </c>
      <c r="AH228" s="4">
        <v>45199.999988425923</v>
      </c>
    </row>
    <row r="229" spans="1:34" x14ac:dyDescent="0.3">
      <c r="A229" s="4">
        <v>45199</v>
      </c>
      <c r="B229" s="4">
        <v>44562</v>
      </c>
      <c r="C229" s="7" t="s">
        <v>35</v>
      </c>
      <c r="D229" s="7" t="s">
        <v>36</v>
      </c>
      <c r="E229" s="7" t="s">
        <v>36</v>
      </c>
      <c r="F229" s="7" t="s">
        <v>36</v>
      </c>
      <c r="G229" s="7" t="s">
        <v>37</v>
      </c>
      <c r="K229" s="7" t="s">
        <v>38</v>
      </c>
      <c r="L229" s="7" t="s">
        <v>39</v>
      </c>
      <c r="M229" s="7" t="s">
        <v>40</v>
      </c>
      <c r="N229" s="7" t="s">
        <v>41</v>
      </c>
      <c r="R229" s="7" t="s">
        <v>52</v>
      </c>
      <c r="T229" s="8">
        <v>42330.49</v>
      </c>
      <c r="U229" s="8">
        <v>-42330.49</v>
      </c>
      <c r="V229" s="7" t="s">
        <v>56</v>
      </c>
      <c r="W229" s="7" t="s">
        <v>2619</v>
      </c>
      <c r="X229" s="7" t="s">
        <v>2618</v>
      </c>
      <c r="Y229" s="7" t="s">
        <v>1691</v>
      </c>
      <c r="AA229" s="7" t="s">
        <v>2617</v>
      </c>
      <c r="AB229" s="7">
        <v>10</v>
      </c>
      <c r="AC229" s="7" t="s">
        <v>51</v>
      </c>
      <c r="AD229" s="7" t="s">
        <v>570</v>
      </c>
      <c r="AF229" s="7" t="s">
        <v>44</v>
      </c>
      <c r="AH229" s="4">
        <v>45199.999988425923</v>
      </c>
    </row>
    <row r="230" spans="1:34" x14ac:dyDescent="0.3">
      <c r="A230" s="4">
        <v>45199</v>
      </c>
      <c r="B230" s="4">
        <v>45199</v>
      </c>
      <c r="C230" s="7" t="s">
        <v>35</v>
      </c>
      <c r="D230" s="7" t="s">
        <v>36</v>
      </c>
      <c r="E230" s="7" t="s">
        <v>36</v>
      </c>
      <c r="F230" s="7" t="s">
        <v>36</v>
      </c>
      <c r="G230" s="7" t="s">
        <v>37</v>
      </c>
      <c r="K230" s="7" t="s">
        <v>38</v>
      </c>
      <c r="L230" s="7" t="s">
        <v>39</v>
      </c>
      <c r="M230" s="7" t="s">
        <v>40</v>
      </c>
      <c r="N230" s="7" t="s">
        <v>41</v>
      </c>
      <c r="R230" s="7" t="s">
        <v>45</v>
      </c>
      <c r="S230" s="8">
        <v>493874.94</v>
      </c>
      <c r="U230" s="8">
        <v>493874.94</v>
      </c>
      <c r="V230" s="7" t="s">
        <v>56</v>
      </c>
      <c r="W230" s="7" t="s">
        <v>2620</v>
      </c>
      <c r="X230" s="7" t="s">
        <v>2618</v>
      </c>
      <c r="Y230" s="7" t="s">
        <v>1691</v>
      </c>
      <c r="AA230" s="7" t="s">
        <v>2617</v>
      </c>
      <c r="AB230" s="7">
        <v>11</v>
      </c>
      <c r="AC230" s="7" t="s">
        <v>53</v>
      </c>
      <c r="AD230" s="7" t="s">
        <v>571</v>
      </c>
      <c r="AF230" s="7" t="s">
        <v>44</v>
      </c>
      <c r="AH230" s="4">
        <v>45199.999988425923</v>
      </c>
    </row>
    <row r="231" spans="1:34" x14ac:dyDescent="0.3">
      <c r="A231" s="4">
        <v>45199</v>
      </c>
      <c r="B231" s="4">
        <v>45199</v>
      </c>
      <c r="C231" s="7" t="s">
        <v>35</v>
      </c>
      <c r="D231" s="7" t="s">
        <v>36</v>
      </c>
      <c r="E231" s="7" t="s">
        <v>36</v>
      </c>
      <c r="F231" s="7" t="s">
        <v>36</v>
      </c>
      <c r="G231" s="7" t="s">
        <v>37</v>
      </c>
      <c r="K231" s="7" t="s">
        <v>38</v>
      </c>
      <c r="L231" s="7" t="s">
        <v>39</v>
      </c>
      <c r="M231" s="7" t="s">
        <v>40</v>
      </c>
      <c r="N231" s="7" t="s">
        <v>41</v>
      </c>
      <c r="R231" s="7" t="s">
        <v>54</v>
      </c>
      <c r="T231" s="8">
        <v>493874.94</v>
      </c>
      <c r="U231" s="8">
        <v>-493874.94</v>
      </c>
      <c r="V231" s="7" t="s">
        <v>56</v>
      </c>
      <c r="W231" s="7" t="s">
        <v>2620</v>
      </c>
      <c r="X231" s="7" t="s">
        <v>2618</v>
      </c>
      <c r="Y231" s="7" t="s">
        <v>1691</v>
      </c>
      <c r="AA231" s="7" t="s">
        <v>2617</v>
      </c>
      <c r="AB231" s="7">
        <v>11</v>
      </c>
      <c r="AC231" s="7" t="s">
        <v>53</v>
      </c>
      <c r="AD231" s="7" t="s">
        <v>573</v>
      </c>
      <c r="AF231" s="7" t="s">
        <v>44</v>
      </c>
      <c r="AH231" s="4">
        <v>45199.999988425923</v>
      </c>
    </row>
    <row r="232" spans="1:34" x14ac:dyDescent="0.3">
      <c r="A232" s="4">
        <v>45200</v>
      </c>
      <c r="B232" s="4">
        <v>45200</v>
      </c>
      <c r="C232" s="7" t="s">
        <v>35</v>
      </c>
      <c r="D232" s="7" t="s">
        <v>36</v>
      </c>
      <c r="E232" s="7" t="s">
        <v>36</v>
      </c>
      <c r="F232" s="7" t="s">
        <v>36</v>
      </c>
      <c r="G232" s="7" t="s">
        <v>37</v>
      </c>
      <c r="K232" s="7" t="s">
        <v>38</v>
      </c>
      <c r="L232" s="7" t="s">
        <v>39</v>
      </c>
      <c r="M232" s="7" t="s">
        <v>40</v>
      </c>
      <c r="N232" s="7" t="s">
        <v>41</v>
      </c>
      <c r="R232" s="7" t="s">
        <v>54</v>
      </c>
      <c r="S232" s="8">
        <v>493874.94</v>
      </c>
      <c r="U232" s="8">
        <v>493874.94</v>
      </c>
      <c r="V232" s="7" t="s">
        <v>56</v>
      </c>
      <c r="W232" s="7" t="s">
        <v>2620</v>
      </c>
      <c r="X232" s="7" t="s">
        <v>2618</v>
      </c>
      <c r="Y232" s="7" t="s">
        <v>1691</v>
      </c>
      <c r="AA232" s="7" t="s">
        <v>2617</v>
      </c>
      <c r="AB232" s="7">
        <v>11</v>
      </c>
      <c r="AC232" s="7" t="s">
        <v>55</v>
      </c>
      <c r="AD232" s="7" t="s">
        <v>574</v>
      </c>
      <c r="AF232" s="7" t="s">
        <v>44</v>
      </c>
      <c r="AH232" s="4">
        <v>45230.999988425923</v>
      </c>
    </row>
    <row r="233" spans="1:34" x14ac:dyDescent="0.3">
      <c r="A233" s="4">
        <v>45200</v>
      </c>
      <c r="B233" s="4">
        <v>45200</v>
      </c>
      <c r="C233" s="7" t="s">
        <v>35</v>
      </c>
      <c r="D233" s="7" t="s">
        <v>36</v>
      </c>
      <c r="E233" s="7" t="s">
        <v>36</v>
      </c>
      <c r="F233" s="7" t="s">
        <v>36</v>
      </c>
      <c r="G233" s="7" t="s">
        <v>37</v>
      </c>
      <c r="K233" s="7" t="s">
        <v>38</v>
      </c>
      <c r="L233" s="7" t="s">
        <v>39</v>
      </c>
      <c r="M233" s="7" t="s">
        <v>40</v>
      </c>
      <c r="N233" s="7" t="s">
        <v>41</v>
      </c>
      <c r="R233" s="7" t="s">
        <v>45</v>
      </c>
      <c r="T233" s="8">
        <v>493874.94</v>
      </c>
      <c r="U233" s="8">
        <v>-493874.94</v>
      </c>
      <c r="V233" s="7" t="s">
        <v>56</v>
      </c>
      <c r="W233" s="7" t="s">
        <v>2620</v>
      </c>
      <c r="X233" s="7" t="s">
        <v>2618</v>
      </c>
      <c r="Y233" s="7" t="s">
        <v>1691</v>
      </c>
      <c r="AA233" s="7" t="s">
        <v>2617</v>
      </c>
      <c r="AB233" s="7">
        <v>11</v>
      </c>
      <c r="AC233" s="7" t="s">
        <v>55</v>
      </c>
      <c r="AD233" s="7" t="s">
        <v>576</v>
      </c>
      <c r="AF233" s="7" t="s">
        <v>44</v>
      </c>
      <c r="AH233" s="4">
        <v>45230.999988425923</v>
      </c>
    </row>
    <row r="234" spans="1:34" x14ac:dyDescent="0.3">
      <c r="A234" s="4">
        <v>45200</v>
      </c>
      <c r="B234" s="4">
        <v>45230</v>
      </c>
      <c r="C234" s="7" t="s">
        <v>46</v>
      </c>
      <c r="D234" s="7" t="s">
        <v>36</v>
      </c>
      <c r="E234" s="7" t="s">
        <v>36</v>
      </c>
      <c r="F234" s="7" t="s">
        <v>36</v>
      </c>
      <c r="G234" s="7" t="s">
        <v>37</v>
      </c>
      <c r="K234" s="7" t="s">
        <v>38</v>
      </c>
      <c r="L234" s="7" t="s">
        <v>39</v>
      </c>
      <c r="M234" s="7" t="s">
        <v>38</v>
      </c>
      <c r="N234" s="7" t="s">
        <v>41</v>
      </c>
      <c r="R234" s="7" t="s">
        <v>49</v>
      </c>
      <c r="S234" s="8">
        <v>10147.546254000001</v>
      </c>
      <c r="U234" s="8">
        <v>10147.546254000001</v>
      </c>
      <c r="V234" s="7" t="s">
        <v>56</v>
      </c>
      <c r="W234" s="7" t="s">
        <v>57</v>
      </c>
      <c r="X234" s="7" t="s">
        <v>2618</v>
      </c>
      <c r="Y234" s="7" t="s">
        <v>1691</v>
      </c>
      <c r="AA234" s="7" t="s">
        <v>2617</v>
      </c>
      <c r="AB234" s="7">
        <v>12</v>
      </c>
      <c r="AC234" s="7" t="s">
        <v>57</v>
      </c>
      <c r="AD234" s="7" t="s">
        <v>577</v>
      </c>
      <c r="AF234" s="7" t="s">
        <v>44</v>
      </c>
      <c r="AH234" s="4">
        <v>45230.999988425923</v>
      </c>
    </row>
    <row r="235" spans="1:34" x14ac:dyDescent="0.3">
      <c r="A235" s="4">
        <v>45200</v>
      </c>
      <c r="B235" s="4">
        <v>45230</v>
      </c>
      <c r="C235" s="7" t="s">
        <v>46</v>
      </c>
      <c r="D235" s="7" t="s">
        <v>36</v>
      </c>
      <c r="E235" s="7" t="s">
        <v>36</v>
      </c>
      <c r="F235" s="7" t="s">
        <v>36</v>
      </c>
      <c r="G235" s="7" t="s">
        <v>37</v>
      </c>
      <c r="K235" s="7" t="s">
        <v>38</v>
      </c>
      <c r="L235" s="7" t="s">
        <v>39</v>
      </c>
      <c r="M235" s="7" t="s">
        <v>40</v>
      </c>
      <c r="N235" s="7" t="s">
        <v>41</v>
      </c>
      <c r="R235" s="7" t="s">
        <v>45</v>
      </c>
      <c r="S235" s="8">
        <v>39852.453745999999</v>
      </c>
      <c r="U235" s="8">
        <v>39852.453745999999</v>
      </c>
      <c r="V235" s="7" t="s">
        <v>56</v>
      </c>
      <c r="W235" s="7" t="s">
        <v>57</v>
      </c>
      <c r="X235" s="7" t="s">
        <v>2618</v>
      </c>
      <c r="Y235" s="7" t="s">
        <v>1691</v>
      </c>
      <c r="AA235" s="7" t="s">
        <v>2617</v>
      </c>
      <c r="AB235" s="7">
        <v>12</v>
      </c>
      <c r="AC235" s="7" t="s">
        <v>57</v>
      </c>
      <c r="AD235" s="7" t="s">
        <v>579</v>
      </c>
      <c r="AF235" s="7" t="s">
        <v>44</v>
      </c>
      <c r="AH235" s="4">
        <v>45230.999988425923</v>
      </c>
    </row>
    <row r="236" spans="1:34" x14ac:dyDescent="0.3">
      <c r="A236" s="4">
        <v>45200</v>
      </c>
      <c r="B236" s="4">
        <v>45230</v>
      </c>
      <c r="C236" s="7" t="s">
        <v>46</v>
      </c>
      <c r="D236" s="7" t="s">
        <v>36</v>
      </c>
      <c r="E236" s="7" t="s">
        <v>36</v>
      </c>
      <c r="F236" s="7" t="s">
        <v>36</v>
      </c>
      <c r="G236" s="7" t="s">
        <v>37</v>
      </c>
      <c r="K236" s="7" t="s">
        <v>38</v>
      </c>
      <c r="L236" s="7" t="s">
        <v>39</v>
      </c>
      <c r="M236" s="7" t="s">
        <v>40</v>
      </c>
      <c r="N236" s="7" t="s">
        <v>41</v>
      </c>
      <c r="R236" s="7" t="s">
        <v>58</v>
      </c>
      <c r="T236" s="8">
        <v>50000</v>
      </c>
      <c r="U236" s="8">
        <v>-50000</v>
      </c>
      <c r="V236" s="7" t="s">
        <v>56</v>
      </c>
      <c r="W236" s="7" t="s">
        <v>57</v>
      </c>
      <c r="X236" s="7" t="s">
        <v>2618</v>
      </c>
      <c r="Y236" s="7" t="s">
        <v>1691</v>
      </c>
      <c r="AA236" s="7" t="s">
        <v>2617</v>
      </c>
      <c r="AB236" s="7">
        <v>12</v>
      </c>
      <c r="AC236" s="7" t="s">
        <v>57</v>
      </c>
      <c r="AD236" s="7" t="s">
        <v>580</v>
      </c>
      <c r="AF236" s="7" t="s">
        <v>44</v>
      </c>
      <c r="AH236" s="4">
        <v>45230.999988425923</v>
      </c>
    </row>
    <row r="237" spans="1:34" x14ac:dyDescent="0.3">
      <c r="A237" s="4">
        <v>45230</v>
      </c>
      <c r="B237" s="4">
        <v>45230</v>
      </c>
      <c r="C237" s="7" t="s">
        <v>46</v>
      </c>
      <c r="D237" s="7" t="s">
        <v>36</v>
      </c>
      <c r="E237" s="7" t="s">
        <v>36</v>
      </c>
      <c r="F237" s="7" t="s">
        <v>36</v>
      </c>
      <c r="G237" s="7" t="s">
        <v>37</v>
      </c>
      <c r="K237" s="7" t="s">
        <v>38</v>
      </c>
      <c r="L237" s="7" t="s">
        <v>39</v>
      </c>
      <c r="M237" s="7" t="s">
        <v>40</v>
      </c>
      <c r="N237" s="7" t="s">
        <v>41</v>
      </c>
      <c r="R237" s="7" t="s">
        <v>47</v>
      </c>
      <c r="S237" s="8">
        <v>9915.0736070000003</v>
      </c>
      <c r="U237" s="8">
        <v>9915.0736070000003</v>
      </c>
      <c r="V237" s="7" t="s">
        <v>56</v>
      </c>
      <c r="W237" s="7" t="s">
        <v>2621</v>
      </c>
      <c r="X237" s="7" t="s">
        <v>2618</v>
      </c>
      <c r="Y237" s="7" t="s">
        <v>1691</v>
      </c>
      <c r="AA237" s="7" t="s">
        <v>2617</v>
      </c>
      <c r="AB237" s="7">
        <v>8</v>
      </c>
      <c r="AC237" s="7" t="s">
        <v>48</v>
      </c>
      <c r="AD237" s="7" t="s">
        <v>581</v>
      </c>
      <c r="AF237" s="7" t="s">
        <v>44</v>
      </c>
      <c r="AH237" s="4">
        <v>45230.999988425923</v>
      </c>
    </row>
    <row r="238" spans="1:34" x14ac:dyDescent="0.3">
      <c r="A238" s="4">
        <v>45230</v>
      </c>
      <c r="B238" s="4">
        <v>45230</v>
      </c>
      <c r="C238" s="7" t="s">
        <v>46</v>
      </c>
      <c r="D238" s="7" t="s">
        <v>36</v>
      </c>
      <c r="E238" s="7" t="s">
        <v>36</v>
      </c>
      <c r="F238" s="7" t="s">
        <v>36</v>
      </c>
      <c r="G238" s="7" t="s">
        <v>37</v>
      </c>
      <c r="K238" s="7" t="s">
        <v>38</v>
      </c>
      <c r="L238" s="7" t="s">
        <v>39</v>
      </c>
      <c r="M238" s="7" t="s">
        <v>38</v>
      </c>
      <c r="N238" s="7" t="s">
        <v>41</v>
      </c>
      <c r="R238" s="7" t="s">
        <v>49</v>
      </c>
      <c r="T238" s="8">
        <v>9915.0736070000003</v>
      </c>
      <c r="U238" s="8">
        <v>-9915.0736070000003</v>
      </c>
      <c r="V238" s="7" t="s">
        <v>56</v>
      </c>
      <c r="W238" s="7" t="s">
        <v>2621</v>
      </c>
      <c r="X238" s="7" t="s">
        <v>2618</v>
      </c>
      <c r="Y238" s="7" t="s">
        <v>1691</v>
      </c>
      <c r="AA238" s="7" t="s">
        <v>2617</v>
      </c>
      <c r="AB238" s="7">
        <v>8</v>
      </c>
      <c r="AC238" s="7" t="s">
        <v>48</v>
      </c>
      <c r="AD238" s="7" t="s">
        <v>583</v>
      </c>
      <c r="AF238" s="7" t="s">
        <v>44</v>
      </c>
      <c r="AH238" s="4">
        <v>45230.999988425923</v>
      </c>
    </row>
    <row r="239" spans="1:34" x14ac:dyDescent="0.3">
      <c r="A239" s="4">
        <v>45230</v>
      </c>
      <c r="B239" s="4">
        <v>44562</v>
      </c>
      <c r="C239" s="7" t="s">
        <v>35</v>
      </c>
      <c r="D239" s="7" t="s">
        <v>36</v>
      </c>
      <c r="E239" s="7" t="s">
        <v>36</v>
      </c>
      <c r="F239" s="7" t="s">
        <v>36</v>
      </c>
      <c r="G239" s="7" t="s">
        <v>37</v>
      </c>
      <c r="K239" s="7" t="s">
        <v>38</v>
      </c>
      <c r="L239" s="7" t="s">
        <v>39</v>
      </c>
      <c r="M239" s="7" t="s">
        <v>40</v>
      </c>
      <c r="N239" s="7" t="s">
        <v>41</v>
      </c>
      <c r="R239" s="7" t="s">
        <v>50</v>
      </c>
      <c r="S239" s="8">
        <v>42330.49</v>
      </c>
      <c r="U239" s="8">
        <v>42330.49</v>
      </c>
      <c r="V239" s="7" t="s">
        <v>56</v>
      </c>
      <c r="W239" s="7" t="s">
        <v>2619</v>
      </c>
      <c r="X239" s="7" t="s">
        <v>2618</v>
      </c>
      <c r="Y239" s="7" t="s">
        <v>1691</v>
      </c>
      <c r="AA239" s="7" t="s">
        <v>2617</v>
      </c>
      <c r="AB239" s="7">
        <v>10</v>
      </c>
      <c r="AC239" s="7" t="s">
        <v>51</v>
      </c>
      <c r="AD239" s="7" t="s">
        <v>584</v>
      </c>
      <c r="AF239" s="7" t="s">
        <v>44</v>
      </c>
      <c r="AH239" s="4">
        <v>45230.999988425923</v>
      </c>
    </row>
    <row r="240" spans="1:34" x14ac:dyDescent="0.3">
      <c r="A240" s="4">
        <v>45230</v>
      </c>
      <c r="B240" s="4">
        <v>44562</v>
      </c>
      <c r="C240" s="7" t="s">
        <v>35</v>
      </c>
      <c r="D240" s="7" t="s">
        <v>36</v>
      </c>
      <c r="E240" s="7" t="s">
        <v>36</v>
      </c>
      <c r="F240" s="7" t="s">
        <v>36</v>
      </c>
      <c r="G240" s="7" t="s">
        <v>37</v>
      </c>
      <c r="K240" s="7" t="s">
        <v>38</v>
      </c>
      <c r="L240" s="7" t="s">
        <v>39</v>
      </c>
      <c r="M240" s="7" t="s">
        <v>40</v>
      </c>
      <c r="N240" s="7" t="s">
        <v>41</v>
      </c>
      <c r="R240" s="7" t="s">
        <v>52</v>
      </c>
      <c r="T240" s="8">
        <v>42330.49</v>
      </c>
      <c r="U240" s="8">
        <v>-42330.49</v>
      </c>
      <c r="V240" s="7" t="s">
        <v>56</v>
      </c>
      <c r="W240" s="7" t="s">
        <v>2619</v>
      </c>
      <c r="X240" s="7" t="s">
        <v>2618</v>
      </c>
      <c r="Y240" s="7" t="s">
        <v>1691</v>
      </c>
      <c r="AA240" s="7" t="s">
        <v>2617</v>
      </c>
      <c r="AB240" s="7">
        <v>10</v>
      </c>
      <c r="AC240" s="7" t="s">
        <v>51</v>
      </c>
      <c r="AD240" s="7" t="s">
        <v>586</v>
      </c>
      <c r="AF240" s="7" t="s">
        <v>44</v>
      </c>
      <c r="AH240" s="4">
        <v>45230.999988425923</v>
      </c>
    </row>
    <row r="241" spans="1:34" x14ac:dyDescent="0.3">
      <c r="A241" s="4">
        <v>45230</v>
      </c>
      <c r="B241" s="4">
        <v>45230</v>
      </c>
      <c r="C241" s="7" t="s">
        <v>35</v>
      </c>
      <c r="D241" s="7" t="s">
        <v>36</v>
      </c>
      <c r="E241" s="7" t="s">
        <v>36</v>
      </c>
      <c r="F241" s="7" t="s">
        <v>36</v>
      </c>
      <c r="G241" s="7" t="s">
        <v>37</v>
      </c>
      <c r="K241" s="7" t="s">
        <v>38</v>
      </c>
      <c r="L241" s="7" t="s">
        <v>39</v>
      </c>
      <c r="M241" s="7" t="s">
        <v>40</v>
      </c>
      <c r="N241" s="7" t="s">
        <v>41</v>
      </c>
      <c r="R241" s="7" t="s">
        <v>45</v>
      </c>
      <c r="S241" s="8">
        <v>496755.86</v>
      </c>
      <c r="U241" s="8">
        <v>496755.86</v>
      </c>
      <c r="V241" s="7" t="s">
        <v>56</v>
      </c>
      <c r="W241" s="7" t="s">
        <v>2620</v>
      </c>
      <c r="X241" s="7" t="s">
        <v>2618</v>
      </c>
      <c r="Y241" s="7" t="s">
        <v>1691</v>
      </c>
      <c r="AA241" s="7" t="s">
        <v>2617</v>
      </c>
      <c r="AB241" s="7">
        <v>11</v>
      </c>
      <c r="AC241" s="7" t="s">
        <v>53</v>
      </c>
      <c r="AD241" s="7" t="s">
        <v>587</v>
      </c>
      <c r="AF241" s="7" t="s">
        <v>44</v>
      </c>
      <c r="AH241" s="4">
        <v>45230.999988425923</v>
      </c>
    </row>
    <row r="242" spans="1:34" x14ac:dyDescent="0.3">
      <c r="A242" s="4">
        <v>45230</v>
      </c>
      <c r="B242" s="4">
        <v>45230</v>
      </c>
      <c r="C242" s="7" t="s">
        <v>35</v>
      </c>
      <c r="D242" s="7" t="s">
        <v>36</v>
      </c>
      <c r="E242" s="7" t="s">
        <v>36</v>
      </c>
      <c r="F242" s="7" t="s">
        <v>36</v>
      </c>
      <c r="G242" s="7" t="s">
        <v>37</v>
      </c>
      <c r="K242" s="7" t="s">
        <v>38</v>
      </c>
      <c r="L242" s="7" t="s">
        <v>39</v>
      </c>
      <c r="M242" s="7" t="s">
        <v>40</v>
      </c>
      <c r="N242" s="7" t="s">
        <v>41</v>
      </c>
      <c r="R242" s="7" t="s">
        <v>54</v>
      </c>
      <c r="T242" s="8">
        <v>496755.86</v>
      </c>
      <c r="U242" s="8">
        <v>-496755.86</v>
      </c>
      <c r="V242" s="7" t="s">
        <v>56</v>
      </c>
      <c r="W242" s="7" t="s">
        <v>2620</v>
      </c>
      <c r="X242" s="7" t="s">
        <v>2618</v>
      </c>
      <c r="Y242" s="7" t="s">
        <v>1691</v>
      </c>
      <c r="AA242" s="7" t="s">
        <v>2617</v>
      </c>
      <c r="AB242" s="7">
        <v>11</v>
      </c>
      <c r="AC242" s="7" t="s">
        <v>53</v>
      </c>
      <c r="AD242" s="7" t="s">
        <v>589</v>
      </c>
      <c r="AF242" s="7" t="s">
        <v>44</v>
      </c>
      <c r="AH242" s="4">
        <v>45230.999988425923</v>
      </c>
    </row>
    <row r="243" spans="1:34" x14ac:dyDescent="0.3">
      <c r="A243" s="4">
        <v>45231</v>
      </c>
      <c r="B243" s="4">
        <v>45231</v>
      </c>
      <c r="C243" s="7" t="s">
        <v>35</v>
      </c>
      <c r="D243" s="7" t="s">
        <v>36</v>
      </c>
      <c r="E243" s="7" t="s">
        <v>36</v>
      </c>
      <c r="F243" s="7" t="s">
        <v>36</v>
      </c>
      <c r="G243" s="7" t="s">
        <v>37</v>
      </c>
      <c r="K243" s="7" t="s">
        <v>38</v>
      </c>
      <c r="L243" s="7" t="s">
        <v>39</v>
      </c>
      <c r="M243" s="7" t="s">
        <v>40</v>
      </c>
      <c r="N243" s="7" t="s">
        <v>41</v>
      </c>
      <c r="R243" s="7" t="s">
        <v>54</v>
      </c>
      <c r="S243" s="8">
        <v>496755.86</v>
      </c>
      <c r="U243" s="8">
        <v>496755.86</v>
      </c>
      <c r="V243" s="7" t="s">
        <v>56</v>
      </c>
      <c r="W243" s="7" t="s">
        <v>2620</v>
      </c>
      <c r="X243" s="7" t="s">
        <v>2618</v>
      </c>
      <c r="Y243" s="7" t="s">
        <v>1691</v>
      </c>
      <c r="AA243" s="7" t="s">
        <v>2617</v>
      </c>
      <c r="AB243" s="7">
        <v>11</v>
      </c>
      <c r="AC243" s="7" t="s">
        <v>55</v>
      </c>
      <c r="AD243" s="7" t="s">
        <v>590</v>
      </c>
      <c r="AF243" s="7" t="s">
        <v>44</v>
      </c>
      <c r="AH243" s="4">
        <v>45260.999988425923</v>
      </c>
    </row>
    <row r="244" spans="1:34" x14ac:dyDescent="0.3">
      <c r="A244" s="4">
        <v>45231</v>
      </c>
      <c r="B244" s="4">
        <v>45231</v>
      </c>
      <c r="C244" s="7" t="s">
        <v>35</v>
      </c>
      <c r="D244" s="7" t="s">
        <v>36</v>
      </c>
      <c r="E244" s="7" t="s">
        <v>36</v>
      </c>
      <c r="F244" s="7" t="s">
        <v>36</v>
      </c>
      <c r="G244" s="7" t="s">
        <v>37</v>
      </c>
      <c r="K244" s="7" t="s">
        <v>38</v>
      </c>
      <c r="L244" s="7" t="s">
        <v>39</v>
      </c>
      <c r="M244" s="7" t="s">
        <v>40</v>
      </c>
      <c r="N244" s="7" t="s">
        <v>41</v>
      </c>
      <c r="R244" s="7" t="s">
        <v>45</v>
      </c>
      <c r="T244" s="8">
        <v>496755.86</v>
      </c>
      <c r="U244" s="8">
        <v>-496755.86</v>
      </c>
      <c r="V244" s="7" t="s">
        <v>56</v>
      </c>
      <c r="W244" s="7" t="s">
        <v>2620</v>
      </c>
      <c r="X244" s="7" t="s">
        <v>2618</v>
      </c>
      <c r="Y244" s="7" t="s">
        <v>1691</v>
      </c>
      <c r="AA244" s="7" t="s">
        <v>2617</v>
      </c>
      <c r="AB244" s="7">
        <v>11</v>
      </c>
      <c r="AC244" s="7" t="s">
        <v>55</v>
      </c>
      <c r="AD244" s="7" t="s">
        <v>592</v>
      </c>
      <c r="AF244" s="7" t="s">
        <v>44</v>
      </c>
      <c r="AH244" s="4">
        <v>45260.999988425923</v>
      </c>
    </row>
    <row r="245" spans="1:34" x14ac:dyDescent="0.3">
      <c r="A245" s="4">
        <v>45231</v>
      </c>
      <c r="B245" s="4">
        <v>45260</v>
      </c>
      <c r="C245" s="7" t="s">
        <v>46</v>
      </c>
      <c r="D245" s="7" t="s">
        <v>36</v>
      </c>
      <c r="E245" s="7" t="s">
        <v>36</v>
      </c>
      <c r="F245" s="7" t="s">
        <v>36</v>
      </c>
      <c r="G245" s="7" t="s">
        <v>37</v>
      </c>
      <c r="K245" s="7" t="s">
        <v>38</v>
      </c>
      <c r="L245" s="7" t="s">
        <v>39</v>
      </c>
      <c r="M245" s="7" t="s">
        <v>38</v>
      </c>
      <c r="N245" s="7" t="s">
        <v>41</v>
      </c>
      <c r="R245" s="7" t="s">
        <v>49</v>
      </c>
      <c r="S245" s="8">
        <v>9915.0736070000003</v>
      </c>
      <c r="U245" s="8">
        <v>9915.0736070000003</v>
      </c>
      <c r="V245" s="7" t="s">
        <v>56</v>
      </c>
      <c r="W245" s="7" t="s">
        <v>57</v>
      </c>
      <c r="X245" s="7" t="s">
        <v>2618</v>
      </c>
      <c r="Y245" s="7" t="s">
        <v>1691</v>
      </c>
      <c r="AA245" s="7" t="s">
        <v>2617</v>
      </c>
      <c r="AB245" s="7">
        <v>12</v>
      </c>
      <c r="AC245" s="7" t="s">
        <v>57</v>
      </c>
      <c r="AD245" s="7" t="s">
        <v>593</v>
      </c>
      <c r="AF245" s="7" t="s">
        <v>44</v>
      </c>
      <c r="AH245" s="4">
        <v>45260.999988425923</v>
      </c>
    </row>
    <row r="246" spans="1:34" x14ac:dyDescent="0.3">
      <c r="A246" s="4">
        <v>45231</v>
      </c>
      <c r="B246" s="4">
        <v>45260</v>
      </c>
      <c r="C246" s="7" t="s">
        <v>46</v>
      </c>
      <c r="D246" s="7" t="s">
        <v>36</v>
      </c>
      <c r="E246" s="7" t="s">
        <v>36</v>
      </c>
      <c r="F246" s="7" t="s">
        <v>36</v>
      </c>
      <c r="G246" s="7" t="s">
        <v>37</v>
      </c>
      <c r="K246" s="7" t="s">
        <v>38</v>
      </c>
      <c r="L246" s="7" t="s">
        <v>39</v>
      </c>
      <c r="M246" s="7" t="s">
        <v>40</v>
      </c>
      <c r="N246" s="7" t="s">
        <v>41</v>
      </c>
      <c r="R246" s="7" t="s">
        <v>45</v>
      </c>
      <c r="S246" s="8">
        <v>40084.926393000002</v>
      </c>
      <c r="U246" s="8">
        <v>40084.926393000002</v>
      </c>
      <c r="V246" s="7" t="s">
        <v>56</v>
      </c>
      <c r="W246" s="7" t="s">
        <v>57</v>
      </c>
      <c r="X246" s="7" t="s">
        <v>2618</v>
      </c>
      <c r="Y246" s="7" t="s">
        <v>1691</v>
      </c>
      <c r="AA246" s="7" t="s">
        <v>2617</v>
      </c>
      <c r="AB246" s="7">
        <v>12</v>
      </c>
      <c r="AC246" s="7" t="s">
        <v>57</v>
      </c>
      <c r="AD246" s="7" t="s">
        <v>595</v>
      </c>
      <c r="AF246" s="7" t="s">
        <v>44</v>
      </c>
      <c r="AH246" s="4">
        <v>45260.999988425923</v>
      </c>
    </row>
    <row r="247" spans="1:34" x14ac:dyDescent="0.3">
      <c r="A247" s="4">
        <v>45231</v>
      </c>
      <c r="B247" s="4">
        <v>45260</v>
      </c>
      <c r="C247" s="7" t="s">
        <v>46</v>
      </c>
      <c r="D247" s="7" t="s">
        <v>36</v>
      </c>
      <c r="E247" s="7" t="s">
        <v>36</v>
      </c>
      <c r="F247" s="7" t="s">
        <v>36</v>
      </c>
      <c r="G247" s="7" t="s">
        <v>37</v>
      </c>
      <c r="K247" s="7" t="s">
        <v>38</v>
      </c>
      <c r="L247" s="7" t="s">
        <v>39</v>
      </c>
      <c r="M247" s="7" t="s">
        <v>40</v>
      </c>
      <c r="N247" s="7" t="s">
        <v>41</v>
      </c>
      <c r="R247" s="7" t="s">
        <v>58</v>
      </c>
      <c r="T247" s="8">
        <v>50000</v>
      </c>
      <c r="U247" s="8">
        <v>-50000</v>
      </c>
      <c r="V247" s="7" t="s">
        <v>56</v>
      </c>
      <c r="W247" s="7" t="s">
        <v>57</v>
      </c>
      <c r="X247" s="7" t="s">
        <v>2618</v>
      </c>
      <c r="Y247" s="7" t="s">
        <v>1691</v>
      </c>
      <c r="AA247" s="7" t="s">
        <v>2617</v>
      </c>
      <c r="AB247" s="7">
        <v>12</v>
      </c>
      <c r="AC247" s="7" t="s">
        <v>57</v>
      </c>
      <c r="AD247" s="7" t="s">
        <v>596</v>
      </c>
      <c r="AF247" s="7" t="s">
        <v>44</v>
      </c>
      <c r="AH247" s="4">
        <v>45260.999988425923</v>
      </c>
    </row>
    <row r="248" spans="1:34" x14ac:dyDescent="0.3">
      <c r="A248" s="4">
        <v>45260</v>
      </c>
      <c r="B248" s="4">
        <v>45260</v>
      </c>
      <c r="C248" s="7" t="s">
        <v>46</v>
      </c>
      <c r="D248" s="7" t="s">
        <v>36</v>
      </c>
      <c r="E248" s="7" t="s">
        <v>36</v>
      </c>
      <c r="F248" s="7" t="s">
        <v>36</v>
      </c>
      <c r="G248" s="7" t="s">
        <v>37</v>
      </c>
      <c r="K248" s="7" t="s">
        <v>38</v>
      </c>
      <c r="L248" s="7" t="s">
        <v>39</v>
      </c>
      <c r="M248" s="7" t="s">
        <v>40</v>
      </c>
      <c r="N248" s="7" t="s">
        <v>41</v>
      </c>
      <c r="R248" s="7" t="s">
        <v>47</v>
      </c>
      <c r="S248" s="8">
        <v>9681.2448700000004</v>
      </c>
      <c r="U248" s="8">
        <v>9681.2448700000004</v>
      </c>
      <c r="V248" s="7" t="s">
        <v>56</v>
      </c>
      <c r="W248" s="7" t="s">
        <v>2621</v>
      </c>
      <c r="X248" s="7" t="s">
        <v>2618</v>
      </c>
      <c r="Y248" s="7" t="s">
        <v>1691</v>
      </c>
      <c r="AA248" s="7" t="s">
        <v>2617</v>
      </c>
      <c r="AB248" s="7">
        <v>8</v>
      </c>
      <c r="AC248" s="7" t="s">
        <v>48</v>
      </c>
      <c r="AD248" s="7" t="s">
        <v>597</v>
      </c>
      <c r="AF248" s="7" t="s">
        <v>44</v>
      </c>
      <c r="AH248" s="4">
        <v>45260.999988425923</v>
      </c>
    </row>
    <row r="249" spans="1:34" x14ac:dyDescent="0.3">
      <c r="A249" s="4">
        <v>45260</v>
      </c>
      <c r="B249" s="4">
        <v>45260</v>
      </c>
      <c r="C249" s="7" t="s">
        <v>46</v>
      </c>
      <c r="D249" s="7" t="s">
        <v>36</v>
      </c>
      <c r="E249" s="7" t="s">
        <v>36</v>
      </c>
      <c r="F249" s="7" t="s">
        <v>36</v>
      </c>
      <c r="G249" s="7" t="s">
        <v>37</v>
      </c>
      <c r="K249" s="7" t="s">
        <v>38</v>
      </c>
      <c r="L249" s="7" t="s">
        <v>39</v>
      </c>
      <c r="M249" s="7" t="s">
        <v>38</v>
      </c>
      <c r="N249" s="7" t="s">
        <v>41</v>
      </c>
      <c r="R249" s="7" t="s">
        <v>49</v>
      </c>
      <c r="T249" s="8">
        <v>9681.2448700000004</v>
      </c>
      <c r="U249" s="8">
        <v>-9681.2448700000004</v>
      </c>
      <c r="V249" s="7" t="s">
        <v>56</v>
      </c>
      <c r="W249" s="7" t="s">
        <v>2621</v>
      </c>
      <c r="X249" s="7" t="s">
        <v>2618</v>
      </c>
      <c r="Y249" s="7" t="s">
        <v>1691</v>
      </c>
      <c r="AA249" s="7" t="s">
        <v>2617</v>
      </c>
      <c r="AB249" s="7">
        <v>8</v>
      </c>
      <c r="AC249" s="7" t="s">
        <v>48</v>
      </c>
      <c r="AD249" s="7" t="s">
        <v>599</v>
      </c>
      <c r="AF249" s="7" t="s">
        <v>44</v>
      </c>
      <c r="AH249" s="4">
        <v>45260.999988425923</v>
      </c>
    </row>
    <row r="250" spans="1:34" x14ac:dyDescent="0.3">
      <c r="A250" s="4">
        <v>45260</v>
      </c>
      <c r="B250" s="4">
        <v>44562</v>
      </c>
      <c r="C250" s="7" t="s">
        <v>35</v>
      </c>
      <c r="D250" s="7" t="s">
        <v>36</v>
      </c>
      <c r="E250" s="7" t="s">
        <v>36</v>
      </c>
      <c r="F250" s="7" t="s">
        <v>36</v>
      </c>
      <c r="G250" s="7" t="s">
        <v>37</v>
      </c>
      <c r="K250" s="7" t="s">
        <v>38</v>
      </c>
      <c r="L250" s="7" t="s">
        <v>39</v>
      </c>
      <c r="M250" s="7" t="s">
        <v>40</v>
      </c>
      <c r="N250" s="7" t="s">
        <v>41</v>
      </c>
      <c r="R250" s="7" t="s">
        <v>50</v>
      </c>
      <c r="S250" s="8">
        <v>42330.49</v>
      </c>
      <c r="U250" s="8">
        <v>42330.49</v>
      </c>
      <c r="V250" s="7" t="s">
        <v>56</v>
      </c>
      <c r="W250" s="7" t="s">
        <v>2619</v>
      </c>
      <c r="X250" s="7" t="s">
        <v>2618</v>
      </c>
      <c r="Y250" s="7" t="s">
        <v>1691</v>
      </c>
      <c r="AA250" s="7" t="s">
        <v>2617</v>
      </c>
      <c r="AB250" s="7">
        <v>10</v>
      </c>
      <c r="AC250" s="7" t="s">
        <v>51</v>
      </c>
      <c r="AD250" s="7" t="s">
        <v>600</v>
      </c>
      <c r="AF250" s="7" t="s">
        <v>44</v>
      </c>
      <c r="AH250" s="4">
        <v>45260.999988425923</v>
      </c>
    </row>
    <row r="251" spans="1:34" x14ac:dyDescent="0.3">
      <c r="A251" s="4">
        <v>45260</v>
      </c>
      <c r="B251" s="4">
        <v>44562</v>
      </c>
      <c r="C251" s="7" t="s">
        <v>35</v>
      </c>
      <c r="D251" s="7" t="s">
        <v>36</v>
      </c>
      <c r="E251" s="7" t="s">
        <v>36</v>
      </c>
      <c r="F251" s="7" t="s">
        <v>36</v>
      </c>
      <c r="G251" s="7" t="s">
        <v>37</v>
      </c>
      <c r="K251" s="7" t="s">
        <v>38</v>
      </c>
      <c r="L251" s="7" t="s">
        <v>39</v>
      </c>
      <c r="M251" s="7" t="s">
        <v>40</v>
      </c>
      <c r="N251" s="7" t="s">
        <v>41</v>
      </c>
      <c r="R251" s="7" t="s">
        <v>52</v>
      </c>
      <c r="T251" s="8">
        <v>42330.49</v>
      </c>
      <c r="U251" s="8">
        <v>-42330.49</v>
      </c>
      <c r="V251" s="7" t="s">
        <v>56</v>
      </c>
      <c r="W251" s="7" t="s">
        <v>2619</v>
      </c>
      <c r="X251" s="7" t="s">
        <v>2618</v>
      </c>
      <c r="Y251" s="7" t="s">
        <v>1691</v>
      </c>
      <c r="AA251" s="7" t="s">
        <v>2617</v>
      </c>
      <c r="AB251" s="7">
        <v>10</v>
      </c>
      <c r="AC251" s="7" t="s">
        <v>51</v>
      </c>
      <c r="AD251" s="7" t="s">
        <v>602</v>
      </c>
      <c r="AF251" s="7" t="s">
        <v>44</v>
      </c>
      <c r="AH251" s="4">
        <v>45260.999988425923</v>
      </c>
    </row>
    <row r="252" spans="1:34" x14ac:dyDescent="0.3">
      <c r="A252" s="4">
        <v>45260</v>
      </c>
      <c r="B252" s="4">
        <v>45260</v>
      </c>
      <c r="C252" s="7" t="s">
        <v>35</v>
      </c>
      <c r="D252" s="7" t="s">
        <v>36</v>
      </c>
      <c r="E252" s="7" t="s">
        <v>36</v>
      </c>
      <c r="F252" s="7" t="s">
        <v>36</v>
      </c>
      <c r="G252" s="7" t="s">
        <v>37</v>
      </c>
      <c r="K252" s="7" t="s">
        <v>38</v>
      </c>
      <c r="L252" s="7" t="s">
        <v>39</v>
      </c>
      <c r="M252" s="7" t="s">
        <v>40</v>
      </c>
      <c r="N252" s="7" t="s">
        <v>41</v>
      </c>
      <c r="R252" s="7" t="s">
        <v>45</v>
      </c>
      <c r="S252" s="8">
        <v>499653.62</v>
      </c>
      <c r="U252" s="8">
        <v>499653.62</v>
      </c>
      <c r="V252" s="7" t="s">
        <v>56</v>
      </c>
      <c r="W252" s="7" t="s">
        <v>2620</v>
      </c>
      <c r="X252" s="7" t="s">
        <v>2618</v>
      </c>
      <c r="Y252" s="7" t="s">
        <v>1691</v>
      </c>
      <c r="AA252" s="7" t="s">
        <v>2617</v>
      </c>
      <c r="AB252" s="7">
        <v>11</v>
      </c>
      <c r="AC252" s="7" t="s">
        <v>53</v>
      </c>
      <c r="AD252" s="7" t="s">
        <v>603</v>
      </c>
      <c r="AF252" s="7" t="s">
        <v>44</v>
      </c>
      <c r="AH252" s="4">
        <v>45260.999988425923</v>
      </c>
    </row>
    <row r="253" spans="1:34" x14ac:dyDescent="0.3">
      <c r="A253" s="4">
        <v>45260</v>
      </c>
      <c r="B253" s="4">
        <v>45260</v>
      </c>
      <c r="C253" s="7" t="s">
        <v>35</v>
      </c>
      <c r="D253" s="7" t="s">
        <v>36</v>
      </c>
      <c r="E253" s="7" t="s">
        <v>36</v>
      </c>
      <c r="F253" s="7" t="s">
        <v>36</v>
      </c>
      <c r="G253" s="7" t="s">
        <v>37</v>
      </c>
      <c r="K253" s="7" t="s">
        <v>38</v>
      </c>
      <c r="L253" s="7" t="s">
        <v>39</v>
      </c>
      <c r="M253" s="7" t="s">
        <v>40</v>
      </c>
      <c r="N253" s="7" t="s">
        <v>41</v>
      </c>
      <c r="R253" s="7" t="s">
        <v>54</v>
      </c>
      <c r="T253" s="8">
        <v>499653.62</v>
      </c>
      <c r="U253" s="8">
        <v>-499653.62</v>
      </c>
      <c r="V253" s="7" t="s">
        <v>56</v>
      </c>
      <c r="W253" s="7" t="s">
        <v>2620</v>
      </c>
      <c r="X253" s="7" t="s">
        <v>2618</v>
      </c>
      <c r="Y253" s="7" t="s">
        <v>1691</v>
      </c>
      <c r="AA253" s="7" t="s">
        <v>2617</v>
      </c>
      <c r="AB253" s="7">
        <v>11</v>
      </c>
      <c r="AC253" s="7" t="s">
        <v>53</v>
      </c>
      <c r="AD253" s="7" t="s">
        <v>605</v>
      </c>
      <c r="AF253" s="7" t="s">
        <v>44</v>
      </c>
      <c r="AH253" s="4">
        <v>45260.999988425923</v>
      </c>
    </row>
    <row r="254" spans="1:34" x14ac:dyDescent="0.3">
      <c r="A254" s="4">
        <v>45261</v>
      </c>
      <c r="B254" s="4">
        <v>45261</v>
      </c>
      <c r="C254" s="7" t="s">
        <v>35</v>
      </c>
      <c r="D254" s="7" t="s">
        <v>36</v>
      </c>
      <c r="E254" s="7" t="s">
        <v>36</v>
      </c>
      <c r="F254" s="7" t="s">
        <v>36</v>
      </c>
      <c r="G254" s="7" t="s">
        <v>37</v>
      </c>
      <c r="K254" s="7" t="s">
        <v>38</v>
      </c>
      <c r="L254" s="7" t="s">
        <v>39</v>
      </c>
      <c r="M254" s="7" t="s">
        <v>40</v>
      </c>
      <c r="N254" s="7" t="s">
        <v>41</v>
      </c>
      <c r="R254" s="7" t="s">
        <v>54</v>
      </c>
      <c r="S254" s="8">
        <v>499653.62</v>
      </c>
      <c r="U254" s="8">
        <v>499653.62</v>
      </c>
      <c r="V254" s="7" t="s">
        <v>56</v>
      </c>
      <c r="W254" s="7" t="s">
        <v>2620</v>
      </c>
      <c r="X254" s="7" t="s">
        <v>2618</v>
      </c>
      <c r="Y254" s="7" t="s">
        <v>1691</v>
      </c>
      <c r="AA254" s="7" t="s">
        <v>2617</v>
      </c>
      <c r="AB254" s="7">
        <v>11</v>
      </c>
      <c r="AC254" s="7" t="s">
        <v>55</v>
      </c>
      <c r="AD254" s="7" t="s">
        <v>606</v>
      </c>
      <c r="AF254" s="7" t="s">
        <v>44</v>
      </c>
      <c r="AH254" s="4">
        <v>45291.999988425923</v>
      </c>
    </row>
    <row r="255" spans="1:34" x14ac:dyDescent="0.3">
      <c r="A255" s="4">
        <v>45261</v>
      </c>
      <c r="B255" s="4">
        <v>45261</v>
      </c>
      <c r="C255" s="7" t="s">
        <v>35</v>
      </c>
      <c r="D255" s="7" t="s">
        <v>36</v>
      </c>
      <c r="E255" s="7" t="s">
        <v>36</v>
      </c>
      <c r="F255" s="7" t="s">
        <v>36</v>
      </c>
      <c r="G255" s="7" t="s">
        <v>37</v>
      </c>
      <c r="K255" s="7" t="s">
        <v>38</v>
      </c>
      <c r="L255" s="7" t="s">
        <v>39</v>
      </c>
      <c r="M255" s="7" t="s">
        <v>40</v>
      </c>
      <c r="N255" s="7" t="s">
        <v>41</v>
      </c>
      <c r="R255" s="7" t="s">
        <v>45</v>
      </c>
      <c r="T255" s="8">
        <v>499653.62</v>
      </c>
      <c r="U255" s="8">
        <v>-499653.62</v>
      </c>
      <c r="V255" s="7" t="s">
        <v>56</v>
      </c>
      <c r="W255" s="7" t="s">
        <v>2620</v>
      </c>
      <c r="X255" s="7" t="s">
        <v>2618</v>
      </c>
      <c r="Y255" s="7" t="s">
        <v>1691</v>
      </c>
      <c r="AA255" s="7" t="s">
        <v>2617</v>
      </c>
      <c r="AB255" s="7">
        <v>11</v>
      </c>
      <c r="AC255" s="7" t="s">
        <v>55</v>
      </c>
      <c r="AD255" s="7" t="s">
        <v>608</v>
      </c>
      <c r="AF255" s="7" t="s">
        <v>44</v>
      </c>
      <c r="AH255" s="4">
        <v>45291.999988425923</v>
      </c>
    </row>
    <row r="256" spans="1:34" x14ac:dyDescent="0.3">
      <c r="A256" s="4">
        <v>45261</v>
      </c>
      <c r="B256" s="4">
        <v>45291</v>
      </c>
      <c r="C256" s="7" t="s">
        <v>46</v>
      </c>
      <c r="D256" s="7" t="s">
        <v>36</v>
      </c>
      <c r="E256" s="7" t="s">
        <v>36</v>
      </c>
      <c r="F256" s="7" t="s">
        <v>36</v>
      </c>
      <c r="G256" s="7" t="s">
        <v>37</v>
      </c>
      <c r="K256" s="7" t="s">
        <v>38</v>
      </c>
      <c r="L256" s="7" t="s">
        <v>39</v>
      </c>
      <c r="M256" s="7" t="s">
        <v>38</v>
      </c>
      <c r="N256" s="7" t="s">
        <v>41</v>
      </c>
      <c r="R256" s="7" t="s">
        <v>49</v>
      </c>
      <c r="S256" s="8">
        <v>9681.2448700000004</v>
      </c>
      <c r="U256" s="8">
        <v>9681.2448700000004</v>
      </c>
      <c r="V256" s="7" t="s">
        <v>56</v>
      </c>
      <c r="W256" s="7" t="s">
        <v>57</v>
      </c>
      <c r="X256" s="7" t="s">
        <v>2618</v>
      </c>
      <c r="Y256" s="7" t="s">
        <v>1691</v>
      </c>
      <c r="AA256" s="7" t="s">
        <v>2617</v>
      </c>
      <c r="AB256" s="7">
        <v>12</v>
      </c>
      <c r="AC256" s="7" t="s">
        <v>57</v>
      </c>
      <c r="AD256" s="7" t="s">
        <v>609</v>
      </c>
      <c r="AF256" s="7" t="s">
        <v>44</v>
      </c>
      <c r="AH256" s="4">
        <v>45291.999988425923</v>
      </c>
    </row>
    <row r="257" spans="1:34" x14ac:dyDescent="0.3">
      <c r="A257" s="4">
        <v>45261</v>
      </c>
      <c r="B257" s="4">
        <v>45291</v>
      </c>
      <c r="C257" s="7" t="s">
        <v>46</v>
      </c>
      <c r="D257" s="7" t="s">
        <v>36</v>
      </c>
      <c r="E257" s="7" t="s">
        <v>36</v>
      </c>
      <c r="F257" s="7" t="s">
        <v>36</v>
      </c>
      <c r="G257" s="7" t="s">
        <v>37</v>
      </c>
      <c r="K257" s="7" t="s">
        <v>38</v>
      </c>
      <c r="L257" s="7" t="s">
        <v>39</v>
      </c>
      <c r="M257" s="7" t="s">
        <v>40</v>
      </c>
      <c r="N257" s="7" t="s">
        <v>41</v>
      </c>
      <c r="R257" s="7" t="s">
        <v>45</v>
      </c>
      <c r="S257" s="8">
        <v>40318.755129999998</v>
      </c>
      <c r="U257" s="8">
        <v>40318.755129999998</v>
      </c>
      <c r="V257" s="7" t="s">
        <v>56</v>
      </c>
      <c r="W257" s="7" t="s">
        <v>57</v>
      </c>
      <c r="X257" s="7" t="s">
        <v>2618</v>
      </c>
      <c r="Y257" s="7" t="s">
        <v>1691</v>
      </c>
      <c r="AA257" s="7" t="s">
        <v>2617</v>
      </c>
      <c r="AB257" s="7">
        <v>12</v>
      </c>
      <c r="AC257" s="7" t="s">
        <v>57</v>
      </c>
      <c r="AD257" s="7" t="s">
        <v>611</v>
      </c>
      <c r="AF257" s="7" t="s">
        <v>44</v>
      </c>
      <c r="AH257" s="4">
        <v>45291.999988425923</v>
      </c>
    </row>
    <row r="258" spans="1:34" x14ac:dyDescent="0.3">
      <c r="A258" s="4">
        <v>45261</v>
      </c>
      <c r="B258" s="4">
        <v>45291</v>
      </c>
      <c r="C258" s="7" t="s">
        <v>46</v>
      </c>
      <c r="D258" s="7" t="s">
        <v>36</v>
      </c>
      <c r="E258" s="7" t="s">
        <v>36</v>
      </c>
      <c r="F258" s="7" t="s">
        <v>36</v>
      </c>
      <c r="G258" s="7" t="s">
        <v>37</v>
      </c>
      <c r="K258" s="7" t="s">
        <v>38</v>
      </c>
      <c r="L258" s="7" t="s">
        <v>39</v>
      </c>
      <c r="M258" s="7" t="s">
        <v>40</v>
      </c>
      <c r="N258" s="7" t="s">
        <v>41</v>
      </c>
      <c r="R258" s="7" t="s">
        <v>58</v>
      </c>
      <c r="T258" s="8">
        <v>50000</v>
      </c>
      <c r="U258" s="8">
        <v>-50000</v>
      </c>
      <c r="V258" s="7" t="s">
        <v>56</v>
      </c>
      <c r="W258" s="7" t="s">
        <v>57</v>
      </c>
      <c r="X258" s="7" t="s">
        <v>2618</v>
      </c>
      <c r="Y258" s="7" t="s">
        <v>1691</v>
      </c>
      <c r="AA258" s="7" t="s">
        <v>2617</v>
      </c>
      <c r="AB258" s="7">
        <v>12</v>
      </c>
      <c r="AC258" s="7" t="s">
        <v>57</v>
      </c>
      <c r="AD258" s="7" t="s">
        <v>612</v>
      </c>
      <c r="AF258" s="7" t="s">
        <v>44</v>
      </c>
      <c r="AH258" s="4">
        <v>45291.999988425923</v>
      </c>
    </row>
    <row r="259" spans="1:34" x14ac:dyDescent="0.3">
      <c r="A259" s="4">
        <v>45291</v>
      </c>
      <c r="B259" s="4">
        <v>45291</v>
      </c>
      <c r="C259" s="7" t="s">
        <v>46</v>
      </c>
      <c r="D259" s="7" t="s">
        <v>36</v>
      </c>
      <c r="E259" s="7" t="s">
        <v>36</v>
      </c>
      <c r="F259" s="7" t="s">
        <v>36</v>
      </c>
      <c r="G259" s="7" t="s">
        <v>37</v>
      </c>
      <c r="K259" s="7" t="s">
        <v>38</v>
      </c>
      <c r="L259" s="7" t="s">
        <v>39</v>
      </c>
      <c r="M259" s="7" t="s">
        <v>40</v>
      </c>
      <c r="N259" s="7" t="s">
        <v>41</v>
      </c>
      <c r="R259" s="7" t="s">
        <v>47</v>
      </c>
      <c r="S259" s="8">
        <v>9446.0521320000007</v>
      </c>
      <c r="U259" s="8">
        <v>9446.0521320000007</v>
      </c>
      <c r="V259" s="7" t="s">
        <v>56</v>
      </c>
      <c r="W259" s="7" t="s">
        <v>2621</v>
      </c>
      <c r="X259" s="7" t="s">
        <v>2618</v>
      </c>
      <c r="Y259" s="7" t="s">
        <v>1691</v>
      </c>
      <c r="AA259" s="7" t="s">
        <v>2617</v>
      </c>
      <c r="AB259" s="7">
        <v>8</v>
      </c>
      <c r="AC259" s="7" t="s">
        <v>48</v>
      </c>
      <c r="AD259" s="7" t="s">
        <v>613</v>
      </c>
      <c r="AF259" s="7" t="s">
        <v>44</v>
      </c>
      <c r="AH259" s="4">
        <v>45291.999988425923</v>
      </c>
    </row>
    <row r="260" spans="1:34" x14ac:dyDescent="0.3">
      <c r="A260" s="4">
        <v>45291</v>
      </c>
      <c r="B260" s="4">
        <v>45291</v>
      </c>
      <c r="C260" s="7" t="s">
        <v>46</v>
      </c>
      <c r="D260" s="7" t="s">
        <v>36</v>
      </c>
      <c r="E260" s="7" t="s">
        <v>36</v>
      </c>
      <c r="F260" s="7" t="s">
        <v>36</v>
      </c>
      <c r="G260" s="7" t="s">
        <v>37</v>
      </c>
      <c r="K260" s="7" t="s">
        <v>38</v>
      </c>
      <c r="L260" s="7" t="s">
        <v>39</v>
      </c>
      <c r="M260" s="7" t="s">
        <v>38</v>
      </c>
      <c r="N260" s="7" t="s">
        <v>41</v>
      </c>
      <c r="R260" s="7" t="s">
        <v>49</v>
      </c>
      <c r="T260" s="8">
        <v>9446.0521320000007</v>
      </c>
      <c r="U260" s="8">
        <v>-9446.0521320000007</v>
      </c>
      <c r="V260" s="7" t="s">
        <v>56</v>
      </c>
      <c r="W260" s="7" t="s">
        <v>2621</v>
      </c>
      <c r="X260" s="7" t="s">
        <v>2618</v>
      </c>
      <c r="Y260" s="7" t="s">
        <v>1691</v>
      </c>
      <c r="AA260" s="7" t="s">
        <v>2617</v>
      </c>
      <c r="AB260" s="7">
        <v>8</v>
      </c>
      <c r="AC260" s="7" t="s">
        <v>48</v>
      </c>
      <c r="AD260" s="7" t="s">
        <v>615</v>
      </c>
      <c r="AF260" s="7" t="s">
        <v>44</v>
      </c>
      <c r="AH260" s="4">
        <v>45291.999988425923</v>
      </c>
    </row>
    <row r="261" spans="1:34" x14ac:dyDescent="0.3">
      <c r="A261" s="4">
        <v>45291</v>
      </c>
      <c r="B261" s="4">
        <v>44562</v>
      </c>
      <c r="C261" s="7" t="s">
        <v>35</v>
      </c>
      <c r="D261" s="7" t="s">
        <v>36</v>
      </c>
      <c r="E261" s="7" t="s">
        <v>36</v>
      </c>
      <c r="F261" s="7" t="s">
        <v>36</v>
      </c>
      <c r="G261" s="7" t="s">
        <v>37</v>
      </c>
      <c r="K261" s="7" t="s">
        <v>38</v>
      </c>
      <c r="L261" s="7" t="s">
        <v>39</v>
      </c>
      <c r="M261" s="7" t="s">
        <v>40</v>
      </c>
      <c r="N261" s="7" t="s">
        <v>41</v>
      </c>
      <c r="R261" s="7" t="s">
        <v>50</v>
      </c>
      <c r="S261" s="8">
        <v>42330.49</v>
      </c>
      <c r="U261" s="8">
        <v>42330.49</v>
      </c>
      <c r="V261" s="7" t="s">
        <v>56</v>
      </c>
      <c r="W261" s="7" t="s">
        <v>2619</v>
      </c>
      <c r="X261" s="7" t="s">
        <v>2618</v>
      </c>
      <c r="Y261" s="7" t="s">
        <v>1691</v>
      </c>
      <c r="AA261" s="7" t="s">
        <v>2617</v>
      </c>
      <c r="AB261" s="7">
        <v>10</v>
      </c>
      <c r="AC261" s="7" t="s">
        <v>51</v>
      </c>
      <c r="AD261" s="7" t="s">
        <v>616</v>
      </c>
      <c r="AF261" s="7" t="s">
        <v>44</v>
      </c>
      <c r="AH261" s="4">
        <v>45291.999988425923</v>
      </c>
    </row>
    <row r="262" spans="1:34" x14ac:dyDescent="0.3">
      <c r="A262" s="4">
        <v>45291</v>
      </c>
      <c r="B262" s="4">
        <v>44562</v>
      </c>
      <c r="C262" s="7" t="s">
        <v>35</v>
      </c>
      <c r="D262" s="7" t="s">
        <v>36</v>
      </c>
      <c r="E262" s="7" t="s">
        <v>36</v>
      </c>
      <c r="F262" s="7" t="s">
        <v>36</v>
      </c>
      <c r="G262" s="7" t="s">
        <v>37</v>
      </c>
      <c r="K262" s="7" t="s">
        <v>38</v>
      </c>
      <c r="L262" s="7" t="s">
        <v>39</v>
      </c>
      <c r="M262" s="7" t="s">
        <v>40</v>
      </c>
      <c r="N262" s="7" t="s">
        <v>41</v>
      </c>
      <c r="R262" s="7" t="s">
        <v>52</v>
      </c>
      <c r="T262" s="8">
        <v>42330.49</v>
      </c>
      <c r="U262" s="8">
        <v>-42330.49</v>
      </c>
      <c r="V262" s="7" t="s">
        <v>56</v>
      </c>
      <c r="W262" s="7" t="s">
        <v>2619</v>
      </c>
      <c r="X262" s="7" t="s">
        <v>2618</v>
      </c>
      <c r="Y262" s="7" t="s">
        <v>1691</v>
      </c>
      <c r="AA262" s="7" t="s">
        <v>2617</v>
      </c>
      <c r="AB262" s="7">
        <v>10</v>
      </c>
      <c r="AC262" s="7" t="s">
        <v>51</v>
      </c>
      <c r="AD262" s="7" t="s">
        <v>618</v>
      </c>
      <c r="AF262" s="7" t="s">
        <v>44</v>
      </c>
      <c r="AH262" s="4">
        <v>45291.999988425923</v>
      </c>
    </row>
    <row r="263" spans="1:34" x14ac:dyDescent="0.3">
      <c r="A263" s="4">
        <v>45291</v>
      </c>
      <c r="B263" s="4">
        <v>45291</v>
      </c>
      <c r="C263" s="7" t="s">
        <v>35</v>
      </c>
      <c r="D263" s="7" t="s">
        <v>36</v>
      </c>
      <c r="E263" s="7" t="s">
        <v>36</v>
      </c>
      <c r="F263" s="7" t="s">
        <v>36</v>
      </c>
      <c r="G263" s="7" t="s">
        <v>37</v>
      </c>
      <c r="K263" s="7" t="s">
        <v>38</v>
      </c>
      <c r="L263" s="7" t="s">
        <v>39</v>
      </c>
      <c r="M263" s="7" t="s">
        <v>40</v>
      </c>
      <c r="N263" s="7" t="s">
        <v>41</v>
      </c>
      <c r="R263" s="7" t="s">
        <v>45</v>
      </c>
      <c r="S263" s="8">
        <v>502568.25</v>
      </c>
      <c r="U263" s="8">
        <v>502568.25</v>
      </c>
      <c r="V263" s="7" t="s">
        <v>56</v>
      </c>
      <c r="W263" s="7" t="s">
        <v>2620</v>
      </c>
      <c r="X263" s="7" t="s">
        <v>2618</v>
      </c>
      <c r="Y263" s="7" t="s">
        <v>1691</v>
      </c>
      <c r="AA263" s="7" t="s">
        <v>2617</v>
      </c>
      <c r="AB263" s="7">
        <v>11</v>
      </c>
      <c r="AC263" s="7" t="s">
        <v>53</v>
      </c>
      <c r="AD263" s="7" t="s">
        <v>619</v>
      </c>
      <c r="AF263" s="7" t="s">
        <v>44</v>
      </c>
      <c r="AH263" s="4">
        <v>45291.999988425923</v>
      </c>
    </row>
    <row r="264" spans="1:34" x14ac:dyDescent="0.3">
      <c r="A264" s="4">
        <v>45291</v>
      </c>
      <c r="B264" s="4">
        <v>45291</v>
      </c>
      <c r="C264" s="7" t="s">
        <v>35</v>
      </c>
      <c r="D264" s="7" t="s">
        <v>36</v>
      </c>
      <c r="E264" s="7" t="s">
        <v>36</v>
      </c>
      <c r="F264" s="7" t="s">
        <v>36</v>
      </c>
      <c r="G264" s="7" t="s">
        <v>37</v>
      </c>
      <c r="K264" s="7" t="s">
        <v>38</v>
      </c>
      <c r="L264" s="7" t="s">
        <v>39</v>
      </c>
      <c r="M264" s="7" t="s">
        <v>40</v>
      </c>
      <c r="N264" s="7" t="s">
        <v>41</v>
      </c>
      <c r="R264" s="7" t="s">
        <v>54</v>
      </c>
      <c r="T264" s="8">
        <v>502568.25</v>
      </c>
      <c r="U264" s="8">
        <v>-502568.25</v>
      </c>
      <c r="V264" s="7" t="s">
        <v>56</v>
      </c>
      <c r="W264" s="7" t="s">
        <v>2620</v>
      </c>
      <c r="X264" s="7" t="s">
        <v>2618</v>
      </c>
      <c r="Y264" s="7" t="s">
        <v>1691</v>
      </c>
      <c r="AA264" s="7" t="s">
        <v>2617</v>
      </c>
      <c r="AB264" s="7">
        <v>11</v>
      </c>
      <c r="AC264" s="7" t="s">
        <v>53</v>
      </c>
      <c r="AD264" s="7" t="s">
        <v>621</v>
      </c>
      <c r="AF264" s="7" t="s">
        <v>44</v>
      </c>
      <c r="AH264" s="4">
        <v>45291.999988425923</v>
      </c>
    </row>
    <row r="265" spans="1:34" x14ac:dyDescent="0.3">
      <c r="A265" s="4">
        <v>45292</v>
      </c>
      <c r="B265" s="4">
        <v>45292</v>
      </c>
      <c r="C265" s="7" t="s">
        <v>35</v>
      </c>
      <c r="D265" s="7" t="s">
        <v>36</v>
      </c>
      <c r="E265" s="7" t="s">
        <v>36</v>
      </c>
      <c r="F265" s="7" t="s">
        <v>36</v>
      </c>
      <c r="G265" s="7" t="s">
        <v>37</v>
      </c>
      <c r="K265" s="7" t="s">
        <v>38</v>
      </c>
      <c r="L265" s="7" t="s">
        <v>39</v>
      </c>
      <c r="M265" s="7" t="s">
        <v>40</v>
      </c>
      <c r="N265" s="7" t="s">
        <v>41</v>
      </c>
      <c r="R265" s="7" t="s">
        <v>54</v>
      </c>
      <c r="S265" s="8">
        <v>502568.25</v>
      </c>
      <c r="U265" s="8">
        <v>502568.25</v>
      </c>
      <c r="V265" s="7" t="s">
        <v>56</v>
      </c>
      <c r="W265" s="7" t="s">
        <v>2620</v>
      </c>
      <c r="X265" s="7" t="s">
        <v>2618</v>
      </c>
      <c r="Y265" s="7" t="s">
        <v>1691</v>
      </c>
      <c r="AA265" s="7" t="s">
        <v>2617</v>
      </c>
      <c r="AB265" s="7">
        <v>11</v>
      </c>
      <c r="AC265" s="7" t="s">
        <v>55</v>
      </c>
      <c r="AD265" s="7" t="s">
        <v>622</v>
      </c>
      <c r="AF265" s="7" t="s">
        <v>44</v>
      </c>
      <c r="AH265" s="4">
        <v>45322.999988425923</v>
      </c>
    </row>
    <row r="266" spans="1:34" x14ac:dyDescent="0.3">
      <c r="A266" s="4">
        <v>45292</v>
      </c>
      <c r="B266" s="4">
        <v>45292</v>
      </c>
      <c r="C266" s="7" t="s">
        <v>35</v>
      </c>
      <c r="D266" s="7" t="s">
        <v>36</v>
      </c>
      <c r="E266" s="7" t="s">
        <v>36</v>
      </c>
      <c r="F266" s="7" t="s">
        <v>36</v>
      </c>
      <c r="G266" s="7" t="s">
        <v>37</v>
      </c>
      <c r="K266" s="7" t="s">
        <v>38</v>
      </c>
      <c r="L266" s="7" t="s">
        <v>39</v>
      </c>
      <c r="M266" s="7" t="s">
        <v>40</v>
      </c>
      <c r="N266" s="7" t="s">
        <v>41</v>
      </c>
      <c r="R266" s="7" t="s">
        <v>45</v>
      </c>
      <c r="T266" s="8">
        <v>502568.25</v>
      </c>
      <c r="U266" s="8">
        <v>-502568.25</v>
      </c>
      <c r="V266" s="7" t="s">
        <v>56</v>
      </c>
      <c r="W266" s="7" t="s">
        <v>2620</v>
      </c>
      <c r="X266" s="7" t="s">
        <v>2618</v>
      </c>
      <c r="Y266" s="7" t="s">
        <v>1691</v>
      </c>
      <c r="AA266" s="7" t="s">
        <v>2617</v>
      </c>
      <c r="AB266" s="7">
        <v>11</v>
      </c>
      <c r="AC266" s="7" t="s">
        <v>55</v>
      </c>
      <c r="AD266" s="7" t="s">
        <v>624</v>
      </c>
      <c r="AF266" s="7" t="s">
        <v>44</v>
      </c>
      <c r="AH266" s="4">
        <v>45322.999988425923</v>
      </c>
    </row>
    <row r="267" spans="1:34" x14ac:dyDescent="0.3">
      <c r="A267" s="4">
        <v>45292</v>
      </c>
      <c r="B267" s="4">
        <v>45322</v>
      </c>
      <c r="C267" s="7" t="s">
        <v>46</v>
      </c>
      <c r="D267" s="7" t="s">
        <v>36</v>
      </c>
      <c r="E267" s="7" t="s">
        <v>36</v>
      </c>
      <c r="F267" s="7" t="s">
        <v>36</v>
      </c>
      <c r="G267" s="7" t="s">
        <v>37</v>
      </c>
      <c r="K267" s="7" t="s">
        <v>38</v>
      </c>
      <c r="L267" s="7" t="s">
        <v>39</v>
      </c>
      <c r="M267" s="7" t="s">
        <v>38</v>
      </c>
      <c r="N267" s="7" t="s">
        <v>41</v>
      </c>
      <c r="R267" s="7" t="s">
        <v>49</v>
      </c>
      <c r="S267" s="8">
        <v>9446.0521320000007</v>
      </c>
      <c r="U267" s="8">
        <v>9446.0521320000007</v>
      </c>
      <c r="V267" s="7" t="s">
        <v>56</v>
      </c>
      <c r="W267" s="7" t="s">
        <v>57</v>
      </c>
      <c r="X267" s="7" t="s">
        <v>2618</v>
      </c>
      <c r="Y267" s="7" t="s">
        <v>1691</v>
      </c>
      <c r="AA267" s="7" t="s">
        <v>2617</v>
      </c>
      <c r="AB267" s="7">
        <v>12</v>
      </c>
      <c r="AC267" s="7" t="s">
        <v>57</v>
      </c>
      <c r="AD267" s="7" t="s">
        <v>625</v>
      </c>
      <c r="AF267" s="7" t="s">
        <v>44</v>
      </c>
      <c r="AH267" s="4">
        <v>45322.999988425923</v>
      </c>
    </row>
    <row r="268" spans="1:34" x14ac:dyDescent="0.3">
      <c r="A268" s="4">
        <v>45292</v>
      </c>
      <c r="B268" s="4">
        <v>45322</v>
      </c>
      <c r="C268" s="7" t="s">
        <v>46</v>
      </c>
      <c r="D268" s="7" t="s">
        <v>36</v>
      </c>
      <c r="E268" s="7" t="s">
        <v>36</v>
      </c>
      <c r="F268" s="7" t="s">
        <v>36</v>
      </c>
      <c r="G268" s="7" t="s">
        <v>37</v>
      </c>
      <c r="K268" s="7" t="s">
        <v>38</v>
      </c>
      <c r="L268" s="7" t="s">
        <v>39</v>
      </c>
      <c r="M268" s="7" t="s">
        <v>40</v>
      </c>
      <c r="N268" s="7" t="s">
        <v>41</v>
      </c>
      <c r="R268" s="7" t="s">
        <v>45</v>
      </c>
      <c r="S268" s="8">
        <v>40553.947868000003</v>
      </c>
      <c r="U268" s="8">
        <v>40553.947868000003</v>
      </c>
      <c r="V268" s="7" t="s">
        <v>56</v>
      </c>
      <c r="W268" s="7" t="s">
        <v>57</v>
      </c>
      <c r="X268" s="7" t="s">
        <v>2618</v>
      </c>
      <c r="Y268" s="7" t="s">
        <v>1691</v>
      </c>
      <c r="AA268" s="7" t="s">
        <v>2617</v>
      </c>
      <c r="AB268" s="7">
        <v>12</v>
      </c>
      <c r="AC268" s="7" t="s">
        <v>57</v>
      </c>
      <c r="AD268" s="7" t="s">
        <v>627</v>
      </c>
      <c r="AF268" s="7" t="s">
        <v>44</v>
      </c>
      <c r="AH268" s="4">
        <v>45322.999988425923</v>
      </c>
    </row>
    <row r="269" spans="1:34" x14ac:dyDescent="0.3">
      <c r="A269" s="4">
        <v>45292</v>
      </c>
      <c r="B269" s="4">
        <v>45322</v>
      </c>
      <c r="C269" s="7" t="s">
        <v>46</v>
      </c>
      <c r="D269" s="7" t="s">
        <v>36</v>
      </c>
      <c r="E269" s="7" t="s">
        <v>36</v>
      </c>
      <c r="F269" s="7" t="s">
        <v>36</v>
      </c>
      <c r="G269" s="7" t="s">
        <v>37</v>
      </c>
      <c r="K269" s="7" t="s">
        <v>38</v>
      </c>
      <c r="L269" s="7" t="s">
        <v>39</v>
      </c>
      <c r="M269" s="7" t="s">
        <v>40</v>
      </c>
      <c r="N269" s="7" t="s">
        <v>41</v>
      </c>
      <c r="R269" s="7" t="s">
        <v>58</v>
      </c>
      <c r="T269" s="8">
        <v>50000</v>
      </c>
      <c r="U269" s="8">
        <v>-50000</v>
      </c>
      <c r="V269" s="7" t="s">
        <v>56</v>
      </c>
      <c r="W269" s="7" t="s">
        <v>57</v>
      </c>
      <c r="X269" s="7" t="s">
        <v>2618</v>
      </c>
      <c r="Y269" s="7" t="s">
        <v>1691</v>
      </c>
      <c r="AA269" s="7" t="s">
        <v>2617</v>
      </c>
      <c r="AB269" s="7">
        <v>12</v>
      </c>
      <c r="AC269" s="7" t="s">
        <v>57</v>
      </c>
      <c r="AD269" s="7" t="s">
        <v>628</v>
      </c>
      <c r="AF269" s="7" t="s">
        <v>44</v>
      </c>
      <c r="AH269" s="4">
        <v>45322.999988425923</v>
      </c>
    </row>
    <row r="270" spans="1:34" x14ac:dyDescent="0.3">
      <c r="A270" s="4">
        <v>45322</v>
      </c>
      <c r="B270" s="4">
        <v>45322</v>
      </c>
      <c r="C270" s="7" t="s">
        <v>46</v>
      </c>
      <c r="D270" s="7" t="s">
        <v>36</v>
      </c>
      <c r="E270" s="7" t="s">
        <v>36</v>
      </c>
      <c r="F270" s="7" t="s">
        <v>36</v>
      </c>
      <c r="G270" s="7" t="s">
        <v>37</v>
      </c>
      <c r="K270" s="7" t="s">
        <v>38</v>
      </c>
      <c r="L270" s="7" t="s">
        <v>39</v>
      </c>
      <c r="M270" s="7" t="s">
        <v>40</v>
      </c>
      <c r="N270" s="7" t="s">
        <v>41</v>
      </c>
      <c r="R270" s="7" t="s">
        <v>47</v>
      </c>
      <c r="S270" s="8">
        <v>9209.4874359999994</v>
      </c>
      <c r="U270" s="8">
        <v>9209.4874359999994</v>
      </c>
      <c r="V270" s="7" t="s">
        <v>56</v>
      </c>
      <c r="W270" s="7" t="s">
        <v>2621</v>
      </c>
      <c r="X270" s="7" t="s">
        <v>2618</v>
      </c>
      <c r="Y270" s="7" t="s">
        <v>1691</v>
      </c>
      <c r="AA270" s="7" t="s">
        <v>2617</v>
      </c>
      <c r="AB270" s="7">
        <v>8</v>
      </c>
      <c r="AC270" s="7" t="s">
        <v>48</v>
      </c>
      <c r="AD270" s="7" t="s">
        <v>629</v>
      </c>
      <c r="AF270" s="7" t="s">
        <v>44</v>
      </c>
      <c r="AH270" s="4">
        <v>45322.999988425923</v>
      </c>
    </row>
    <row r="271" spans="1:34" x14ac:dyDescent="0.3">
      <c r="A271" s="4">
        <v>45322</v>
      </c>
      <c r="B271" s="4">
        <v>45322</v>
      </c>
      <c r="C271" s="7" t="s">
        <v>46</v>
      </c>
      <c r="D271" s="7" t="s">
        <v>36</v>
      </c>
      <c r="E271" s="7" t="s">
        <v>36</v>
      </c>
      <c r="F271" s="7" t="s">
        <v>36</v>
      </c>
      <c r="G271" s="7" t="s">
        <v>37</v>
      </c>
      <c r="K271" s="7" t="s">
        <v>38</v>
      </c>
      <c r="L271" s="7" t="s">
        <v>39</v>
      </c>
      <c r="M271" s="7" t="s">
        <v>38</v>
      </c>
      <c r="N271" s="7" t="s">
        <v>41</v>
      </c>
      <c r="R271" s="7" t="s">
        <v>49</v>
      </c>
      <c r="T271" s="8">
        <v>9209.4874359999994</v>
      </c>
      <c r="U271" s="8">
        <v>-9209.4874359999994</v>
      </c>
      <c r="V271" s="7" t="s">
        <v>56</v>
      </c>
      <c r="W271" s="7" t="s">
        <v>2621</v>
      </c>
      <c r="X271" s="7" t="s">
        <v>2618</v>
      </c>
      <c r="Y271" s="7" t="s">
        <v>1691</v>
      </c>
      <c r="AA271" s="7" t="s">
        <v>2617</v>
      </c>
      <c r="AB271" s="7">
        <v>8</v>
      </c>
      <c r="AC271" s="7" t="s">
        <v>48</v>
      </c>
      <c r="AD271" s="7" t="s">
        <v>631</v>
      </c>
      <c r="AF271" s="7" t="s">
        <v>44</v>
      </c>
      <c r="AH271" s="4">
        <v>45322.999988425923</v>
      </c>
    </row>
    <row r="272" spans="1:34" x14ac:dyDescent="0.3">
      <c r="A272" s="4">
        <v>45322</v>
      </c>
      <c r="B272" s="4">
        <v>44562</v>
      </c>
      <c r="C272" s="7" t="s">
        <v>35</v>
      </c>
      <c r="D272" s="7" t="s">
        <v>36</v>
      </c>
      <c r="E272" s="7" t="s">
        <v>36</v>
      </c>
      <c r="F272" s="7" t="s">
        <v>36</v>
      </c>
      <c r="G272" s="7" t="s">
        <v>37</v>
      </c>
      <c r="K272" s="7" t="s">
        <v>38</v>
      </c>
      <c r="L272" s="7" t="s">
        <v>39</v>
      </c>
      <c r="M272" s="7" t="s">
        <v>40</v>
      </c>
      <c r="N272" s="7" t="s">
        <v>41</v>
      </c>
      <c r="R272" s="7" t="s">
        <v>50</v>
      </c>
      <c r="S272" s="8">
        <v>42330.49</v>
      </c>
      <c r="U272" s="8">
        <v>42330.49</v>
      </c>
      <c r="V272" s="7" t="s">
        <v>56</v>
      </c>
      <c r="W272" s="7" t="s">
        <v>2619</v>
      </c>
      <c r="X272" s="7" t="s">
        <v>2618</v>
      </c>
      <c r="Y272" s="7" t="s">
        <v>1691</v>
      </c>
      <c r="AA272" s="7" t="s">
        <v>2617</v>
      </c>
      <c r="AB272" s="7">
        <v>10</v>
      </c>
      <c r="AC272" s="7" t="s">
        <v>51</v>
      </c>
      <c r="AD272" s="7" t="s">
        <v>632</v>
      </c>
      <c r="AF272" s="7" t="s">
        <v>44</v>
      </c>
      <c r="AH272" s="4">
        <v>45322.999988425923</v>
      </c>
    </row>
    <row r="273" spans="1:34" x14ac:dyDescent="0.3">
      <c r="A273" s="4">
        <v>45322</v>
      </c>
      <c r="B273" s="4">
        <v>44562</v>
      </c>
      <c r="C273" s="7" t="s">
        <v>35</v>
      </c>
      <c r="D273" s="7" t="s">
        <v>36</v>
      </c>
      <c r="E273" s="7" t="s">
        <v>36</v>
      </c>
      <c r="F273" s="7" t="s">
        <v>36</v>
      </c>
      <c r="G273" s="7" t="s">
        <v>37</v>
      </c>
      <c r="K273" s="7" t="s">
        <v>38</v>
      </c>
      <c r="L273" s="7" t="s">
        <v>39</v>
      </c>
      <c r="M273" s="7" t="s">
        <v>40</v>
      </c>
      <c r="N273" s="7" t="s">
        <v>41</v>
      </c>
      <c r="R273" s="7" t="s">
        <v>52</v>
      </c>
      <c r="T273" s="8">
        <v>42330.49</v>
      </c>
      <c r="U273" s="8">
        <v>-42330.49</v>
      </c>
      <c r="V273" s="7" t="s">
        <v>56</v>
      </c>
      <c r="W273" s="7" t="s">
        <v>2619</v>
      </c>
      <c r="X273" s="7" t="s">
        <v>2618</v>
      </c>
      <c r="Y273" s="7" t="s">
        <v>1691</v>
      </c>
      <c r="AA273" s="7" t="s">
        <v>2617</v>
      </c>
      <c r="AB273" s="7">
        <v>10</v>
      </c>
      <c r="AC273" s="7" t="s">
        <v>51</v>
      </c>
      <c r="AD273" s="7" t="s">
        <v>634</v>
      </c>
      <c r="AF273" s="7" t="s">
        <v>44</v>
      </c>
      <c r="AH273" s="4">
        <v>45322.999988425923</v>
      </c>
    </row>
    <row r="274" spans="1:34" x14ac:dyDescent="0.3">
      <c r="A274" s="4">
        <v>45322</v>
      </c>
      <c r="B274" s="4">
        <v>45322</v>
      </c>
      <c r="C274" s="7" t="s">
        <v>35</v>
      </c>
      <c r="D274" s="7" t="s">
        <v>36</v>
      </c>
      <c r="E274" s="7" t="s">
        <v>36</v>
      </c>
      <c r="F274" s="7" t="s">
        <v>36</v>
      </c>
      <c r="G274" s="7" t="s">
        <v>37</v>
      </c>
      <c r="K274" s="7" t="s">
        <v>38</v>
      </c>
      <c r="L274" s="7" t="s">
        <v>39</v>
      </c>
      <c r="M274" s="7" t="s">
        <v>40</v>
      </c>
      <c r="N274" s="7" t="s">
        <v>41</v>
      </c>
      <c r="R274" s="7" t="s">
        <v>45</v>
      </c>
      <c r="S274" s="8">
        <v>505499.91</v>
      </c>
      <c r="U274" s="8">
        <v>505499.91</v>
      </c>
      <c r="V274" s="7" t="s">
        <v>56</v>
      </c>
      <c r="W274" s="7" t="s">
        <v>2620</v>
      </c>
      <c r="X274" s="7" t="s">
        <v>2618</v>
      </c>
      <c r="Y274" s="7" t="s">
        <v>1691</v>
      </c>
      <c r="AA274" s="7" t="s">
        <v>2617</v>
      </c>
      <c r="AB274" s="7">
        <v>11</v>
      </c>
      <c r="AC274" s="7" t="s">
        <v>53</v>
      </c>
      <c r="AD274" s="7" t="s">
        <v>635</v>
      </c>
      <c r="AF274" s="7" t="s">
        <v>44</v>
      </c>
      <c r="AH274" s="4">
        <v>45322.999988425923</v>
      </c>
    </row>
    <row r="275" spans="1:34" x14ac:dyDescent="0.3">
      <c r="A275" s="4">
        <v>45322</v>
      </c>
      <c r="B275" s="4">
        <v>45322</v>
      </c>
      <c r="C275" s="7" t="s">
        <v>35</v>
      </c>
      <c r="D275" s="7" t="s">
        <v>36</v>
      </c>
      <c r="E275" s="7" t="s">
        <v>36</v>
      </c>
      <c r="F275" s="7" t="s">
        <v>36</v>
      </c>
      <c r="G275" s="7" t="s">
        <v>37</v>
      </c>
      <c r="K275" s="7" t="s">
        <v>38</v>
      </c>
      <c r="L275" s="7" t="s">
        <v>39</v>
      </c>
      <c r="M275" s="7" t="s">
        <v>40</v>
      </c>
      <c r="N275" s="7" t="s">
        <v>41</v>
      </c>
      <c r="R275" s="7" t="s">
        <v>54</v>
      </c>
      <c r="T275" s="8">
        <v>505499.91</v>
      </c>
      <c r="U275" s="8">
        <v>-505499.91</v>
      </c>
      <c r="V275" s="7" t="s">
        <v>56</v>
      </c>
      <c r="W275" s="7" t="s">
        <v>2620</v>
      </c>
      <c r="X275" s="7" t="s">
        <v>2618</v>
      </c>
      <c r="Y275" s="7" t="s">
        <v>1691</v>
      </c>
      <c r="AA275" s="7" t="s">
        <v>2617</v>
      </c>
      <c r="AB275" s="7">
        <v>11</v>
      </c>
      <c r="AC275" s="7" t="s">
        <v>53</v>
      </c>
      <c r="AD275" s="7" t="s">
        <v>637</v>
      </c>
      <c r="AF275" s="7" t="s">
        <v>44</v>
      </c>
      <c r="AH275" s="4">
        <v>45322.999988425923</v>
      </c>
    </row>
    <row r="276" spans="1:34" x14ac:dyDescent="0.3">
      <c r="A276" s="4">
        <v>45323</v>
      </c>
      <c r="B276" s="4">
        <v>45323</v>
      </c>
      <c r="C276" s="7" t="s">
        <v>35</v>
      </c>
      <c r="D276" s="7" t="s">
        <v>36</v>
      </c>
      <c r="E276" s="7" t="s">
        <v>36</v>
      </c>
      <c r="F276" s="7" t="s">
        <v>36</v>
      </c>
      <c r="G276" s="7" t="s">
        <v>37</v>
      </c>
      <c r="K276" s="7" t="s">
        <v>38</v>
      </c>
      <c r="L276" s="7" t="s">
        <v>39</v>
      </c>
      <c r="M276" s="7" t="s">
        <v>40</v>
      </c>
      <c r="N276" s="7" t="s">
        <v>41</v>
      </c>
      <c r="R276" s="7" t="s">
        <v>54</v>
      </c>
      <c r="S276" s="8">
        <v>505499.91</v>
      </c>
      <c r="U276" s="8">
        <v>505499.91</v>
      </c>
      <c r="V276" s="7" t="s">
        <v>56</v>
      </c>
      <c r="W276" s="7" t="s">
        <v>2620</v>
      </c>
      <c r="X276" s="7" t="s">
        <v>2618</v>
      </c>
      <c r="Y276" s="7" t="s">
        <v>1691</v>
      </c>
      <c r="AA276" s="7" t="s">
        <v>2617</v>
      </c>
      <c r="AB276" s="7">
        <v>11</v>
      </c>
      <c r="AC276" s="7" t="s">
        <v>55</v>
      </c>
      <c r="AD276" s="7" t="s">
        <v>638</v>
      </c>
      <c r="AF276" s="7" t="s">
        <v>44</v>
      </c>
      <c r="AH276" s="4">
        <v>45351.999988425923</v>
      </c>
    </row>
    <row r="277" spans="1:34" x14ac:dyDescent="0.3">
      <c r="A277" s="4">
        <v>45323</v>
      </c>
      <c r="B277" s="4">
        <v>45323</v>
      </c>
      <c r="C277" s="7" t="s">
        <v>35</v>
      </c>
      <c r="D277" s="7" t="s">
        <v>36</v>
      </c>
      <c r="E277" s="7" t="s">
        <v>36</v>
      </c>
      <c r="F277" s="7" t="s">
        <v>36</v>
      </c>
      <c r="G277" s="7" t="s">
        <v>37</v>
      </c>
      <c r="K277" s="7" t="s">
        <v>38</v>
      </c>
      <c r="L277" s="7" t="s">
        <v>39</v>
      </c>
      <c r="M277" s="7" t="s">
        <v>40</v>
      </c>
      <c r="N277" s="7" t="s">
        <v>41</v>
      </c>
      <c r="R277" s="7" t="s">
        <v>45</v>
      </c>
      <c r="T277" s="8">
        <v>505499.91</v>
      </c>
      <c r="U277" s="8">
        <v>-505499.91</v>
      </c>
      <c r="V277" s="7" t="s">
        <v>56</v>
      </c>
      <c r="W277" s="7" t="s">
        <v>2620</v>
      </c>
      <c r="X277" s="7" t="s">
        <v>2618</v>
      </c>
      <c r="Y277" s="7" t="s">
        <v>1691</v>
      </c>
      <c r="AA277" s="7" t="s">
        <v>2617</v>
      </c>
      <c r="AB277" s="7">
        <v>11</v>
      </c>
      <c r="AC277" s="7" t="s">
        <v>55</v>
      </c>
      <c r="AD277" s="7" t="s">
        <v>640</v>
      </c>
      <c r="AF277" s="7" t="s">
        <v>44</v>
      </c>
      <c r="AH277" s="4">
        <v>45351.999988425923</v>
      </c>
    </row>
    <row r="278" spans="1:34" x14ac:dyDescent="0.3">
      <c r="A278" s="4">
        <v>45323</v>
      </c>
      <c r="B278" s="4">
        <v>45351</v>
      </c>
      <c r="C278" s="7" t="s">
        <v>46</v>
      </c>
      <c r="D278" s="7" t="s">
        <v>36</v>
      </c>
      <c r="E278" s="7" t="s">
        <v>36</v>
      </c>
      <c r="F278" s="7" t="s">
        <v>36</v>
      </c>
      <c r="G278" s="7" t="s">
        <v>37</v>
      </c>
      <c r="K278" s="7" t="s">
        <v>38</v>
      </c>
      <c r="L278" s="7" t="s">
        <v>39</v>
      </c>
      <c r="M278" s="7" t="s">
        <v>38</v>
      </c>
      <c r="N278" s="7" t="s">
        <v>41</v>
      </c>
      <c r="R278" s="7" t="s">
        <v>49</v>
      </c>
      <c r="S278" s="8">
        <v>9209.4874359999994</v>
      </c>
      <c r="U278" s="8">
        <v>9209.4874359999994</v>
      </c>
      <c r="V278" s="7" t="s">
        <v>56</v>
      </c>
      <c r="W278" s="7" t="s">
        <v>57</v>
      </c>
      <c r="X278" s="7" t="s">
        <v>2618</v>
      </c>
      <c r="Y278" s="7" t="s">
        <v>1691</v>
      </c>
      <c r="AA278" s="7" t="s">
        <v>2617</v>
      </c>
      <c r="AB278" s="7">
        <v>12</v>
      </c>
      <c r="AC278" s="7" t="s">
        <v>57</v>
      </c>
      <c r="AD278" s="7" t="s">
        <v>641</v>
      </c>
      <c r="AF278" s="7" t="s">
        <v>44</v>
      </c>
      <c r="AH278" s="4">
        <v>45351.999988425923</v>
      </c>
    </row>
    <row r="279" spans="1:34" x14ac:dyDescent="0.3">
      <c r="A279" s="4">
        <v>45323</v>
      </c>
      <c r="B279" s="4">
        <v>45351</v>
      </c>
      <c r="C279" s="7" t="s">
        <v>46</v>
      </c>
      <c r="D279" s="7" t="s">
        <v>36</v>
      </c>
      <c r="E279" s="7" t="s">
        <v>36</v>
      </c>
      <c r="F279" s="7" t="s">
        <v>36</v>
      </c>
      <c r="G279" s="7" t="s">
        <v>37</v>
      </c>
      <c r="K279" s="7" t="s">
        <v>38</v>
      </c>
      <c r="L279" s="7" t="s">
        <v>39</v>
      </c>
      <c r="M279" s="7" t="s">
        <v>40</v>
      </c>
      <c r="N279" s="7" t="s">
        <v>41</v>
      </c>
      <c r="R279" s="7" t="s">
        <v>45</v>
      </c>
      <c r="S279" s="8">
        <v>40790.512563999997</v>
      </c>
      <c r="U279" s="8">
        <v>40790.512563999997</v>
      </c>
      <c r="V279" s="7" t="s">
        <v>56</v>
      </c>
      <c r="W279" s="7" t="s">
        <v>57</v>
      </c>
      <c r="X279" s="7" t="s">
        <v>2618</v>
      </c>
      <c r="Y279" s="7" t="s">
        <v>1691</v>
      </c>
      <c r="AA279" s="7" t="s">
        <v>2617</v>
      </c>
      <c r="AB279" s="7">
        <v>12</v>
      </c>
      <c r="AC279" s="7" t="s">
        <v>57</v>
      </c>
      <c r="AD279" s="7" t="s">
        <v>643</v>
      </c>
      <c r="AF279" s="7" t="s">
        <v>44</v>
      </c>
      <c r="AH279" s="4">
        <v>45351.999988425923</v>
      </c>
    </row>
    <row r="280" spans="1:34" x14ac:dyDescent="0.3">
      <c r="A280" s="4">
        <v>45323</v>
      </c>
      <c r="B280" s="4">
        <v>45351</v>
      </c>
      <c r="C280" s="7" t="s">
        <v>46</v>
      </c>
      <c r="D280" s="7" t="s">
        <v>36</v>
      </c>
      <c r="E280" s="7" t="s">
        <v>36</v>
      </c>
      <c r="F280" s="7" t="s">
        <v>36</v>
      </c>
      <c r="G280" s="7" t="s">
        <v>37</v>
      </c>
      <c r="K280" s="7" t="s">
        <v>38</v>
      </c>
      <c r="L280" s="7" t="s">
        <v>39</v>
      </c>
      <c r="M280" s="7" t="s">
        <v>40</v>
      </c>
      <c r="N280" s="7" t="s">
        <v>41</v>
      </c>
      <c r="R280" s="7" t="s">
        <v>58</v>
      </c>
      <c r="T280" s="8">
        <v>50000</v>
      </c>
      <c r="U280" s="8">
        <v>-50000</v>
      </c>
      <c r="V280" s="7" t="s">
        <v>56</v>
      </c>
      <c r="W280" s="7" t="s">
        <v>57</v>
      </c>
      <c r="X280" s="7" t="s">
        <v>2618</v>
      </c>
      <c r="Y280" s="7" t="s">
        <v>1691</v>
      </c>
      <c r="AA280" s="7" t="s">
        <v>2617</v>
      </c>
      <c r="AB280" s="7">
        <v>12</v>
      </c>
      <c r="AC280" s="7" t="s">
        <v>57</v>
      </c>
      <c r="AD280" s="7" t="s">
        <v>644</v>
      </c>
      <c r="AF280" s="7" t="s">
        <v>44</v>
      </c>
      <c r="AH280" s="4">
        <v>45351.999988425923</v>
      </c>
    </row>
    <row r="281" spans="1:34" x14ac:dyDescent="0.3">
      <c r="A281" s="4">
        <v>45351</v>
      </c>
      <c r="B281" s="4">
        <v>45351</v>
      </c>
      <c r="C281" s="7" t="s">
        <v>46</v>
      </c>
      <c r="D281" s="7" t="s">
        <v>36</v>
      </c>
      <c r="E281" s="7" t="s">
        <v>36</v>
      </c>
      <c r="F281" s="7" t="s">
        <v>36</v>
      </c>
      <c r="G281" s="7" t="s">
        <v>37</v>
      </c>
      <c r="K281" s="7" t="s">
        <v>38</v>
      </c>
      <c r="L281" s="7" t="s">
        <v>39</v>
      </c>
      <c r="M281" s="7" t="s">
        <v>40</v>
      </c>
      <c r="N281" s="7" t="s">
        <v>41</v>
      </c>
      <c r="R281" s="7" t="s">
        <v>47</v>
      </c>
      <c r="S281" s="8">
        <v>8971.5427789999994</v>
      </c>
      <c r="U281" s="8">
        <v>8971.5427789999994</v>
      </c>
      <c r="V281" s="7" t="s">
        <v>56</v>
      </c>
      <c r="W281" s="7" t="s">
        <v>2621</v>
      </c>
      <c r="X281" s="7" t="s">
        <v>2618</v>
      </c>
      <c r="Y281" s="7" t="s">
        <v>1691</v>
      </c>
      <c r="AA281" s="7" t="s">
        <v>2617</v>
      </c>
      <c r="AB281" s="7">
        <v>8</v>
      </c>
      <c r="AC281" s="7" t="s">
        <v>48</v>
      </c>
      <c r="AD281" s="7" t="s">
        <v>645</v>
      </c>
      <c r="AF281" s="7" t="s">
        <v>44</v>
      </c>
      <c r="AH281" s="4">
        <v>45351.999988425923</v>
      </c>
    </row>
    <row r="282" spans="1:34" x14ac:dyDescent="0.3">
      <c r="A282" s="4">
        <v>45351</v>
      </c>
      <c r="B282" s="4">
        <v>45351</v>
      </c>
      <c r="C282" s="7" t="s">
        <v>46</v>
      </c>
      <c r="D282" s="7" t="s">
        <v>36</v>
      </c>
      <c r="E282" s="7" t="s">
        <v>36</v>
      </c>
      <c r="F282" s="7" t="s">
        <v>36</v>
      </c>
      <c r="G282" s="7" t="s">
        <v>37</v>
      </c>
      <c r="K282" s="7" t="s">
        <v>38</v>
      </c>
      <c r="L282" s="7" t="s">
        <v>39</v>
      </c>
      <c r="M282" s="7" t="s">
        <v>38</v>
      </c>
      <c r="N282" s="7" t="s">
        <v>41</v>
      </c>
      <c r="R282" s="7" t="s">
        <v>49</v>
      </c>
      <c r="T282" s="8">
        <v>8971.5427789999994</v>
      </c>
      <c r="U282" s="8">
        <v>-8971.5427789999994</v>
      </c>
      <c r="V282" s="7" t="s">
        <v>56</v>
      </c>
      <c r="W282" s="7" t="s">
        <v>2621</v>
      </c>
      <c r="X282" s="7" t="s">
        <v>2618</v>
      </c>
      <c r="Y282" s="7" t="s">
        <v>1691</v>
      </c>
      <c r="AA282" s="7" t="s">
        <v>2617</v>
      </c>
      <c r="AB282" s="7">
        <v>8</v>
      </c>
      <c r="AC282" s="7" t="s">
        <v>48</v>
      </c>
      <c r="AD282" s="7" t="s">
        <v>647</v>
      </c>
      <c r="AF282" s="7" t="s">
        <v>44</v>
      </c>
      <c r="AH282" s="4">
        <v>45351.999988425923</v>
      </c>
    </row>
    <row r="283" spans="1:34" x14ac:dyDescent="0.3">
      <c r="A283" s="4">
        <v>45351</v>
      </c>
      <c r="B283" s="4">
        <v>44562</v>
      </c>
      <c r="C283" s="7" t="s">
        <v>35</v>
      </c>
      <c r="D283" s="7" t="s">
        <v>36</v>
      </c>
      <c r="E283" s="7" t="s">
        <v>36</v>
      </c>
      <c r="F283" s="7" t="s">
        <v>36</v>
      </c>
      <c r="G283" s="7" t="s">
        <v>37</v>
      </c>
      <c r="K283" s="7" t="s">
        <v>38</v>
      </c>
      <c r="L283" s="7" t="s">
        <v>39</v>
      </c>
      <c r="M283" s="7" t="s">
        <v>40</v>
      </c>
      <c r="N283" s="7" t="s">
        <v>41</v>
      </c>
      <c r="R283" s="7" t="s">
        <v>50</v>
      </c>
      <c r="S283" s="8">
        <v>42330.49</v>
      </c>
      <c r="U283" s="8">
        <v>42330.49</v>
      </c>
      <c r="V283" s="7" t="s">
        <v>56</v>
      </c>
      <c r="W283" s="7" t="s">
        <v>2619</v>
      </c>
      <c r="X283" s="7" t="s">
        <v>2618</v>
      </c>
      <c r="Y283" s="7" t="s">
        <v>1691</v>
      </c>
      <c r="AA283" s="7" t="s">
        <v>2617</v>
      </c>
      <c r="AB283" s="7">
        <v>10</v>
      </c>
      <c r="AC283" s="7" t="s">
        <v>51</v>
      </c>
      <c r="AD283" s="7" t="s">
        <v>648</v>
      </c>
      <c r="AF283" s="7" t="s">
        <v>44</v>
      </c>
      <c r="AH283" s="4">
        <v>45351.999988425923</v>
      </c>
    </row>
    <row r="284" spans="1:34" x14ac:dyDescent="0.3">
      <c r="A284" s="4">
        <v>45351</v>
      </c>
      <c r="B284" s="4">
        <v>44562</v>
      </c>
      <c r="C284" s="7" t="s">
        <v>35</v>
      </c>
      <c r="D284" s="7" t="s">
        <v>36</v>
      </c>
      <c r="E284" s="7" t="s">
        <v>36</v>
      </c>
      <c r="F284" s="7" t="s">
        <v>36</v>
      </c>
      <c r="G284" s="7" t="s">
        <v>37</v>
      </c>
      <c r="K284" s="7" t="s">
        <v>38</v>
      </c>
      <c r="L284" s="7" t="s">
        <v>39</v>
      </c>
      <c r="M284" s="7" t="s">
        <v>40</v>
      </c>
      <c r="N284" s="7" t="s">
        <v>41</v>
      </c>
      <c r="R284" s="7" t="s">
        <v>52</v>
      </c>
      <c r="T284" s="8">
        <v>42330.49</v>
      </c>
      <c r="U284" s="8">
        <v>-42330.49</v>
      </c>
      <c r="V284" s="7" t="s">
        <v>56</v>
      </c>
      <c r="W284" s="7" t="s">
        <v>2619</v>
      </c>
      <c r="X284" s="7" t="s">
        <v>2618</v>
      </c>
      <c r="Y284" s="7" t="s">
        <v>1691</v>
      </c>
      <c r="AA284" s="7" t="s">
        <v>2617</v>
      </c>
      <c r="AB284" s="7">
        <v>10</v>
      </c>
      <c r="AC284" s="7" t="s">
        <v>51</v>
      </c>
      <c r="AD284" s="7" t="s">
        <v>650</v>
      </c>
      <c r="AF284" s="7" t="s">
        <v>44</v>
      </c>
      <c r="AH284" s="4">
        <v>45351.999988425923</v>
      </c>
    </row>
    <row r="285" spans="1:34" x14ac:dyDescent="0.3">
      <c r="A285" s="4">
        <v>45351</v>
      </c>
      <c r="B285" s="4">
        <v>45351</v>
      </c>
      <c r="C285" s="7" t="s">
        <v>35</v>
      </c>
      <c r="D285" s="7" t="s">
        <v>36</v>
      </c>
      <c r="E285" s="7" t="s">
        <v>36</v>
      </c>
      <c r="F285" s="7" t="s">
        <v>36</v>
      </c>
      <c r="G285" s="7" t="s">
        <v>37</v>
      </c>
      <c r="K285" s="7" t="s">
        <v>38</v>
      </c>
      <c r="L285" s="7" t="s">
        <v>39</v>
      </c>
      <c r="M285" s="7" t="s">
        <v>40</v>
      </c>
      <c r="N285" s="7" t="s">
        <v>41</v>
      </c>
      <c r="R285" s="7" t="s">
        <v>45</v>
      </c>
      <c r="S285" s="8">
        <v>508448.66</v>
      </c>
      <c r="U285" s="8">
        <v>508448.66</v>
      </c>
      <c r="V285" s="7" t="s">
        <v>56</v>
      </c>
      <c r="W285" s="7" t="s">
        <v>2620</v>
      </c>
      <c r="X285" s="7" t="s">
        <v>2618</v>
      </c>
      <c r="Y285" s="7" t="s">
        <v>1691</v>
      </c>
      <c r="AA285" s="7" t="s">
        <v>2617</v>
      </c>
      <c r="AB285" s="7">
        <v>11</v>
      </c>
      <c r="AC285" s="7" t="s">
        <v>53</v>
      </c>
      <c r="AD285" s="7" t="s">
        <v>651</v>
      </c>
      <c r="AF285" s="7" t="s">
        <v>44</v>
      </c>
      <c r="AH285" s="4">
        <v>45351.999988425923</v>
      </c>
    </row>
    <row r="286" spans="1:34" x14ac:dyDescent="0.3">
      <c r="A286" s="4">
        <v>45351</v>
      </c>
      <c r="B286" s="4">
        <v>45351</v>
      </c>
      <c r="C286" s="7" t="s">
        <v>35</v>
      </c>
      <c r="D286" s="7" t="s">
        <v>36</v>
      </c>
      <c r="E286" s="7" t="s">
        <v>36</v>
      </c>
      <c r="F286" s="7" t="s">
        <v>36</v>
      </c>
      <c r="G286" s="7" t="s">
        <v>37</v>
      </c>
      <c r="K286" s="7" t="s">
        <v>38</v>
      </c>
      <c r="L286" s="7" t="s">
        <v>39</v>
      </c>
      <c r="M286" s="7" t="s">
        <v>40</v>
      </c>
      <c r="N286" s="7" t="s">
        <v>41</v>
      </c>
      <c r="R286" s="7" t="s">
        <v>54</v>
      </c>
      <c r="T286" s="8">
        <v>508448.66</v>
      </c>
      <c r="U286" s="8">
        <v>-508448.66</v>
      </c>
      <c r="V286" s="7" t="s">
        <v>56</v>
      </c>
      <c r="W286" s="7" t="s">
        <v>2620</v>
      </c>
      <c r="X286" s="7" t="s">
        <v>2618</v>
      </c>
      <c r="Y286" s="7" t="s">
        <v>1691</v>
      </c>
      <c r="AA286" s="7" t="s">
        <v>2617</v>
      </c>
      <c r="AB286" s="7">
        <v>11</v>
      </c>
      <c r="AC286" s="7" t="s">
        <v>53</v>
      </c>
      <c r="AD286" s="7" t="s">
        <v>653</v>
      </c>
      <c r="AF286" s="7" t="s">
        <v>44</v>
      </c>
      <c r="AH286" s="4">
        <v>45351.999988425923</v>
      </c>
    </row>
    <row r="287" spans="1:34" x14ac:dyDescent="0.3">
      <c r="A287" s="4">
        <v>45352</v>
      </c>
      <c r="B287" s="4">
        <v>45352</v>
      </c>
      <c r="C287" s="7" t="s">
        <v>35</v>
      </c>
      <c r="D287" s="7" t="s">
        <v>36</v>
      </c>
      <c r="E287" s="7" t="s">
        <v>36</v>
      </c>
      <c r="F287" s="7" t="s">
        <v>36</v>
      </c>
      <c r="G287" s="7" t="s">
        <v>37</v>
      </c>
      <c r="K287" s="7" t="s">
        <v>38</v>
      </c>
      <c r="L287" s="7" t="s">
        <v>39</v>
      </c>
      <c r="M287" s="7" t="s">
        <v>40</v>
      </c>
      <c r="N287" s="7" t="s">
        <v>41</v>
      </c>
      <c r="R287" s="7" t="s">
        <v>54</v>
      </c>
      <c r="S287" s="8">
        <v>508448.66</v>
      </c>
      <c r="U287" s="8">
        <v>508448.66</v>
      </c>
      <c r="V287" s="7" t="s">
        <v>56</v>
      </c>
      <c r="W287" s="7" t="s">
        <v>2620</v>
      </c>
      <c r="X287" s="7" t="s">
        <v>2618</v>
      </c>
      <c r="Y287" s="7" t="s">
        <v>1691</v>
      </c>
      <c r="AA287" s="7" t="s">
        <v>2617</v>
      </c>
      <c r="AB287" s="7">
        <v>11</v>
      </c>
      <c r="AC287" s="7" t="s">
        <v>55</v>
      </c>
      <c r="AD287" s="7" t="s">
        <v>654</v>
      </c>
      <c r="AF287" s="7" t="s">
        <v>44</v>
      </c>
      <c r="AH287" s="4">
        <v>45382.999988425923</v>
      </c>
    </row>
    <row r="288" spans="1:34" x14ac:dyDescent="0.3">
      <c r="A288" s="4">
        <v>45352</v>
      </c>
      <c r="B288" s="4">
        <v>45352</v>
      </c>
      <c r="C288" s="7" t="s">
        <v>35</v>
      </c>
      <c r="D288" s="7" t="s">
        <v>36</v>
      </c>
      <c r="E288" s="7" t="s">
        <v>36</v>
      </c>
      <c r="F288" s="7" t="s">
        <v>36</v>
      </c>
      <c r="G288" s="7" t="s">
        <v>37</v>
      </c>
      <c r="K288" s="7" t="s">
        <v>38</v>
      </c>
      <c r="L288" s="7" t="s">
        <v>39</v>
      </c>
      <c r="M288" s="7" t="s">
        <v>40</v>
      </c>
      <c r="N288" s="7" t="s">
        <v>41</v>
      </c>
      <c r="R288" s="7" t="s">
        <v>45</v>
      </c>
      <c r="T288" s="8">
        <v>508448.66</v>
      </c>
      <c r="U288" s="8">
        <v>-508448.66</v>
      </c>
      <c r="V288" s="7" t="s">
        <v>56</v>
      </c>
      <c r="W288" s="7" t="s">
        <v>2620</v>
      </c>
      <c r="X288" s="7" t="s">
        <v>2618</v>
      </c>
      <c r="Y288" s="7" t="s">
        <v>1691</v>
      </c>
      <c r="AA288" s="7" t="s">
        <v>2617</v>
      </c>
      <c r="AB288" s="7">
        <v>11</v>
      </c>
      <c r="AC288" s="7" t="s">
        <v>55</v>
      </c>
      <c r="AD288" s="7" t="s">
        <v>656</v>
      </c>
      <c r="AF288" s="7" t="s">
        <v>44</v>
      </c>
      <c r="AH288" s="4">
        <v>45382.999988425923</v>
      </c>
    </row>
    <row r="289" spans="1:34" x14ac:dyDescent="0.3">
      <c r="A289" s="4">
        <v>45352</v>
      </c>
      <c r="B289" s="4">
        <v>45382</v>
      </c>
      <c r="C289" s="7" t="s">
        <v>46</v>
      </c>
      <c r="D289" s="7" t="s">
        <v>36</v>
      </c>
      <c r="E289" s="7" t="s">
        <v>36</v>
      </c>
      <c r="F289" s="7" t="s">
        <v>36</v>
      </c>
      <c r="G289" s="7" t="s">
        <v>37</v>
      </c>
      <c r="K289" s="7" t="s">
        <v>38</v>
      </c>
      <c r="L289" s="7" t="s">
        <v>39</v>
      </c>
      <c r="M289" s="7" t="s">
        <v>38</v>
      </c>
      <c r="N289" s="7" t="s">
        <v>41</v>
      </c>
      <c r="R289" s="7" t="s">
        <v>49</v>
      </c>
      <c r="S289" s="8">
        <v>8971.5427789999994</v>
      </c>
      <c r="U289" s="8">
        <v>8971.5427789999994</v>
      </c>
      <c r="V289" s="7" t="s">
        <v>56</v>
      </c>
      <c r="W289" s="7" t="s">
        <v>57</v>
      </c>
      <c r="X289" s="7" t="s">
        <v>2618</v>
      </c>
      <c r="Y289" s="7" t="s">
        <v>1691</v>
      </c>
      <c r="AA289" s="7" t="s">
        <v>2617</v>
      </c>
      <c r="AB289" s="7">
        <v>12</v>
      </c>
      <c r="AC289" s="7" t="s">
        <v>57</v>
      </c>
      <c r="AD289" s="7" t="s">
        <v>657</v>
      </c>
      <c r="AF289" s="7" t="s">
        <v>44</v>
      </c>
      <c r="AH289" s="4">
        <v>45382.999988425923</v>
      </c>
    </row>
    <row r="290" spans="1:34" x14ac:dyDescent="0.3">
      <c r="A290" s="4">
        <v>45352</v>
      </c>
      <c r="B290" s="4">
        <v>45382</v>
      </c>
      <c r="C290" s="7" t="s">
        <v>46</v>
      </c>
      <c r="D290" s="7" t="s">
        <v>36</v>
      </c>
      <c r="E290" s="7" t="s">
        <v>36</v>
      </c>
      <c r="F290" s="7" t="s">
        <v>36</v>
      </c>
      <c r="G290" s="7" t="s">
        <v>37</v>
      </c>
      <c r="K290" s="7" t="s">
        <v>38</v>
      </c>
      <c r="L290" s="7" t="s">
        <v>39</v>
      </c>
      <c r="M290" s="7" t="s">
        <v>40</v>
      </c>
      <c r="N290" s="7" t="s">
        <v>41</v>
      </c>
      <c r="R290" s="7" t="s">
        <v>45</v>
      </c>
      <c r="S290" s="8">
        <v>41028.457220999997</v>
      </c>
      <c r="U290" s="8">
        <v>41028.457220999997</v>
      </c>
      <c r="V290" s="7" t="s">
        <v>56</v>
      </c>
      <c r="W290" s="7" t="s">
        <v>57</v>
      </c>
      <c r="X290" s="7" t="s">
        <v>2618</v>
      </c>
      <c r="Y290" s="7" t="s">
        <v>1691</v>
      </c>
      <c r="AA290" s="7" t="s">
        <v>2617</v>
      </c>
      <c r="AB290" s="7">
        <v>12</v>
      </c>
      <c r="AC290" s="7" t="s">
        <v>57</v>
      </c>
      <c r="AD290" s="7" t="s">
        <v>659</v>
      </c>
      <c r="AF290" s="7" t="s">
        <v>44</v>
      </c>
      <c r="AH290" s="4">
        <v>45382.999988425923</v>
      </c>
    </row>
    <row r="291" spans="1:34" x14ac:dyDescent="0.3">
      <c r="A291" s="4">
        <v>45352</v>
      </c>
      <c r="B291" s="4">
        <v>45382</v>
      </c>
      <c r="C291" s="7" t="s">
        <v>46</v>
      </c>
      <c r="D291" s="7" t="s">
        <v>36</v>
      </c>
      <c r="E291" s="7" t="s">
        <v>36</v>
      </c>
      <c r="F291" s="7" t="s">
        <v>36</v>
      </c>
      <c r="G291" s="7" t="s">
        <v>37</v>
      </c>
      <c r="K291" s="7" t="s">
        <v>38</v>
      </c>
      <c r="L291" s="7" t="s">
        <v>39</v>
      </c>
      <c r="M291" s="7" t="s">
        <v>40</v>
      </c>
      <c r="N291" s="7" t="s">
        <v>41</v>
      </c>
      <c r="R291" s="7" t="s">
        <v>58</v>
      </c>
      <c r="T291" s="8">
        <v>50000</v>
      </c>
      <c r="U291" s="8">
        <v>-50000</v>
      </c>
      <c r="V291" s="7" t="s">
        <v>56</v>
      </c>
      <c r="W291" s="7" t="s">
        <v>57</v>
      </c>
      <c r="X291" s="7" t="s">
        <v>2618</v>
      </c>
      <c r="Y291" s="7" t="s">
        <v>1691</v>
      </c>
      <c r="AA291" s="7" t="s">
        <v>2617</v>
      </c>
      <c r="AB291" s="7">
        <v>12</v>
      </c>
      <c r="AC291" s="7" t="s">
        <v>57</v>
      </c>
      <c r="AD291" s="7" t="s">
        <v>660</v>
      </c>
      <c r="AF291" s="7" t="s">
        <v>44</v>
      </c>
      <c r="AH291" s="4">
        <v>45382.999988425923</v>
      </c>
    </row>
    <row r="292" spans="1:34" x14ac:dyDescent="0.3">
      <c r="A292" s="4">
        <v>45382</v>
      </c>
      <c r="B292" s="4">
        <v>45382</v>
      </c>
      <c r="C292" s="7" t="s">
        <v>46</v>
      </c>
      <c r="D292" s="7" t="s">
        <v>36</v>
      </c>
      <c r="E292" s="7" t="s">
        <v>36</v>
      </c>
      <c r="F292" s="7" t="s">
        <v>36</v>
      </c>
      <c r="G292" s="7" t="s">
        <v>37</v>
      </c>
      <c r="K292" s="7" t="s">
        <v>38</v>
      </c>
      <c r="L292" s="7" t="s">
        <v>39</v>
      </c>
      <c r="M292" s="7" t="s">
        <v>40</v>
      </c>
      <c r="N292" s="7" t="s">
        <v>41</v>
      </c>
      <c r="R292" s="7" t="s">
        <v>47</v>
      </c>
      <c r="S292" s="8">
        <v>8732.2101120000007</v>
      </c>
      <c r="U292" s="8">
        <v>8732.2101120000007</v>
      </c>
      <c r="V292" s="7" t="s">
        <v>56</v>
      </c>
      <c r="W292" s="7" t="s">
        <v>2621</v>
      </c>
      <c r="X292" s="7" t="s">
        <v>2618</v>
      </c>
      <c r="Y292" s="7" t="s">
        <v>1691</v>
      </c>
      <c r="AA292" s="7" t="s">
        <v>2617</v>
      </c>
      <c r="AB292" s="7">
        <v>8</v>
      </c>
      <c r="AC292" s="7" t="s">
        <v>48</v>
      </c>
      <c r="AD292" s="7" t="s">
        <v>661</v>
      </c>
      <c r="AF292" s="7" t="s">
        <v>44</v>
      </c>
      <c r="AH292" s="4">
        <v>45382.999988425923</v>
      </c>
    </row>
    <row r="293" spans="1:34" x14ac:dyDescent="0.3">
      <c r="A293" s="4">
        <v>45382</v>
      </c>
      <c r="B293" s="4">
        <v>45382</v>
      </c>
      <c r="C293" s="7" t="s">
        <v>46</v>
      </c>
      <c r="D293" s="7" t="s">
        <v>36</v>
      </c>
      <c r="E293" s="7" t="s">
        <v>36</v>
      </c>
      <c r="F293" s="7" t="s">
        <v>36</v>
      </c>
      <c r="G293" s="7" t="s">
        <v>37</v>
      </c>
      <c r="K293" s="7" t="s">
        <v>38</v>
      </c>
      <c r="L293" s="7" t="s">
        <v>39</v>
      </c>
      <c r="M293" s="7" t="s">
        <v>38</v>
      </c>
      <c r="N293" s="7" t="s">
        <v>41</v>
      </c>
      <c r="R293" s="7" t="s">
        <v>49</v>
      </c>
      <c r="T293" s="8">
        <v>8732.2101120000007</v>
      </c>
      <c r="U293" s="8">
        <v>-8732.2101120000007</v>
      </c>
      <c r="V293" s="7" t="s">
        <v>56</v>
      </c>
      <c r="W293" s="7" t="s">
        <v>2621</v>
      </c>
      <c r="X293" s="7" t="s">
        <v>2618</v>
      </c>
      <c r="Y293" s="7" t="s">
        <v>1691</v>
      </c>
      <c r="AA293" s="7" t="s">
        <v>2617</v>
      </c>
      <c r="AB293" s="7">
        <v>8</v>
      </c>
      <c r="AC293" s="7" t="s">
        <v>48</v>
      </c>
      <c r="AD293" s="7" t="s">
        <v>663</v>
      </c>
      <c r="AF293" s="7" t="s">
        <v>44</v>
      </c>
      <c r="AH293" s="4">
        <v>45382.999988425923</v>
      </c>
    </row>
    <row r="294" spans="1:34" x14ac:dyDescent="0.3">
      <c r="A294" s="4">
        <v>45382</v>
      </c>
      <c r="B294" s="4">
        <v>44562</v>
      </c>
      <c r="C294" s="7" t="s">
        <v>35</v>
      </c>
      <c r="D294" s="7" t="s">
        <v>36</v>
      </c>
      <c r="E294" s="7" t="s">
        <v>36</v>
      </c>
      <c r="F294" s="7" t="s">
        <v>36</v>
      </c>
      <c r="G294" s="7" t="s">
        <v>37</v>
      </c>
      <c r="K294" s="7" t="s">
        <v>38</v>
      </c>
      <c r="L294" s="7" t="s">
        <v>39</v>
      </c>
      <c r="M294" s="7" t="s">
        <v>40</v>
      </c>
      <c r="N294" s="7" t="s">
        <v>41</v>
      </c>
      <c r="R294" s="7" t="s">
        <v>50</v>
      </c>
      <c r="S294" s="8">
        <v>42330.49</v>
      </c>
      <c r="U294" s="8">
        <v>42330.49</v>
      </c>
      <c r="V294" s="7" t="s">
        <v>56</v>
      </c>
      <c r="W294" s="7" t="s">
        <v>2619</v>
      </c>
      <c r="X294" s="7" t="s">
        <v>2618</v>
      </c>
      <c r="Y294" s="7" t="s">
        <v>1691</v>
      </c>
      <c r="AA294" s="7" t="s">
        <v>2617</v>
      </c>
      <c r="AB294" s="7">
        <v>10</v>
      </c>
      <c r="AC294" s="7" t="s">
        <v>51</v>
      </c>
      <c r="AD294" s="7" t="s">
        <v>664</v>
      </c>
      <c r="AF294" s="7" t="s">
        <v>44</v>
      </c>
      <c r="AH294" s="4">
        <v>45382.999988425923</v>
      </c>
    </row>
    <row r="295" spans="1:34" x14ac:dyDescent="0.3">
      <c r="A295" s="4">
        <v>45382</v>
      </c>
      <c r="B295" s="4">
        <v>44562</v>
      </c>
      <c r="C295" s="7" t="s">
        <v>35</v>
      </c>
      <c r="D295" s="7" t="s">
        <v>36</v>
      </c>
      <c r="E295" s="7" t="s">
        <v>36</v>
      </c>
      <c r="F295" s="7" t="s">
        <v>36</v>
      </c>
      <c r="G295" s="7" t="s">
        <v>37</v>
      </c>
      <c r="K295" s="7" t="s">
        <v>38</v>
      </c>
      <c r="L295" s="7" t="s">
        <v>39</v>
      </c>
      <c r="M295" s="7" t="s">
        <v>40</v>
      </c>
      <c r="N295" s="7" t="s">
        <v>41</v>
      </c>
      <c r="R295" s="7" t="s">
        <v>52</v>
      </c>
      <c r="T295" s="8">
        <v>42330.49</v>
      </c>
      <c r="U295" s="8">
        <v>-42330.49</v>
      </c>
      <c r="V295" s="7" t="s">
        <v>56</v>
      </c>
      <c r="W295" s="7" t="s">
        <v>2619</v>
      </c>
      <c r="X295" s="7" t="s">
        <v>2618</v>
      </c>
      <c r="Y295" s="7" t="s">
        <v>1691</v>
      </c>
      <c r="AA295" s="7" t="s">
        <v>2617</v>
      </c>
      <c r="AB295" s="7">
        <v>10</v>
      </c>
      <c r="AC295" s="7" t="s">
        <v>51</v>
      </c>
      <c r="AD295" s="7" t="s">
        <v>666</v>
      </c>
      <c r="AF295" s="7" t="s">
        <v>44</v>
      </c>
      <c r="AH295" s="4">
        <v>45382.999988425923</v>
      </c>
    </row>
    <row r="296" spans="1:34" x14ac:dyDescent="0.3">
      <c r="A296" s="4">
        <v>45382</v>
      </c>
      <c r="B296" s="4">
        <v>45382</v>
      </c>
      <c r="C296" s="7" t="s">
        <v>35</v>
      </c>
      <c r="D296" s="7" t="s">
        <v>36</v>
      </c>
      <c r="E296" s="7" t="s">
        <v>36</v>
      </c>
      <c r="F296" s="7" t="s">
        <v>36</v>
      </c>
      <c r="G296" s="7" t="s">
        <v>37</v>
      </c>
      <c r="K296" s="7" t="s">
        <v>38</v>
      </c>
      <c r="L296" s="7" t="s">
        <v>39</v>
      </c>
      <c r="M296" s="7" t="s">
        <v>40</v>
      </c>
      <c r="N296" s="7" t="s">
        <v>41</v>
      </c>
      <c r="R296" s="7" t="s">
        <v>45</v>
      </c>
      <c r="S296" s="8">
        <v>511414.6</v>
      </c>
      <c r="U296" s="8">
        <v>511414.6</v>
      </c>
      <c r="V296" s="7" t="s">
        <v>56</v>
      </c>
      <c r="W296" s="7" t="s">
        <v>2620</v>
      </c>
      <c r="X296" s="7" t="s">
        <v>2618</v>
      </c>
      <c r="Y296" s="7" t="s">
        <v>1691</v>
      </c>
      <c r="AA296" s="7" t="s">
        <v>2617</v>
      </c>
      <c r="AB296" s="7">
        <v>11</v>
      </c>
      <c r="AC296" s="7" t="s">
        <v>53</v>
      </c>
      <c r="AD296" s="7" t="s">
        <v>667</v>
      </c>
      <c r="AF296" s="7" t="s">
        <v>44</v>
      </c>
      <c r="AH296" s="4">
        <v>45382.999988425923</v>
      </c>
    </row>
    <row r="297" spans="1:34" x14ac:dyDescent="0.3">
      <c r="A297" s="4">
        <v>45382</v>
      </c>
      <c r="B297" s="4">
        <v>45382</v>
      </c>
      <c r="C297" s="7" t="s">
        <v>35</v>
      </c>
      <c r="D297" s="7" t="s">
        <v>36</v>
      </c>
      <c r="E297" s="7" t="s">
        <v>36</v>
      </c>
      <c r="F297" s="7" t="s">
        <v>36</v>
      </c>
      <c r="G297" s="7" t="s">
        <v>37</v>
      </c>
      <c r="K297" s="7" t="s">
        <v>38</v>
      </c>
      <c r="L297" s="7" t="s">
        <v>39</v>
      </c>
      <c r="M297" s="7" t="s">
        <v>40</v>
      </c>
      <c r="N297" s="7" t="s">
        <v>41</v>
      </c>
      <c r="R297" s="7" t="s">
        <v>54</v>
      </c>
      <c r="T297" s="8">
        <v>511414.6</v>
      </c>
      <c r="U297" s="8">
        <v>-511414.6</v>
      </c>
      <c r="V297" s="7" t="s">
        <v>56</v>
      </c>
      <c r="W297" s="7" t="s">
        <v>2620</v>
      </c>
      <c r="X297" s="7" t="s">
        <v>2618</v>
      </c>
      <c r="Y297" s="7" t="s">
        <v>1691</v>
      </c>
      <c r="AA297" s="7" t="s">
        <v>2617</v>
      </c>
      <c r="AB297" s="7">
        <v>11</v>
      </c>
      <c r="AC297" s="7" t="s">
        <v>53</v>
      </c>
      <c r="AD297" s="7" t="s">
        <v>669</v>
      </c>
      <c r="AF297" s="7" t="s">
        <v>44</v>
      </c>
      <c r="AH297" s="4">
        <v>45382.999988425923</v>
      </c>
    </row>
    <row r="298" spans="1:34" x14ac:dyDescent="0.3">
      <c r="A298" s="4">
        <v>45383</v>
      </c>
      <c r="B298" s="4">
        <v>45383</v>
      </c>
      <c r="C298" s="7" t="s">
        <v>35</v>
      </c>
      <c r="D298" s="7" t="s">
        <v>36</v>
      </c>
      <c r="E298" s="7" t="s">
        <v>36</v>
      </c>
      <c r="F298" s="7" t="s">
        <v>36</v>
      </c>
      <c r="G298" s="7" t="s">
        <v>37</v>
      </c>
      <c r="K298" s="7" t="s">
        <v>38</v>
      </c>
      <c r="L298" s="7" t="s">
        <v>39</v>
      </c>
      <c r="M298" s="7" t="s">
        <v>40</v>
      </c>
      <c r="N298" s="7" t="s">
        <v>41</v>
      </c>
      <c r="R298" s="7" t="s">
        <v>54</v>
      </c>
      <c r="S298" s="8">
        <v>511414.6</v>
      </c>
      <c r="U298" s="8">
        <v>511414.6</v>
      </c>
      <c r="V298" s="7" t="s">
        <v>56</v>
      </c>
      <c r="W298" s="7" t="s">
        <v>2620</v>
      </c>
      <c r="X298" s="7" t="s">
        <v>2618</v>
      </c>
      <c r="Y298" s="7" t="s">
        <v>1691</v>
      </c>
      <c r="AA298" s="7" t="s">
        <v>2617</v>
      </c>
      <c r="AB298" s="7">
        <v>11</v>
      </c>
      <c r="AC298" s="7" t="s">
        <v>55</v>
      </c>
      <c r="AD298" s="7" t="s">
        <v>670</v>
      </c>
      <c r="AF298" s="7" t="s">
        <v>44</v>
      </c>
      <c r="AH298" s="4">
        <v>45412.999988425923</v>
      </c>
    </row>
    <row r="299" spans="1:34" x14ac:dyDescent="0.3">
      <c r="A299" s="4">
        <v>45383</v>
      </c>
      <c r="B299" s="4">
        <v>45383</v>
      </c>
      <c r="C299" s="7" t="s">
        <v>35</v>
      </c>
      <c r="D299" s="7" t="s">
        <v>36</v>
      </c>
      <c r="E299" s="7" t="s">
        <v>36</v>
      </c>
      <c r="F299" s="7" t="s">
        <v>36</v>
      </c>
      <c r="G299" s="7" t="s">
        <v>37</v>
      </c>
      <c r="K299" s="7" t="s">
        <v>38</v>
      </c>
      <c r="L299" s="7" t="s">
        <v>39</v>
      </c>
      <c r="M299" s="7" t="s">
        <v>40</v>
      </c>
      <c r="N299" s="7" t="s">
        <v>41</v>
      </c>
      <c r="R299" s="7" t="s">
        <v>45</v>
      </c>
      <c r="T299" s="8">
        <v>511414.6</v>
      </c>
      <c r="U299" s="8">
        <v>-511414.6</v>
      </c>
      <c r="V299" s="7" t="s">
        <v>56</v>
      </c>
      <c r="W299" s="7" t="s">
        <v>2620</v>
      </c>
      <c r="X299" s="7" t="s">
        <v>2618</v>
      </c>
      <c r="Y299" s="7" t="s">
        <v>1691</v>
      </c>
      <c r="AA299" s="7" t="s">
        <v>2617</v>
      </c>
      <c r="AB299" s="7">
        <v>11</v>
      </c>
      <c r="AC299" s="7" t="s">
        <v>55</v>
      </c>
      <c r="AD299" s="7" t="s">
        <v>672</v>
      </c>
      <c r="AF299" s="7" t="s">
        <v>44</v>
      </c>
      <c r="AH299" s="4">
        <v>45412.999988425923</v>
      </c>
    </row>
    <row r="300" spans="1:34" x14ac:dyDescent="0.3">
      <c r="A300" s="4">
        <v>45383</v>
      </c>
      <c r="B300" s="4">
        <v>45412</v>
      </c>
      <c r="C300" s="7" t="s">
        <v>46</v>
      </c>
      <c r="D300" s="7" t="s">
        <v>36</v>
      </c>
      <c r="E300" s="7" t="s">
        <v>36</v>
      </c>
      <c r="F300" s="7" t="s">
        <v>36</v>
      </c>
      <c r="G300" s="7" t="s">
        <v>37</v>
      </c>
      <c r="K300" s="7" t="s">
        <v>38</v>
      </c>
      <c r="L300" s="7" t="s">
        <v>39</v>
      </c>
      <c r="M300" s="7" t="s">
        <v>38</v>
      </c>
      <c r="N300" s="7" t="s">
        <v>41</v>
      </c>
      <c r="R300" s="7" t="s">
        <v>49</v>
      </c>
      <c r="S300" s="8">
        <v>8732.2101120000007</v>
      </c>
      <c r="U300" s="8">
        <v>8732.2101120000007</v>
      </c>
      <c r="V300" s="7" t="s">
        <v>56</v>
      </c>
      <c r="W300" s="7" t="s">
        <v>57</v>
      </c>
      <c r="X300" s="7" t="s">
        <v>2618</v>
      </c>
      <c r="Y300" s="7" t="s">
        <v>1691</v>
      </c>
      <c r="AA300" s="7" t="s">
        <v>2617</v>
      </c>
      <c r="AB300" s="7">
        <v>12</v>
      </c>
      <c r="AC300" s="7" t="s">
        <v>57</v>
      </c>
      <c r="AD300" s="7" t="s">
        <v>673</v>
      </c>
      <c r="AF300" s="7" t="s">
        <v>44</v>
      </c>
      <c r="AH300" s="4">
        <v>45412.999988425923</v>
      </c>
    </row>
    <row r="301" spans="1:34" x14ac:dyDescent="0.3">
      <c r="A301" s="4">
        <v>45383</v>
      </c>
      <c r="B301" s="4">
        <v>45412</v>
      </c>
      <c r="C301" s="7" t="s">
        <v>46</v>
      </c>
      <c r="D301" s="7" t="s">
        <v>36</v>
      </c>
      <c r="E301" s="7" t="s">
        <v>36</v>
      </c>
      <c r="F301" s="7" t="s">
        <v>36</v>
      </c>
      <c r="G301" s="7" t="s">
        <v>37</v>
      </c>
      <c r="K301" s="7" t="s">
        <v>38</v>
      </c>
      <c r="L301" s="7" t="s">
        <v>39</v>
      </c>
      <c r="M301" s="7" t="s">
        <v>40</v>
      </c>
      <c r="N301" s="7" t="s">
        <v>41</v>
      </c>
      <c r="R301" s="7" t="s">
        <v>45</v>
      </c>
      <c r="S301" s="8">
        <v>41267.789887999999</v>
      </c>
      <c r="U301" s="8">
        <v>41267.789887999999</v>
      </c>
      <c r="V301" s="7" t="s">
        <v>56</v>
      </c>
      <c r="W301" s="7" t="s">
        <v>57</v>
      </c>
      <c r="X301" s="7" t="s">
        <v>2618</v>
      </c>
      <c r="Y301" s="7" t="s">
        <v>1691</v>
      </c>
      <c r="AA301" s="7" t="s">
        <v>2617</v>
      </c>
      <c r="AB301" s="7">
        <v>12</v>
      </c>
      <c r="AC301" s="7" t="s">
        <v>57</v>
      </c>
      <c r="AD301" s="7" t="s">
        <v>675</v>
      </c>
      <c r="AF301" s="7" t="s">
        <v>44</v>
      </c>
      <c r="AH301" s="4">
        <v>45412.999988425923</v>
      </c>
    </row>
    <row r="302" spans="1:34" x14ac:dyDescent="0.3">
      <c r="A302" s="4">
        <v>45383</v>
      </c>
      <c r="B302" s="4">
        <v>45412</v>
      </c>
      <c r="C302" s="7" t="s">
        <v>46</v>
      </c>
      <c r="D302" s="7" t="s">
        <v>36</v>
      </c>
      <c r="E302" s="7" t="s">
        <v>36</v>
      </c>
      <c r="F302" s="7" t="s">
        <v>36</v>
      </c>
      <c r="G302" s="7" t="s">
        <v>37</v>
      </c>
      <c r="K302" s="7" t="s">
        <v>38</v>
      </c>
      <c r="L302" s="7" t="s">
        <v>39</v>
      </c>
      <c r="M302" s="7" t="s">
        <v>40</v>
      </c>
      <c r="N302" s="7" t="s">
        <v>41</v>
      </c>
      <c r="R302" s="7" t="s">
        <v>58</v>
      </c>
      <c r="T302" s="8">
        <v>50000</v>
      </c>
      <c r="U302" s="8">
        <v>-50000</v>
      </c>
      <c r="V302" s="7" t="s">
        <v>56</v>
      </c>
      <c r="W302" s="7" t="s">
        <v>57</v>
      </c>
      <c r="X302" s="7" t="s">
        <v>2618</v>
      </c>
      <c r="Y302" s="7" t="s">
        <v>1691</v>
      </c>
      <c r="AA302" s="7" t="s">
        <v>2617</v>
      </c>
      <c r="AB302" s="7">
        <v>12</v>
      </c>
      <c r="AC302" s="7" t="s">
        <v>57</v>
      </c>
      <c r="AD302" s="7" t="s">
        <v>676</v>
      </c>
      <c r="AF302" s="7" t="s">
        <v>44</v>
      </c>
      <c r="AH302" s="4">
        <v>45412.999988425923</v>
      </c>
    </row>
    <row r="303" spans="1:34" x14ac:dyDescent="0.3">
      <c r="A303" s="4">
        <v>45412</v>
      </c>
      <c r="B303" s="4">
        <v>45412</v>
      </c>
      <c r="C303" s="7" t="s">
        <v>46</v>
      </c>
      <c r="D303" s="7" t="s">
        <v>36</v>
      </c>
      <c r="E303" s="7" t="s">
        <v>36</v>
      </c>
      <c r="F303" s="7" t="s">
        <v>36</v>
      </c>
      <c r="G303" s="7" t="s">
        <v>37</v>
      </c>
      <c r="K303" s="7" t="s">
        <v>38</v>
      </c>
      <c r="L303" s="7" t="s">
        <v>39</v>
      </c>
      <c r="M303" s="7" t="s">
        <v>40</v>
      </c>
      <c r="N303" s="7" t="s">
        <v>41</v>
      </c>
      <c r="R303" s="7" t="s">
        <v>47</v>
      </c>
      <c r="S303" s="8">
        <v>8491.4813379999996</v>
      </c>
      <c r="U303" s="8">
        <v>8491.4813379999996</v>
      </c>
      <c r="V303" s="7" t="s">
        <v>56</v>
      </c>
      <c r="W303" s="7" t="s">
        <v>2621</v>
      </c>
      <c r="X303" s="7" t="s">
        <v>2618</v>
      </c>
      <c r="Y303" s="7" t="s">
        <v>1691</v>
      </c>
      <c r="AA303" s="7" t="s">
        <v>2617</v>
      </c>
      <c r="AB303" s="7">
        <v>8</v>
      </c>
      <c r="AC303" s="7" t="s">
        <v>48</v>
      </c>
      <c r="AD303" s="7" t="s">
        <v>677</v>
      </c>
      <c r="AF303" s="7" t="s">
        <v>44</v>
      </c>
      <c r="AH303" s="4">
        <v>45412.999988425923</v>
      </c>
    </row>
    <row r="304" spans="1:34" x14ac:dyDescent="0.3">
      <c r="A304" s="4">
        <v>45412</v>
      </c>
      <c r="B304" s="4">
        <v>45412</v>
      </c>
      <c r="C304" s="7" t="s">
        <v>46</v>
      </c>
      <c r="D304" s="7" t="s">
        <v>36</v>
      </c>
      <c r="E304" s="7" t="s">
        <v>36</v>
      </c>
      <c r="F304" s="7" t="s">
        <v>36</v>
      </c>
      <c r="G304" s="7" t="s">
        <v>37</v>
      </c>
      <c r="K304" s="7" t="s">
        <v>38</v>
      </c>
      <c r="L304" s="7" t="s">
        <v>39</v>
      </c>
      <c r="M304" s="7" t="s">
        <v>38</v>
      </c>
      <c r="N304" s="7" t="s">
        <v>41</v>
      </c>
      <c r="R304" s="7" t="s">
        <v>49</v>
      </c>
      <c r="T304" s="8">
        <v>8491.4813379999996</v>
      </c>
      <c r="U304" s="8">
        <v>-8491.4813379999996</v>
      </c>
      <c r="V304" s="7" t="s">
        <v>56</v>
      </c>
      <c r="W304" s="7" t="s">
        <v>2621</v>
      </c>
      <c r="X304" s="7" t="s">
        <v>2618</v>
      </c>
      <c r="Y304" s="7" t="s">
        <v>1691</v>
      </c>
      <c r="AA304" s="7" t="s">
        <v>2617</v>
      </c>
      <c r="AB304" s="7">
        <v>8</v>
      </c>
      <c r="AC304" s="7" t="s">
        <v>48</v>
      </c>
      <c r="AD304" s="7" t="s">
        <v>679</v>
      </c>
      <c r="AF304" s="7" t="s">
        <v>44</v>
      </c>
      <c r="AH304" s="4">
        <v>45412.999988425923</v>
      </c>
    </row>
    <row r="305" spans="1:34" x14ac:dyDescent="0.3">
      <c r="A305" s="4">
        <v>45412</v>
      </c>
      <c r="B305" s="4">
        <v>44562</v>
      </c>
      <c r="C305" s="7" t="s">
        <v>35</v>
      </c>
      <c r="D305" s="7" t="s">
        <v>36</v>
      </c>
      <c r="E305" s="7" t="s">
        <v>36</v>
      </c>
      <c r="F305" s="7" t="s">
        <v>36</v>
      </c>
      <c r="G305" s="7" t="s">
        <v>37</v>
      </c>
      <c r="K305" s="7" t="s">
        <v>38</v>
      </c>
      <c r="L305" s="7" t="s">
        <v>39</v>
      </c>
      <c r="M305" s="7" t="s">
        <v>40</v>
      </c>
      <c r="N305" s="7" t="s">
        <v>41</v>
      </c>
      <c r="R305" s="7" t="s">
        <v>50</v>
      </c>
      <c r="S305" s="8">
        <v>42330.49</v>
      </c>
      <c r="U305" s="8">
        <v>42330.49</v>
      </c>
      <c r="V305" s="7" t="s">
        <v>56</v>
      </c>
      <c r="W305" s="7" t="s">
        <v>2619</v>
      </c>
      <c r="X305" s="7" t="s">
        <v>2618</v>
      </c>
      <c r="Y305" s="7" t="s">
        <v>1691</v>
      </c>
      <c r="AA305" s="7" t="s">
        <v>2617</v>
      </c>
      <c r="AB305" s="7">
        <v>10</v>
      </c>
      <c r="AC305" s="7" t="s">
        <v>51</v>
      </c>
      <c r="AD305" s="7" t="s">
        <v>680</v>
      </c>
      <c r="AF305" s="7" t="s">
        <v>44</v>
      </c>
      <c r="AH305" s="4">
        <v>45412.999988425923</v>
      </c>
    </row>
    <row r="306" spans="1:34" x14ac:dyDescent="0.3">
      <c r="A306" s="4">
        <v>45412</v>
      </c>
      <c r="B306" s="4">
        <v>44562</v>
      </c>
      <c r="C306" s="7" t="s">
        <v>35</v>
      </c>
      <c r="D306" s="7" t="s">
        <v>36</v>
      </c>
      <c r="E306" s="7" t="s">
        <v>36</v>
      </c>
      <c r="F306" s="7" t="s">
        <v>36</v>
      </c>
      <c r="G306" s="7" t="s">
        <v>37</v>
      </c>
      <c r="K306" s="7" t="s">
        <v>38</v>
      </c>
      <c r="L306" s="7" t="s">
        <v>39</v>
      </c>
      <c r="M306" s="7" t="s">
        <v>40</v>
      </c>
      <c r="N306" s="7" t="s">
        <v>41</v>
      </c>
      <c r="R306" s="7" t="s">
        <v>52</v>
      </c>
      <c r="T306" s="8">
        <v>42330.49</v>
      </c>
      <c r="U306" s="8">
        <v>-42330.49</v>
      </c>
      <c r="V306" s="7" t="s">
        <v>56</v>
      </c>
      <c r="W306" s="7" t="s">
        <v>2619</v>
      </c>
      <c r="X306" s="7" t="s">
        <v>2618</v>
      </c>
      <c r="Y306" s="7" t="s">
        <v>1691</v>
      </c>
      <c r="AA306" s="7" t="s">
        <v>2617</v>
      </c>
      <c r="AB306" s="7">
        <v>10</v>
      </c>
      <c r="AC306" s="7" t="s">
        <v>51</v>
      </c>
      <c r="AD306" s="7" t="s">
        <v>682</v>
      </c>
      <c r="AF306" s="7" t="s">
        <v>44</v>
      </c>
      <c r="AH306" s="4">
        <v>45412.999988425923</v>
      </c>
    </row>
    <row r="307" spans="1:34" x14ac:dyDescent="0.3">
      <c r="A307" s="4">
        <v>45412</v>
      </c>
      <c r="B307" s="4">
        <v>45412</v>
      </c>
      <c r="C307" s="7" t="s">
        <v>35</v>
      </c>
      <c r="D307" s="7" t="s">
        <v>36</v>
      </c>
      <c r="E307" s="7" t="s">
        <v>36</v>
      </c>
      <c r="F307" s="7" t="s">
        <v>36</v>
      </c>
      <c r="G307" s="7" t="s">
        <v>37</v>
      </c>
      <c r="K307" s="7" t="s">
        <v>38</v>
      </c>
      <c r="L307" s="7" t="s">
        <v>39</v>
      </c>
      <c r="M307" s="7" t="s">
        <v>40</v>
      </c>
      <c r="N307" s="7" t="s">
        <v>41</v>
      </c>
      <c r="R307" s="7" t="s">
        <v>45</v>
      </c>
      <c r="S307" s="8">
        <v>514397.86</v>
      </c>
      <c r="U307" s="8">
        <v>514397.86</v>
      </c>
      <c r="V307" s="7" t="s">
        <v>56</v>
      </c>
      <c r="W307" s="7" t="s">
        <v>2620</v>
      </c>
      <c r="X307" s="7" t="s">
        <v>2618</v>
      </c>
      <c r="Y307" s="7" t="s">
        <v>1691</v>
      </c>
      <c r="AA307" s="7" t="s">
        <v>2617</v>
      </c>
      <c r="AB307" s="7">
        <v>11</v>
      </c>
      <c r="AC307" s="7" t="s">
        <v>53</v>
      </c>
      <c r="AD307" s="7" t="s">
        <v>683</v>
      </c>
      <c r="AF307" s="7" t="s">
        <v>44</v>
      </c>
      <c r="AH307" s="4">
        <v>45412.999988425923</v>
      </c>
    </row>
    <row r="308" spans="1:34" x14ac:dyDescent="0.3">
      <c r="A308" s="4">
        <v>45412</v>
      </c>
      <c r="B308" s="4">
        <v>45412</v>
      </c>
      <c r="C308" s="7" t="s">
        <v>35</v>
      </c>
      <c r="D308" s="7" t="s">
        <v>36</v>
      </c>
      <c r="E308" s="7" t="s">
        <v>36</v>
      </c>
      <c r="F308" s="7" t="s">
        <v>36</v>
      </c>
      <c r="G308" s="7" t="s">
        <v>37</v>
      </c>
      <c r="K308" s="7" t="s">
        <v>38</v>
      </c>
      <c r="L308" s="7" t="s">
        <v>39</v>
      </c>
      <c r="M308" s="7" t="s">
        <v>40</v>
      </c>
      <c r="N308" s="7" t="s">
        <v>41</v>
      </c>
      <c r="R308" s="7" t="s">
        <v>54</v>
      </c>
      <c r="T308" s="8">
        <v>514397.86</v>
      </c>
      <c r="U308" s="8">
        <v>-514397.86</v>
      </c>
      <c r="V308" s="7" t="s">
        <v>56</v>
      </c>
      <c r="W308" s="7" t="s">
        <v>2620</v>
      </c>
      <c r="X308" s="7" t="s">
        <v>2618</v>
      </c>
      <c r="Y308" s="7" t="s">
        <v>1691</v>
      </c>
      <c r="AA308" s="7" t="s">
        <v>2617</v>
      </c>
      <c r="AB308" s="7">
        <v>11</v>
      </c>
      <c r="AC308" s="7" t="s">
        <v>53</v>
      </c>
      <c r="AD308" s="7" t="s">
        <v>685</v>
      </c>
      <c r="AF308" s="7" t="s">
        <v>44</v>
      </c>
      <c r="AH308" s="4">
        <v>45412.999988425923</v>
      </c>
    </row>
    <row r="309" spans="1:34" x14ac:dyDescent="0.3">
      <c r="A309" s="4">
        <v>45413</v>
      </c>
      <c r="B309" s="4">
        <v>45413</v>
      </c>
      <c r="C309" s="7" t="s">
        <v>35</v>
      </c>
      <c r="D309" s="7" t="s">
        <v>36</v>
      </c>
      <c r="E309" s="7" t="s">
        <v>36</v>
      </c>
      <c r="F309" s="7" t="s">
        <v>36</v>
      </c>
      <c r="G309" s="7" t="s">
        <v>37</v>
      </c>
      <c r="K309" s="7" t="s">
        <v>38</v>
      </c>
      <c r="L309" s="7" t="s">
        <v>39</v>
      </c>
      <c r="M309" s="7" t="s">
        <v>40</v>
      </c>
      <c r="N309" s="7" t="s">
        <v>41</v>
      </c>
      <c r="R309" s="7" t="s">
        <v>54</v>
      </c>
      <c r="S309" s="8">
        <v>514397.86</v>
      </c>
      <c r="U309" s="8">
        <v>514397.86</v>
      </c>
      <c r="V309" s="7" t="s">
        <v>56</v>
      </c>
      <c r="W309" s="7" t="s">
        <v>2620</v>
      </c>
      <c r="X309" s="7" t="s">
        <v>2618</v>
      </c>
      <c r="Y309" s="7" t="s">
        <v>1691</v>
      </c>
      <c r="AA309" s="7" t="s">
        <v>2617</v>
      </c>
      <c r="AB309" s="7">
        <v>11</v>
      </c>
      <c r="AC309" s="7" t="s">
        <v>55</v>
      </c>
      <c r="AD309" s="7" t="s">
        <v>686</v>
      </c>
      <c r="AF309" s="7" t="s">
        <v>44</v>
      </c>
      <c r="AH309" s="4">
        <v>45443.999988425923</v>
      </c>
    </row>
    <row r="310" spans="1:34" x14ac:dyDescent="0.3">
      <c r="A310" s="4">
        <v>45413</v>
      </c>
      <c r="B310" s="4">
        <v>45413</v>
      </c>
      <c r="C310" s="7" t="s">
        <v>35</v>
      </c>
      <c r="D310" s="7" t="s">
        <v>36</v>
      </c>
      <c r="E310" s="7" t="s">
        <v>36</v>
      </c>
      <c r="F310" s="7" t="s">
        <v>36</v>
      </c>
      <c r="G310" s="7" t="s">
        <v>37</v>
      </c>
      <c r="K310" s="7" t="s">
        <v>38</v>
      </c>
      <c r="L310" s="7" t="s">
        <v>39</v>
      </c>
      <c r="M310" s="7" t="s">
        <v>40</v>
      </c>
      <c r="N310" s="7" t="s">
        <v>41</v>
      </c>
      <c r="R310" s="7" t="s">
        <v>45</v>
      </c>
      <c r="T310" s="8">
        <v>514397.86</v>
      </c>
      <c r="U310" s="8">
        <v>-514397.86</v>
      </c>
      <c r="V310" s="7" t="s">
        <v>56</v>
      </c>
      <c r="W310" s="7" t="s">
        <v>2620</v>
      </c>
      <c r="X310" s="7" t="s">
        <v>2618</v>
      </c>
      <c r="Y310" s="7" t="s">
        <v>1691</v>
      </c>
      <c r="AA310" s="7" t="s">
        <v>2617</v>
      </c>
      <c r="AB310" s="7">
        <v>11</v>
      </c>
      <c r="AC310" s="7" t="s">
        <v>55</v>
      </c>
      <c r="AD310" s="7" t="s">
        <v>688</v>
      </c>
      <c r="AF310" s="7" t="s">
        <v>44</v>
      </c>
      <c r="AH310" s="4">
        <v>45443.999988425923</v>
      </c>
    </row>
    <row r="311" spans="1:34" x14ac:dyDescent="0.3">
      <c r="A311" s="4">
        <v>45413</v>
      </c>
      <c r="B311" s="4">
        <v>45443</v>
      </c>
      <c r="C311" s="7" t="s">
        <v>46</v>
      </c>
      <c r="D311" s="7" t="s">
        <v>36</v>
      </c>
      <c r="E311" s="7" t="s">
        <v>36</v>
      </c>
      <c r="F311" s="7" t="s">
        <v>36</v>
      </c>
      <c r="G311" s="7" t="s">
        <v>37</v>
      </c>
      <c r="K311" s="7" t="s">
        <v>38</v>
      </c>
      <c r="L311" s="7" t="s">
        <v>39</v>
      </c>
      <c r="M311" s="7" t="s">
        <v>38</v>
      </c>
      <c r="N311" s="7" t="s">
        <v>41</v>
      </c>
      <c r="R311" s="7" t="s">
        <v>49</v>
      </c>
      <c r="S311" s="8">
        <v>8491.4813379999996</v>
      </c>
      <c r="U311" s="8">
        <v>8491.4813379999996</v>
      </c>
      <c r="V311" s="7" t="s">
        <v>56</v>
      </c>
      <c r="W311" s="7" t="s">
        <v>57</v>
      </c>
      <c r="X311" s="7" t="s">
        <v>2618</v>
      </c>
      <c r="Y311" s="7" t="s">
        <v>1691</v>
      </c>
      <c r="AA311" s="7" t="s">
        <v>2617</v>
      </c>
      <c r="AB311" s="7">
        <v>12</v>
      </c>
      <c r="AC311" s="7" t="s">
        <v>57</v>
      </c>
      <c r="AD311" s="7" t="s">
        <v>689</v>
      </c>
      <c r="AF311" s="7" t="s">
        <v>44</v>
      </c>
      <c r="AH311" s="4">
        <v>45443.999988425923</v>
      </c>
    </row>
    <row r="312" spans="1:34" x14ac:dyDescent="0.3">
      <c r="A312" s="4">
        <v>45413</v>
      </c>
      <c r="B312" s="4">
        <v>45443</v>
      </c>
      <c r="C312" s="7" t="s">
        <v>46</v>
      </c>
      <c r="D312" s="7" t="s">
        <v>36</v>
      </c>
      <c r="E312" s="7" t="s">
        <v>36</v>
      </c>
      <c r="F312" s="7" t="s">
        <v>36</v>
      </c>
      <c r="G312" s="7" t="s">
        <v>37</v>
      </c>
      <c r="K312" s="7" t="s">
        <v>38</v>
      </c>
      <c r="L312" s="7" t="s">
        <v>39</v>
      </c>
      <c r="M312" s="7" t="s">
        <v>40</v>
      </c>
      <c r="N312" s="7" t="s">
        <v>41</v>
      </c>
      <c r="R312" s="7" t="s">
        <v>45</v>
      </c>
      <c r="S312" s="8">
        <v>41508.518662000002</v>
      </c>
      <c r="U312" s="8">
        <v>41508.518662000002</v>
      </c>
      <c r="V312" s="7" t="s">
        <v>56</v>
      </c>
      <c r="W312" s="7" t="s">
        <v>57</v>
      </c>
      <c r="X312" s="7" t="s">
        <v>2618</v>
      </c>
      <c r="Y312" s="7" t="s">
        <v>1691</v>
      </c>
      <c r="AA312" s="7" t="s">
        <v>2617</v>
      </c>
      <c r="AB312" s="7">
        <v>12</v>
      </c>
      <c r="AC312" s="7" t="s">
        <v>57</v>
      </c>
      <c r="AD312" s="7" t="s">
        <v>691</v>
      </c>
      <c r="AF312" s="7" t="s">
        <v>44</v>
      </c>
      <c r="AH312" s="4">
        <v>45443.999988425923</v>
      </c>
    </row>
    <row r="313" spans="1:34" x14ac:dyDescent="0.3">
      <c r="A313" s="4">
        <v>45413</v>
      </c>
      <c r="B313" s="4">
        <v>45443</v>
      </c>
      <c r="C313" s="7" t="s">
        <v>46</v>
      </c>
      <c r="D313" s="7" t="s">
        <v>36</v>
      </c>
      <c r="E313" s="7" t="s">
        <v>36</v>
      </c>
      <c r="F313" s="7" t="s">
        <v>36</v>
      </c>
      <c r="G313" s="7" t="s">
        <v>37</v>
      </c>
      <c r="K313" s="7" t="s">
        <v>38</v>
      </c>
      <c r="L313" s="7" t="s">
        <v>39</v>
      </c>
      <c r="M313" s="7" t="s">
        <v>40</v>
      </c>
      <c r="N313" s="7" t="s">
        <v>41</v>
      </c>
      <c r="R313" s="7" t="s">
        <v>58</v>
      </c>
      <c r="T313" s="8">
        <v>50000</v>
      </c>
      <c r="U313" s="8">
        <v>-50000</v>
      </c>
      <c r="V313" s="7" t="s">
        <v>56</v>
      </c>
      <c r="W313" s="7" t="s">
        <v>57</v>
      </c>
      <c r="X313" s="7" t="s">
        <v>2618</v>
      </c>
      <c r="Y313" s="7" t="s">
        <v>1691</v>
      </c>
      <c r="AA313" s="7" t="s">
        <v>2617</v>
      </c>
      <c r="AB313" s="7">
        <v>12</v>
      </c>
      <c r="AC313" s="7" t="s">
        <v>57</v>
      </c>
      <c r="AD313" s="7" t="s">
        <v>692</v>
      </c>
      <c r="AF313" s="7" t="s">
        <v>44</v>
      </c>
      <c r="AH313" s="4">
        <v>45443.999988425923</v>
      </c>
    </row>
    <row r="314" spans="1:34" x14ac:dyDescent="0.3">
      <c r="A314" s="4">
        <v>45443</v>
      </c>
      <c r="B314" s="4">
        <v>45443</v>
      </c>
      <c r="C314" s="7" t="s">
        <v>46</v>
      </c>
      <c r="D314" s="7" t="s">
        <v>36</v>
      </c>
      <c r="E314" s="7" t="s">
        <v>36</v>
      </c>
      <c r="F314" s="7" t="s">
        <v>36</v>
      </c>
      <c r="G314" s="7" t="s">
        <v>37</v>
      </c>
      <c r="K314" s="7" t="s">
        <v>38</v>
      </c>
      <c r="L314" s="7" t="s">
        <v>39</v>
      </c>
      <c r="M314" s="7" t="s">
        <v>40</v>
      </c>
      <c r="N314" s="7" t="s">
        <v>41</v>
      </c>
      <c r="R314" s="7" t="s">
        <v>47</v>
      </c>
      <c r="S314" s="8">
        <v>8249.3483120000001</v>
      </c>
      <c r="U314" s="8">
        <v>8249.3483120000001</v>
      </c>
      <c r="V314" s="7" t="s">
        <v>56</v>
      </c>
      <c r="W314" s="7" t="s">
        <v>2621</v>
      </c>
      <c r="X314" s="7" t="s">
        <v>2618</v>
      </c>
      <c r="Y314" s="7" t="s">
        <v>1691</v>
      </c>
      <c r="AA314" s="7" t="s">
        <v>2617</v>
      </c>
      <c r="AB314" s="7">
        <v>8</v>
      </c>
      <c r="AC314" s="7" t="s">
        <v>48</v>
      </c>
      <c r="AD314" s="7" t="s">
        <v>693</v>
      </c>
      <c r="AF314" s="7" t="s">
        <v>44</v>
      </c>
      <c r="AH314" s="4">
        <v>45443.999988425923</v>
      </c>
    </row>
    <row r="315" spans="1:34" x14ac:dyDescent="0.3">
      <c r="A315" s="4">
        <v>45443</v>
      </c>
      <c r="B315" s="4">
        <v>45443</v>
      </c>
      <c r="C315" s="7" t="s">
        <v>46</v>
      </c>
      <c r="D315" s="7" t="s">
        <v>36</v>
      </c>
      <c r="E315" s="7" t="s">
        <v>36</v>
      </c>
      <c r="F315" s="7" t="s">
        <v>36</v>
      </c>
      <c r="G315" s="7" t="s">
        <v>37</v>
      </c>
      <c r="K315" s="7" t="s">
        <v>38</v>
      </c>
      <c r="L315" s="7" t="s">
        <v>39</v>
      </c>
      <c r="M315" s="7" t="s">
        <v>38</v>
      </c>
      <c r="N315" s="7" t="s">
        <v>41</v>
      </c>
      <c r="R315" s="7" t="s">
        <v>49</v>
      </c>
      <c r="T315" s="8">
        <v>8249.3483120000001</v>
      </c>
      <c r="U315" s="8">
        <v>-8249.3483120000001</v>
      </c>
      <c r="V315" s="7" t="s">
        <v>56</v>
      </c>
      <c r="W315" s="7" t="s">
        <v>2621</v>
      </c>
      <c r="X315" s="7" t="s">
        <v>2618</v>
      </c>
      <c r="Y315" s="7" t="s">
        <v>1691</v>
      </c>
      <c r="AA315" s="7" t="s">
        <v>2617</v>
      </c>
      <c r="AB315" s="7">
        <v>8</v>
      </c>
      <c r="AC315" s="7" t="s">
        <v>48</v>
      </c>
      <c r="AD315" s="7" t="s">
        <v>695</v>
      </c>
      <c r="AF315" s="7" t="s">
        <v>44</v>
      </c>
      <c r="AH315" s="4">
        <v>45443.999988425923</v>
      </c>
    </row>
    <row r="316" spans="1:34" x14ac:dyDescent="0.3">
      <c r="A316" s="4">
        <v>45443</v>
      </c>
      <c r="B316" s="4">
        <v>44562</v>
      </c>
      <c r="C316" s="7" t="s">
        <v>35</v>
      </c>
      <c r="D316" s="7" t="s">
        <v>36</v>
      </c>
      <c r="E316" s="7" t="s">
        <v>36</v>
      </c>
      <c r="F316" s="7" t="s">
        <v>36</v>
      </c>
      <c r="G316" s="7" t="s">
        <v>37</v>
      </c>
      <c r="K316" s="7" t="s">
        <v>38</v>
      </c>
      <c r="L316" s="7" t="s">
        <v>39</v>
      </c>
      <c r="M316" s="7" t="s">
        <v>40</v>
      </c>
      <c r="N316" s="7" t="s">
        <v>41</v>
      </c>
      <c r="R316" s="7" t="s">
        <v>50</v>
      </c>
      <c r="S316" s="8">
        <v>42330.49</v>
      </c>
      <c r="U316" s="8">
        <v>42330.49</v>
      </c>
      <c r="V316" s="7" t="s">
        <v>56</v>
      </c>
      <c r="W316" s="7" t="s">
        <v>2619</v>
      </c>
      <c r="X316" s="7" t="s">
        <v>2618</v>
      </c>
      <c r="Y316" s="7" t="s">
        <v>1691</v>
      </c>
      <c r="AA316" s="7" t="s">
        <v>2617</v>
      </c>
      <c r="AB316" s="7">
        <v>10</v>
      </c>
      <c r="AC316" s="7" t="s">
        <v>51</v>
      </c>
      <c r="AD316" s="7" t="s">
        <v>696</v>
      </c>
      <c r="AF316" s="7" t="s">
        <v>44</v>
      </c>
      <c r="AH316" s="4">
        <v>45443.999988425923</v>
      </c>
    </row>
    <row r="317" spans="1:34" x14ac:dyDescent="0.3">
      <c r="A317" s="4">
        <v>45443</v>
      </c>
      <c r="B317" s="4">
        <v>44562</v>
      </c>
      <c r="C317" s="7" t="s">
        <v>35</v>
      </c>
      <c r="D317" s="7" t="s">
        <v>36</v>
      </c>
      <c r="E317" s="7" t="s">
        <v>36</v>
      </c>
      <c r="F317" s="7" t="s">
        <v>36</v>
      </c>
      <c r="G317" s="7" t="s">
        <v>37</v>
      </c>
      <c r="K317" s="7" t="s">
        <v>38</v>
      </c>
      <c r="L317" s="7" t="s">
        <v>39</v>
      </c>
      <c r="M317" s="7" t="s">
        <v>40</v>
      </c>
      <c r="N317" s="7" t="s">
        <v>41</v>
      </c>
      <c r="R317" s="7" t="s">
        <v>52</v>
      </c>
      <c r="T317" s="8">
        <v>42330.49</v>
      </c>
      <c r="U317" s="8">
        <v>-42330.49</v>
      </c>
      <c r="V317" s="7" t="s">
        <v>56</v>
      </c>
      <c r="W317" s="7" t="s">
        <v>2619</v>
      </c>
      <c r="X317" s="7" t="s">
        <v>2618</v>
      </c>
      <c r="Y317" s="7" t="s">
        <v>1691</v>
      </c>
      <c r="AA317" s="7" t="s">
        <v>2617</v>
      </c>
      <c r="AB317" s="7">
        <v>10</v>
      </c>
      <c r="AC317" s="7" t="s">
        <v>51</v>
      </c>
      <c r="AD317" s="7" t="s">
        <v>698</v>
      </c>
      <c r="AF317" s="7" t="s">
        <v>44</v>
      </c>
      <c r="AH317" s="4">
        <v>45443.999988425923</v>
      </c>
    </row>
    <row r="318" spans="1:34" x14ac:dyDescent="0.3">
      <c r="A318" s="4">
        <v>45443</v>
      </c>
      <c r="B318" s="4">
        <v>45443</v>
      </c>
      <c r="C318" s="7" t="s">
        <v>35</v>
      </c>
      <c r="D318" s="7" t="s">
        <v>36</v>
      </c>
      <c r="E318" s="7" t="s">
        <v>36</v>
      </c>
      <c r="F318" s="7" t="s">
        <v>36</v>
      </c>
      <c r="G318" s="7" t="s">
        <v>37</v>
      </c>
      <c r="K318" s="7" t="s">
        <v>38</v>
      </c>
      <c r="L318" s="7" t="s">
        <v>39</v>
      </c>
      <c r="M318" s="7" t="s">
        <v>40</v>
      </c>
      <c r="N318" s="7" t="s">
        <v>41</v>
      </c>
      <c r="R318" s="7" t="s">
        <v>45</v>
      </c>
      <c r="S318" s="8">
        <v>517398.51</v>
      </c>
      <c r="U318" s="8">
        <v>517398.51</v>
      </c>
      <c r="V318" s="7" t="s">
        <v>56</v>
      </c>
      <c r="W318" s="7" t="s">
        <v>2620</v>
      </c>
      <c r="X318" s="7" t="s">
        <v>2618</v>
      </c>
      <c r="Y318" s="7" t="s">
        <v>1691</v>
      </c>
      <c r="AA318" s="7" t="s">
        <v>2617</v>
      </c>
      <c r="AB318" s="7">
        <v>11</v>
      </c>
      <c r="AC318" s="7" t="s">
        <v>53</v>
      </c>
      <c r="AD318" s="7" t="s">
        <v>699</v>
      </c>
      <c r="AF318" s="7" t="s">
        <v>44</v>
      </c>
      <c r="AH318" s="4">
        <v>45443.999988425923</v>
      </c>
    </row>
    <row r="319" spans="1:34" x14ac:dyDescent="0.3">
      <c r="A319" s="4">
        <v>45443</v>
      </c>
      <c r="B319" s="4">
        <v>45443</v>
      </c>
      <c r="C319" s="7" t="s">
        <v>35</v>
      </c>
      <c r="D319" s="7" t="s">
        <v>36</v>
      </c>
      <c r="E319" s="7" t="s">
        <v>36</v>
      </c>
      <c r="F319" s="7" t="s">
        <v>36</v>
      </c>
      <c r="G319" s="7" t="s">
        <v>37</v>
      </c>
      <c r="K319" s="7" t="s">
        <v>38</v>
      </c>
      <c r="L319" s="7" t="s">
        <v>39</v>
      </c>
      <c r="M319" s="7" t="s">
        <v>40</v>
      </c>
      <c r="N319" s="7" t="s">
        <v>41</v>
      </c>
      <c r="R319" s="7" t="s">
        <v>54</v>
      </c>
      <c r="T319" s="8">
        <v>517398.51</v>
      </c>
      <c r="U319" s="8">
        <v>-517398.51</v>
      </c>
      <c r="V319" s="7" t="s">
        <v>56</v>
      </c>
      <c r="W319" s="7" t="s">
        <v>2620</v>
      </c>
      <c r="X319" s="7" t="s">
        <v>2618</v>
      </c>
      <c r="Y319" s="7" t="s">
        <v>1691</v>
      </c>
      <c r="AA319" s="7" t="s">
        <v>2617</v>
      </c>
      <c r="AB319" s="7">
        <v>11</v>
      </c>
      <c r="AC319" s="7" t="s">
        <v>53</v>
      </c>
      <c r="AD319" s="7" t="s">
        <v>701</v>
      </c>
      <c r="AF319" s="7" t="s">
        <v>44</v>
      </c>
      <c r="AH319" s="4">
        <v>45443.999988425923</v>
      </c>
    </row>
    <row r="320" spans="1:34" x14ac:dyDescent="0.3">
      <c r="A320" s="4">
        <v>45444</v>
      </c>
      <c r="B320" s="4">
        <v>45444</v>
      </c>
      <c r="C320" s="7" t="s">
        <v>35</v>
      </c>
      <c r="D320" s="7" t="s">
        <v>36</v>
      </c>
      <c r="E320" s="7" t="s">
        <v>36</v>
      </c>
      <c r="F320" s="7" t="s">
        <v>36</v>
      </c>
      <c r="G320" s="7" t="s">
        <v>37</v>
      </c>
      <c r="K320" s="7" t="s">
        <v>38</v>
      </c>
      <c r="L320" s="7" t="s">
        <v>39</v>
      </c>
      <c r="M320" s="7" t="s">
        <v>40</v>
      </c>
      <c r="N320" s="7" t="s">
        <v>41</v>
      </c>
      <c r="R320" s="7" t="s">
        <v>54</v>
      </c>
      <c r="S320" s="8">
        <v>517398.51</v>
      </c>
      <c r="U320" s="8">
        <v>517398.51</v>
      </c>
      <c r="V320" s="7" t="s">
        <v>56</v>
      </c>
      <c r="W320" s="7" t="s">
        <v>2620</v>
      </c>
      <c r="X320" s="7" t="s">
        <v>2618</v>
      </c>
      <c r="Y320" s="7" t="s">
        <v>1691</v>
      </c>
      <c r="AA320" s="7" t="s">
        <v>2617</v>
      </c>
      <c r="AB320" s="7">
        <v>11</v>
      </c>
      <c r="AC320" s="7" t="s">
        <v>55</v>
      </c>
      <c r="AD320" s="7" t="s">
        <v>702</v>
      </c>
      <c r="AF320" s="7" t="s">
        <v>44</v>
      </c>
      <c r="AH320" s="4">
        <v>45473.999988425923</v>
      </c>
    </row>
    <row r="321" spans="1:34" x14ac:dyDescent="0.3">
      <c r="A321" s="4">
        <v>45444</v>
      </c>
      <c r="B321" s="4">
        <v>45444</v>
      </c>
      <c r="C321" s="7" t="s">
        <v>35</v>
      </c>
      <c r="D321" s="7" t="s">
        <v>36</v>
      </c>
      <c r="E321" s="7" t="s">
        <v>36</v>
      </c>
      <c r="F321" s="7" t="s">
        <v>36</v>
      </c>
      <c r="G321" s="7" t="s">
        <v>37</v>
      </c>
      <c r="K321" s="7" t="s">
        <v>38</v>
      </c>
      <c r="L321" s="7" t="s">
        <v>39</v>
      </c>
      <c r="M321" s="7" t="s">
        <v>40</v>
      </c>
      <c r="N321" s="7" t="s">
        <v>41</v>
      </c>
      <c r="R321" s="7" t="s">
        <v>45</v>
      </c>
      <c r="T321" s="8">
        <v>517398.51</v>
      </c>
      <c r="U321" s="8">
        <v>-517398.51</v>
      </c>
      <c r="V321" s="7" t="s">
        <v>56</v>
      </c>
      <c r="W321" s="7" t="s">
        <v>2620</v>
      </c>
      <c r="X321" s="7" t="s">
        <v>2618</v>
      </c>
      <c r="Y321" s="7" t="s">
        <v>1691</v>
      </c>
      <c r="AA321" s="7" t="s">
        <v>2617</v>
      </c>
      <c r="AB321" s="7">
        <v>11</v>
      </c>
      <c r="AC321" s="7" t="s">
        <v>55</v>
      </c>
      <c r="AD321" s="7" t="s">
        <v>704</v>
      </c>
      <c r="AF321" s="7" t="s">
        <v>44</v>
      </c>
      <c r="AH321" s="4">
        <v>45473.999988425923</v>
      </c>
    </row>
    <row r="322" spans="1:34" x14ac:dyDescent="0.3">
      <c r="A322" s="4">
        <v>45444</v>
      </c>
      <c r="B322" s="4">
        <v>45473</v>
      </c>
      <c r="C322" s="7" t="s">
        <v>46</v>
      </c>
      <c r="D322" s="7" t="s">
        <v>36</v>
      </c>
      <c r="E322" s="7" t="s">
        <v>36</v>
      </c>
      <c r="F322" s="7" t="s">
        <v>36</v>
      </c>
      <c r="G322" s="7" t="s">
        <v>37</v>
      </c>
      <c r="K322" s="7" t="s">
        <v>38</v>
      </c>
      <c r="L322" s="7" t="s">
        <v>39</v>
      </c>
      <c r="M322" s="7" t="s">
        <v>38</v>
      </c>
      <c r="N322" s="7" t="s">
        <v>41</v>
      </c>
      <c r="R322" s="7" t="s">
        <v>49</v>
      </c>
      <c r="S322" s="8">
        <v>8249.3483120000001</v>
      </c>
      <c r="U322" s="8">
        <v>8249.3483120000001</v>
      </c>
      <c r="V322" s="7" t="s">
        <v>56</v>
      </c>
      <c r="W322" s="7" t="s">
        <v>57</v>
      </c>
      <c r="X322" s="7" t="s">
        <v>2618</v>
      </c>
      <c r="Y322" s="7" t="s">
        <v>1691</v>
      </c>
      <c r="AA322" s="7" t="s">
        <v>2617</v>
      </c>
      <c r="AB322" s="7">
        <v>12</v>
      </c>
      <c r="AC322" s="7" t="s">
        <v>57</v>
      </c>
      <c r="AD322" s="7" t="s">
        <v>705</v>
      </c>
      <c r="AF322" s="7" t="s">
        <v>44</v>
      </c>
      <c r="AH322" s="4">
        <v>45473.999988425923</v>
      </c>
    </row>
    <row r="323" spans="1:34" x14ac:dyDescent="0.3">
      <c r="A323" s="4">
        <v>45444</v>
      </c>
      <c r="B323" s="4">
        <v>45473</v>
      </c>
      <c r="C323" s="7" t="s">
        <v>46</v>
      </c>
      <c r="D323" s="7" t="s">
        <v>36</v>
      </c>
      <c r="E323" s="7" t="s">
        <v>36</v>
      </c>
      <c r="F323" s="7" t="s">
        <v>36</v>
      </c>
      <c r="G323" s="7" t="s">
        <v>37</v>
      </c>
      <c r="K323" s="7" t="s">
        <v>38</v>
      </c>
      <c r="L323" s="7" t="s">
        <v>39</v>
      </c>
      <c r="M323" s="7" t="s">
        <v>40</v>
      </c>
      <c r="N323" s="7" t="s">
        <v>41</v>
      </c>
      <c r="R323" s="7" t="s">
        <v>45</v>
      </c>
      <c r="S323" s="8">
        <v>41750.651687999998</v>
      </c>
      <c r="U323" s="8">
        <v>41750.651687999998</v>
      </c>
      <c r="V323" s="7" t="s">
        <v>56</v>
      </c>
      <c r="W323" s="7" t="s">
        <v>57</v>
      </c>
      <c r="X323" s="7" t="s">
        <v>2618</v>
      </c>
      <c r="Y323" s="7" t="s">
        <v>1691</v>
      </c>
      <c r="AA323" s="7" t="s">
        <v>2617</v>
      </c>
      <c r="AB323" s="7">
        <v>12</v>
      </c>
      <c r="AC323" s="7" t="s">
        <v>57</v>
      </c>
      <c r="AD323" s="7" t="s">
        <v>707</v>
      </c>
      <c r="AF323" s="7" t="s">
        <v>44</v>
      </c>
      <c r="AH323" s="4">
        <v>45473.999988425923</v>
      </c>
    </row>
    <row r="324" spans="1:34" x14ac:dyDescent="0.3">
      <c r="A324" s="4">
        <v>45444</v>
      </c>
      <c r="B324" s="4">
        <v>45473</v>
      </c>
      <c r="C324" s="7" t="s">
        <v>46</v>
      </c>
      <c r="D324" s="7" t="s">
        <v>36</v>
      </c>
      <c r="E324" s="7" t="s">
        <v>36</v>
      </c>
      <c r="F324" s="7" t="s">
        <v>36</v>
      </c>
      <c r="G324" s="7" t="s">
        <v>37</v>
      </c>
      <c r="K324" s="7" t="s">
        <v>38</v>
      </c>
      <c r="L324" s="7" t="s">
        <v>39</v>
      </c>
      <c r="M324" s="7" t="s">
        <v>40</v>
      </c>
      <c r="N324" s="7" t="s">
        <v>41</v>
      </c>
      <c r="R324" s="7" t="s">
        <v>58</v>
      </c>
      <c r="T324" s="8">
        <v>50000</v>
      </c>
      <c r="U324" s="8">
        <v>-50000</v>
      </c>
      <c r="V324" s="7" t="s">
        <v>56</v>
      </c>
      <c r="W324" s="7" t="s">
        <v>57</v>
      </c>
      <c r="X324" s="7" t="s">
        <v>2618</v>
      </c>
      <c r="Y324" s="7" t="s">
        <v>1691</v>
      </c>
      <c r="AA324" s="7" t="s">
        <v>2617</v>
      </c>
      <c r="AB324" s="7">
        <v>12</v>
      </c>
      <c r="AC324" s="7" t="s">
        <v>57</v>
      </c>
      <c r="AD324" s="7" t="s">
        <v>708</v>
      </c>
      <c r="AF324" s="7" t="s">
        <v>44</v>
      </c>
      <c r="AH324" s="4">
        <v>45473.999988425923</v>
      </c>
    </row>
    <row r="325" spans="1:34" x14ac:dyDescent="0.3">
      <c r="A325" s="4">
        <v>45473</v>
      </c>
      <c r="B325" s="4">
        <v>45473</v>
      </c>
      <c r="C325" s="7" t="s">
        <v>46</v>
      </c>
      <c r="D325" s="7" t="s">
        <v>36</v>
      </c>
      <c r="E325" s="7" t="s">
        <v>36</v>
      </c>
      <c r="F325" s="7" t="s">
        <v>36</v>
      </c>
      <c r="G325" s="7" t="s">
        <v>37</v>
      </c>
      <c r="K325" s="7" t="s">
        <v>38</v>
      </c>
      <c r="L325" s="7" t="s">
        <v>39</v>
      </c>
      <c r="M325" s="7" t="s">
        <v>40</v>
      </c>
      <c r="N325" s="7" t="s">
        <v>41</v>
      </c>
      <c r="R325" s="7" t="s">
        <v>47</v>
      </c>
      <c r="S325" s="8">
        <v>8005.8028439999998</v>
      </c>
      <c r="U325" s="8">
        <v>8005.8028439999998</v>
      </c>
      <c r="V325" s="7" t="s">
        <v>56</v>
      </c>
      <c r="W325" s="7" t="s">
        <v>2621</v>
      </c>
      <c r="X325" s="7" t="s">
        <v>2618</v>
      </c>
      <c r="Y325" s="7" t="s">
        <v>1691</v>
      </c>
      <c r="AA325" s="7" t="s">
        <v>2617</v>
      </c>
      <c r="AB325" s="7">
        <v>8</v>
      </c>
      <c r="AC325" s="7" t="s">
        <v>48</v>
      </c>
      <c r="AD325" s="7" t="s">
        <v>709</v>
      </c>
      <c r="AF325" s="7" t="s">
        <v>44</v>
      </c>
      <c r="AH325" s="4">
        <v>45473.999988425923</v>
      </c>
    </row>
    <row r="326" spans="1:34" x14ac:dyDescent="0.3">
      <c r="A326" s="4">
        <v>45473</v>
      </c>
      <c r="B326" s="4">
        <v>45473</v>
      </c>
      <c r="C326" s="7" t="s">
        <v>46</v>
      </c>
      <c r="D326" s="7" t="s">
        <v>36</v>
      </c>
      <c r="E326" s="7" t="s">
        <v>36</v>
      </c>
      <c r="F326" s="7" t="s">
        <v>36</v>
      </c>
      <c r="G326" s="7" t="s">
        <v>37</v>
      </c>
      <c r="K326" s="7" t="s">
        <v>38</v>
      </c>
      <c r="L326" s="7" t="s">
        <v>39</v>
      </c>
      <c r="M326" s="7" t="s">
        <v>38</v>
      </c>
      <c r="N326" s="7" t="s">
        <v>41</v>
      </c>
      <c r="R326" s="7" t="s">
        <v>49</v>
      </c>
      <c r="T326" s="8">
        <v>8005.8028439999998</v>
      </c>
      <c r="U326" s="8">
        <v>-8005.8028439999998</v>
      </c>
      <c r="V326" s="7" t="s">
        <v>56</v>
      </c>
      <c r="W326" s="7" t="s">
        <v>2621</v>
      </c>
      <c r="X326" s="7" t="s">
        <v>2618</v>
      </c>
      <c r="Y326" s="7" t="s">
        <v>1691</v>
      </c>
      <c r="AA326" s="7" t="s">
        <v>2617</v>
      </c>
      <c r="AB326" s="7">
        <v>8</v>
      </c>
      <c r="AC326" s="7" t="s">
        <v>48</v>
      </c>
      <c r="AD326" s="7" t="s">
        <v>711</v>
      </c>
      <c r="AF326" s="7" t="s">
        <v>44</v>
      </c>
      <c r="AH326" s="4">
        <v>45473.999988425923</v>
      </c>
    </row>
    <row r="327" spans="1:34" x14ac:dyDescent="0.3">
      <c r="A327" s="4">
        <v>45473</v>
      </c>
      <c r="B327" s="4">
        <v>44562</v>
      </c>
      <c r="C327" s="7" t="s">
        <v>35</v>
      </c>
      <c r="D327" s="7" t="s">
        <v>36</v>
      </c>
      <c r="E327" s="7" t="s">
        <v>36</v>
      </c>
      <c r="F327" s="7" t="s">
        <v>36</v>
      </c>
      <c r="G327" s="7" t="s">
        <v>37</v>
      </c>
      <c r="K327" s="7" t="s">
        <v>38</v>
      </c>
      <c r="L327" s="7" t="s">
        <v>39</v>
      </c>
      <c r="M327" s="7" t="s">
        <v>40</v>
      </c>
      <c r="N327" s="7" t="s">
        <v>41</v>
      </c>
      <c r="R327" s="7" t="s">
        <v>50</v>
      </c>
      <c r="S327" s="8">
        <v>42330.49</v>
      </c>
      <c r="U327" s="8">
        <v>42330.49</v>
      </c>
      <c r="V327" s="7" t="s">
        <v>56</v>
      </c>
      <c r="W327" s="7" t="s">
        <v>2619</v>
      </c>
      <c r="X327" s="7" t="s">
        <v>2618</v>
      </c>
      <c r="Y327" s="7" t="s">
        <v>1691</v>
      </c>
      <c r="AA327" s="7" t="s">
        <v>2617</v>
      </c>
      <c r="AB327" s="7">
        <v>10</v>
      </c>
      <c r="AC327" s="7" t="s">
        <v>51</v>
      </c>
      <c r="AD327" s="7" t="s">
        <v>712</v>
      </c>
      <c r="AF327" s="7" t="s">
        <v>44</v>
      </c>
      <c r="AH327" s="4">
        <v>45473.999988425923</v>
      </c>
    </row>
    <row r="328" spans="1:34" x14ac:dyDescent="0.3">
      <c r="A328" s="4">
        <v>45473</v>
      </c>
      <c r="B328" s="4">
        <v>44562</v>
      </c>
      <c r="C328" s="7" t="s">
        <v>35</v>
      </c>
      <c r="D328" s="7" t="s">
        <v>36</v>
      </c>
      <c r="E328" s="7" t="s">
        <v>36</v>
      </c>
      <c r="F328" s="7" t="s">
        <v>36</v>
      </c>
      <c r="G328" s="7" t="s">
        <v>37</v>
      </c>
      <c r="K328" s="7" t="s">
        <v>38</v>
      </c>
      <c r="L328" s="7" t="s">
        <v>39</v>
      </c>
      <c r="M328" s="7" t="s">
        <v>40</v>
      </c>
      <c r="N328" s="7" t="s">
        <v>41</v>
      </c>
      <c r="R328" s="7" t="s">
        <v>52</v>
      </c>
      <c r="T328" s="8">
        <v>42330.49</v>
      </c>
      <c r="U328" s="8">
        <v>-42330.49</v>
      </c>
      <c r="V328" s="7" t="s">
        <v>56</v>
      </c>
      <c r="W328" s="7" t="s">
        <v>2619</v>
      </c>
      <c r="X328" s="7" t="s">
        <v>2618</v>
      </c>
      <c r="Y328" s="7" t="s">
        <v>1691</v>
      </c>
      <c r="AA328" s="7" t="s">
        <v>2617</v>
      </c>
      <c r="AB328" s="7">
        <v>10</v>
      </c>
      <c r="AC328" s="7" t="s">
        <v>51</v>
      </c>
      <c r="AD328" s="7" t="s">
        <v>714</v>
      </c>
      <c r="AF328" s="7" t="s">
        <v>44</v>
      </c>
      <c r="AH328" s="4">
        <v>45473.999988425923</v>
      </c>
    </row>
    <row r="329" spans="1:34" x14ac:dyDescent="0.3">
      <c r="A329" s="4">
        <v>45473</v>
      </c>
      <c r="B329" s="4">
        <v>45473</v>
      </c>
      <c r="C329" s="7" t="s">
        <v>35</v>
      </c>
      <c r="D329" s="7" t="s">
        <v>36</v>
      </c>
      <c r="E329" s="7" t="s">
        <v>36</v>
      </c>
      <c r="F329" s="7" t="s">
        <v>36</v>
      </c>
      <c r="G329" s="7" t="s">
        <v>37</v>
      </c>
      <c r="K329" s="7" t="s">
        <v>38</v>
      </c>
      <c r="L329" s="7" t="s">
        <v>39</v>
      </c>
      <c r="M329" s="7" t="s">
        <v>40</v>
      </c>
      <c r="N329" s="7" t="s">
        <v>41</v>
      </c>
      <c r="R329" s="7" t="s">
        <v>45</v>
      </c>
      <c r="S329" s="8">
        <v>520416.67</v>
      </c>
      <c r="U329" s="8">
        <v>520416.67</v>
      </c>
      <c r="V329" s="7" t="s">
        <v>56</v>
      </c>
      <c r="W329" s="7" t="s">
        <v>2620</v>
      </c>
      <c r="X329" s="7" t="s">
        <v>2618</v>
      </c>
      <c r="Y329" s="7" t="s">
        <v>1691</v>
      </c>
      <c r="AA329" s="7" t="s">
        <v>2617</v>
      </c>
      <c r="AB329" s="7">
        <v>11</v>
      </c>
      <c r="AC329" s="7" t="s">
        <v>53</v>
      </c>
      <c r="AD329" s="7" t="s">
        <v>715</v>
      </c>
      <c r="AF329" s="7" t="s">
        <v>44</v>
      </c>
      <c r="AH329" s="4">
        <v>45473.999988425923</v>
      </c>
    </row>
    <row r="330" spans="1:34" x14ac:dyDescent="0.3">
      <c r="A330" s="4">
        <v>45473</v>
      </c>
      <c r="B330" s="4">
        <v>45473</v>
      </c>
      <c r="C330" s="7" t="s">
        <v>35</v>
      </c>
      <c r="D330" s="7" t="s">
        <v>36</v>
      </c>
      <c r="E330" s="7" t="s">
        <v>36</v>
      </c>
      <c r="F330" s="7" t="s">
        <v>36</v>
      </c>
      <c r="G330" s="7" t="s">
        <v>37</v>
      </c>
      <c r="K330" s="7" t="s">
        <v>38</v>
      </c>
      <c r="L330" s="7" t="s">
        <v>39</v>
      </c>
      <c r="M330" s="7" t="s">
        <v>40</v>
      </c>
      <c r="N330" s="7" t="s">
        <v>41</v>
      </c>
      <c r="R330" s="7" t="s">
        <v>54</v>
      </c>
      <c r="T330" s="8">
        <v>520416.67</v>
      </c>
      <c r="U330" s="8">
        <v>-520416.67</v>
      </c>
      <c r="V330" s="7" t="s">
        <v>56</v>
      </c>
      <c r="W330" s="7" t="s">
        <v>2620</v>
      </c>
      <c r="X330" s="7" t="s">
        <v>2618</v>
      </c>
      <c r="Y330" s="7" t="s">
        <v>1691</v>
      </c>
      <c r="AA330" s="7" t="s">
        <v>2617</v>
      </c>
      <c r="AB330" s="7">
        <v>11</v>
      </c>
      <c r="AC330" s="7" t="s">
        <v>53</v>
      </c>
      <c r="AD330" s="7" t="s">
        <v>717</v>
      </c>
      <c r="AF330" s="7" t="s">
        <v>44</v>
      </c>
      <c r="AH330" s="4">
        <v>45473.999988425923</v>
      </c>
    </row>
    <row r="331" spans="1:34" x14ac:dyDescent="0.3">
      <c r="A331" s="4">
        <v>45474</v>
      </c>
      <c r="B331" s="4">
        <v>45474</v>
      </c>
      <c r="C331" s="7" t="s">
        <v>35</v>
      </c>
      <c r="D331" s="7" t="s">
        <v>36</v>
      </c>
      <c r="E331" s="7" t="s">
        <v>36</v>
      </c>
      <c r="F331" s="7" t="s">
        <v>36</v>
      </c>
      <c r="G331" s="7" t="s">
        <v>37</v>
      </c>
      <c r="K331" s="7" t="s">
        <v>38</v>
      </c>
      <c r="L331" s="7" t="s">
        <v>39</v>
      </c>
      <c r="M331" s="7" t="s">
        <v>40</v>
      </c>
      <c r="N331" s="7" t="s">
        <v>41</v>
      </c>
      <c r="R331" s="7" t="s">
        <v>54</v>
      </c>
      <c r="S331" s="8">
        <v>520416.67</v>
      </c>
      <c r="U331" s="8">
        <v>520416.67</v>
      </c>
      <c r="V331" s="7" t="s">
        <v>56</v>
      </c>
      <c r="W331" s="7" t="s">
        <v>2620</v>
      </c>
      <c r="X331" s="7" t="s">
        <v>2618</v>
      </c>
      <c r="Y331" s="7" t="s">
        <v>1691</v>
      </c>
      <c r="AA331" s="7" t="s">
        <v>2617</v>
      </c>
      <c r="AB331" s="7">
        <v>11</v>
      </c>
      <c r="AC331" s="7" t="s">
        <v>55</v>
      </c>
      <c r="AD331" s="7" t="s">
        <v>718</v>
      </c>
      <c r="AF331" s="7" t="s">
        <v>44</v>
      </c>
      <c r="AH331" s="4">
        <v>45504.999988425923</v>
      </c>
    </row>
    <row r="332" spans="1:34" x14ac:dyDescent="0.3">
      <c r="A332" s="4">
        <v>45474</v>
      </c>
      <c r="B332" s="4">
        <v>45474</v>
      </c>
      <c r="C332" s="7" t="s">
        <v>35</v>
      </c>
      <c r="D332" s="7" t="s">
        <v>36</v>
      </c>
      <c r="E332" s="7" t="s">
        <v>36</v>
      </c>
      <c r="F332" s="7" t="s">
        <v>36</v>
      </c>
      <c r="G332" s="7" t="s">
        <v>37</v>
      </c>
      <c r="K332" s="7" t="s">
        <v>38</v>
      </c>
      <c r="L332" s="7" t="s">
        <v>39</v>
      </c>
      <c r="M332" s="7" t="s">
        <v>40</v>
      </c>
      <c r="N332" s="7" t="s">
        <v>41</v>
      </c>
      <c r="R332" s="7" t="s">
        <v>45</v>
      </c>
      <c r="T332" s="8">
        <v>520416.67</v>
      </c>
      <c r="U332" s="8">
        <v>-520416.67</v>
      </c>
      <c r="V332" s="7" t="s">
        <v>56</v>
      </c>
      <c r="W332" s="7" t="s">
        <v>2620</v>
      </c>
      <c r="X332" s="7" t="s">
        <v>2618</v>
      </c>
      <c r="Y332" s="7" t="s">
        <v>1691</v>
      </c>
      <c r="AA332" s="7" t="s">
        <v>2617</v>
      </c>
      <c r="AB332" s="7">
        <v>11</v>
      </c>
      <c r="AC332" s="7" t="s">
        <v>55</v>
      </c>
      <c r="AD332" s="7" t="s">
        <v>720</v>
      </c>
      <c r="AF332" s="7" t="s">
        <v>44</v>
      </c>
      <c r="AH332" s="4">
        <v>45504.999988425923</v>
      </c>
    </row>
    <row r="333" spans="1:34" x14ac:dyDescent="0.3">
      <c r="A333" s="4">
        <v>45474</v>
      </c>
      <c r="B333" s="4">
        <v>45504</v>
      </c>
      <c r="C333" s="7" t="s">
        <v>46</v>
      </c>
      <c r="D333" s="7" t="s">
        <v>36</v>
      </c>
      <c r="E333" s="7" t="s">
        <v>36</v>
      </c>
      <c r="F333" s="7" t="s">
        <v>36</v>
      </c>
      <c r="G333" s="7" t="s">
        <v>37</v>
      </c>
      <c r="K333" s="7" t="s">
        <v>38</v>
      </c>
      <c r="L333" s="7" t="s">
        <v>39</v>
      </c>
      <c r="M333" s="7" t="s">
        <v>38</v>
      </c>
      <c r="N333" s="7" t="s">
        <v>41</v>
      </c>
      <c r="R333" s="7" t="s">
        <v>49</v>
      </c>
      <c r="S333" s="8">
        <v>8005.8028439999998</v>
      </c>
      <c r="U333" s="8">
        <v>8005.8028439999998</v>
      </c>
      <c r="V333" s="7" t="s">
        <v>56</v>
      </c>
      <c r="W333" s="7" t="s">
        <v>57</v>
      </c>
      <c r="X333" s="7" t="s">
        <v>2618</v>
      </c>
      <c r="Y333" s="7" t="s">
        <v>1691</v>
      </c>
      <c r="AA333" s="7" t="s">
        <v>2617</v>
      </c>
      <c r="AB333" s="7">
        <v>12</v>
      </c>
      <c r="AC333" s="7" t="s">
        <v>57</v>
      </c>
      <c r="AD333" s="7" t="s">
        <v>721</v>
      </c>
      <c r="AF333" s="7" t="s">
        <v>44</v>
      </c>
      <c r="AH333" s="4">
        <v>45504.999988425923</v>
      </c>
    </row>
    <row r="334" spans="1:34" x14ac:dyDescent="0.3">
      <c r="A334" s="4">
        <v>45474</v>
      </c>
      <c r="B334" s="4">
        <v>45504</v>
      </c>
      <c r="C334" s="7" t="s">
        <v>46</v>
      </c>
      <c r="D334" s="7" t="s">
        <v>36</v>
      </c>
      <c r="E334" s="7" t="s">
        <v>36</v>
      </c>
      <c r="F334" s="7" t="s">
        <v>36</v>
      </c>
      <c r="G334" s="7" t="s">
        <v>37</v>
      </c>
      <c r="K334" s="7" t="s">
        <v>38</v>
      </c>
      <c r="L334" s="7" t="s">
        <v>39</v>
      </c>
      <c r="M334" s="7" t="s">
        <v>40</v>
      </c>
      <c r="N334" s="7" t="s">
        <v>41</v>
      </c>
      <c r="R334" s="7" t="s">
        <v>45</v>
      </c>
      <c r="S334" s="8">
        <v>41994.197156000002</v>
      </c>
      <c r="U334" s="8">
        <v>41994.197156000002</v>
      </c>
      <c r="V334" s="7" t="s">
        <v>56</v>
      </c>
      <c r="W334" s="7" t="s">
        <v>57</v>
      </c>
      <c r="X334" s="7" t="s">
        <v>2618</v>
      </c>
      <c r="Y334" s="7" t="s">
        <v>1691</v>
      </c>
      <c r="AA334" s="7" t="s">
        <v>2617</v>
      </c>
      <c r="AB334" s="7">
        <v>12</v>
      </c>
      <c r="AC334" s="7" t="s">
        <v>57</v>
      </c>
      <c r="AD334" s="7" t="s">
        <v>723</v>
      </c>
      <c r="AF334" s="7" t="s">
        <v>44</v>
      </c>
      <c r="AH334" s="4">
        <v>45504.999988425923</v>
      </c>
    </row>
    <row r="335" spans="1:34" x14ac:dyDescent="0.3">
      <c r="A335" s="4">
        <v>45474</v>
      </c>
      <c r="B335" s="4">
        <v>45504</v>
      </c>
      <c r="C335" s="7" t="s">
        <v>46</v>
      </c>
      <c r="D335" s="7" t="s">
        <v>36</v>
      </c>
      <c r="E335" s="7" t="s">
        <v>36</v>
      </c>
      <c r="F335" s="7" t="s">
        <v>36</v>
      </c>
      <c r="G335" s="7" t="s">
        <v>37</v>
      </c>
      <c r="K335" s="7" t="s">
        <v>38</v>
      </c>
      <c r="L335" s="7" t="s">
        <v>39</v>
      </c>
      <c r="M335" s="7" t="s">
        <v>40</v>
      </c>
      <c r="N335" s="7" t="s">
        <v>41</v>
      </c>
      <c r="R335" s="7" t="s">
        <v>58</v>
      </c>
      <c r="T335" s="8">
        <v>50000</v>
      </c>
      <c r="U335" s="8">
        <v>-50000</v>
      </c>
      <c r="V335" s="7" t="s">
        <v>56</v>
      </c>
      <c r="W335" s="7" t="s">
        <v>57</v>
      </c>
      <c r="X335" s="7" t="s">
        <v>2618</v>
      </c>
      <c r="Y335" s="7" t="s">
        <v>1691</v>
      </c>
      <c r="AA335" s="7" t="s">
        <v>2617</v>
      </c>
      <c r="AB335" s="7">
        <v>12</v>
      </c>
      <c r="AC335" s="7" t="s">
        <v>57</v>
      </c>
      <c r="AD335" s="7" t="s">
        <v>724</v>
      </c>
      <c r="AF335" s="7" t="s">
        <v>44</v>
      </c>
      <c r="AH335" s="4">
        <v>45504.999988425923</v>
      </c>
    </row>
    <row r="336" spans="1:34" x14ac:dyDescent="0.3">
      <c r="A336" s="4">
        <v>45504</v>
      </c>
      <c r="B336" s="4">
        <v>45504</v>
      </c>
      <c r="C336" s="7" t="s">
        <v>46</v>
      </c>
      <c r="D336" s="7" t="s">
        <v>36</v>
      </c>
      <c r="E336" s="7" t="s">
        <v>36</v>
      </c>
      <c r="F336" s="7" t="s">
        <v>36</v>
      </c>
      <c r="G336" s="7" t="s">
        <v>37</v>
      </c>
      <c r="K336" s="7" t="s">
        <v>38</v>
      </c>
      <c r="L336" s="7" t="s">
        <v>39</v>
      </c>
      <c r="M336" s="7" t="s">
        <v>40</v>
      </c>
      <c r="N336" s="7" t="s">
        <v>41</v>
      </c>
      <c r="R336" s="7" t="s">
        <v>47</v>
      </c>
      <c r="S336" s="8">
        <v>7760.8366939999996</v>
      </c>
      <c r="U336" s="8">
        <v>7760.8366939999996</v>
      </c>
      <c r="V336" s="7" t="s">
        <v>56</v>
      </c>
      <c r="W336" s="7" t="s">
        <v>2621</v>
      </c>
      <c r="X336" s="7" t="s">
        <v>2618</v>
      </c>
      <c r="Y336" s="7" t="s">
        <v>1691</v>
      </c>
      <c r="AA336" s="7" t="s">
        <v>2617</v>
      </c>
      <c r="AB336" s="7">
        <v>8</v>
      </c>
      <c r="AC336" s="7" t="s">
        <v>48</v>
      </c>
      <c r="AD336" s="7" t="s">
        <v>725</v>
      </c>
      <c r="AF336" s="7" t="s">
        <v>44</v>
      </c>
      <c r="AH336" s="4">
        <v>45504.999988425923</v>
      </c>
    </row>
    <row r="337" spans="1:34" x14ac:dyDescent="0.3">
      <c r="A337" s="4">
        <v>45504</v>
      </c>
      <c r="B337" s="4">
        <v>45504</v>
      </c>
      <c r="C337" s="7" t="s">
        <v>46</v>
      </c>
      <c r="D337" s="7" t="s">
        <v>36</v>
      </c>
      <c r="E337" s="7" t="s">
        <v>36</v>
      </c>
      <c r="F337" s="7" t="s">
        <v>36</v>
      </c>
      <c r="G337" s="7" t="s">
        <v>37</v>
      </c>
      <c r="K337" s="7" t="s">
        <v>38</v>
      </c>
      <c r="L337" s="7" t="s">
        <v>39</v>
      </c>
      <c r="M337" s="7" t="s">
        <v>38</v>
      </c>
      <c r="N337" s="7" t="s">
        <v>41</v>
      </c>
      <c r="R337" s="7" t="s">
        <v>49</v>
      </c>
      <c r="T337" s="8">
        <v>7760.8366939999996</v>
      </c>
      <c r="U337" s="8">
        <v>-7760.8366939999996</v>
      </c>
      <c r="V337" s="7" t="s">
        <v>56</v>
      </c>
      <c r="W337" s="7" t="s">
        <v>2621</v>
      </c>
      <c r="X337" s="7" t="s">
        <v>2618</v>
      </c>
      <c r="Y337" s="7" t="s">
        <v>1691</v>
      </c>
      <c r="AA337" s="7" t="s">
        <v>2617</v>
      </c>
      <c r="AB337" s="7">
        <v>8</v>
      </c>
      <c r="AC337" s="7" t="s">
        <v>48</v>
      </c>
      <c r="AD337" s="7" t="s">
        <v>727</v>
      </c>
      <c r="AF337" s="7" t="s">
        <v>44</v>
      </c>
      <c r="AH337" s="4">
        <v>45504.999988425923</v>
      </c>
    </row>
    <row r="338" spans="1:34" x14ac:dyDescent="0.3">
      <c r="A338" s="4">
        <v>45504</v>
      </c>
      <c r="B338" s="4">
        <v>44562</v>
      </c>
      <c r="C338" s="7" t="s">
        <v>35</v>
      </c>
      <c r="D338" s="7" t="s">
        <v>36</v>
      </c>
      <c r="E338" s="7" t="s">
        <v>36</v>
      </c>
      <c r="F338" s="7" t="s">
        <v>36</v>
      </c>
      <c r="G338" s="7" t="s">
        <v>37</v>
      </c>
      <c r="K338" s="7" t="s">
        <v>38</v>
      </c>
      <c r="L338" s="7" t="s">
        <v>39</v>
      </c>
      <c r="M338" s="7" t="s">
        <v>40</v>
      </c>
      <c r="N338" s="7" t="s">
        <v>41</v>
      </c>
      <c r="R338" s="7" t="s">
        <v>50</v>
      </c>
      <c r="S338" s="8">
        <v>42330.49</v>
      </c>
      <c r="U338" s="8">
        <v>42330.49</v>
      </c>
      <c r="V338" s="7" t="s">
        <v>56</v>
      </c>
      <c r="W338" s="7" t="s">
        <v>2619</v>
      </c>
      <c r="X338" s="7" t="s">
        <v>2618</v>
      </c>
      <c r="Y338" s="7" t="s">
        <v>1691</v>
      </c>
      <c r="AA338" s="7" t="s">
        <v>2617</v>
      </c>
      <c r="AB338" s="7">
        <v>10</v>
      </c>
      <c r="AC338" s="7" t="s">
        <v>51</v>
      </c>
      <c r="AD338" s="7" t="s">
        <v>728</v>
      </c>
      <c r="AF338" s="7" t="s">
        <v>44</v>
      </c>
      <c r="AH338" s="4">
        <v>45504.999988425923</v>
      </c>
    </row>
    <row r="339" spans="1:34" x14ac:dyDescent="0.3">
      <c r="A339" s="4">
        <v>45504</v>
      </c>
      <c r="B339" s="4">
        <v>44562</v>
      </c>
      <c r="C339" s="7" t="s">
        <v>35</v>
      </c>
      <c r="D339" s="7" t="s">
        <v>36</v>
      </c>
      <c r="E339" s="7" t="s">
        <v>36</v>
      </c>
      <c r="F339" s="7" t="s">
        <v>36</v>
      </c>
      <c r="G339" s="7" t="s">
        <v>37</v>
      </c>
      <c r="K339" s="7" t="s">
        <v>38</v>
      </c>
      <c r="L339" s="7" t="s">
        <v>39</v>
      </c>
      <c r="M339" s="7" t="s">
        <v>40</v>
      </c>
      <c r="N339" s="7" t="s">
        <v>41</v>
      </c>
      <c r="R339" s="7" t="s">
        <v>52</v>
      </c>
      <c r="T339" s="8">
        <v>42330.49</v>
      </c>
      <c r="U339" s="8">
        <v>-42330.49</v>
      </c>
      <c r="V339" s="7" t="s">
        <v>56</v>
      </c>
      <c r="W339" s="7" t="s">
        <v>2619</v>
      </c>
      <c r="X339" s="7" t="s">
        <v>2618</v>
      </c>
      <c r="Y339" s="7" t="s">
        <v>1691</v>
      </c>
      <c r="AA339" s="7" t="s">
        <v>2617</v>
      </c>
      <c r="AB339" s="7">
        <v>10</v>
      </c>
      <c r="AC339" s="7" t="s">
        <v>51</v>
      </c>
      <c r="AD339" s="7" t="s">
        <v>730</v>
      </c>
      <c r="AF339" s="7" t="s">
        <v>44</v>
      </c>
      <c r="AH339" s="4">
        <v>45504.999988425923</v>
      </c>
    </row>
    <row r="340" spans="1:34" x14ac:dyDescent="0.3">
      <c r="A340" s="4">
        <v>45504</v>
      </c>
      <c r="B340" s="4">
        <v>45504</v>
      </c>
      <c r="C340" s="7" t="s">
        <v>35</v>
      </c>
      <c r="D340" s="7" t="s">
        <v>36</v>
      </c>
      <c r="E340" s="7" t="s">
        <v>36</v>
      </c>
      <c r="F340" s="7" t="s">
        <v>36</v>
      </c>
      <c r="G340" s="7" t="s">
        <v>37</v>
      </c>
      <c r="K340" s="7" t="s">
        <v>38</v>
      </c>
      <c r="L340" s="7" t="s">
        <v>39</v>
      </c>
      <c r="M340" s="7" t="s">
        <v>40</v>
      </c>
      <c r="N340" s="7" t="s">
        <v>41</v>
      </c>
      <c r="R340" s="7" t="s">
        <v>45</v>
      </c>
      <c r="S340" s="8">
        <v>523452.43</v>
      </c>
      <c r="U340" s="8">
        <v>523452.43</v>
      </c>
      <c r="V340" s="7" t="s">
        <v>56</v>
      </c>
      <c r="W340" s="7" t="s">
        <v>2620</v>
      </c>
      <c r="X340" s="7" t="s">
        <v>2618</v>
      </c>
      <c r="Y340" s="7" t="s">
        <v>1691</v>
      </c>
      <c r="AA340" s="7" t="s">
        <v>2617</v>
      </c>
      <c r="AB340" s="7">
        <v>11</v>
      </c>
      <c r="AC340" s="7" t="s">
        <v>53</v>
      </c>
      <c r="AD340" s="7" t="s">
        <v>731</v>
      </c>
      <c r="AF340" s="7" t="s">
        <v>44</v>
      </c>
      <c r="AH340" s="4">
        <v>45504.999988425923</v>
      </c>
    </row>
    <row r="341" spans="1:34" x14ac:dyDescent="0.3">
      <c r="A341" s="4">
        <v>45504</v>
      </c>
      <c r="B341" s="4">
        <v>45504</v>
      </c>
      <c r="C341" s="7" t="s">
        <v>35</v>
      </c>
      <c r="D341" s="7" t="s">
        <v>36</v>
      </c>
      <c r="E341" s="7" t="s">
        <v>36</v>
      </c>
      <c r="F341" s="7" t="s">
        <v>36</v>
      </c>
      <c r="G341" s="7" t="s">
        <v>37</v>
      </c>
      <c r="K341" s="7" t="s">
        <v>38</v>
      </c>
      <c r="L341" s="7" t="s">
        <v>39</v>
      </c>
      <c r="M341" s="7" t="s">
        <v>40</v>
      </c>
      <c r="N341" s="7" t="s">
        <v>41</v>
      </c>
      <c r="R341" s="7" t="s">
        <v>54</v>
      </c>
      <c r="T341" s="8">
        <v>523452.43</v>
      </c>
      <c r="U341" s="8">
        <v>-523452.43</v>
      </c>
      <c r="V341" s="7" t="s">
        <v>56</v>
      </c>
      <c r="W341" s="7" t="s">
        <v>2620</v>
      </c>
      <c r="X341" s="7" t="s">
        <v>2618</v>
      </c>
      <c r="Y341" s="7" t="s">
        <v>1691</v>
      </c>
      <c r="AA341" s="7" t="s">
        <v>2617</v>
      </c>
      <c r="AB341" s="7">
        <v>11</v>
      </c>
      <c r="AC341" s="7" t="s">
        <v>53</v>
      </c>
      <c r="AD341" s="7" t="s">
        <v>733</v>
      </c>
      <c r="AF341" s="7" t="s">
        <v>44</v>
      </c>
      <c r="AH341" s="4">
        <v>45504.999988425923</v>
      </c>
    </row>
    <row r="342" spans="1:34" x14ac:dyDescent="0.3">
      <c r="A342" s="4">
        <v>45505</v>
      </c>
      <c r="B342" s="4">
        <v>45505</v>
      </c>
      <c r="C342" s="7" t="s">
        <v>35</v>
      </c>
      <c r="D342" s="7" t="s">
        <v>36</v>
      </c>
      <c r="E342" s="7" t="s">
        <v>36</v>
      </c>
      <c r="F342" s="7" t="s">
        <v>36</v>
      </c>
      <c r="G342" s="7" t="s">
        <v>37</v>
      </c>
      <c r="K342" s="7" t="s">
        <v>38</v>
      </c>
      <c r="L342" s="7" t="s">
        <v>39</v>
      </c>
      <c r="M342" s="7" t="s">
        <v>40</v>
      </c>
      <c r="N342" s="7" t="s">
        <v>41</v>
      </c>
      <c r="R342" s="7" t="s">
        <v>54</v>
      </c>
      <c r="S342" s="8">
        <v>523452.43</v>
      </c>
      <c r="U342" s="8">
        <v>523452.43</v>
      </c>
      <c r="V342" s="7" t="s">
        <v>56</v>
      </c>
      <c r="W342" s="7" t="s">
        <v>2620</v>
      </c>
      <c r="X342" s="7" t="s">
        <v>2618</v>
      </c>
      <c r="Y342" s="7" t="s">
        <v>1691</v>
      </c>
      <c r="AA342" s="7" t="s">
        <v>2617</v>
      </c>
      <c r="AB342" s="7">
        <v>11</v>
      </c>
      <c r="AC342" s="7" t="s">
        <v>55</v>
      </c>
      <c r="AD342" s="7" t="s">
        <v>734</v>
      </c>
      <c r="AF342" s="7" t="s">
        <v>44</v>
      </c>
      <c r="AH342" s="4">
        <v>45535.999988425923</v>
      </c>
    </row>
    <row r="343" spans="1:34" x14ac:dyDescent="0.3">
      <c r="A343" s="4">
        <v>45505</v>
      </c>
      <c r="B343" s="4">
        <v>45505</v>
      </c>
      <c r="C343" s="7" t="s">
        <v>35</v>
      </c>
      <c r="D343" s="7" t="s">
        <v>36</v>
      </c>
      <c r="E343" s="7" t="s">
        <v>36</v>
      </c>
      <c r="F343" s="7" t="s">
        <v>36</v>
      </c>
      <c r="G343" s="7" t="s">
        <v>37</v>
      </c>
      <c r="K343" s="7" t="s">
        <v>38</v>
      </c>
      <c r="L343" s="7" t="s">
        <v>39</v>
      </c>
      <c r="M343" s="7" t="s">
        <v>40</v>
      </c>
      <c r="N343" s="7" t="s">
        <v>41</v>
      </c>
      <c r="R343" s="7" t="s">
        <v>45</v>
      </c>
      <c r="T343" s="8">
        <v>523452.43</v>
      </c>
      <c r="U343" s="8">
        <v>-523452.43</v>
      </c>
      <c r="V343" s="7" t="s">
        <v>56</v>
      </c>
      <c r="W343" s="7" t="s">
        <v>2620</v>
      </c>
      <c r="X343" s="7" t="s">
        <v>2618</v>
      </c>
      <c r="Y343" s="7" t="s">
        <v>1691</v>
      </c>
      <c r="AA343" s="7" t="s">
        <v>2617</v>
      </c>
      <c r="AB343" s="7">
        <v>11</v>
      </c>
      <c r="AC343" s="7" t="s">
        <v>55</v>
      </c>
      <c r="AD343" s="7" t="s">
        <v>736</v>
      </c>
      <c r="AF343" s="7" t="s">
        <v>44</v>
      </c>
      <c r="AH343" s="4">
        <v>45535.999988425923</v>
      </c>
    </row>
    <row r="344" spans="1:34" x14ac:dyDescent="0.3">
      <c r="A344" s="4">
        <v>45505</v>
      </c>
      <c r="B344" s="4">
        <v>45535</v>
      </c>
      <c r="C344" s="7" t="s">
        <v>46</v>
      </c>
      <c r="D344" s="7" t="s">
        <v>36</v>
      </c>
      <c r="E344" s="7" t="s">
        <v>36</v>
      </c>
      <c r="F344" s="7" t="s">
        <v>36</v>
      </c>
      <c r="G344" s="7" t="s">
        <v>37</v>
      </c>
      <c r="K344" s="7" t="s">
        <v>38</v>
      </c>
      <c r="L344" s="7" t="s">
        <v>39</v>
      </c>
      <c r="M344" s="7" t="s">
        <v>38</v>
      </c>
      <c r="N344" s="7" t="s">
        <v>41</v>
      </c>
      <c r="R344" s="7" t="s">
        <v>49</v>
      </c>
      <c r="S344" s="8">
        <v>7760.8366939999996</v>
      </c>
      <c r="U344" s="8">
        <v>7760.8366939999996</v>
      </c>
      <c r="V344" s="7" t="s">
        <v>56</v>
      </c>
      <c r="W344" s="7" t="s">
        <v>57</v>
      </c>
      <c r="X344" s="7" t="s">
        <v>2618</v>
      </c>
      <c r="Y344" s="7" t="s">
        <v>1691</v>
      </c>
      <c r="AA344" s="7" t="s">
        <v>2617</v>
      </c>
      <c r="AB344" s="7">
        <v>12</v>
      </c>
      <c r="AC344" s="7" t="s">
        <v>57</v>
      </c>
      <c r="AD344" s="7" t="s">
        <v>737</v>
      </c>
      <c r="AF344" s="7" t="s">
        <v>44</v>
      </c>
      <c r="AH344" s="4">
        <v>45535.999988425923</v>
      </c>
    </row>
    <row r="345" spans="1:34" x14ac:dyDescent="0.3">
      <c r="A345" s="4">
        <v>45505</v>
      </c>
      <c r="B345" s="4">
        <v>45535</v>
      </c>
      <c r="C345" s="7" t="s">
        <v>46</v>
      </c>
      <c r="D345" s="7" t="s">
        <v>36</v>
      </c>
      <c r="E345" s="7" t="s">
        <v>36</v>
      </c>
      <c r="F345" s="7" t="s">
        <v>36</v>
      </c>
      <c r="G345" s="7" t="s">
        <v>37</v>
      </c>
      <c r="K345" s="7" t="s">
        <v>38</v>
      </c>
      <c r="L345" s="7" t="s">
        <v>39</v>
      </c>
      <c r="M345" s="7" t="s">
        <v>40</v>
      </c>
      <c r="N345" s="7" t="s">
        <v>41</v>
      </c>
      <c r="R345" s="7" t="s">
        <v>45</v>
      </c>
      <c r="S345" s="8">
        <v>42239.163306000002</v>
      </c>
      <c r="U345" s="8">
        <v>42239.163306000002</v>
      </c>
      <c r="V345" s="7" t="s">
        <v>56</v>
      </c>
      <c r="W345" s="7" t="s">
        <v>57</v>
      </c>
      <c r="X345" s="7" t="s">
        <v>2618</v>
      </c>
      <c r="Y345" s="7" t="s">
        <v>1691</v>
      </c>
      <c r="AA345" s="7" t="s">
        <v>2617</v>
      </c>
      <c r="AB345" s="7">
        <v>12</v>
      </c>
      <c r="AC345" s="7" t="s">
        <v>57</v>
      </c>
      <c r="AD345" s="7" t="s">
        <v>739</v>
      </c>
      <c r="AF345" s="7" t="s">
        <v>44</v>
      </c>
      <c r="AH345" s="4">
        <v>45535.999988425923</v>
      </c>
    </row>
    <row r="346" spans="1:34" x14ac:dyDescent="0.3">
      <c r="A346" s="4">
        <v>45505</v>
      </c>
      <c r="B346" s="4">
        <v>45535</v>
      </c>
      <c r="C346" s="7" t="s">
        <v>46</v>
      </c>
      <c r="D346" s="7" t="s">
        <v>36</v>
      </c>
      <c r="E346" s="7" t="s">
        <v>36</v>
      </c>
      <c r="F346" s="7" t="s">
        <v>36</v>
      </c>
      <c r="G346" s="7" t="s">
        <v>37</v>
      </c>
      <c r="K346" s="7" t="s">
        <v>38</v>
      </c>
      <c r="L346" s="7" t="s">
        <v>39</v>
      </c>
      <c r="M346" s="7" t="s">
        <v>40</v>
      </c>
      <c r="N346" s="7" t="s">
        <v>41</v>
      </c>
      <c r="R346" s="7" t="s">
        <v>58</v>
      </c>
      <c r="T346" s="8">
        <v>50000</v>
      </c>
      <c r="U346" s="8">
        <v>-50000</v>
      </c>
      <c r="V346" s="7" t="s">
        <v>56</v>
      </c>
      <c r="W346" s="7" t="s">
        <v>57</v>
      </c>
      <c r="X346" s="7" t="s">
        <v>2618</v>
      </c>
      <c r="Y346" s="7" t="s">
        <v>1691</v>
      </c>
      <c r="AA346" s="7" t="s">
        <v>2617</v>
      </c>
      <c r="AB346" s="7">
        <v>12</v>
      </c>
      <c r="AC346" s="7" t="s">
        <v>57</v>
      </c>
      <c r="AD346" s="7" t="s">
        <v>740</v>
      </c>
      <c r="AF346" s="7" t="s">
        <v>44</v>
      </c>
      <c r="AH346" s="4">
        <v>45535.999988425923</v>
      </c>
    </row>
    <row r="347" spans="1:34" x14ac:dyDescent="0.3">
      <c r="A347" s="4">
        <v>45535</v>
      </c>
      <c r="B347" s="4">
        <v>45535</v>
      </c>
      <c r="C347" s="7" t="s">
        <v>46</v>
      </c>
      <c r="D347" s="7" t="s">
        <v>36</v>
      </c>
      <c r="E347" s="7" t="s">
        <v>36</v>
      </c>
      <c r="F347" s="7" t="s">
        <v>36</v>
      </c>
      <c r="G347" s="7" t="s">
        <v>37</v>
      </c>
      <c r="K347" s="7" t="s">
        <v>38</v>
      </c>
      <c r="L347" s="7" t="s">
        <v>39</v>
      </c>
      <c r="M347" s="7" t="s">
        <v>40</v>
      </c>
      <c r="N347" s="7" t="s">
        <v>41</v>
      </c>
      <c r="R347" s="7" t="s">
        <v>47</v>
      </c>
      <c r="S347" s="8">
        <v>7514.4415749999998</v>
      </c>
      <c r="U347" s="8">
        <v>7514.4415749999998</v>
      </c>
      <c r="V347" s="7" t="s">
        <v>56</v>
      </c>
      <c r="W347" s="7" t="s">
        <v>2621</v>
      </c>
      <c r="X347" s="7" t="s">
        <v>2618</v>
      </c>
      <c r="Y347" s="7" t="s">
        <v>1691</v>
      </c>
      <c r="AA347" s="7" t="s">
        <v>2617</v>
      </c>
      <c r="AB347" s="7">
        <v>8</v>
      </c>
      <c r="AC347" s="7" t="s">
        <v>48</v>
      </c>
      <c r="AD347" s="7" t="s">
        <v>741</v>
      </c>
      <c r="AF347" s="7" t="s">
        <v>44</v>
      </c>
      <c r="AH347" s="4">
        <v>45535.999988425923</v>
      </c>
    </row>
    <row r="348" spans="1:34" x14ac:dyDescent="0.3">
      <c r="A348" s="4">
        <v>45535</v>
      </c>
      <c r="B348" s="4">
        <v>45535</v>
      </c>
      <c r="C348" s="7" t="s">
        <v>46</v>
      </c>
      <c r="D348" s="7" t="s">
        <v>36</v>
      </c>
      <c r="E348" s="7" t="s">
        <v>36</v>
      </c>
      <c r="F348" s="7" t="s">
        <v>36</v>
      </c>
      <c r="G348" s="7" t="s">
        <v>37</v>
      </c>
      <c r="K348" s="7" t="s">
        <v>38</v>
      </c>
      <c r="L348" s="7" t="s">
        <v>39</v>
      </c>
      <c r="M348" s="7" t="s">
        <v>38</v>
      </c>
      <c r="N348" s="7" t="s">
        <v>41</v>
      </c>
      <c r="R348" s="7" t="s">
        <v>49</v>
      </c>
      <c r="T348" s="8">
        <v>7514.4415749999998</v>
      </c>
      <c r="U348" s="8">
        <v>-7514.4415749999998</v>
      </c>
      <c r="V348" s="7" t="s">
        <v>56</v>
      </c>
      <c r="W348" s="7" t="s">
        <v>2621</v>
      </c>
      <c r="X348" s="7" t="s">
        <v>2618</v>
      </c>
      <c r="Y348" s="7" t="s">
        <v>1691</v>
      </c>
      <c r="AA348" s="7" t="s">
        <v>2617</v>
      </c>
      <c r="AB348" s="7">
        <v>8</v>
      </c>
      <c r="AC348" s="7" t="s">
        <v>48</v>
      </c>
      <c r="AD348" s="7" t="s">
        <v>743</v>
      </c>
      <c r="AF348" s="7" t="s">
        <v>44</v>
      </c>
      <c r="AH348" s="4">
        <v>45535.999988425923</v>
      </c>
    </row>
    <row r="349" spans="1:34" x14ac:dyDescent="0.3">
      <c r="A349" s="4">
        <v>45535</v>
      </c>
      <c r="B349" s="4">
        <v>44562</v>
      </c>
      <c r="C349" s="7" t="s">
        <v>35</v>
      </c>
      <c r="D349" s="7" t="s">
        <v>36</v>
      </c>
      <c r="E349" s="7" t="s">
        <v>36</v>
      </c>
      <c r="F349" s="7" t="s">
        <v>36</v>
      </c>
      <c r="G349" s="7" t="s">
        <v>37</v>
      </c>
      <c r="K349" s="7" t="s">
        <v>38</v>
      </c>
      <c r="L349" s="7" t="s">
        <v>39</v>
      </c>
      <c r="M349" s="7" t="s">
        <v>40</v>
      </c>
      <c r="N349" s="7" t="s">
        <v>41</v>
      </c>
      <c r="R349" s="7" t="s">
        <v>50</v>
      </c>
      <c r="S349" s="8">
        <v>42330.49</v>
      </c>
      <c r="U349" s="8">
        <v>42330.49</v>
      </c>
      <c r="V349" s="7" t="s">
        <v>56</v>
      </c>
      <c r="W349" s="7" t="s">
        <v>2619</v>
      </c>
      <c r="X349" s="7" t="s">
        <v>2618</v>
      </c>
      <c r="Y349" s="7" t="s">
        <v>1691</v>
      </c>
      <c r="AA349" s="7" t="s">
        <v>2617</v>
      </c>
      <c r="AB349" s="7">
        <v>10</v>
      </c>
      <c r="AC349" s="7" t="s">
        <v>51</v>
      </c>
      <c r="AD349" s="7" t="s">
        <v>744</v>
      </c>
      <c r="AF349" s="7" t="s">
        <v>44</v>
      </c>
      <c r="AH349" s="4">
        <v>45535.999988425923</v>
      </c>
    </row>
    <row r="350" spans="1:34" x14ac:dyDescent="0.3">
      <c r="A350" s="4">
        <v>45535</v>
      </c>
      <c r="B350" s="4">
        <v>44562</v>
      </c>
      <c r="C350" s="7" t="s">
        <v>35</v>
      </c>
      <c r="D350" s="7" t="s">
        <v>36</v>
      </c>
      <c r="E350" s="7" t="s">
        <v>36</v>
      </c>
      <c r="F350" s="7" t="s">
        <v>36</v>
      </c>
      <c r="G350" s="7" t="s">
        <v>37</v>
      </c>
      <c r="K350" s="7" t="s">
        <v>38</v>
      </c>
      <c r="L350" s="7" t="s">
        <v>39</v>
      </c>
      <c r="M350" s="7" t="s">
        <v>40</v>
      </c>
      <c r="N350" s="7" t="s">
        <v>41</v>
      </c>
      <c r="R350" s="7" t="s">
        <v>52</v>
      </c>
      <c r="T350" s="8">
        <v>42330.49</v>
      </c>
      <c r="U350" s="8">
        <v>-42330.49</v>
      </c>
      <c r="V350" s="7" t="s">
        <v>56</v>
      </c>
      <c r="W350" s="7" t="s">
        <v>2619</v>
      </c>
      <c r="X350" s="7" t="s">
        <v>2618</v>
      </c>
      <c r="Y350" s="7" t="s">
        <v>1691</v>
      </c>
      <c r="AA350" s="7" t="s">
        <v>2617</v>
      </c>
      <c r="AB350" s="7">
        <v>10</v>
      </c>
      <c r="AC350" s="7" t="s">
        <v>51</v>
      </c>
      <c r="AD350" s="7" t="s">
        <v>746</v>
      </c>
      <c r="AF350" s="7" t="s">
        <v>44</v>
      </c>
      <c r="AH350" s="4">
        <v>45535.999988425923</v>
      </c>
    </row>
    <row r="351" spans="1:34" x14ac:dyDescent="0.3">
      <c r="A351" s="4">
        <v>45535</v>
      </c>
      <c r="B351" s="4">
        <v>45535</v>
      </c>
      <c r="C351" s="7" t="s">
        <v>35</v>
      </c>
      <c r="D351" s="7" t="s">
        <v>36</v>
      </c>
      <c r="E351" s="7" t="s">
        <v>36</v>
      </c>
      <c r="F351" s="7" t="s">
        <v>36</v>
      </c>
      <c r="G351" s="7" t="s">
        <v>37</v>
      </c>
      <c r="K351" s="7" t="s">
        <v>38</v>
      </c>
      <c r="L351" s="7" t="s">
        <v>39</v>
      </c>
      <c r="M351" s="7" t="s">
        <v>40</v>
      </c>
      <c r="N351" s="7" t="s">
        <v>41</v>
      </c>
      <c r="R351" s="7" t="s">
        <v>45</v>
      </c>
      <c r="S351" s="8">
        <v>526505.91</v>
      </c>
      <c r="U351" s="8">
        <v>526505.91</v>
      </c>
      <c r="V351" s="7" t="s">
        <v>56</v>
      </c>
      <c r="W351" s="7" t="s">
        <v>2620</v>
      </c>
      <c r="X351" s="7" t="s">
        <v>2618</v>
      </c>
      <c r="Y351" s="7" t="s">
        <v>1691</v>
      </c>
      <c r="AA351" s="7" t="s">
        <v>2617</v>
      </c>
      <c r="AB351" s="7">
        <v>11</v>
      </c>
      <c r="AC351" s="7" t="s">
        <v>53</v>
      </c>
      <c r="AD351" s="7" t="s">
        <v>747</v>
      </c>
      <c r="AF351" s="7" t="s">
        <v>44</v>
      </c>
      <c r="AH351" s="4">
        <v>45535.999988425923</v>
      </c>
    </row>
    <row r="352" spans="1:34" x14ac:dyDescent="0.3">
      <c r="A352" s="4">
        <v>45535</v>
      </c>
      <c r="B352" s="4">
        <v>45535</v>
      </c>
      <c r="C352" s="7" t="s">
        <v>35</v>
      </c>
      <c r="D352" s="7" t="s">
        <v>36</v>
      </c>
      <c r="E352" s="7" t="s">
        <v>36</v>
      </c>
      <c r="F352" s="7" t="s">
        <v>36</v>
      </c>
      <c r="G352" s="7" t="s">
        <v>37</v>
      </c>
      <c r="K352" s="7" t="s">
        <v>38</v>
      </c>
      <c r="L352" s="7" t="s">
        <v>39</v>
      </c>
      <c r="M352" s="7" t="s">
        <v>40</v>
      </c>
      <c r="N352" s="7" t="s">
        <v>41</v>
      </c>
      <c r="R352" s="7" t="s">
        <v>54</v>
      </c>
      <c r="T352" s="8">
        <v>526505.91</v>
      </c>
      <c r="U352" s="8">
        <v>-526505.91</v>
      </c>
      <c r="V352" s="7" t="s">
        <v>56</v>
      </c>
      <c r="W352" s="7" t="s">
        <v>2620</v>
      </c>
      <c r="X352" s="7" t="s">
        <v>2618</v>
      </c>
      <c r="Y352" s="7" t="s">
        <v>1691</v>
      </c>
      <c r="AA352" s="7" t="s">
        <v>2617</v>
      </c>
      <c r="AB352" s="7">
        <v>11</v>
      </c>
      <c r="AC352" s="7" t="s">
        <v>53</v>
      </c>
      <c r="AD352" s="7" t="s">
        <v>749</v>
      </c>
      <c r="AF352" s="7" t="s">
        <v>44</v>
      </c>
      <c r="AH352" s="4">
        <v>45535.999988425923</v>
      </c>
    </row>
    <row r="353" spans="1:34" x14ac:dyDescent="0.3">
      <c r="A353" s="4">
        <v>45536</v>
      </c>
      <c r="B353" s="4">
        <v>45536</v>
      </c>
      <c r="C353" s="7" t="s">
        <v>35</v>
      </c>
      <c r="D353" s="7" t="s">
        <v>36</v>
      </c>
      <c r="E353" s="7" t="s">
        <v>36</v>
      </c>
      <c r="F353" s="7" t="s">
        <v>36</v>
      </c>
      <c r="G353" s="7" t="s">
        <v>37</v>
      </c>
      <c r="K353" s="7" t="s">
        <v>38</v>
      </c>
      <c r="L353" s="7" t="s">
        <v>39</v>
      </c>
      <c r="M353" s="7" t="s">
        <v>40</v>
      </c>
      <c r="N353" s="7" t="s">
        <v>41</v>
      </c>
      <c r="R353" s="7" t="s">
        <v>54</v>
      </c>
      <c r="S353" s="8">
        <v>526505.91</v>
      </c>
      <c r="U353" s="8">
        <v>526505.91</v>
      </c>
      <c r="V353" s="7" t="s">
        <v>56</v>
      </c>
      <c r="W353" s="7" t="s">
        <v>2620</v>
      </c>
      <c r="X353" s="7" t="s">
        <v>2618</v>
      </c>
      <c r="Y353" s="7" t="s">
        <v>1691</v>
      </c>
      <c r="AA353" s="7" t="s">
        <v>2617</v>
      </c>
      <c r="AB353" s="7">
        <v>11</v>
      </c>
      <c r="AC353" s="7" t="s">
        <v>55</v>
      </c>
      <c r="AD353" s="7" t="s">
        <v>750</v>
      </c>
      <c r="AF353" s="7" t="s">
        <v>44</v>
      </c>
      <c r="AH353" s="4">
        <v>45565.999988425923</v>
      </c>
    </row>
    <row r="354" spans="1:34" x14ac:dyDescent="0.3">
      <c r="A354" s="4">
        <v>45536</v>
      </c>
      <c r="B354" s="4">
        <v>45536</v>
      </c>
      <c r="C354" s="7" t="s">
        <v>35</v>
      </c>
      <c r="D354" s="7" t="s">
        <v>36</v>
      </c>
      <c r="E354" s="7" t="s">
        <v>36</v>
      </c>
      <c r="F354" s="7" t="s">
        <v>36</v>
      </c>
      <c r="G354" s="7" t="s">
        <v>37</v>
      </c>
      <c r="K354" s="7" t="s">
        <v>38</v>
      </c>
      <c r="L354" s="7" t="s">
        <v>39</v>
      </c>
      <c r="M354" s="7" t="s">
        <v>40</v>
      </c>
      <c r="N354" s="7" t="s">
        <v>41</v>
      </c>
      <c r="R354" s="7" t="s">
        <v>45</v>
      </c>
      <c r="T354" s="8">
        <v>526505.91</v>
      </c>
      <c r="U354" s="8">
        <v>-526505.91</v>
      </c>
      <c r="V354" s="7" t="s">
        <v>56</v>
      </c>
      <c r="W354" s="7" t="s">
        <v>2620</v>
      </c>
      <c r="X354" s="7" t="s">
        <v>2618</v>
      </c>
      <c r="Y354" s="7" t="s">
        <v>1691</v>
      </c>
      <c r="AA354" s="7" t="s">
        <v>2617</v>
      </c>
      <c r="AB354" s="7">
        <v>11</v>
      </c>
      <c r="AC354" s="7" t="s">
        <v>55</v>
      </c>
      <c r="AD354" s="7" t="s">
        <v>752</v>
      </c>
      <c r="AF354" s="7" t="s">
        <v>44</v>
      </c>
      <c r="AH354" s="4">
        <v>45565.999988425923</v>
      </c>
    </row>
    <row r="355" spans="1:34" x14ac:dyDescent="0.3">
      <c r="A355" s="4">
        <v>45536</v>
      </c>
      <c r="B355" s="4">
        <v>45565</v>
      </c>
      <c r="C355" s="7" t="s">
        <v>46</v>
      </c>
      <c r="D355" s="7" t="s">
        <v>36</v>
      </c>
      <c r="E355" s="7" t="s">
        <v>36</v>
      </c>
      <c r="F355" s="7" t="s">
        <v>36</v>
      </c>
      <c r="G355" s="7" t="s">
        <v>37</v>
      </c>
      <c r="K355" s="7" t="s">
        <v>38</v>
      </c>
      <c r="L355" s="7" t="s">
        <v>39</v>
      </c>
      <c r="M355" s="7" t="s">
        <v>38</v>
      </c>
      <c r="N355" s="7" t="s">
        <v>41</v>
      </c>
      <c r="R355" s="7" t="s">
        <v>49</v>
      </c>
      <c r="S355" s="8">
        <v>7514.4415749999998</v>
      </c>
      <c r="U355" s="8">
        <v>7514.4415749999998</v>
      </c>
      <c r="V355" s="7" t="s">
        <v>56</v>
      </c>
      <c r="W355" s="7" t="s">
        <v>57</v>
      </c>
      <c r="X355" s="7" t="s">
        <v>2618</v>
      </c>
      <c r="Y355" s="7" t="s">
        <v>1691</v>
      </c>
      <c r="AA355" s="7" t="s">
        <v>2617</v>
      </c>
      <c r="AB355" s="7">
        <v>12</v>
      </c>
      <c r="AC355" s="7" t="s">
        <v>57</v>
      </c>
      <c r="AD355" s="7" t="s">
        <v>753</v>
      </c>
      <c r="AF355" s="7" t="s">
        <v>44</v>
      </c>
      <c r="AH355" s="4">
        <v>45565.999988425923</v>
      </c>
    </row>
    <row r="356" spans="1:34" x14ac:dyDescent="0.3">
      <c r="A356" s="4">
        <v>45536</v>
      </c>
      <c r="B356" s="4">
        <v>45565</v>
      </c>
      <c r="C356" s="7" t="s">
        <v>46</v>
      </c>
      <c r="D356" s="7" t="s">
        <v>36</v>
      </c>
      <c r="E356" s="7" t="s">
        <v>36</v>
      </c>
      <c r="F356" s="7" t="s">
        <v>36</v>
      </c>
      <c r="G356" s="7" t="s">
        <v>37</v>
      </c>
      <c r="K356" s="7" t="s">
        <v>38</v>
      </c>
      <c r="L356" s="7" t="s">
        <v>39</v>
      </c>
      <c r="M356" s="7" t="s">
        <v>40</v>
      </c>
      <c r="N356" s="7" t="s">
        <v>41</v>
      </c>
      <c r="R356" s="7" t="s">
        <v>45</v>
      </c>
      <c r="S356" s="8">
        <v>42485.558425000003</v>
      </c>
      <c r="U356" s="8">
        <v>42485.558425000003</v>
      </c>
      <c r="V356" s="7" t="s">
        <v>56</v>
      </c>
      <c r="W356" s="7" t="s">
        <v>57</v>
      </c>
      <c r="X356" s="7" t="s">
        <v>2618</v>
      </c>
      <c r="Y356" s="7" t="s">
        <v>1691</v>
      </c>
      <c r="AA356" s="7" t="s">
        <v>2617</v>
      </c>
      <c r="AB356" s="7">
        <v>12</v>
      </c>
      <c r="AC356" s="7" t="s">
        <v>57</v>
      </c>
      <c r="AD356" s="7" t="s">
        <v>755</v>
      </c>
      <c r="AF356" s="7" t="s">
        <v>44</v>
      </c>
      <c r="AH356" s="4">
        <v>45565.999988425923</v>
      </c>
    </row>
    <row r="357" spans="1:34" x14ac:dyDescent="0.3">
      <c r="A357" s="4">
        <v>45536</v>
      </c>
      <c r="B357" s="4">
        <v>45565</v>
      </c>
      <c r="C357" s="7" t="s">
        <v>46</v>
      </c>
      <c r="D357" s="7" t="s">
        <v>36</v>
      </c>
      <c r="E357" s="7" t="s">
        <v>36</v>
      </c>
      <c r="F357" s="7" t="s">
        <v>36</v>
      </c>
      <c r="G357" s="7" t="s">
        <v>37</v>
      </c>
      <c r="K357" s="7" t="s">
        <v>38</v>
      </c>
      <c r="L357" s="7" t="s">
        <v>39</v>
      </c>
      <c r="M357" s="7" t="s">
        <v>40</v>
      </c>
      <c r="N357" s="7" t="s">
        <v>41</v>
      </c>
      <c r="R357" s="7" t="s">
        <v>58</v>
      </c>
      <c r="T357" s="8">
        <v>50000</v>
      </c>
      <c r="U357" s="8">
        <v>-50000</v>
      </c>
      <c r="V357" s="7" t="s">
        <v>56</v>
      </c>
      <c r="W357" s="7" t="s">
        <v>57</v>
      </c>
      <c r="X357" s="7" t="s">
        <v>2618</v>
      </c>
      <c r="Y357" s="7" t="s">
        <v>1691</v>
      </c>
      <c r="AA357" s="7" t="s">
        <v>2617</v>
      </c>
      <c r="AB357" s="7">
        <v>12</v>
      </c>
      <c r="AC357" s="7" t="s">
        <v>57</v>
      </c>
      <c r="AD357" s="7" t="s">
        <v>756</v>
      </c>
      <c r="AF357" s="7" t="s">
        <v>44</v>
      </c>
      <c r="AH357" s="4">
        <v>45565.999988425923</v>
      </c>
    </row>
    <row r="358" spans="1:34" x14ac:dyDescent="0.3">
      <c r="A358" s="4">
        <v>45565</v>
      </c>
      <c r="B358" s="4">
        <v>45565</v>
      </c>
      <c r="C358" s="7" t="s">
        <v>46</v>
      </c>
      <c r="D358" s="7" t="s">
        <v>36</v>
      </c>
      <c r="E358" s="7" t="s">
        <v>36</v>
      </c>
      <c r="F358" s="7" t="s">
        <v>36</v>
      </c>
      <c r="G358" s="7" t="s">
        <v>37</v>
      </c>
      <c r="K358" s="7" t="s">
        <v>38</v>
      </c>
      <c r="L358" s="7" t="s">
        <v>39</v>
      </c>
      <c r="M358" s="7" t="s">
        <v>40</v>
      </c>
      <c r="N358" s="7" t="s">
        <v>41</v>
      </c>
      <c r="R358" s="7" t="s">
        <v>47</v>
      </c>
      <c r="S358" s="8">
        <v>7266.6091509999997</v>
      </c>
      <c r="U358" s="8">
        <v>7266.6091509999997</v>
      </c>
      <c r="V358" s="7" t="s">
        <v>56</v>
      </c>
      <c r="W358" s="7" t="s">
        <v>2621</v>
      </c>
      <c r="X358" s="7" t="s">
        <v>2618</v>
      </c>
      <c r="Y358" s="7" t="s">
        <v>1691</v>
      </c>
      <c r="AA358" s="7" t="s">
        <v>2617</v>
      </c>
      <c r="AB358" s="7">
        <v>8</v>
      </c>
      <c r="AC358" s="7" t="s">
        <v>48</v>
      </c>
      <c r="AD358" s="7" t="s">
        <v>757</v>
      </c>
      <c r="AF358" s="7" t="s">
        <v>44</v>
      </c>
      <c r="AH358" s="4">
        <v>45565.999988425923</v>
      </c>
    </row>
    <row r="359" spans="1:34" x14ac:dyDescent="0.3">
      <c r="A359" s="4">
        <v>45565</v>
      </c>
      <c r="B359" s="4">
        <v>45565</v>
      </c>
      <c r="C359" s="7" t="s">
        <v>46</v>
      </c>
      <c r="D359" s="7" t="s">
        <v>36</v>
      </c>
      <c r="E359" s="7" t="s">
        <v>36</v>
      </c>
      <c r="F359" s="7" t="s">
        <v>36</v>
      </c>
      <c r="G359" s="7" t="s">
        <v>37</v>
      </c>
      <c r="K359" s="7" t="s">
        <v>38</v>
      </c>
      <c r="L359" s="7" t="s">
        <v>39</v>
      </c>
      <c r="M359" s="7" t="s">
        <v>38</v>
      </c>
      <c r="N359" s="7" t="s">
        <v>41</v>
      </c>
      <c r="R359" s="7" t="s">
        <v>49</v>
      </c>
      <c r="T359" s="8">
        <v>7266.6091509999997</v>
      </c>
      <c r="U359" s="8">
        <v>-7266.6091509999997</v>
      </c>
      <c r="V359" s="7" t="s">
        <v>56</v>
      </c>
      <c r="W359" s="7" t="s">
        <v>2621</v>
      </c>
      <c r="X359" s="7" t="s">
        <v>2618</v>
      </c>
      <c r="Y359" s="7" t="s">
        <v>1691</v>
      </c>
      <c r="AA359" s="7" t="s">
        <v>2617</v>
      </c>
      <c r="AB359" s="7">
        <v>8</v>
      </c>
      <c r="AC359" s="7" t="s">
        <v>48</v>
      </c>
      <c r="AD359" s="7" t="s">
        <v>759</v>
      </c>
      <c r="AF359" s="7" t="s">
        <v>44</v>
      </c>
      <c r="AH359" s="4">
        <v>45565.999988425923</v>
      </c>
    </row>
    <row r="360" spans="1:34" x14ac:dyDescent="0.3">
      <c r="A360" s="4">
        <v>45565</v>
      </c>
      <c r="B360" s="4">
        <v>44562</v>
      </c>
      <c r="C360" s="7" t="s">
        <v>35</v>
      </c>
      <c r="D360" s="7" t="s">
        <v>36</v>
      </c>
      <c r="E360" s="7" t="s">
        <v>36</v>
      </c>
      <c r="F360" s="7" t="s">
        <v>36</v>
      </c>
      <c r="G360" s="7" t="s">
        <v>37</v>
      </c>
      <c r="K360" s="7" t="s">
        <v>38</v>
      </c>
      <c r="L360" s="7" t="s">
        <v>39</v>
      </c>
      <c r="M360" s="7" t="s">
        <v>40</v>
      </c>
      <c r="N360" s="7" t="s">
        <v>41</v>
      </c>
      <c r="R360" s="7" t="s">
        <v>50</v>
      </c>
      <c r="S360" s="8">
        <v>42330.49</v>
      </c>
      <c r="U360" s="8">
        <v>42330.49</v>
      </c>
      <c r="V360" s="7" t="s">
        <v>56</v>
      </c>
      <c r="W360" s="7" t="s">
        <v>2619</v>
      </c>
      <c r="X360" s="7" t="s">
        <v>2618</v>
      </c>
      <c r="Y360" s="7" t="s">
        <v>1691</v>
      </c>
      <c r="AA360" s="7" t="s">
        <v>2617</v>
      </c>
      <c r="AB360" s="7">
        <v>10</v>
      </c>
      <c r="AC360" s="7" t="s">
        <v>51</v>
      </c>
      <c r="AD360" s="7" t="s">
        <v>760</v>
      </c>
      <c r="AF360" s="7" t="s">
        <v>44</v>
      </c>
      <c r="AH360" s="4">
        <v>45565.999988425923</v>
      </c>
    </row>
    <row r="361" spans="1:34" x14ac:dyDescent="0.3">
      <c r="A361" s="4">
        <v>45565</v>
      </c>
      <c r="B361" s="4">
        <v>44562</v>
      </c>
      <c r="C361" s="7" t="s">
        <v>35</v>
      </c>
      <c r="D361" s="7" t="s">
        <v>36</v>
      </c>
      <c r="E361" s="7" t="s">
        <v>36</v>
      </c>
      <c r="F361" s="7" t="s">
        <v>36</v>
      </c>
      <c r="G361" s="7" t="s">
        <v>37</v>
      </c>
      <c r="K361" s="7" t="s">
        <v>38</v>
      </c>
      <c r="L361" s="7" t="s">
        <v>39</v>
      </c>
      <c r="M361" s="7" t="s">
        <v>40</v>
      </c>
      <c r="N361" s="7" t="s">
        <v>41</v>
      </c>
      <c r="R361" s="7" t="s">
        <v>52</v>
      </c>
      <c r="T361" s="8">
        <v>42330.49</v>
      </c>
      <c r="U361" s="8">
        <v>-42330.49</v>
      </c>
      <c r="V361" s="7" t="s">
        <v>56</v>
      </c>
      <c r="W361" s="7" t="s">
        <v>2619</v>
      </c>
      <c r="X361" s="7" t="s">
        <v>2618</v>
      </c>
      <c r="Y361" s="7" t="s">
        <v>1691</v>
      </c>
      <c r="AA361" s="7" t="s">
        <v>2617</v>
      </c>
      <c r="AB361" s="7">
        <v>10</v>
      </c>
      <c r="AC361" s="7" t="s">
        <v>51</v>
      </c>
      <c r="AD361" s="7" t="s">
        <v>762</v>
      </c>
      <c r="AF361" s="7" t="s">
        <v>44</v>
      </c>
      <c r="AH361" s="4">
        <v>45565.999988425923</v>
      </c>
    </row>
    <row r="362" spans="1:34" x14ac:dyDescent="0.3">
      <c r="A362" s="4">
        <v>45565</v>
      </c>
      <c r="B362" s="4">
        <v>45565</v>
      </c>
      <c r="C362" s="7" t="s">
        <v>35</v>
      </c>
      <c r="D362" s="7" t="s">
        <v>36</v>
      </c>
      <c r="E362" s="7" t="s">
        <v>36</v>
      </c>
      <c r="F362" s="7" t="s">
        <v>36</v>
      </c>
      <c r="G362" s="7" t="s">
        <v>37</v>
      </c>
      <c r="K362" s="7" t="s">
        <v>38</v>
      </c>
      <c r="L362" s="7" t="s">
        <v>39</v>
      </c>
      <c r="M362" s="7" t="s">
        <v>40</v>
      </c>
      <c r="N362" s="7" t="s">
        <v>41</v>
      </c>
      <c r="R362" s="7" t="s">
        <v>45</v>
      </c>
      <c r="S362" s="8">
        <v>529577.18999999994</v>
      </c>
      <c r="U362" s="8">
        <v>529577.18999999994</v>
      </c>
      <c r="V362" s="7" t="s">
        <v>56</v>
      </c>
      <c r="W362" s="7" t="s">
        <v>2620</v>
      </c>
      <c r="X362" s="7" t="s">
        <v>2618</v>
      </c>
      <c r="Y362" s="7" t="s">
        <v>1691</v>
      </c>
      <c r="AA362" s="7" t="s">
        <v>2617</v>
      </c>
      <c r="AB362" s="7">
        <v>11</v>
      </c>
      <c r="AC362" s="7" t="s">
        <v>53</v>
      </c>
      <c r="AD362" s="7" t="s">
        <v>763</v>
      </c>
      <c r="AF362" s="7" t="s">
        <v>44</v>
      </c>
      <c r="AH362" s="4">
        <v>45565.999988425923</v>
      </c>
    </row>
    <row r="363" spans="1:34" x14ac:dyDescent="0.3">
      <c r="A363" s="4">
        <v>45565</v>
      </c>
      <c r="B363" s="4">
        <v>45565</v>
      </c>
      <c r="C363" s="7" t="s">
        <v>35</v>
      </c>
      <c r="D363" s="7" t="s">
        <v>36</v>
      </c>
      <c r="E363" s="7" t="s">
        <v>36</v>
      </c>
      <c r="F363" s="7" t="s">
        <v>36</v>
      </c>
      <c r="G363" s="7" t="s">
        <v>37</v>
      </c>
      <c r="K363" s="7" t="s">
        <v>38</v>
      </c>
      <c r="L363" s="7" t="s">
        <v>39</v>
      </c>
      <c r="M363" s="7" t="s">
        <v>40</v>
      </c>
      <c r="N363" s="7" t="s">
        <v>41</v>
      </c>
      <c r="R363" s="7" t="s">
        <v>54</v>
      </c>
      <c r="T363" s="8">
        <v>529577.18999999994</v>
      </c>
      <c r="U363" s="8">
        <v>-529577.18999999994</v>
      </c>
      <c r="V363" s="7" t="s">
        <v>56</v>
      </c>
      <c r="W363" s="7" t="s">
        <v>2620</v>
      </c>
      <c r="X363" s="7" t="s">
        <v>2618</v>
      </c>
      <c r="Y363" s="7" t="s">
        <v>1691</v>
      </c>
      <c r="AA363" s="7" t="s">
        <v>2617</v>
      </c>
      <c r="AB363" s="7">
        <v>11</v>
      </c>
      <c r="AC363" s="7" t="s">
        <v>53</v>
      </c>
      <c r="AD363" s="7" t="s">
        <v>765</v>
      </c>
      <c r="AF363" s="7" t="s">
        <v>44</v>
      </c>
      <c r="AH363" s="4">
        <v>45565.999988425923</v>
      </c>
    </row>
    <row r="364" spans="1:34" x14ac:dyDescent="0.3">
      <c r="A364" s="4">
        <v>45566</v>
      </c>
      <c r="B364" s="4">
        <v>45566</v>
      </c>
      <c r="C364" s="7" t="s">
        <v>35</v>
      </c>
      <c r="D364" s="7" t="s">
        <v>36</v>
      </c>
      <c r="E364" s="7" t="s">
        <v>36</v>
      </c>
      <c r="F364" s="7" t="s">
        <v>36</v>
      </c>
      <c r="G364" s="7" t="s">
        <v>37</v>
      </c>
      <c r="K364" s="7" t="s">
        <v>38</v>
      </c>
      <c r="L364" s="7" t="s">
        <v>39</v>
      </c>
      <c r="M364" s="7" t="s">
        <v>40</v>
      </c>
      <c r="N364" s="7" t="s">
        <v>41</v>
      </c>
      <c r="R364" s="7" t="s">
        <v>54</v>
      </c>
      <c r="S364" s="8">
        <v>529577.18999999994</v>
      </c>
      <c r="U364" s="8">
        <v>529577.18999999994</v>
      </c>
      <c r="V364" s="7" t="s">
        <v>56</v>
      </c>
      <c r="W364" s="7" t="s">
        <v>2620</v>
      </c>
      <c r="X364" s="7" t="s">
        <v>2618</v>
      </c>
      <c r="Y364" s="7" t="s">
        <v>1691</v>
      </c>
      <c r="AA364" s="7" t="s">
        <v>2617</v>
      </c>
      <c r="AB364" s="7">
        <v>11</v>
      </c>
      <c r="AC364" s="7" t="s">
        <v>55</v>
      </c>
      <c r="AD364" s="7" t="s">
        <v>766</v>
      </c>
      <c r="AF364" s="7" t="s">
        <v>44</v>
      </c>
      <c r="AH364" s="4">
        <v>45596.999988425923</v>
      </c>
    </row>
    <row r="365" spans="1:34" x14ac:dyDescent="0.3">
      <c r="A365" s="4">
        <v>45566</v>
      </c>
      <c r="B365" s="4">
        <v>45566</v>
      </c>
      <c r="C365" s="7" t="s">
        <v>35</v>
      </c>
      <c r="D365" s="7" t="s">
        <v>36</v>
      </c>
      <c r="E365" s="7" t="s">
        <v>36</v>
      </c>
      <c r="F365" s="7" t="s">
        <v>36</v>
      </c>
      <c r="G365" s="7" t="s">
        <v>37</v>
      </c>
      <c r="K365" s="7" t="s">
        <v>38</v>
      </c>
      <c r="L365" s="7" t="s">
        <v>39</v>
      </c>
      <c r="M365" s="7" t="s">
        <v>40</v>
      </c>
      <c r="N365" s="7" t="s">
        <v>41</v>
      </c>
      <c r="R365" s="7" t="s">
        <v>45</v>
      </c>
      <c r="T365" s="8">
        <v>529577.18999999994</v>
      </c>
      <c r="U365" s="8">
        <v>-529577.18999999994</v>
      </c>
      <c r="V365" s="7" t="s">
        <v>56</v>
      </c>
      <c r="W365" s="7" t="s">
        <v>2620</v>
      </c>
      <c r="X365" s="7" t="s">
        <v>2618</v>
      </c>
      <c r="Y365" s="7" t="s">
        <v>1691</v>
      </c>
      <c r="AA365" s="7" t="s">
        <v>2617</v>
      </c>
      <c r="AB365" s="7">
        <v>11</v>
      </c>
      <c r="AC365" s="7" t="s">
        <v>55</v>
      </c>
      <c r="AD365" s="7" t="s">
        <v>768</v>
      </c>
      <c r="AF365" s="7" t="s">
        <v>44</v>
      </c>
      <c r="AH365" s="4">
        <v>45596.999988425923</v>
      </c>
    </row>
    <row r="366" spans="1:34" x14ac:dyDescent="0.3">
      <c r="A366" s="4">
        <v>45566</v>
      </c>
      <c r="B366" s="4">
        <v>45596</v>
      </c>
      <c r="C366" s="7" t="s">
        <v>46</v>
      </c>
      <c r="D366" s="7" t="s">
        <v>36</v>
      </c>
      <c r="E366" s="7" t="s">
        <v>36</v>
      </c>
      <c r="F366" s="7" t="s">
        <v>36</v>
      </c>
      <c r="G366" s="7" t="s">
        <v>37</v>
      </c>
      <c r="K366" s="7" t="s">
        <v>38</v>
      </c>
      <c r="L366" s="7" t="s">
        <v>39</v>
      </c>
      <c r="M366" s="7" t="s">
        <v>38</v>
      </c>
      <c r="N366" s="7" t="s">
        <v>41</v>
      </c>
      <c r="R366" s="7" t="s">
        <v>49</v>
      </c>
      <c r="S366" s="8">
        <v>7266.6091509999997</v>
      </c>
      <c r="U366" s="8">
        <v>7266.6091509999997</v>
      </c>
      <c r="V366" s="7" t="s">
        <v>56</v>
      </c>
      <c r="W366" s="7" t="s">
        <v>57</v>
      </c>
      <c r="X366" s="7" t="s">
        <v>2618</v>
      </c>
      <c r="Y366" s="7" t="s">
        <v>1691</v>
      </c>
      <c r="AA366" s="7" t="s">
        <v>2617</v>
      </c>
      <c r="AB366" s="7">
        <v>12</v>
      </c>
      <c r="AC366" s="7" t="s">
        <v>57</v>
      </c>
      <c r="AD366" s="7" t="s">
        <v>769</v>
      </c>
      <c r="AF366" s="7" t="s">
        <v>44</v>
      </c>
      <c r="AH366" s="4">
        <v>45596.999988425923</v>
      </c>
    </row>
    <row r="367" spans="1:34" x14ac:dyDescent="0.3">
      <c r="A367" s="4">
        <v>45566</v>
      </c>
      <c r="B367" s="4">
        <v>45596</v>
      </c>
      <c r="C367" s="7" t="s">
        <v>46</v>
      </c>
      <c r="D367" s="7" t="s">
        <v>36</v>
      </c>
      <c r="E367" s="7" t="s">
        <v>36</v>
      </c>
      <c r="F367" s="7" t="s">
        <v>36</v>
      </c>
      <c r="G367" s="7" t="s">
        <v>37</v>
      </c>
      <c r="K367" s="7" t="s">
        <v>38</v>
      </c>
      <c r="L367" s="7" t="s">
        <v>39</v>
      </c>
      <c r="M367" s="7" t="s">
        <v>40</v>
      </c>
      <c r="N367" s="7" t="s">
        <v>41</v>
      </c>
      <c r="R367" s="7" t="s">
        <v>45</v>
      </c>
      <c r="S367" s="8">
        <v>42733.390849000003</v>
      </c>
      <c r="U367" s="8">
        <v>42733.390849000003</v>
      </c>
      <c r="V367" s="7" t="s">
        <v>56</v>
      </c>
      <c r="W367" s="7" t="s">
        <v>57</v>
      </c>
      <c r="X367" s="7" t="s">
        <v>2618</v>
      </c>
      <c r="Y367" s="7" t="s">
        <v>1691</v>
      </c>
      <c r="AA367" s="7" t="s">
        <v>2617</v>
      </c>
      <c r="AB367" s="7">
        <v>12</v>
      </c>
      <c r="AC367" s="7" t="s">
        <v>57</v>
      </c>
      <c r="AD367" s="7" t="s">
        <v>771</v>
      </c>
      <c r="AF367" s="7" t="s">
        <v>44</v>
      </c>
      <c r="AH367" s="4">
        <v>45596.999988425923</v>
      </c>
    </row>
    <row r="368" spans="1:34" x14ac:dyDescent="0.3">
      <c r="A368" s="4">
        <v>45566</v>
      </c>
      <c r="B368" s="4">
        <v>45596</v>
      </c>
      <c r="C368" s="7" t="s">
        <v>46</v>
      </c>
      <c r="D368" s="7" t="s">
        <v>36</v>
      </c>
      <c r="E368" s="7" t="s">
        <v>36</v>
      </c>
      <c r="F368" s="7" t="s">
        <v>36</v>
      </c>
      <c r="G368" s="7" t="s">
        <v>37</v>
      </c>
      <c r="K368" s="7" t="s">
        <v>38</v>
      </c>
      <c r="L368" s="7" t="s">
        <v>39</v>
      </c>
      <c r="M368" s="7" t="s">
        <v>40</v>
      </c>
      <c r="N368" s="7" t="s">
        <v>41</v>
      </c>
      <c r="R368" s="7" t="s">
        <v>58</v>
      </c>
      <c r="T368" s="8">
        <v>50000</v>
      </c>
      <c r="U368" s="8">
        <v>-50000</v>
      </c>
      <c r="V368" s="7" t="s">
        <v>56</v>
      </c>
      <c r="W368" s="7" t="s">
        <v>57</v>
      </c>
      <c r="X368" s="7" t="s">
        <v>2618</v>
      </c>
      <c r="Y368" s="7" t="s">
        <v>1691</v>
      </c>
      <c r="AA368" s="7" t="s">
        <v>2617</v>
      </c>
      <c r="AB368" s="7">
        <v>12</v>
      </c>
      <c r="AC368" s="7" t="s">
        <v>57</v>
      </c>
      <c r="AD368" s="7" t="s">
        <v>772</v>
      </c>
      <c r="AF368" s="7" t="s">
        <v>44</v>
      </c>
      <c r="AH368" s="4">
        <v>45596.999988425923</v>
      </c>
    </row>
    <row r="369" spans="1:34" x14ac:dyDescent="0.3">
      <c r="A369" s="4">
        <v>45596</v>
      </c>
      <c r="B369" s="4">
        <v>45596</v>
      </c>
      <c r="C369" s="7" t="s">
        <v>46</v>
      </c>
      <c r="D369" s="7" t="s">
        <v>36</v>
      </c>
      <c r="E369" s="7" t="s">
        <v>36</v>
      </c>
      <c r="F369" s="7" t="s">
        <v>36</v>
      </c>
      <c r="G369" s="7" t="s">
        <v>37</v>
      </c>
      <c r="K369" s="7" t="s">
        <v>38</v>
      </c>
      <c r="L369" s="7" t="s">
        <v>39</v>
      </c>
      <c r="M369" s="7" t="s">
        <v>40</v>
      </c>
      <c r="N369" s="7" t="s">
        <v>41</v>
      </c>
      <c r="R369" s="7" t="s">
        <v>47</v>
      </c>
      <c r="S369" s="8">
        <v>7017.3310369999999</v>
      </c>
      <c r="U369" s="8">
        <v>7017.3310369999999</v>
      </c>
      <c r="V369" s="7" t="s">
        <v>56</v>
      </c>
      <c r="W369" s="7" t="s">
        <v>2621</v>
      </c>
      <c r="X369" s="7" t="s">
        <v>2618</v>
      </c>
      <c r="Y369" s="7" t="s">
        <v>1691</v>
      </c>
      <c r="AA369" s="7" t="s">
        <v>2617</v>
      </c>
      <c r="AB369" s="7">
        <v>8</v>
      </c>
      <c r="AC369" s="7" t="s">
        <v>48</v>
      </c>
      <c r="AD369" s="7" t="s">
        <v>773</v>
      </c>
      <c r="AF369" s="7" t="s">
        <v>44</v>
      </c>
      <c r="AH369" s="4">
        <v>45596.999988425923</v>
      </c>
    </row>
    <row r="370" spans="1:34" x14ac:dyDescent="0.3">
      <c r="A370" s="4">
        <v>45596</v>
      </c>
      <c r="B370" s="4">
        <v>45596</v>
      </c>
      <c r="C370" s="7" t="s">
        <v>46</v>
      </c>
      <c r="D370" s="7" t="s">
        <v>36</v>
      </c>
      <c r="E370" s="7" t="s">
        <v>36</v>
      </c>
      <c r="F370" s="7" t="s">
        <v>36</v>
      </c>
      <c r="G370" s="7" t="s">
        <v>37</v>
      </c>
      <c r="K370" s="7" t="s">
        <v>38</v>
      </c>
      <c r="L370" s="7" t="s">
        <v>39</v>
      </c>
      <c r="M370" s="7" t="s">
        <v>38</v>
      </c>
      <c r="N370" s="7" t="s">
        <v>41</v>
      </c>
      <c r="R370" s="7" t="s">
        <v>49</v>
      </c>
      <c r="T370" s="8">
        <v>7017.3310369999999</v>
      </c>
      <c r="U370" s="8">
        <v>-7017.3310369999999</v>
      </c>
      <c r="V370" s="7" t="s">
        <v>56</v>
      </c>
      <c r="W370" s="7" t="s">
        <v>2621</v>
      </c>
      <c r="X370" s="7" t="s">
        <v>2618</v>
      </c>
      <c r="Y370" s="7" t="s">
        <v>1691</v>
      </c>
      <c r="AA370" s="7" t="s">
        <v>2617</v>
      </c>
      <c r="AB370" s="7">
        <v>8</v>
      </c>
      <c r="AC370" s="7" t="s">
        <v>48</v>
      </c>
      <c r="AD370" s="7" t="s">
        <v>775</v>
      </c>
      <c r="AF370" s="7" t="s">
        <v>44</v>
      </c>
      <c r="AH370" s="4">
        <v>45596.999988425923</v>
      </c>
    </row>
    <row r="371" spans="1:34" x14ac:dyDescent="0.3">
      <c r="A371" s="4">
        <v>45596</v>
      </c>
      <c r="B371" s="4">
        <v>44562</v>
      </c>
      <c r="C371" s="7" t="s">
        <v>35</v>
      </c>
      <c r="D371" s="7" t="s">
        <v>36</v>
      </c>
      <c r="E371" s="7" t="s">
        <v>36</v>
      </c>
      <c r="F371" s="7" t="s">
        <v>36</v>
      </c>
      <c r="G371" s="7" t="s">
        <v>37</v>
      </c>
      <c r="K371" s="7" t="s">
        <v>38</v>
      </c>
      <c r="L371" s="7" t="s">
        <v>39</v>
      </c>
      <c r="M371" s="7" t="s">
        <v>40</v>
      </c>
      <c r="N371" s="7" t="s">
        <v>41</v>
      </c>
      <c r="R371" s="7" t="s">
        <v>50</v>
      </c>
      <c r="S371" s="8">
        <v>42330.49</v>
      </c>
      <c r="U371" s="8">
        <v>42330.49</v>
      </c>
      <c r="V371" s="7" t="s">
        <v>56</v>
      </c>
      <c r="W371" s="7" t="s">
        <v>2619</v>
      </c>
      <c r="X371" s="7" t="s">
        <v>2618</v>
      </c>
      <c r="Y371" s="7" t="s">
        <v>1691</v>
      </c>
      <c r="AA371" s="7" t="s">
        <v>2617</v>
      </c>
      <c r="AB371" s="7">
        <v>10</v>
      </c>
      <c r="AC371" s="7" t="s">
        <v>51</v>
      </c>
      <c r="AD371" s="7" t="s">
        <v>776</v>
      </c>
      <c r="AF371" s="7" t="s">
        <v>44</v>
      </c>
      <c r="AH371" s="4">
        <v>45596.999988425923</v>
      </c>
    </row>
    <row r="372" spans="1:34" x14ac:dyDescent="0.3">
      <c r="A372" s="4">
        <v>45596</v>
      </c>
      <c r="B372" s="4">
        <v>44562</v>
      </c>
      <c r="C372" s="7" t="s">
        <v>35</v>
      </c>
      <c r="D372" s="7" t="s">
        <v>36</v>
      </c>
      <c r="E372" s="7" t="s">
        <v>36</v>
      </c>
      <c r="F372" s="7" t="s">
        <v>36</v>
      </c>
      <c r="G372" s="7" t="s">
        <v>37</v>
      </c>
      <c r="K372" s="7" t="s">
        <v>38</v>
      </c>
      <c r="L372" s="7" t="s">
        <v>39</v>
      </c>
      <c r="M372" s="7" t="s">
        <v>40</v>
      </c>
      <c r="N372" s="7" t="s">
        <v>41</v>
      </c>
      <c r="R372" s="7" t="s">
        <v>52</v>
      </c>
      <c r="T372" s="8">
        <v>42330.49</v>
      </c>
      <c r="U372" s="8">
        <v>-42330.49</v>
      </c>
      <c r="V372" s="7" t="s">
        <v>56</v>
      </c>
      <c r="W372" s="7" t="s">
        <v>2619</v>
      </c>
      <c r="X372" s="7" t="s">
        <v>2618</v>
      </c>
      <c r="Y372" s="7" t="s">
        <v>1691</v>
      </c>
      <c r="AA372" s="7" t="s">
        <v>2617</v>
      </c>
      <c r="AB372" s="7">
        <v>10</v>
      </c>
      <c r="AC372" s="7" t="s">
        <v>51</v>
      </c>
      <c r="AD372" s="7" t="s">
        <v>778</v>
      </c>
      <c r="AF372" s="7" t="s">
        <v>44</v>
      </c>
      <c r="AH372" s="4">
        <v>45596.999988425923</v>
      </c>
    </row>
    <row r="373" spans="1:34" x14ac:dyDescent="0.3">
      <c r="A373" s="4">
        <v>45596</v>
      </c>
      <c r="B373" s="4">
        <v>45596</v>
      </c>
      <c r="C373" s="7" t="s">
        <v>35</v>
      </c>
      <c r="D373" s="7" t="s">
        <v>36</v>
      </c>
      <c r="E373" s="7" t="s">
        <v>36</v>
      </c>
      <c r="F373" s="7" t="s">
        <v>36</v>
      </c>
      <c r="G373" s="7" t="s">
        <v>37</v>
      </c>
      <c r="K373" s="7" t="s">
        <v>38</v>
      </c>
      <c r="L373" s="7" t="s">
        <v>39</v>
      </c>
      <c r="M373" s="7" t="s">
        <v>40</v>
      </c>
      <c r="N373" s="7" t="s">
        <v>41</v>
      </c>
      <c r="R373" s="7" t="s">
        <v>45</v>
      </c>
      <c r="S373" s="8">
        <v>532666.39</v>
      </c>
      <c r="U373" s="8">
        <v>532666.39</v>
      </c>
      <c r="V373" s="7" t="s">
        <v>56</v>
      </c>
      <c r="W373" s="7" t="s">
        <v>2620</v>
      </c>
      <c r="X373" s="7" t="s">
        <v>2618</v>
      </c>
      <c r="Y373" s="7" t="s">
        <v>1691</v>
      </c>
      <c r="AA373" s="7" t="s">
        <v>2617</v>
      </c>
      <c r="AB373" s="7">
        <v>11</v>
      </c>
      <c r="AC373" s="7" t="s">
        <v>53</v>
      </c>
      <c r="AD373" s="7" t="s">
        <v>779</v>
      </c>
      <c r="AF373" s="7" t="s">
        <v>44</v>
      </c>
      <c r="AH373" s="4">
        <v>45596.999988425923</v>
      </c>
    </row>
    <row r="374" spans="1:34" x14ac:dyDescent="0.3">
      <c r="A374" s="4">
        <v>45596</v>
      </c>
      <c r="B374" s="4">
        <v>45596</v>
      </c>
      <c r="C374" s="7" t="s">
        <v>35</v>
      </c>
      <c r="D374" s="7" t="s">
        <v>36</v>
      </c>
      <c r="E374" s="7" t="s">
        <v>36</v>
      </c>
      <c r="F374" s="7" t="s">
        <v>36</v>
      </c>
      <c r="G374" s="7" t="s">
        <v>37</v>
      </c>
      <c r="K374" s="7" t="s">
        <v>38</v>
      </c>
      <c r="L374" s="7" t="s">
        <v>39</v>
      </c>
      <c r="M374" s="7" t="s">
        <v>40</v>
      </c>
      <c r="N374" s="7" t="s">
        <v>41</v>
      </c>
      <c r="R374" s="7" t="s">
        <v>54</v>
      </c>
      <c r="T374" s="8">
        <v>532666.39</v>
      </c>
      <c r="U374" s="8">
        <v>-532666.39</v>
      </c>
      <c r="V374" s="7" t="s">
        <v>56</v>
      </c>
      <c r="W374" s="7" t="s">
        <v>2620</v>
      </c>
      <c r="X374" s="7" t="s">
        <v>2618</v>
      </c>
      <c r="Y374" s="7" t="s">
        <v>1691</v>
      </c>
      <c r="AA374" s="7" t="s">
        <v>2617</v>
      </c>
      <c r="AB374" s="7">
        <v>11</v>
      </c>
      <c r="AC374" s="7" t="s">
        <v>53</v>
      </c>
      <c r="AD374" s="7" t="s">
        <v>781</v>
      </c>
      <c r="AF374" s="7" t="s">
        <v>44</v>
      </c>
      <c r="AH374" s="4">
        <v>45596.999988425923</v>
      </c>
    </row>
    <row r="375" spans="1:34" x14ac:dyDescent="0.3">
      <c r="A375" s="4">
        <v>45597</v>
      </c>
      <c r="B375" s="4">
        <v>45597</v>
      </c>
      <c r="C375" s="7" t="s">
        <v>35</v>
      </c>
      <c r="D375" s="7" t="s">
        <v>36</v>
      </c>
      <c r="E375" s="7" t="s">
        <v>36</v>
      </c>
      <c r="F375" s="7" t="s">
        <v>36</v>
      </c>
      <c r="G375" s="7" t="s">
        <v>37</v>
      </c>
      <c r="K375" s="7" t="s">
        <v>38</v>
      </c>
      <c r="L375" s="7" t="s">
        <v>39</v>
      </c>
      <c r="M375" s="7" t="s">
        <v>40</v>
      </c>
      <c r="N375" s="7" t="s">
        <v>41</v>
      </c>
      <c r="R375" s="7" t="s">
        <v>54</v>
      </c>
      <c r="S375" s="8">
        <v>532666.39</v>
      </c>
      <c r="U375" s="8">
        <v>532666.39</v>
      </c>
      <c r="V375" s="7" t="s">
        <v>56</v>
      </c>
      <c r="W375" s="7" t="s">
        <v>2620</v>
      </c>
      <c r="X375" s="7" t="s">
        <v>2618</v>
      </c>
      <c r="Y375" s="7" t="s">
        <v>1691</v>
      </c>
      <c r="AA375" s="7" t="s">
        <v>2617</v>
      </c>
      <c r="AB375" s="7">
        <v>11</v>
      </c>
      <c r="AC375" s="7" t="s">
        <v>55</v>
      </c>
      <c r="AD375" s="7" t="s">
        <v>782</v>
      </c>
      <c r="AF375" s="7" t="s">
        <v>44</v>
      </c>
      <c r="AH375" s="4">
        <v>45626.999988425923</v>
      </c>
    </row>
    <row r="376" spans="1:34" x14ac:dyDescent="0.3">
      <c r="A376" s="4">
        <v>45597</v>
      </c>
      <c r="B376" s="4">
        <v>45597</v>
      </c>
      <c r="C376" s="7" t="s">
        <v>35</v>
      </c>
      <c r="D376" s="7" t="s">
        <v>36</v>
      </c>
      <c r="E376" s="7" t="s">
        <v>36</v>
      </c>
      <c r="F376" s="7" t="s">
        <v>36</v>
      </c>
      <c r="G376" s="7" t="s">
        <v>37</v>
      </c>
      <c r="K376" s="7" t="s">
        <v>38</v>
      </c>
      <c r="L376" s="7" t="s">
        <v>39</v>
      </c>
      <c r="M376" s="7" t="s">
        <v>40</v>
      </c>
      <c r="N376" s="7" t="s">
        <v>41</v>
      </c>
      <c r="R376" s="7" t="s">
        <v>45</v>
      </c>
      <c r="T376" s="8">
        <v>532666.39</v>
      </c>
      <c r="U376" s="8">
        <v>-532666.39</v>
      </c>
      <c r="V376" s="7" t="s">
        <v>56</v>
      </c>
      <c r="W376" s="7" t="s">
        <v>2620</v>
      </c>
      <c r="X376" s="7" t="s">
        <v>2618</v>
      </c>
      <c r="Y376" s="7" t="s">
        <v>1691</v>
      </c>
      <c r="AA376" s="7" t="s">
        <v>2617</v>
      </c>
      <c r="AB376" s="7">
        <v>11</v>
      </c>
      <c r="AC376" s="7" t="s">
        <v>55</v>
      </c>
      <c r="AD376" s="7" t="s">
        <v>784</v>
      </c>
      <c r="AF376" s="7" t="s">
        <v>44</v>
      </c>
      <c r="AH376" s="4">
        <v>45626.999988425923</v>
      </c>
    </row>
    <row r="377" spans="1:34" x14ac:dyDescent="0.3">
      <c r="A377" s="4">
        <v>45597</v>
      </c>
      <c r="B377" s="4">
        <v>45626</v>
      </c>
      <c r="C377" s="7" t="s">
        <v>46</v>
      </c>
      <c r="D377" s="7" t="s">
        <v>36</v>
      </c>
      <c r="E377" s="7" t="s">
        <v>36</v>
      </c>
      <c r="F377" s="7" t="s">
        <v>36</v>
      </c>
      <c r="G377" s="7" t="s">
        <v>37</v>
      </c>
      <c r="K377" s="7" t="s">
        <v>38</v>
      </c>
      <c r="L377" s="7" t="s">
        <v>39</v>
      </c>
      <c r="M377" s="7" t="s">
        <v>38</v>
      </c>
      <c r="N377" s="7" t="s">
        <v>41</v>
      </c>
      <c r="R377" s="7" t="s">
        <v>49</v>
      </c>
      <c r="S377" s="8">
        <v>7017.3310369999999</v>
      </c>
      <c r="U377" s="8">
        <v>7017.3310369999999</v>
      </c>
      <c r="V377" s="7" t="s">
        <v>56</v>
      </c>
      <c r="W377" s="7" t="s">
        <v>57</v>
      </c>
      <c r="X377" s="7" t="s">
        <v>2618</v>
      </c>
      <c r="Y377" s="7" t="s">
        <v>1691</v>
      </c>
      <c r="AA377" s="7" t="s">
        <v>2617</v>
      </c>
      <c r="AB377" s="7">
        <v>12</v>
      </c>
      <c r="AC377" s="7" t="s">
        <v>57</v>
      </c>
      <c r="AD377" s="7" t="s">
        <v>785</v>
      </c>
      <c r="AF377" s="7" t="s">
        <v>44</v>
      </c>
      <c r="AH377" s="4">
        <v>45626.999988425923</v>
      </c>
    </row>
    <row r="378" spans="1:34" x14ac:dyDescent="0.3">
      <c r="A378" s="4">
        <v>45597</v>
      </c>
      <c r="B378" s="4">
        <v>45626</v>
      </c>
      <c r="C378" s="7" t="s">
        <v>46</v>
      </c>
      <c r="D378" s="7" t="s">
        <v>36</v>
      </c>
      <c r="E378" s="7" t="s">
        <v>36</v>
      </c>
      <c r="F378" s="7" t="s">
        <v>36</v>
      </c>
      <c r="G378" s="7" t="s">
        <v>37</v>
      </c>
      <c r="K378" s="7" t="s">
        <v>38</v>
      </c>
      <c r="L378" s="7" t="s">
        <v>39</v>
      </c>
      <c r="M378" s="7" t="s">
        <v>40</v>
      </c>
      <c r="N378" s="7" t="s">
        <v>41</v>
      </c>
      <c r="R378" s="7" t="s">
        <v>45</v>
      </c>
      <c r="S378" s="8">
        <v>42982.668962999996</v>
      </c>
      <c r="U378" s="8">
        <v>42982.668962999996</v>
      </c>
      <c r="V378" s="7" t="s">
        <v>56</v>
      </c>
      <c r="W378" s="7" t="s">
        <v>57</v>
      </c>
      <c r="X378" s="7" t="s">
        <v>2618</v>
      </c>
      <c r="Y378" s="7" t="s">
        <v>1691</v>
      </c>
      <c r="AA378" s="7" t="s">
        <v>2617</v>
      </c>
      <c r="AB378" s="7">
        <v>12</v>
      </c>
      <c r="AC378" s="7" t="s">
        <v>57</v>
      </c>
      <c r="AD378" s="7" t="s">
        <v>787</v>
      </c>
      <c r="AF378" s="7" t="s">
        <v>44</v>
      </c>
      <c r="AH378" s="4">
        <v>45626.999988425923</v>
      </c>
    </row>
    <row r="379" spans="1:34" x14ac:dyDescent="0.3">
      <c r="A379" s="4">
        <v>45597</v>
      </c>
      <c r="B379" s="4">
        <v>45626</v>
      </c>
      <c r="C379" s="7" t="s">
        <v>46</v>
      </c>
      <c r="D379" s="7" t="s">
        <v>36</v>
      </c>
      <c r="E379" s="7" t="s">
        <v>36</v>
      </c>
      <c r="F379" s="7" t="s">
        <v>36</v>
      </c>
      <c r="G379" s="7" t="s">
        <v>37</v>
      </c>
      <c r="K379" s="7" t="s">
        <v>38</v>
      </c>
      <c r="L379" s="7" t="s">
        <v>39</v>
      </c>
      <c r="M379" s="7" t="s">
        <v>40</v>
      </c>
      <c r="N379" s="7" t="s">
        <v>41</v>
      </c>
      <c r="R379" s="7" t="s">
        <v>58</v>
      </c>
      <c r="T379" s="8">
        <v>50000</v>
      </c>
      <c r="U379" s="8">
        <v>-50000</v>
      </c>
      <c r="V379" s="7" t="s">
        <v>56</v>
      </c>
      <c r="W379" s="7" t="s">
        <v>57</v>
      </c>
      <c r="X379" s="7" t="s">
        <v>2618</v>
      </c>
      <c r="Y379" s="7" t="s">
        <v>1691</v>
      </c>
      <c r="AA379" s="7" t="s">
        <v>2617</v>
      </c>
      <c r="AB379" s="7">
        <v>12</v>
      </c>
      <c r="AC379" s="7" t="s">
        <v>57</v>
      </c>
      <c r="AD379" s="7" t="s">
        <v>788</v>
      </c>
      <c r="AF379" s="7" t="s">
        <v>44</v>
      </c>
      <c r="AH379" s="4">
        <v>45626.999988425923</v>
      </c>
    </row>
    <row r="380" spans="1:34" x14ac:dyDescent="0.3">
      <c r="A380" s="4">
        <v>45626</v>
      </c>
      <c r="B380" s="4">
        <v>45626</v>
      </c>
      <c r="C380" s="7" t="s">
        <v>46</v>
      </c>
      <c r="D380" s="7" t="s">
        <v>36</v>
      </c>
      <c r="E380" s="7" t="s">
        <v>36</v>
      </c>
      <c r="F380" s="7" t="s">
        <v>36</v>
      </c>
      <c r="G380" s="7" t="s">
        <v>37</v>
      </c>
      <c r="K380" s="7" t="s">
        <v>38</v>
      </c>
      <c r="L380" s="7" t="s">
        <v>39</v>
      </c>
      <c r="M380" s="7" t="s">
        <v>40</v>
      </c>
      <c r="N380" s="7" t="s">
        <v>41</v>
      </c>
      <c r="R380" s="7" t="s">
        <v>47</v>
      </c>
      <c r="S380" s="8">
        <v>6766.5988020000004</v>
      </c>
      <c r="U380" s="8">
        <v>6766.5988020000004</v>
      </c>
      <c r="V380" s="7" t="s">
        <v>56</v>
      </c>
      <c r="W380" s="7" t="s">
        <v>2621</v>
      </c>
      <c r="X380" s="7" t="s">
        <v>2618</v>
      </c>
      <c r="Y380" s="7" t="s">
        <v>1691</v>
      </c>
      <c r="AA380" s="7" t="s">
        <v>2617</v>
      </c>
      <c r="AB380" s="7">
        <v>8</v>
      </c>
      <c r="AC380" s="7" t="s">
        <v>48</v>
      </c>
      <c r="AD380" s="7" t="s">
        <v>789</v>
      </c>
      <c r="AF380" s="7" t="s">
        <v>44</v>
      </c>
      <c r="AH380" s="4">
        <v>45626.999988425923</v>
      </c>
    </row>
    <row r="381" spans="1:34" x14ac:dyDescent="0.3">
      <c r="A381" s="4">
        <v>45626</v>
      </c>
      <c r="B381" s="4">
        <v>45626</v>
      </c>
      <c r="C381" s="7" t="s">
        <v>46</v>
      </c>
      <c r="D381" s="7" t="s">
        <v>36</v>
      </c>
      <c r="E381" s="7" t="s">
        <v>36</v>
      </c>
      <c r="F381" s="7" t="s">
        <v>36</v>
      </c>
      <c r="G381" s="7" t="s">
        <v>37</v>
      </c>
      <c r="K381" s="7" t="s">
        <v>38</v>
      </c>
      <c r="L381" s="7" t="s">
        <v>39</v>
      </c>
      <c r="M381" s="7" t="s">
        <v>38</v>
      </c>
      <c r="N381" s="7" t="s">
        <v>41</v>
      </c>
      <c r="R381" s="7" t="s">
        <v>49</v>
      </c>
      <c r="T381" s="8">
        <v>6766.5988020000004</v>
      </c>
      <c r="U381" s="8">
        <v>-6766.5988020000004</v>
      </c>
      <c r="V381" s="7" t="s">
        <v>56</v>
      </c>
      <c r="W381" s="7" t="s">
        <v>2621</v>
      </c>
      <c r="X381" s="7" t="s">
        <v>2618</v>
      </c>
      <c r="Y381" s="7" t="s">
        <v>1691</v>
      </c>
      <c r="AA381" s="7" t="s">
        <v>2617</v>
      </c>
      <c r="AB381" s="7">
        <v>8</v>
      </c>
      <c r="AC381" s="7" t="s">
        <v>48</v>
      </c>
      <c r="AD381" s="7" t="s">
        <v>791</v>
      </c>
      <c r="AF381" s="7" t="s">
        <v>44</v>
      </c>
      <c r="AH381" s="4">
        <v>45626.999988425923</v>
      </c>
    </row>
    <row r="382" spans="1:34" x14ac:dyDescent="0.3">
      <c r="A382" s="4">
        <v>45626</v>
      </c>
      <c r="B382" s="4">
        <v>44562</v>
      </c>
      <c r="C382" s="7" t="s">
        <v>35</v>
      </c>
      <c r="D382" s="7" t="s">
        <v>36</v>
      </c>
      <c r="E382" s="7" t="s">
        <v>36</v>
      </c>
      <c r="F382" s="7" t="s">
        <v>36</v>
      </c>
      <c r="G382" s="7" t="s">
        <v>37</v>
      </c>
      <c r="K382" s="7" t="s">
        <v>38</v>
      </c>
      <c r="L382" s="7" t="s">
        <v>39</v>
      </c>
      <c r="M382" s="7" t="s">
        <v>40</v>
      </c>
      <c r="N382" s="7" t="s">
        <v>41</v>
      </c>
      <c r="R382" s="7" t="s">
        <v>50</v>
      </c>
      <c r="S382" s="8">
        <v>42330.49</v>
      </c>
      <c r="U382" s="8">
        <v>42330.49</v>
      </c>
      <c r="V382" s="7" t="s">
        <v>56</v>
      </c>
      <c r="W382" s="7" t="s">
        <v>2619</v>
      </c>
      <c r="X382" s="7" t="s">
        <v>2618</v>
      </c>
      <c r="Y382" s="7" t="s">
        <v>1691</v>
      </c>
      <c r="AA382" s="7" t="s">
        <v>2617</v>
      </c>
      <c r="AB382" s="7">
        <v>10</v>
      </c>
      <c r="AC382" s="7" t="s">
        <v>51</v>
      </c>
      <c r="AD382" s="7" t="s">
        <v>792</v>
      </c>
      <c r="AF382" s="7" t="s">
        <v>44</v>
      </c>
      <c r="AH382" s="4">
        <v>45626.999988425923</v>
      </c>
    </row>
    <row r="383" spans="1:34" x14ac:dyDescent="0.3">
      <c r="A383" s="4">
        <v>45626</v>
      </c>
      <c r="B383" s="4">
        <v>44562</v>
      </c>
      <c r="C383" s="7" t="s">
        <v>35</v>
      </c>
      <c r="D383" s="7" t="s">
        <v>36</v>
      </c>
      <c r="E383" s="7" t="s">
        <v>36</v>
      </c>
      <c r="F383" s="7" t="s">
        <v>36</v>
      </c>
      <c r="G383" s="7" t="s">
        <v>37</v>
      </c>
      <c r="K383" s="7" t="s">
        <v>38</v>
      </c>
      <c r="L383" s="7" t="s">
        <v>39</v>
      </c>
      <c r="M383" s="7" t="s">
        <v>40</v>
      </c>
      <c r="N383" s="7" t="s">
        <v>41</v>
      </c>
      <c r="R383" s="7" t="s">
        <v>52</v>
      </c>
      <c r="T383" s="8">
        <v>42330.49</v>
      </c>
      <c r="U383" s="8">
        <v>-42330.49</v>
      </c>
      <c r="V383" s="7" t="s">
        <v>56</v>
      </c>
      <c r="W383" s="7" t="s">
        <v>2619</v>
      </c>
      <c r="X383" s="7" t="s">
        <v>2618</v>
      </c>
      <c r="Y383" s="7" t="s">
        <v>1691</v>
      </c>
      <c r="AA383" s="7" t="s">
        <v>2617</v>
      </c>
      <c r="AB383" s="7">
        <v>10</v>
      </c>
      <c r="AC383" s="7" t="s">
        <v>51</v>
      </c>
      <c r="AD383" s="7" t="s">
        <v>794</v>
      </c>
      <c r="AF383" s="7" t="s">
        <v>44</v>
      </c>
      <c r="AH383" s="4">
        <v>45626.999988425923</v>
      </c>
    </row>
    <row r="384" spans="1:34" x14ac:dyDescent="0.3">
      <c r="A384" s="4">
        <v>45626</v>
      </c>
      <c r="B384" s="4">
        <v>45626</v>
      </c>
      <c r="C384" s="7" t="s">
        <v>35</v>
      </c>
      <c r="D384" s="7" t="s">
        <v>36</v>
      </c>
      <c r="E384" s="7" t="s">
        <v>36</v>
      </c>
      <c r="F384" s="7" t="s">
        <v>36</v>
      </c>
      <c r="G384" s="7" t="s">
        <v>37</v>
      </c>
      <c r="K384" s="7" t="s">
        <v>38</v>
      </c>
      <c r="L384" s="7" t="s">
        <v>39</v>
      </c>
      <c r="M384" s="7" t="s">
        <v>40</v>
      </c>
      <c r="N384" s="7" t="s">
        <v>41</v>
      </c>
      <c r="R384" s="7" t="s">
        <v>45</v>
      </c>
      <c r="S384" s="8">
        <v>535773.61</v>
      </c>
      <c r="U384" s="8">
        <v>535773.61</v>
      </c>
      <c r="V384" s="7" t="s">
        <v>56</v>
      </c>
      <c r="W384" s="7" t="s">
        <v>2620</v>
      </c>
      <c r="X384" s="7" t="s">
        <v>2618</v>
      </c>
      <c r="Y384" s="7" t="s">
        <v>1691</v>
      </c>
      <c r="AA384" s="7" t="s">
        <v>2617</v>
      </c>
      <c r="AB384" s="7">
        <v>11</v>
      </c>
      <c r="AC384" s="7" t="s">
        <v>53</v>
      </c>
      <c r="AD384" s="7" t="s">
        <v>795</v>
      </c>
      <c r="AF384" s="7" t="s">
        <v>44</v>
      </c>
      <c r="AH384" s="4">
        <v>45626.999988425923</v>
      </c>
    </row>
    <row r="385" spans="1:34" x14ac:dyDescent="0.3">
      <c r="A385" s="4">
        <v>45626</v>
      </c>
      <c r="B385" s="4">
        <v>45626</v>
      </c>
      <c r="C385" s="7" t="s">
        <v>35</v>
      </c>
      <c r="D385" s="7" t="s">
        <v>36</v>
      </c>
      <c r="E385" s="7" t="s">
        <v>36</v>
      </c>
      <c r="F385" s="7" t="s">
        <v>36</v>
      </c>
      <c r="G385" s="7" t="s">
        <v>37</v>
      </c>
      <c r="K385" s="7" t="s">
        <v>38</v>
      </c>
      <c r="L385" s="7" t="s">
        <v>39</v>
      </c>
      <c r="M385" s="7" t="s">
        <v>40</v>
      </c>
      <c r="N385" s="7" t="s">
        <v>41</v>
      </c>
      <c r="R385" s="7" t="s">
        <v>54</v>
      </c>
      <c r="T385" s="8">
        <v>535773.61</v>
      </c>
      <c r="U385" s="8">
        <v>-535773.61</v>
      </c>
      <c r="V385" s="7" t="s">
        <v>56</v>
      </c>
      <c r="W385" s="7" t="s">
        <v>2620</v>
      </c>
      <c r="X385" s="7" t="s">
        <v>2618</v>
      </c>
      <c r="Y385" s="7" t="s">
        <v>1691</v>
      </c>
      <c r="AA385" s="7" t="s">
        <v>2617</v>
      </c>
      <c r="AB385" s="7">
        <v>11</v>
      </c>
      <c r="AC385" s="7" t="s">
        <v>53</v>
      </c>
      <c r="AD385" s="7" t="s">
        <v>797</v>
      </c>
      <c r="AF385" s="7" t="s">
        <v>44</v>
      </c>
      <c r="AH385" s="4">
        <v>45626.999988425923</v>
      </c>
    </row>
    <row r="386" spans="1:34" x14ac:dyDescent="0.3">
      <c r="A386" s="4">
        <v>45627</v>
      </c>
      <c r="B386" s="4">
        <v>45627</v>
      </c>
      <c r="C386" s="7" t="s">
        <v>35</v>
      </c>
      <c r="D386" s="7" t="s">
        <v>36</v>
      </c>
      <c r="E386" s="7" t="s">
        <v>36</v>
      </c>
      <c r="F386" s="7" t="s">
        <v>36</v>
      </c>
      <c r="G386" s="7" t="s">
        <v>37</v>
      </c>
      <c r="K386" s="7" t="s">
        <v>38</v>
      </c>
      <c r="L386" s="7" t="s">
        <v>39</v>
      </c>
      <c r="M386" s="7" t="s">
        <v>40</v>
      </c>
      <c r="N386" s="7" t="s">
        <v>41</v>
      </c>
      <c r="R386" s="7" t="s">
        <v>54</v>
      </c>
      <c r="S386" s="8">
        <v>535773.61</v>
      </c>
      <c r="U386" s="8">
        <v>535773.61</v>
      </c>
      <c r="V386" s="7" t="s">
        <v>56</v>
      </c>
      <c r="W386" s="7" t="s">
        <v>2620</v>
      </c>
      <c r="X386" s="7" t="s">
        <v>2618</v>
      </c>
      <c r="Y386" s="7" t="s">
        <v>1691</v>
      </c>
      <c r="AA386" s="7" t="s">
        <v>2617</v>
      </c>
      <c r="AB386" s="7">
        <v>11</v>
      </c>
      <c r="AC386" s="7" t="s">
        <v>55</v>
      </c>
      <c r="AD386" s="7" t="s">
        <v>798</v>
      </c>
      <c r="AF386" s="7" t="s">
        <v>44</v>
      </c>
      <c r="AH386" s="4">
        <v>45657.999988425923</v>
      </c>
    </row>
    <row r="387" spans="1:34" x14ac:dyDescent="0.3">
      <c r="A387" s="4">
        <v>45627</v>
      </c>
      <c r="B387" s="4">
        <v>45627</v>
      </c>
      <c r="C387" s="7" t="s">
        <v>35</v>
      </c>
      <c r="D387" s="7" t="s">
        <v>36</v>
      </c>
      <c r="E387" s="7" t="s">
        <v>36</v>
      </c>
      <c r="F387" s="7" t="s">
        <v>36</v>
      </c>
      <c r="G387" s="7" t="s">
        <v>37</v>
      </c>
      <c r="K387" s="7" t="s">
        <v>38</v>
      </c>
      <c r="L387" s="7" t="s">
        <v>39</v>
      </c>
      <c r="M387" s="7" t="s">
        <v>40</v>
      </c>
      <c r="N387" s="7" t="s">
        <v>41</v>
      </c>
      <c r="R387" s="7" t="s">
        <v>45</v>
      </c>
      <c r="T387" s="8">
        <v>535773.61</v>
      </c>
      <c r="U387" s="8">
        <v>-535773.61</v>
      </c>
      <c r="V387" s="7" t="s">
        <v>56</v>
      </c>
      <c r="W387" s="7" t="s">
        <v>2620</v>
      </c>
      <c r="X387" s="7" t="s">
        <v>2618</v>
      </c>
      <c r="Y387" s="7" t="s">
        <v>1691</v>
      </c>
      <c r="AA387" s="7" t="s">
        <v>2617</v>
      </c>
      <c r="AB387" s="7">
        <v>11</v>
      </c>
      <c r="AC387" s="7" t="s">
        <v>55</v>
      </c>
      <c r="AD387" s="7" t="s">
        <v>800</v>
      </c>
      <c r="AF387" s="7" t="s">
        <v>44</v>
      </c>
      <c r="AH387" s="4">
        <v>45657.999988425923</v>
      </c>
    </row>
    <row r="388" spans="1:34" x14ac:dyDescent="0.3">
      <c r="A388" s="4">
        <v>45627</v>
      </c>
      <c r="B388" s="4">
        <v>45657</v>
      </c>
      <c r="C388" s="7" t="s">
        <v>46</v>
      </c>
      <c r="D388" s="7" t="s">
        <v>36</v>
      </c>
      <c r="E388" s="7" t="s">
        <v>36</v>
      </c>
      <c r="F388" s="7" t="s">
        <v>36</v>
      </c>
      <c r="G388" s="7" t="s">
        <v>37</v>
      </c>
      <c r="K388" s="7" t="s">
        <v>38</v>
      </c>
      <c r="L388" s="7" t="s">
        <v>39</v>
      </c>
      <c r="M388" s="7" t="s">
        <v>38</v>
      </c>
      <c r="N388" s="7" t="s">
        <v>41</v>
      </c>
      <c r="R388" s="7" t="s">
        <v>49</v>
      </c>
      <c r="S388" s="8">
        <v>6766.5988020000004</v>
      </c>
      <c r="U388" s="8">
        <v>6766.5988020000004</v>
      </c>
      <c r="V388" s="7" t="s">
        <v>56</v>
      </c>
      <c r="W388" s="7" t="s">
        <v>57</v>
      </c>
      <c r="X388" s="7" t="s">
        <v>2618</v>
      </c>
      <c r="Y388" s="7" t="s">
        <v>1691</v>
      </c>
      <c r="AA388" s="7" t="s">
        <v>2617</v>
      </c>
      <c r="AB388" s="7">
        <v>12</v>
      </c>
      <c r="AC388" s="7" t="s">
        <v>57</v>
      </c>
      <c r="AD388" s="7" t="s">
        <v>801</v>
      </c>
      <c r="AF388" s="7" t="s">
        <v>44</v>
      </c>
      <c r="AH388" s="4">
        <v>45657.999988425923</v>
      </c>
    </row>
    <row r="389" spans="1:34" x14ac:dyDescent="0.3">
      <c r="A389" s="4">
        <v>45627</v>
      </c>
      <c r="B389" s="4">
        <v>45657</v>
      </c>
      <c r="C389" s="7" t="s">
        <v>46</v>
      </c>
      <c r="D389" s="7" t="s">
        <v>36</v>
      </c>
      <c r="E389" s="7" t="s">
        <v>36</v>
      </c>
      <c r="F389" s="7" t="s">
        <v>36</v>
      </c>
      <c r="G389" s="7" t="s">
        <v>37</v>
      </c>
      <c r="K389" s="7" t="s">
        <v>38</v>
      </c>
      <c r="L389" s="7" t="s">
        <v>39</v>
      </c>
      <c r="M389" s="7" t="s">
        <v>40</v>
      </c>
      <c r="N389" s="7" t="s">
        <v>41</v>
      </c>
      <c r="R389" s="7" t="s">
        <v>45</v>
      </c>
      <c r="S389" s="8">
        <v>43233.401198</v>
      </c>
      <c r="U389" s="8">
        <v>43233.401198</v>
      </c>
      <c r="V389" s="7" t="s">
        <v>56</v>
      </c>
      <c r="W389" s="7" t="s">
        <v>57</v>
      </c>
      <c r="X389" s="7" t="s">
        <v>2618</v>
      </c>
      <c r="Y389" s="7" t="s">
        <v>1691</v>
      </c>
      <c r="AA389" s="7" t="s">
        <v>2617</v>
      </c>
      <c r="AB389" s="7">
        <v>12</v>
      </c>
      <c r="AC389" s="7" t="s">
        <v>57</v>
      </c>
      <c r="AD389" s="7" t="s">
        <v>803</v>
      </c>
      <c r="AF389" s="7" t="s">
        <v>44</v>
      </c>
      <c r="AH389" s="4">
        <v>45657.999988425923</v>
      </c>
    </row>
    <row r="390" spans="1:34" x14ac:dyDescent="0.3">
      <c r="A390" s="4">
        <v>45627</v>
      </c>
      <c r="B390" s="4">
        <v>45657</v>
      </c>
      <c r="C390" s="7" t="s">
        <v>46</v>
      </c>
      <c r="D390" s="7" t="s">
        <v>36</v>
      </c>
      <c r="E390" s="7" t="s">
        <v>36</v>
      </c>
      <c r="F390" s="7" t="s">
        <v>36</v>
      </c>
      <c r="G390" s="7" t="s">
        <v>37</v>
      </c>
      <c r="K390" s="7" t="s">
        <v>38</v>
      </c>
      <c r="L390" s="7" t="s">
        <v>39</v>
      </c>
      <c r="M390" s="7" t="s">
        <v>40</v>
      </c>
      <c r="N390" s="7" t="s">
        <v>41</v>
      </c>
      <c r="R390" s="7" t="s">
        <v>58</v>
      </c>
      <c r="T390" s="8">
        <v>50000</v>
      </c>
      <c r="U390" s="8">
        <v>-50000</v>
      </c>
      <c r="V390" s="7" t="s">
        <v>56</v>
      </c>
      <c r="W390" s="7" t="s">
        <v>57</v>
      </c>
      <c r="X390" s="7" t="s">
        <v>2618</v>
      </c>
      <c r="Y390" s="7" t="s">
        <v>1691</v>
      </c>
      <c r="AA390" s="7" t="s">
        <v>2617</v>
      </c>
      <c r="AB390" s="7">
        <v>12</v>
      </c>
      <c r="AC390" s="7" t="s">
        <v>57</v>
      </c>
      <c r="AD390" s="7" t="s">
        <v>804</v>
      </c>
      <c r="AF390" s="7" t="s">
        <v>44</v>
      </c>
      <c r="AH390" s="4">
        <v>45657.999988425923</v>
      </c>
    </row>
    <row r="391" spans="1:34" x14ac:dyDescent="0.3">
      <c r="A391" s="4">
        <v>45657</v>
      </c>
      <c r="B391" s="4">
        <v>45657</v>
      </c>
      <c r="C391" s="7" t="s">
        <v>46</v>
      </c>
      <c r="D391" s="7" t="s">
        <v>36</v>
      </c>
      <c r="E391" s="7" t="s">
        <v>36</v>
      </c>
      <c r="F391" s="7" t="s">
        <v>36</v>
      </c>
      <c r="G391" s="7" t="s">
        <v>37</v>
      </c>
      <c r="K391" s="7" t="s">
        <v>38</v>
      </c>
      <c r="L391" s="7" t="s">
        <v>39</v>
      </c>
      <c r="M391" s="7" t="s">
        <v>40</v>
      </c>
      <c r="N391" s="7" t="s">
        <v>41</v>
      </c>
      <c r="R391" s="7" t="s">
        <v>47</v>
      </c>
      <c r="S391" s="8">
        <v>6514.403961</v>
      </c>
      <c r="U391" s="8">
        <v>6514.403961</v>
      </c>
      <c r="V391" s="7" t="s">
        <v>56</v>
      </c>
      <c r="W391" s="7" t="s">
        <v>2621</v>
      </c>
      <c r="X391" s="7" t="s">
        <v>2618</v>
      </c>
      <c r="Y391" s="7" t="s">
        <v>1691</v>
      </c>
      <c r="AA391" s="7" t="s">
        <v>2617</v>
      </c>
      <c r="AB391" s="7">
        <v>8</v>
      </c>
      <c r="AC391" s="7" t="s">
        <v>48</v>
      </c>
      <c r="AD391" s="7" t="s">
        <v>805</v>
      </c>
      <c r="AF391" s="7" t="s">
        <v>44</v>
      </c>
      <c r="AH391" s="4">
        <v>45657.999988425923</v>
      </c>
    </row>
    <row r="392" spans="1:34" x14ac:dyDescent="0.3">
      <c r="A392" s="4">
        <v>45657</v>
      </c>
      <c r="B392" s="4">
        <v>45657</v>
      </c>
      <c r="C392" s="7" t="s">
        <v>46</v>
      </c>
      <c r="D392" s="7" t="s">
        <v>36</v>
      </c>
      <c r="E392" s="7" t="s">
        <v>36</v>
      </c>
      <c r="F392" s="7" t="s">
        <v>36</v>
      </c>
      <c r="G392" s="7" t="s">
        <v>37</v>
      </c>
      <c r="K392" s="7" t="s">
        <v>38</v>
      </c>
      <c r="L392" s="7" t="s">
        <v>39</v>
      </c>
      <c r="M392" s="7" t="s">
        <v>38</v>
      </c>
      <c r="N392" s="7" t="s">
        <v>41</v>
      </c>
      <c r="R392" s="7" t="s">
        <v>49</v>
      </c>
      <c r="T392" s="8">
        <v>6514.403961</v>
      </c>
      <c r="U392" s="8">
        <v>-6514.403961</v>
      </c>
      <c r="V392" s="7" t="s">
        <v>56</v>
      </c>
      <c r="W392" s="7" t="s">
        <v>2621</v>
      </c>
      <c r="X392" s="7" t="s">
        <v>2618</v>
      </c>
      <c r="Y392" s="7" t="s">
        <v>1691</v>
      </c>
      <c r="AA392" s="7" t="s">
        <v>2617</v>
      </c>
      <c r="AB392" s="7">
        <v>8</v>
      </c>
      <c r="AC392" s="7" t="s">
        <v>48</v>
      </c>
      <c r="AD392" s="7" t="s">
        <v>807</v>
      </c>
      <c r="AF392" s="7" t="s">
        <v>44</v>
      </c>
      <c r="AH392" s="4">
        <v>45657.999988425923</v>
      </c>
    </row>
    <row r="393" spans="1:34" x14ac:dyDescent="0.3">
      <c r="A393" s="4">
        <v>45657</v>
      </c>
      <c r="B393" s="4">
        <v>44562</v>
      </c>
      <c r="C393" s="7" t="s">
        <v>35</v>
      </c>
      <c r="D393" s="7" t="s">
        <v>36</v>
      </c>
      <c r="E393" s="7" t="s">
        <v>36</v>
      </c>
      <c r="F393" s="7" t="s">
        <v>36</v>
      </c>
      <c r="G393" s="7" t="s">
        <v>37</v>
      </c>
      <c r="K393" s="7" t="s">
        <v>38</v>
      </c>
      <c r="L393" s="7" t="s">
        <v>39</v>
      </c>
      <c r="M393" s="7" t="s">
        <v>40</v>
      </c>
      <c r="N393" s="7" t="s">
        <v>41</v>
      </c>
      <c r="R393" s="7" t="s">
        <v>50</v>
      </c>
      <c r="S393" s="8">
        <v>42330.49</v>
      </c>
      <c r="U393" s="8">
        <v>42330.49</v>
      </c>
      <c r="V393" s="7" t="s">
        <v>56</v>
      </c>
      <c r="W393" s="7" t="s">
        <v>2619</v>
      </c>
      <c r="X393" s="7" t="s">
        <v>2618</v>
      </c>
      <c r="Y393" s="7" t="s">
        <v>1691</v>
      </c>
      <c r="AA393" s="7" t="s">
        <v>2617</v>
      </c>
      <c r="AB393" s="7">
        <v>10</v>
      </c>
      <c r="AC393" s="7" t="s">
        <v>51</v>
      </c>
      <c r="AD393" s="7" t="s">
        <v>808</v>
      </c>
      <c r="AF393" s="7" t="s">
        <v>44</v>
      </c>
      <c r="AH393" s="4">
        <v>45657.999988425923</v>
      </c>
    </row>
    <row r="394" spans="1:34" x14ac:dyDescent="0.3">
      <c r="A394" s="4">
        <v>45657</v>
      </c>
      <c r="B394" s="4">
        <v>44562</v>
      </c>
      <c r="C394" s="7" t="s">
        <v>35</v>
      </c>
      <c r="D394" s="7" t="s">
        <v>36</v>
      </c>
      <c r="E394" s="7" t="s">
        <v>36</v>
      </c>
      <c r="F394" s="7" t="s">
        <v>36</v>
      </c>
      <c r="G394" s="7" t="s">
        <v>37</v>
      </c>
      <c r="K394" s="7" t="s">
        <v>38</v>
      </c>
      <c r="L394" s="7" t="s">
        <v>39</v>
      </c>
      <c r="M394" s="7" t="s">
        <v>40</v>
      </c>
      <c r="N394" s="7" t="s">
        <v>41</v>
      </c>
      <c r="R394" s="7" t="s">
        <v>52</v>
      </c>
      <c r="T394" s="8">
        <v>42330.49</v>
      </c>
      <c r="U394" s="8">
        <v>-42330.49</v>
      </c>
      <c r="V394" s="7" t="s">
        <v>56</v>
      </c>
      <c r="W394" s="7" t="s">
        <v>2619</v>
      </c>
      <c r="X394" s="7" t="s">
        <v>2618</v>
      </c>
      <c r="Y394" s="7" t="s">
        <v>1691</v>
      </c>
      <c r="AA394" s="7" t="s">
        <v>2617</v>
      </c>
      <c r="AB394" s="7">
        <v>10</v>
      </c>
      <c r="AC394" s="7" t="s">
        <v>51</v>
      </c>
      <c r="AD394" s="7" t="s">
        <v>810</v>
      </c>
      <c r="AF394" s="7" t="s">
        <v>44</v>
      </c>
      <c r="AH394" s="4">
        <v>45657.999988425923</v>
      </c>
    </row>
    <row r="395" spans="1:34" x14ac:dyDescent="0.3">
      <c r="A395" s="4">
        <v>45657</v>
      </c>
      <c r="B395" s="4">
        <v>45657</v>
      </c>
      <c r="C395" s="7" t="s">
        <v>35</v>
      </c>
      <c r="D395" s="7" t="s">
        <v>36</v>
      </c>
      <c r="E395" s="7" t="s">
        <v>36</v>
      </c>
      <c r="F395" s="7" t="s">
        <v>36</v>
      </c>
      <c r="G395" s="7" t="s">
        <v>37</v>
      </c>
      <c r="K395" s="7" t="s">
        <v>38</v>
      </c>
      <c r="L395" s="7" t="s">
        <v>39</v>
      </c>
      <c r="M395" s="7" t="s">
        <v>40</v>
      </c>
      <c r="N395" s="7" t="s">
        <v>41</v>
      </c>
      <c r="R395" s="7" t="s">
        <v>45</v>
      </c>
      <c r="S395" s="8">
        <v>538898.96</v>
      </c>
      <c r="U395" s="8">
        <v>538898.96</v>
      </c>
      <c r="V395" s="7" t="s">
        <v>56</v>
      </c>
      <c r="W395" s="7" t="s">
        <v>2620</v>
      </c>
      <c r="X395" s="7" t="s">
        <v>2618</v>
      </c>
      <c r="Y395" s="7" t="s">
        <v>1691</v>
      </c>
      <c r="AA395" s="7" t="s">
        <v>2617</v>
      </c>
      <c r="AB395" s="7">
        <v>11</v>
      </c>
      <c r="AC395" s="7" t="s">
        <v>53</v>
      </c>
      <c r="AD395" s="7" t="s">
        <v>811</v>
      </c>
      <c r="AF395" s="7" t="s">
        <v>44</v>
      </c>
      <c r="AH395" s="4">
        <v>45657.999988425923</v>
      </c>
    </row>
    <row r="396" spans="1:34" x14ac:dyDescent="0.3">
      <c r="A396" s="4">
        <v>45657</v>
      </c>
      <c r="B396" s="4">
        <v>45657</v>
      </c>
      <c r="C396" s="7" t="s">
        <v>35</v>
      </c>
      <c r="D396" s="7" t="s">
        <v>36</v>
      </c>
      <c r="E396" s="7" t="s">
        <v>36</v>
      </c>
      <c r="F396" s="7" t="s">
        <v>36</v>
      </c>
      <c r="G396" s="7" t="s">
        <v>37</v>
      </c>
      <c r="K396" s="7" t="s">
        <v>38</v>
      </c>
      <c r="L396" s="7" t="s">
        <v>39</v>
      </c>
      <c r="M396" s="7" t="s">
        <v>40</v>
      </c>
      <c r="N396" s="7" t="s">
        <v>41</v>
      </c>
      <c r="R396" s="7" t="s">
        <v>54</v>
      </c>
      <c r="T396" s="8">
        <v>538898.96</v>
      </c>
      <c r="U396" s="8">
        <v>-538898.96</v>
      </c>
      <c r="V396" s="7" t="s">
        <v>56</v>
      </c>
      <c r="W396" s="7" t="s">
        <v>2620</v>
      </c>
      <c r="X396" s="7" t="s">
        <v>2618</v>
      </c>
      <c r="Y396" s="7" t="s">
        <v>1691</v>
      </c>
      <c r="AA396" s="7" t="s">
        <v>2617</v>
      </c>
      <c r="AB396" s="7">
        <v>11</v>
      </c>
      <c r="AC396" s="7" t="s">
        <v>53</v>
      </c>
      <c r="AD396" s="7" t="s">
        <v>813</v>
      </c>
      <c r="AF396" s="7" t="s">
        <v>44</v>
      </c>
      <c r="AH396" s="4">
        <v>45657.999988425923</v>
      </c>
    </row>
    <row r="397" spans="1:34" x14ac:dyDescent="0.3">
      <c r="A397" s="4">
        <v>45658</v>
      </c>
      <c r="B397" s="4">
        <v>45658</v>
      </c>
      <c r="C397" s="7" t="s">
        <v>35</v>
      </c>
      <c r="D397" s="7" t="s">
        <v>36</v>
      </c>
      <c r="E397" s="7" t="s">
        <v>36</v>
      </c>
      <c r="F397" s="7" t="s">
        <v>36</v>
      </c>
      <c r="G397" s="7" t="s">
        <v>37</v>
      </c>
      <c r="K397" s="7" t="s">
        <v>38</v>
      </c>
      <c r="L397" s="7" t="s">
        <v>39</v>
      </c>
      <c r="M397" s="7" t="s">
        <v>40</v>
      </c>
      <c r="N397" s="7" t="s">
        <v>41</v>
      </c>
      <c r="R397" s="7" t="s">
        <v>54</v>
      </c>
      <c r="S397" s="8">
        <v>538898.96</v>
      </c>
      <c r="U397" s="8">
        <v>538898.96</v>
      </c>
      <c r="V397" s="7" t="s">
        <v>56</v>
      </c>
      <c r="W397" s="7" t="s">
        <v>2620</v>
      </c>
      <c r="X397" s="7" t="s">
        <v>2618</v>
      </c>
      <c r="Y397" s="7" t="s">
        <v>1691</v>
      </c>
      <c r="AA397" s="7" t="s">
        <v>2617</v>
      </c>
      <c r="AB397" s="7">
        <v>11</v>
      </c>
      <c r="AC397" s="7" t="s">
        <v>55</v>
      </c>
      <c r="AD397" s="7" t="s">
        <v>814</v>
      </c>
      <c r="AF397" s="7" t="s">
        <v>44</v>
      </c>
      <c r="AH397" s="4">
        <v>45688.999988425923</v>
      </c>
    </row>
    <row r="398" spans="1:34" x14ac:dyDescent="0.3">
      <c r="A398" s="4">
        <v>45658</v>
      </c>
      <c r="B398" s="4">
        <v>45658</v>
      </c>
      <c r="C398" s="7" t="s">
        <v>35</v>
      </c>
      <c r="D398" s="7" t="s">
        <v>36</v>
      </c>
      <c r="E398" s="7" t="s">
        <v>36</v>
      </c>
      <c r="F398" s="7" t="s">
        <v>36</v>
      </c>
      <c r="G398" s="7" t="s">
        <v>37</v>
      </c>
      <c r="K398" s="7" t="s">
        <v>38</v>
      </c>
      <c r="L398" s="7" t="s">
        <v>39</v>
      </c>
      <c r="M398" s="7" t="s">
        <v>40</v>
      </c>
      <c r="N398" s="7" t="s">
        <v>41</v>
      </c>
      <c r="R398" s="7" t="s">
        <v>45</v>
      </c>
      <c r="T398" s="8">
        <v>538898.96</v>
      </c>
      <c r="U398" s="8">
        <v>-538898.96</v>
      </c>
      <c r="V398" s="7" t="s">
        <v>56</v>
      </c>
      <c r="W398" s="7" t="s">
        <v>2620</v>
      </c>
      <c r="X398" s="7" t="s">
        <v>2618</v>
      </c>
      <c r="Y398" s="7" t="s">
        <v>1691</v>
      </c>
      <c r="AA398" s="7" t="s">
        <v>2617</v>
      </c>
      <c r="AB398" s="7">
        <v>11</v>
      </c>
      <c r="AC398" s="7" t="s">
        <v>55</v>
      </c>
      <c r="AD398" s="7" t="s">
        <v>816</v>
      </c>
      <c r="AF398" s="7" t="s">
        <v>44</v>
      </c>
      <c r="AH398" s="4">
        <v>45688.999988425923</v>
      </c>
    </row>
    <row r="399" spans="1:34" x14ac:dyDescent="0.3">
      <c r="A399" s="4">
        <v>45658</v>
      </c>
      <c r="B399" s="4">
        <v>45688</v>
      </c>
      <c r="C399" s="7" t="s">
        <v>46</v>
      </c>
      <c r="D399" s="7" t="s">
        <v>36</v>
      </c>
      <c r="E399" s="7" t="s">
        <v>36</v>
      </c>
      <c r="F399" s="7" t="s">
        <v>36</v>
      </c>
      <c r="G399" s="7" t="s">
        <v>37</v>
      </c>
      <c r="K399" s="7" t="s">
        <v>38</v>
      </c>
      <c r="L399" s="7" t="s">
        <v>39</v>
      </c>
      <c r="M399" s="7" t="s">
        <v>38</v>
      </c>
      <c r="N399" s="7" t="s">
        <v>41</v>
      </c>
      <c r="R399" s="7" t="s">
        <v>49</v>
      </c>
      <c r="S399" s="8">
        <v>6514.403961</v>
      </c>
      <c r="U399" s="8">
        <v>6514.403961</v>
      </c>
      <c r="V399" s="7" t="s">
        <v>56</v>
      </c>
      <c r="W399" s="7" t="s">
        <v>57</v>
      </c>
      <c r="X399" s="7" t="s">
        <v>2618</v>
      </c>
      <c r="Y399" s="7" t="s">
        <v>1691</v>
      </c>
      <c r="AA399" s="7" t="s">
        <v>2617</v>
      </c>
      <c r="AB399" s="7">
        <v>12</v>
      </c>
      <c r="AC399" s="7" t="s">
        <v>57</v>
      </c>
      <c r="AD399" s="7" t="s">
        <v>817</v>
      </c>
      <c r="AF399" s="7" t="s">
        <v>44</v>
      </c>
      <c r="AH399" s="4">
        <v>45688.999988425923</v>
      </c>
    </row>
    <row r="400" spans="1:34" x14ac:dyDescent="0.3">
      <c r="A400" s="4">
        <v>45658</v>
      </c>
      <c r="B400" s="4">
        <v>45688</v>
      </c>
      <c r="C400" s="7" t="s">
        <v>46</v>
      </c>
      <c r="D400" s="7" t="s">
        <v>36</v>
      </c>
      <c r="E400" s="7" t="s">
        <v>36</v>
      </c>
      <c r="F400" s="7" t="s">
        <v>36</v>
      </c>
      <c r="G400" s="7" t="s">
        <v>37</v>
      </c>
      <c r="K400" s="7" t="s">
        <v>38</v>
      </c>
      <c r="L400" s="7" t="s">
        <v>39</v>
      </c>
      <c r="M400" s="7" t="s">
        <v>40</v>
      </c>
      <c r="N400" s="7" t="s">
        <v>41</v>
      </c>
      <c r="R400" s="7" t="s">
        <v>45</v>
      </c>
      <c r="S400" s="8">
        <v>43485.596038999996</v>
      </c>
      <c r="U400" s="8">
        <v>43485.596038999996</v>
      </c>
      <c r="V400" s="7" t="s">
        <v>56</v>
      </c>
      <c r="W400" s="7" t="s">
        <v>57</v>
      </c>
      <c r="X400" s="7" t="s">
        <v>2618</v>
      </c>
      <c r="Y400" s="7" t="s">
        <v>1691</v>
      </c>
      <c r="AA400" s="7" t="s">
        <v>2617</v>
      </c>
      <c r="AB400" s="7">
        <v>12</v>
      </c>
      <c r="AC400" s="7" t="s">
        <v>57</v>
      </c>
      <c r="AD400" s="7" t="s">
        <v>819</v>
      </c>
      <c r="AF400" s="7" t="s">
        <v>44</v>
      </c>
      <c r="AH400" s="4">
        <v>45688.999988425923</v>
      </c>
    </row>
    <row r="401" spans="1:34" x14ac:dyDescent="0.3">
      <c r="A401" s="4">
        <v>45658</v>
      </c>
      <c r="B401" s="4">
        <v>45688</v>
      </c>
      <c r="C401" s="7" t="s">
        <v>46</v>
      </c>
      <c r="D401" s="7" t="s">
        <v>36</v>
      </c>
      <c r="E401" s="7" t="s">
        <v>36</v>
      </c>
      <c r="F401" s="7" t="s">
        <v>36</v>
      </c>
      <c r="G401" s="7" t="s">
        <v>37</v>
      </c>
      <c r="K401" s="7" t="s">
        <v>38</v>
      </c>
      <c r="L401" s="7" t="s">
        <v>39</v>
      </c>
      <c r="M401" s="7" t="s">
        <v>40</v>
      </c>
      <c r="N401" s="7" t="s">
        <v>41</v>
      </c>
      <c r="R401" s="7" t="s">
        <v>58</v>
      </c>
      <c r="T401" s="8">
        <v>50000</v>
      </c>
      <c r="U401" s="8">
        <v>-50000</v>
      </c>
      <c r="V401" s="7" t="s">
        <v>56</v>
      </c>
      <c r="W401" s="7" t="s">
        <v>57</v>
      </c>
      <c r="X401" s="7" t="s">
        <v>2618</v>
      </c>
      <c r="Y401" s="7" t="s">
        <v>1691</v>
      </c>
      <c r="AA401" s="7" t="s">
        <v>2617</v>
      </c>
      <c r="AB401" s="7">
        <v>12</v>
      </c>
      <c r="AC401" s="7" t="s">
        <v>57</v>
      </c>
      <c r="AD401" s="7" t="s">
        <v>820</v>
      </c>
      <c r="AF401" s="7" t="s">
        <v>44</v>
      </c>
      <c r="AH401" s="4">
        <v>45688.999988425923</v>
      </c>
    </row>
    <row r="402" spans="1:34" x14ac:dyDescent="0.3">
      <c r="A402" s="4">
        <v>45688</v>
      </c>
      <c r="B402" s="4">
        <v>45688</v>
      </c>
      <c r="C402" s="7" t="s">
        <v>46</v>
      </c>
      <c r="D402" s="7" t="s">
        <v>36</v>
      </c>
      <c r="E402" s="7" t="s">
        <v>36</v>
      </c>
      <c r="F402" s="7" t="s">
        <v>36</v>
      </c>
      <c r="G402" s="7" t="s">
        <v>37</v>
      </c>
      <c r="K402" s="7" t="s">
        <v>38</v>
      </c>
      <c r="L402" s="7" t="s">
        <v>39</v>
      </c>
      <c r="M402" s="7" t="s">
        <v>40</v>
      </c>
      <c r="N402" s="7" t="s">
        <v>41</v>
      </c>
      <c r="R402" s="7" t="s">
        <v>47</v>
      </c>
      <c r="S402" s="8">
        <v>6260.7379840000003</v>
      </c>
      <c r="U402" s="8">
        <v>6260.7379840000003</v>
      </c>
      <c r="V402" s="7" t="s">
        <v>56</v>
      </c>
      <c r="W402" s="7" t="s">
        <v>2621</v>
      </c>
      <c r="X402" s="7" t="s">
        <v>2618</v>
      </c>
      <c r="Y402" s="7" t="s">
        <v>1691</v>
      </c>
      <c r="AA402" s="7" t="s">
        <v>2617</v>
      </c>
      <c r="AB402" s="7">
        <v>8</v>
      </c>
      <c r="AC402" s="7" t="s">
        <v>48</v>
      </c>
      <c r="AD402" s="7" t="s">
        <v>821</v>
      </c>
      <c r="AF402" s="7" t="s">
        <v>44</v>
      </c>
      <c r="AH402" s="4">
        <v>45688.999988425923</v>
      </c>
    </row>
    <row r="403" spans="1:34" x14ac:dyDescent="0.3">
      <c r="A403" s="4">
        <v>45688</v>
      </c>
      <c r="B403" s="4">
        <v>45688</v>
      </c>
      <c r="C403" s="7" t="s">
        <v>46</v>
      </c>
      <c r="D403" s="7" t="s">
        <v>36</v>
      </c>
      <c r="E403" s="7" t="s">
        <v>36</v>
      </c>
      <c r="F403" s="7" t="s">
        <v>36</v>
      </c>
      <c r="G403" s="7" t="s">
        <v>37</v>
      </c>
      <c r="K403" s="7" t="s">
        <v>38</v>
      </c>
      <c r="L403" s="7" t="s">
        <v>39</v>
      </c>
      <c r="M403" s="7" t="s">
        <v>38</v>
      </c>
      <c r="N403" s="7" t="s">
        <v>41</v>
      </c>
      <c r="R403" s="7" t="s">
        <v>49</v>
      </c>
      <c r="T403" s="8">
        <v>6260.7379840000003</v>
      </c>
      <c r="U403" s="8">
        <v>-6260.7379840000003</v>
      </c>
      <c r="V403" s="7" t="s">
        <v>56</v>
      </c>
      <c r="W403" s="7" t="s">
        <v>2621</v>
      </c>
      <c r="X403" s="7" t="s">
        <v>2618</v>
      </c>
      <c r="Y403" s="7" t="s">
        <v>1691</v>
      </c>
      <c r="AA403" s="7" t="s">
        <v>2617</v>
      </c>
      <c r="AB403" s="7">
        <v>8</v>
      </c>
      <c r="AC403" s="7" t="s">
        <v>48</v>
      </c>
      <c r="AD403" s="7" t="s">
        <v>823</v>
      </c>
      <c r="AF403" s="7" t="s">
        <v>44</v>
      </c>
      <c r="AH403" s="4">
        <v>45688.999988425923</v>
      </c>
    </row>
    <row r="404" spans="1:34" x14ac:dyDescent="0.3">
      <c r="A404" s="4">
        <v>45688</v>
      </c>
      <c r="B404" s="4">
        <v>44562</v>
      </c>
      <c r="C404" s="7" t="s">
        <v>35</v>
      </c>
      <c r="D404" s="7" t="s">
        <v>36</v>
      </c>
      <c r="E404" s="7" t="s">
        <v>36</v>
      </c>
      <c r="F404" s="7" t="s">
        <v>36</v>
      </c>
      <c r="G404" s="7" t="s">
        <v>37</v>
      </c>
      <c r="K404" s="7" t="s">
        <v>38</v>
      </c>
      <c r="L404" s="7" t="s">
        <v>39</v>
      </c>
      <c r="M404" s="7" t="s">
        <v>40</v>
      </c>
      <c r="N404" s="7" t="s">
        <v>41</v>
      </c>
      <c r="R404" s="7" t="s">
        <v>50</v>
      </c>
      <c r="S404" s="8">
        <v>42330.49</v>
      </c>
      <c r="U404" s="8">
        <v>42330.49</v>
      </c>
      <c r="V404" s="7" t="s">
        <v>56</v>
      </c>
      <c r="W404" s="7" t="s">
        <v>2619</v>
      </c>
      <c r="X404" s="7" t="s">
        <v>2618</v>
      </c>
      <c r="Y404" s="7" t="s">
        <v>1691</v>
      </c>
      <c r="AA404" s="7" t="s">
        <v>2617</v>
      </c>
      <c r="AB404" s="7">
        <v>10</v>
      </c>
      <c r="AC404" s="7" t="s">
        <v>51</v>
      </c>
      <c r="AD404" s="7" t="s">
        <v>824</v>
      </c>
      <c r="AF404" s="7" t="s">
        <v>44</v>
      </c>
      <c r="AH404" s="4">
        <v>45688.999988425923</v>
      </c>
    </row>
    <row r="405" spans="1:34" x14ac:dyDescent="0.3">
      <c r="A405" s="4">
        <v>45688</v>
      </c>
      <c r="B405" s="4">
        <v>44562</v>
      </c>
      <c r="C405" s="7" t="s">
        <v>35</v>
      </c>
      <c r="D405" s="7" t="s">
        <v>36</v>
      </c>
      <c r="E405" s="7" t="s">
        <v>36</v>
      </c>
      <c r="F405" s="7" t="s">
        <v>36</v>
      </c>
      <c r="G405" s="7" t="s">
        <v>37</v>
      </c>
      <c r="K405" s="7" t="s">
        <v>38</v>
      </c>
      <c r="L405" s="7" t="s">
        <v>39</v>
      </c>
      <c r="M405" s="7" t="s">
        <v>40</v>
      </c>
      <c r="N405" s="7" t="s">
        <v>41</v>
      </c>
      <c r="R405" s="7" t="s">
        <v>52</v>
      </c>
      <c r="T405" s="8">
        <v>42330.49</v>
      </c>
      <c r="U405" s="8">
        <v>-42330.49</v>
      </c>
      <c r="V405" s="7" t="s">
        <v>56</v>
      </c>
      <c r="W405" s="7" t="s">
        <v>2619</v>
      </c>
      <c r="X405" s="7" t="s">
        <v>2618</v>
      </c>
      <c r="Y405" s="7" t="s">
        <v>1691</v>
      </c>
      <c r="AA405" s="7" t="s">
        <v>2617</v>
      </c>
      <c r="AB405" s="7">
        <v>10</v>
      </c>
      <c r="AC405" s="7" t="s">
        <v>51</v>
      </c>
      <c r="AD405" s="7" t="s">
        <v>826</v>
      </c>
      <c r="AF405" s="7" t="s">
        <v>44</v>
      </c>
      <c r="AH405" s="4">
        <v>45688.999988425923</v>
      </c>
    </row>
    <row r="406" spans="1:34" x14ac:dyDescent="0.3">
      <c r="A406" s="4">
        <v>45688</v>
      </c>
      <c r="B406" s="4">
        <v>45688</v>
      </c>
      <c r="C406" s="7" t="s">
        <v>35</v>
      </c>
      <c r="D406" s="7" t="s">
        <v>36</v>
      </c>
      <c r="E406" s="7" t="s">
        <v>36</v>
      </c>
      <c r="F406" s="7" t="s">
        <v>36</v>
      </c>
      <c r="G406" s="7" t="s">
        <v>37</v>
      </c>
      <c r="K406" s="7" t="s">
        <v>38</v>
      </c>
      <c r="L406" s="7" t="s">
        <v>39</v>
      </c>
      <c r="M406" s="7" t="s">
        <v>40</v>
      </c>
      <c r="N406" s="7" t="s">
        <v>41</v>
      </c>
      <c r="R406" s="7" t="s">
        <v>45</v>
      </c>
      <c r="S406" s="8">
        <v>542042.54</v>
      </c>
      <c r="U406" s="8">
        <v>542042.54</v>
      </c>
      <c r="V406" s="7" t="s">
        <v>56</v>
      </c>
      <c r="W406" s="7" t="s">
        <v>2620</v>
      </c>
      <c r="X406" s="7" t="s">
        <v>2618</v>
      </c>
      <c r="Y406" s="7" t="s">
        <v>1691</v>
      </c>
      <c r="AA406" s="7" t="s">
        <v>2617</v>
      </c>
      <c r="AB406" s="7">
        <v>11</v>
      </c>
      <c r="AC406" s="7" t="s">
        <v>53</v>
      </c>
      <c r="AD406" s="7" t="s">
        <v>827</v>
      </c>
      <c r="AF406" s="7" t="s">
        <v>44</v>
      </c>
      <c r="AH406" s="4">
        <v>45688.999988425923</v>
      </c>
    </row>
    <row r="407" spans="1:34" x14ac:dyDescent="0.3">
      <c r="A407" s="4">
        <v>45688</v>
      </c>
      <c r="B407" s="4">
        <v>45688</v>
      </c>
      <c r="C407" s="7" t="s">
        <v>35</v>
      </c>
      <c r="D407" s="7" t="s">
        <v>36</v>
      </c>
      <c r="E407" s="7" t="s">
        <v>36</v>
      </c>
      <c r="F407" s="7" t="s">
        <v>36</v>
      </c>
      <c r="G407" s="7" t="s">
        <v>37</v>
      </c>
      <c r="K407" s="7" t="s">
        <v>38</v>
      </c>
      <c r="L407" s="7" t="s">
        <v>39</v>
      </c>
      <c r="M407" s="7" t="s">
        <v>40</v>
      </c>
      <c r="N407" s="7" t="s">
        <v>41</v>
      </c>
      <c r="R407" s="7" t="s">
        <v>54</v>
      </c>
      <c r="T407" s="8">
        <v>542042.54</v>
      </c>
      <c r="U407" s="8">
        <v>-542042.54</v>
      </c>
      <c r="V407" s="7" t="s">
        <v>56</v>
      </c>
      <c r="W407" s="7" t="s">
        <v>2620</v>
      </c>
      <c r="X407" s="7" t="s">
        <v>2618</v>
      </c>
      <c r="Y407" s="7" t="s">
        <v>1691</v>
      </c>
      <c r="AA407" s="7" t="s">
        <v>2617</v>
      </c>
      <c r="AB407" s="7">
        <v>11</v>
      </c>
      <c r="AC407" s="7" t="s">
        <v>53</v>
      </c>
      <c r="AD407" s="7" t="s">
        <v>829</v>
      </c>
      <c r="AF407" s="7" t="s">
        <v>44</v>
      </c>
      <c r="AH407" s="4">
        <v>45688.999988425923</v>
      </c>
    </row>
    <row r="408" spans="1:34" x14ac:dyDescent="0.3">
      <c r="A408" s="4">
        <v>45689</v>
      </c>
      <c r="B408" s="4">
        <v>45689</v>
      </c>
      <c r="C408" s="7" t="s">
        <v>35</v>
      </c>
      <c r="D408" s="7" t="s">
        <v>36</v>
      </c>
      <c r="E408" s="7" t="s">
        <v>36</v>
      </c>
      <c r="F408" s="7" t="s">
        <v>36</v>
      </c>
      <c r="G408" s="7" t="s">
        <v>37</v>
      </c>
      <c r="K408" s="7" t="s">
        <v>38</v>
      </c>
      <c r="L408" s="7" t="s">
        <v>39</v>
      </c>
      <c r="M408" s="7" t="s">
        <v>40</v>
      </c>
      <c r="N408" s="7" t="s">
        <v>41</v>
      </c>
      <c r="R408" s="7" t="s">
        <v>54</v>
      </c>
      <c r="S408" s="8">
        <v>542042.54</v>
      </c>
      <c r="U408" s="8">
        <v>542042.54</v>
      </c>
      <c r="V408" s="7" t="s">
        <v>56</v>
      </c>
      <c r="W408" s="7" t="s">
        <v>2620</v>
      </c>
      <c r="X408" s="7" t="s">
        <v>2618</v>
      </c>
      <c r="Y408" s="7" t="s">
        <v>1691</v>
      </c>
      <c r="AA408" s="7" t="s">
        <v>2617</v>
      </c>
      <c r="AB408" s="7">
        <v>11</v>
      </c>
      <c r="AC408" s="7" t="s">
        <v>55</v>
      </c>
      <c r="AD408" s="7" t="s">
        <v>830</v>
      </c>
      <c r="AF408" s="7" t="s">
        <v>44</v>
      </c>
      <c r="AH408" s="4">
        <v>45716.999988425923</v>
      </c>
    </row>
    <row r="409" spans="1:34" x14ac:dyDescent="0.3">
      <c r="A409" s="4">
        <v>45689</v>
      </c>
      <c r="B409" s="4">
        <v>45689</v>
      </c>
      <c r="C409" s="7" t="s">
        <v>35</v>
      </c>
      <c r="D409" s="7" t="s">
        <v>36</v>
      </c>
      <c r="E409" s="7" t="s">
        <v>36</v>
      </c>
      <c r="F409" s="7" t="s">
        <v>36</v>
      </c>
      <c r="G409" s="7" t="s">
        <v>37</v>
      </c>
      <c r="K409" s="7" t="s">
        <v>38</v>
      </c>
      <c r="L409" s="7" t="s">
        <v>39</v>
      </c>
      <c r="M409" s="7" t="s">
        <v>40</v>
      </c>
      <c r="N409" s="7" t="s">
        <v>41</v>
      </c>
      <c r="R409" s="7" t="s">
        <v>45</v>
      </c>
      <c r="T409" s="8">
        <v>542042.54</v>
      </c>
      <c r="U409" s="8">
        <v>-542042.54</v>
      </c>
      <c r="V409" s="7" t="s">
        <v>56</v>
      </c>
      <c r="W409" s="7" t="s">
        <v>2620</v>
      </c>
      <c r="X409" s="7" t="s">
        <v>2618</v>
      </c>
      <c r="Y409" s="7" t="s">
        <v>1691</v>
      </c>
      <c r="AA409" s="7" t="s">
        <v>2617</v>
      </c>
      <c r="AB409" s="7">
        <v>11</v>
      </c>
      <c r="AC409" s="7" t="s">
        <v>55</v>
      </c>
      <c r="AD409" s="7" t="s">
        <v>832</v>
      </c>
      <c r="AF409" s="7" t="s">
        <v>44</v>
      </c>
      <c r="AH409" s="4">
        <v>45716.999988425923</v>
      </c>
    </row>
    <row r="410" spans="1:34" x14ac:dyDescent="0.3">
      <c r="A410" s="4">
        <v>45689</v>
      </c>
      <c r="B410" s="4">
        <v>45716</v>
      </c>
      <c r="C410" s="7" t="s">
        <v>46</v>
      </c>
      <c r="D410" s="7" t="s">
        <v>36</v>
      </c>
      <c r="E410" s="7" t="s">
        <v>36</v>
      </c>
      <c r="F410" s="7" t="s">
        <v>36</v>
      </c>
      <c r="G410" s="7" t="s">
        <v>37</v>
      </c>
      <c r="K410" s="7" t="s">
        <v>38</v>
      </c>
      <c r="L410" s="7" t="s">
        <v>39</v>
      </c>
      <c r="M410" s="7" t="s">
        <v>38</v>
      </c>
      <c r="N410" s="7" t="s">
        <v>41</v>
      </c>
      <c r="R410" s="7" t="s">
        <v>49</v>
      </c>
      <c r="S410" s="8">
        <v>6260.7379840000003</v>
      </c>
      <c r="U410" s="8">
        <v>6260.7379840000003</v>
      </c>
      <c r="V410" s="7" t="s">
        <v>56</v>
      </c>
      <c r="W410" s="7" t="s">
        <v>57</v>
      </c>
      <c r="X410" s="7" t="s">
        <v>2618</v>
      </c>
      <c r="Y410" s="7" t="s">
        <v>1691</v>
      </c>
      <c r="AA410" s="7" t="s">
        <v>2617</v>
      </c>
      <c r="AB410" s="7">
        <v>12</v>
      </c>
      <c r="AC410" s="7" t="s">
        <v>57</v>
      </c>
      <c r="AD410" s="7" t="s">
        <v>833</v>
      </c>
      <c r="AF410" s="7" t="s">
        <v>44</v>
      </c>
      <c r="AH410" s="4">
        <v>45716.999988425923</v>
      </c>
    </row>
    <row r="411" spans="1:34" x14ac:dyDescent="0.3">
      <c r="A411" s="4">
        <v>45689</v>
      </c>
      <c r="B411" s="4">
        <v>45716</v>
      </c>
      <c r="C411" s="7" t="s">
        <v>46</v>
      </c>
      <c r="D411" s="7" t="s">
        <v>36</v>
      </c>
      <c r="E411" s="7" t="s">
        <v>36</v>
      </c>
      <c r="F411" s="7" t="s">
        <v>36</v>
      </c>
      <c r="G411" s="7" t="s">
        <v>37</v>
      </c>
      <c r="K411" s="7" t="s">
        <v>38</v>
      </c>
      <c r="L411" s="7" t="s">
        <v>39</v>
      </c>
      <c r="M411" s="7" t="s">
        <v>40</v>
      </c>
      <c r="N411" s="7" t="s">
        <v>41</v>
      </c>
      <c r="R411" s="7" t="s">
        <v>45</v>
      </c>
      <c r="S411" s="8">
        <v>43739.262016000001</v>
      </c>
      <c r="U411" s="8">
        <v>43739.262016000001</v>
      </c>
      <c r="V411" s="7" t="s">
        <v>56</v>
      </c>
      <c r="W411" s="7" t="s">
        <v>57</v>
      </c>
      <c r="X411" s="7" t="s">
        <v>2618</v>
      </c>
      <c r="Y411" s="7" t="s">
        <v>1691</v>
      </c>
      <c r="AA411" s="7" t="s">
        <v>2617</v>
      </c>
      <c r="AB411" s="7">
        <v>12</v>
      </c>
      <c r="AC411" s="7" t="s">
        <v>57</v>
      </c>
      <c r="AD411" s="7" t="s">
        <v>835</v>
      </c>
      <c r="AF411" s="7" t="s">
        <v>44</v>
      </c>
      <c r="AH411" s="4">
        <v>45716.999988425923</v>
      </c>
    </row>
    <row r="412" spans="1:34" x14ac:dyDescent="0.3">
      <c r="A412" s="4">
        <v>45689</v>
      </c>
      <c r="B412" s="4">
        <v>45716</v>
      </c>
      <c r="C412" s="7" t="s">
        <v>46</v>
      </c>
      <c r="D412" s="7" t="s">
        <v>36</v>
      </c>
      <c r="E412" s="7" t="s">
        <v>36</v>
      </c>
      <c r="F412" s="7" t="s">
        <v>36</v>
      </c>
      <c r="G412" s="7" t="s">
        <v>37</v>
      </c>
      <c r="K412" s="7" t="s">
        <v>38</v>
      </c>
      <c r="L412" s="7" t="s">
        <v>39</v>
      </c>
      <c r="M412" s="7" t="s">
        <v>40</v>
      </c>
      <c r="N412" s="7" t="s">
        <v>41</v>
      </c>
      <c r="R412" s="7" t="s">
        <v>58</v>
      </c>
      <c r="T412" s="8">
        <v>50000</v>
      </c>
      <c r="U412" s="8">
        <v>-50000</v>
      </c>
      <c r="V412" s="7" t="s">
        <v>56</v>
      </c>
      <c r="W412" s="7" t="s">
        <v>57</v>
      </c>
      <c r="X412" s="7" t="s">
        <v>2618</v>
      </c>
      <c r="Y412" s="7" t="s">
        <v>1691</v>
      </c>
      <c r="AA412" s="7" t="s">
        <v>2617</v>
      </c>
      <c r="AB412" s="7">
        <v>12</v>
      </c>
      <c r="AC412" s="7" t="s">
        <v>57</v>
      </c>
      <c r="AD412" s="7" t="s">
        <v>836</v>
      </c>
      <c r="AF412" s="7" t="s">
        <v>44</v>
      </c>
      <c r="AH412" s="4">
        <v>45716.999988425923</v>
      </c>
    </row>
    <row r="413" spans="1:34" x14ac:dyDescent="0.3">
      <c r="A413" s="4">
        <v>45716</v>
      </c>
      <c r="B413" s="4">
        <v>45716</v>
      </c>
      <c r="C413" s="7" t="s">
        <v>46</v>
      </c>
      <c r="D413" s="7" t="s">
        <v>36</v>
      </c>
      <c r="E413" s="7" t="s">
        <v>36</v>
      </c>
      <c r="F413" s="7" t="s">
        <v>36</v>
      </c>
      <c r="G413" s="7" t="s">
        <v>37</v>
      </c>
      <c r="K413" s="7" t="s">
        <v>38</v>
      </c>
      <c r="L413" s="7" t="s">
        <v>39</v>
      </c>
      <c r="M413" s="7" t="s">
        <v>40</v>
      </c>
      <c r="N413" s="7" t="s">
        <v>41</v>
      </c>
      <c r="R413" s="7" t="s">
        <v>47</v>
      </c>
      <c r="S413" s="8">
        <v>6005.5922890000002</v>
      </c>
      <c r="U413" s="8">
        <v>6005.5922890000002</v>
      </c>
      <c r="V413" s="7" t="s">
        <v>56</v>
      </c>
      <c r="W413" s="7" t="s">
        <v>2621</v>
      </c>
      <c r="X413" s="7" t="s">
        <v>2618</v>
      </c>
      <c r="Y413" s="7" t="s">
        <v>1691</v>
      </c>
      <c r="AA413" s="7" t="s">
        <v>2617</v>
      </c>
      <c r="AB413" s="7">
        <v>8</v>
      </c>
      <c r="AC413" s="7" t="s">
        <v>48</v>
      </c>
      <c r="AD413" s="7" t="s">
        <v>837</v>
      </c>
      <c r="AF413" s="7" t="s">
        <v>44</v>
      </c>
      <c r="AH413" s="4">
        <v>45716.999988425923</v>
      </c>
    </row>
    <row r="414" spans="1:34" x14ac:dyDescent="0.3">
      <c r="A414" s="4">
        <v>45716</v>
      </c>
      <c r="B414" s="4">
        <v>45716</v>
      </c>
      <c r="C414" s="7" t="s">
        <v>46</v>
      </c>
      <c r="D414" s="7" t="s">
        <v>36</v>
      </c>
      <c r="E414" s="7" t="s">
        <v>36</v>
      </c>
      <c r="F414" s="7" t="s">
        <v>36</v>
      </c>
      <c r="G414" s="7" t="s">
        <v>37</v>
      </c>
      <c r="K414" s="7" t="s">
        <v>38</v>
      </c>
      <c r="L414" s="7" t="s">
        <v>39</v>
      </c>
      <c r="M414" s="7" t="s">
        <v>38</v>
      </c>
      <c r="N414" s="7" t="s">
        <v>41</v>
      </c>
      <c r="R414" s="7" t="s">
        <v>49</v>
      </c>
      <c r="T414" s="8">
        <v>6005.5922890000002</v>
      </c>
      <c r="U414" s="8">
        <v>-6005.5922890000002</v>
      </c>
      <c r="V414" s="7" t="s">
        <v>56</v>
      </c>
      <c r="W414" s="7" t="s">
        <v>2621</v>
      </c>
      <c r="X414" s="7" t="s">
        <v>2618</v>
      </c>
      <c r="Y414" s="7" t="s">
        <v>1691</v>
      </c>
      <c r="AA414" s="7" t="s">
        <v>2617</v>
      </c>
      <c r="AB414" s="7">
        <v>8</v>
      </c>
      <c r="AC414" s="7" t="s">
        <v>48</v>
      </c>
      <c r="AD414" s="7" t="s">
        <v>839</v>
      </c>
      <c r="AF414" s="7" t="s">
        <v>44</v>
      </c>
      <c r="AH414" s="4">
        <v>45716.999988425923</v>
      </c>
    </row>
    <row r="415" spans="1:34" x14ac:dyDescent="0.3">
      <c r="A415" s="4">
        <v>45716</v>
      </c>
      <c r="B415" s="4">
        <v>44562</v>
      </c>
      <c r="C415" s="7" t="s">
        <v>35</v>
      </c>
      <c r="D415" s="7" t="s">
        <v>36</v>
      </c>
      <c r="E415" s="7" t="s">
        <v>36</v>
      </c>
      <c r="F415" s="7" t="s">
        <v>36</v>
      </c>
      <c r="G415" s="7" t="s">
        <v>37</v>
      </c>
      <c r="K415" s="7" t="s">
        <v>38</v>
      </c>
      <c r="L415" s="7" t="s">
        <v>39</v>
      </c>
      <c r="M415" s="7" t="s">
        <v>40</v>
      </c>
      <c r="N415" s="7" t="s">
        <v>41</v>
      </c>
      <c r="R415" s="7" t="s">
        <v>50</v>
      </c>
      <c r="S415" s="8">
        <v>42330.49</v>
      </c>
      <c r="U415" s="8">
        <v>42330.49</v>
      </c>
      <c r="V415" s="7" t="s">
        <v>56</v>
      </c>
      <c r="W415" s="7" t="s">
        <v>2619</v>
      </c>
      <c r="X415" s="7" t="s">
        <v>2618</v>
      </c>
      <c r="Y415" s="7" t="s">
        <v>1691</v>
      </c>
      <c r="AA415" s="7" t="s">
        <v>2617</v>
      </c>
      <c r="AB415" s="7">
        <v>10</v>
      </c>
      <c r="AC415" s="7" t="s">
        <v>51</v>
      </c>
      <c r="AD415" s="7" t="s">
        <v>840</v>
      </c>
      <c r="AF415" s="7" t="s">
        <v>44</v>
      </c>
      <c r="AH415" s="4">
        <v>45716.999988425923</v>
      </c>
    </row>
    <row r="416" spans="1:34" x14ac:dyDescent="0.3">
      <c r="A416" s="4">
        <v>45716</v>
      </c>
      <c r="B416" s="4">
        <v>44562</v>
      </c>
      <c r="C416" s="7" t="s">
        <v>35</v>
      </c>
      <c r="D416" s="7" t="s">
        <v>36</v>
      </c>
      <c r="E416" s="7" t="s">
        <v>36</v>
      </c>
      <c r="F416" s="7" t="s">
        <v>36</v>
      </c>
      <c r="G416" s="7" t="s">
        <v>37</v>
      </c>
      <c r="K416" s="7" t="s">
        <v>38</v>
      </c>
      <c r="L416" s="7" t="s">
        <v>39</v>
      </c>
      <c r="M416" s="7" t="s">
        <v>40</v>
      </c>
      <c r="N416" s="7" t="s">
        <v>41</v>
      </c>
      <c r="R416" s="7" t="s">
        <v>52</v>
      </c>
      <c r="T416" s="8">
        <v>42330.49</v>
      </c>
      <c r="U416" s="8">
        <v>-42330.49</v>
      </c>
      <c r="V416" s="7" t="s">
        <v>56</v>
      </c>
      <c r="W416" s="7" t="s">
        <v>2619</v>
      </c>
      <c r="X416" s="7" t="s">
        <v>2618</v>
      </c>
      <c r="Y416" s="7" t="s">
        <v>1691</v>
      </c>
      <c r="AA416" s="7" t="s">
        <v>2617</v>
      </c>
      <c r="AB416" s="7">
        <v>10</v>
      </c>
      <c r="AC416" s="7" t="s">
        <v>51</v>
      </c>
      <c r="AD416" s="7" t="s">
        <v>842</v>
      </c>
      <c r="AF416" s="7" t="s">
        <v>44</v>
      </c>
      <c r="AH416" s="4">
        <v>45716.999988425923</v>
      </c>
    </row>
    <row r="417" spans="1:34" x14ac:dyDescent="0.3">
      <c r="A417" s="4">
        <v>45716</v>
      </c>
      <c r="B417" s="4">
        <v>45716</v>
      </c>
      <c r="C417" s="7" t="s">
        <v>35</v>
      </c>
      <c r="D417" s="7" t="s">
        <v>36</v>
      </c>
      <c r="E417" s="7" t="s">
        <v>36</v>
      </c>
      <c r="F417" s="7" t="s">
        <v>36</v>
      </c>
      <c r="G417" s="7" t="s">
        <v>37</v>
      </c>
      <c r="K417" s="7" t="s">
        <v>38</v>
      </c>
      <c r="L417" s="7" t="s">
        <v>39</v>
      </c>
      <c r="M417" s="7" t="s">
        <v>40</v>
      </c>
      <c r="N417" s="7" t="s">
        <v>41</v>
      </c>
      <c r="R417" s="7" t="s">
        <v>45</v>
      </c>
      <c r="S417" s="8">
        <v>545204.44999999995</v>
      </c>
      <c r="U417" s="8">
        <v>545204.44999999995</v>
      </c>
      <c r="V417" s="7" t="s">
        <v>56</v>
      </c>
      <c r="W417" s="7" t="s">
        <v>2620</v>
      </c>
      <c r="X417" s="7" t="s">
        <v>2618</v>
      </c>
      <c r="Y417" s="7" t="s">
        <v>1691</v>
      </c>
      <c r="AA417" s="7" t="s">
        <v>2617</v>
      </c>
      <c r="AB417" s="7">
        <v>11</v>
      </c>
      <c r="AC417" s="7" t="s">
        <v>53</v>
      </c>
      <c r="AD417" s="7" t="s">
        <v>843</v>
      </c>
      <c r="AF417" s="7" t="s">
        <v>44</v>
      </c>
      <c r="AH417" s="4">
        <v>45716.999988425923</v>
      </c>
    </row>
    <row r="418" spans="1:34" x14ac:dyDescent="0.3">
      <c r="A418" s="4">
        <v>45716</v>
      </c>
      <c r="B418" s="4">
        <v>45716</v>
      </c>
      <c r="C418" s="7" t="s">
        <v>35</v>
      </c>
      <c r="D418" s="7" t="s">
        <v>36</v>
      </c>
      <c r="E418" s="7" t="s">
        <v>36</v>
      </c>
      <c r="F418" s="7" t="s">
        <v>36</v>
      </c>
      <c r="G418" s="7" t="s">
        <v>37</v>
      </c>
      <c r="K418" s="7" t="s">
        <v>38</v>
      </c>
      <c r="L418" s="7" t="s">
        <v>39</v>
      </c>
      <c r="M418" s="7" t="s">
        <v>40</v>
      </c>
      <c r="N418" s="7" t="s">
        <v>41</v>
      </c>
      <c r="R418" s="7" t="s">
        <v>54</v>
      </c>
      <c r="T418" s="8">
        <v>545204.44999999995</v>
      </c>
      <c r="U418" s="8">
        <v>-545204.44999999995</v>
      </c>
      <c r="V418" s="7" t="s">
        <v>56</v>
      </c>
      <c r="W418" s="7" t="s">
        <v>2620</v>
      </c>
      <c r="X418" s="7" t="s">
        <v>2618</v>
      </c>
      <c r="Y418" s="7" t="s">
        <v>1691</v>
      </c>
      <c r="AA418" s="7" t="s">
        <v>2617</v>
      </c>
      <c r="AB418" s="7">
        <v>11</v>
      </c>
      <c r="AC418" s="7" t="s">
        <v>53</v>
      </c>
      <c r="AD418" s="7" t="s">
        <v>845</v>
      </c>
      <c r="AF418" s="7" t="s">
        <v>44</v>
      </c>
      <c r="AH418" s="4">
        <v>45716.999988425923</v>
      </c>
    </row>
    <row r="419" spans="1:34" x14ac:dyDescent="0.3">
      <c r="A419" s="4">
        <v>45717</v>
      </c>
      <c r="B419" s="4">
        <v>45717</v>
      </c>
      <c r="C419" s="7" t="s">
        <v>35</v>
      </c>
      <c r="D419" s="7" t="s">
        <v>36</v>
      </c>
      <c r="E419" s="7" t="s">
        <v>36</v>
      </c>
      <c r="F419" s="7" t="s">
        <v>36</v>
      </c>
      <c r="G419" s="7" t="s">
        <v>37</v>
      </c>
      <c r="K419" s="7" t="s">
        <v>38</v>
      </c>
      <c r="L419" s="7" t="s">
        <v>39</v>
      </c>
      <c r="M419" s="7" t="s">
        <v>40</v>
      </c>
      <c r="N419" s="7" t="s">
        <v>41</v>
      </c>
      <c r="R419" s="7" t="s">
        <v>54</v>
      </c>
      <c r="S419" s="8">
        <v>545204.44999999995</v>
      </c>
      <c r="U419" s="8">
        <v>545204.44999999995</v>
      </c>
      <c r="V419" s="7" t="s">
        <v>56</v>
      </c>
      <c r="W419" s="7" t="s">
        <v>2620</v>
      </c>
      <c r="X419" s="7" t="s">
        <v>2618</v>
      </c>
      <c r="Y419" s="7" t="s">
        <v>1691</v>
      </c>
      <c r="AA419" s="7" t="s">
        <v>2617</v>
      </c>
      <c r="AB419" s="7">
        <v>11</v>
      </c>
      <c r="AC419" s="7" t="s">
        <v>55</v>
      </c>
      <c r="AD419" s="7" t="s">
        <v>846</v>
      </c>
      <c r="AF419" s="7" t="s">
        <v>44</v>
      </c>
      <c r="AH419" s="4">
        <v>45747.999988425923</v>
      </c>
    </row>
    <row r="420" spans="1:34" x14ac:dyDescent="0.3">
      <c r="A420" s="4">
        <v>45717</v>
      </c>
      <c r="B420" s="4">
        <v>45717</v>
      </c>
      <c r="C420" s="7" t="s">
        <v>35</v>
      </c>
      <c r="D420" s="7" t="s">
        <v>36</v>
      </c>
      <c r="E420" s="7" t="s">
        <v>36</v>
      </c>
      <c r="F420" s="7" t="s">
        <v>36</v>
      </c>
      <c r="G420" s="7" t="s">
        <v>37</v>
      </c>
      <c r="K420" s="7" t="s">
        <v>38</v>
      </c>
      <c r="L420" s="7" t="s">
        <v>39</v>
      </c>
      <c r="M420" s="7" t="s">
        <v>40</v>
      </c>
      <c r="N420" s="7" t="s">
        <v>41</v>
      </c>
      <c r="R420" s="7" t="s">
        <v>45</v>
      </c>
      <c r="T420" s="8">
        <v>545204.44999999995</v>
      </c>
      <c r="U420" s="8">
        <v>-545204.44999999995</v>
      </c>
      <c r="V420" s="7" t="s">
        <v>56</v>
      </c>
      <c r="W420" s="7" t="s">
        <v>2620</v>
      </c>
      <c r="X420" s="7" t="s">
        <v>2618</v>
      </c>
      <c r="Y420" s="7" t="s">
        <v>1691</v>
      </c>
      <c r="AA420" s="7" t="s">
        <v>2617</v>
      </c>
      <c r="AB420" s="7">
        <v>11</v>
      </c>
      <c r="AC420" s="7" t="s">
        <v>55</v>
      </c>
      <c r="AD420" s="7" t="s">
        <v>848</v>
      </c>
      <c r="AF420" s="7" t="s">
        <v>44</v>
      </c>
      <c r="AH420" s="4">
        <v>45747.999988425923</v>
      </c>
    </row>
    <row r="421" spans="1:34" x14ac:dyDescent="0.3">
      <c r="A421" s="4">
        <v>45717</v>
      </c>
      <c r="B421" s="4">
        <v>45747</v>
      </c>
      <c r="C421" s="7" t="s">
        <v>46</v>
      </c>
      <c r="D421" s="7" t="s">
        <v>36</v>
      </c>
      <c r="E421" s="7" t="s">
        <v>36</v>
      </c>
      <c r="F421" s="7" t="s">
        <v>36</v>
      </c>
      <c r="G421" s="7" t="s">
        <v>37</v>
      </c>
      <c r="K421" s="7" t="s">
        <v>38</v>
      </c>
      <c r="L421" s="7" t="s">
        <v>39</v>
      </c>
      <c r="M421" s="7" t="s">
        <v>38</v>
      </c>
      <c r="N421" s="7" t="s">
        <v>41</v>
      </c>
      <c r="R421" s="7" t="s">
        <v>49</v>
      </c>
      <c r="S421" s="8">
        <v>6005.5922890000002</v>
      </c>
      <c r="U421" s="8">
        <v>6005.5922890000002</v>
      </c>
      <c r="V421" s="7" t="s">
        <v>56</v>
      </c>
      <c r="W421" s="7" t="s">
        <v>57</v>
      </c>
      <c r="X421" s="7" t="s">
        <v>2618</v>
      </c>
      <c r="Y421" s="7" t="s">
        <v>1691</v>
      </c>
      <c r="AA421" s="7" t="s">
        <v>2617</v>
      </c>
      <c r="AB421" s="7">
        <v>12</v>
      </c>
      <c r="AC421" s="7" t="s">
        <v>57</v>
      </c>
      <c r="AD421" s="7" t="s">
        <v>849</v>
      </c>
      <c r="AF421" s="7" t="s">
        <v>44</v>
      </c>
      <c r="AH421" s="4">
        <v>45747.999988425923</v>
      </c>
    </row>
    <row r="422" spans="1:34" x14ac:dyDescent="0.3">
      <c r="A422" s="4">
        <v>45717</v>
      </c>
      <c r="B422" s="4">
        <v>45747</v>
      </c>
      <c r="C422" s="7" t="s">
        <v>46</v>
      </c>
      <c r="D422" s="7" t="s">
        <v>36</v>
      </c>
      <c r="E422" s="7" t="s">
        <v>36</v>
      </c>
      <c r="F422" s="7" t="s">
        <v>36</v>
      </c>
      <c r="G422" s="7" t="s">
        <v>37</v>
      </c>
      <c r="K422" s="7" t="s">
        <v>38</v>
      </c>
      <c r="L422" s="7" t="s">
        <v>39</v>
      </c>
      <c r="M422" s="7" t="s">
        <v>40</v>
      </c>
      <c r="N422" s="7" t="s">
        <v>41</v>
      </c>
      <c r="R422" s="7" t="s">
        <v>45</v>
      </c>
      <c r="S422" s="8">
        <v>43994.407711</v>
      </c>
      <c r="U422" s="8">
        <v>43994.407711</v>
      </c>
      <c r="V422" s="7" t="s">
        <v>56</v>
      </c>
      <c r="W422" s="7" t="s">
        <v>57</v>
      </c>
      <c r="X422" s="7" t="s">
        <v>2618</v>
      </c>
      <c r="Y422" s="7" t="s">
        <v>1691</v>
      </c>
      <c r="AA422" s="7" t="s">
        <v>2617</v>
      </c>
      <c r="AB422" s="7">
        <v>12</v>
      </c>
      <c r="AC422" s="7" t="s">
        <v>57</v>
      </c>
      <c r="AD422" s="7" t="s">
        <v>851</v>
      </c>
      <c r="AF422" s="7" t="s">
        <v>44</v>
      </c>
      <c r="AH422" s="4">
        <v>45747.999988425923</v>
      </c>
    </row>
    <row r="423" spans="1:34" x14ac:dyDescent="0.3">
      <c r="A423" s="4">
        <v>45717</v>
      </c>
      <c r="B423" s="4">
        <v>45747</v>
      </c>
      <c r="C423" s="7" t="s">
        <v>46</v>
      </c>
      <c r="D423" s="7" t="s">
        <v>36</v>
      </c>
      <c r="E423" s="7" t="s">
        <v>36</v>
      </c>
      <c r="F423" s="7" t="s">
        <v>36</v>
      </c>
      <c r="G423" s="7" t="s">
        <v>37</v>
      </c>
      <c r="K423" s="7" t="s">
        <v>38</v>
      </c>
      <c r="L423" s="7" t="s">
        <v>39</v>
      </c>
      <c r="M423" s="7" t="s">
        <v>40</v>
      </c>
      <c r="N423" s="7" t="s">
        <v>41</v>
      </c>
      <c r="R423" s="7" t="s">
        <v>58</v>
      </c>
      <c r="T423" s="8">
        <v>50000</v>
      </c>
      <c r="U423" s="8">
        <v>-50000</v>
      </c>
      <c r="V423" s="7" t="s">
        <v>56</v>
      </c>
      <c r="W423" s="7" t="s">
        <v>57</v>
      </c>
      <c r="X423" s="7" t="s">
        <v>2618</v>
      </c>
      <c r="Y423" s="7" t="s">
        <v>1691</v>
      </c>
      <c r="AA423" s="7" t="s">
        <v>2617</v>
      </c>
      <c r="AB423" s="7">
        <v>12</v>
      </c>
      <c r="AC423" s="7" t="s">
        <v>57</v>
      </c>
      <c r="AD423" s="7" t="s">
        <v>852</v>
      </c>
      <c r="AF423" s="7" t="s">
        <v>44</v>
      </c>
      <c r="AH423" s="4">
        <v>45747.999988425923</v>
      </c>
    </row>
    <row r="424" spans="1:34" x14ac:dyDescent="0.3">
      <c r="A424" s="4">
        <v>45747</v>
      </c>
      <c r="B424" s="4">
        <v>45747</v>
      </c>
      <c r="C424" s="7" t="s">
        <v>46</v>
      </c>
      <c r="D424" s="7" t="s">
        <v>36</v>
      </c>
      <c r="E424" s="7" t="s">
        <v>36</v>
      </c>
      <c r="F424" s="7" t="s">
        <v>36</v>
      </c>
      <c r="G424" s="7" t="s">
        <v>37</v>
      </c>
      <c r="K424" s="7" t="s">
        <v>38</v>
      </c>
      <c r="L424" s="7" t="s">
        <v>39</v>
      </c>
      <c r="M424" s="7" t="s">
        <v>40</v>
      </c>
      <c r="N424" s="7" t="s">
        <v>41</v>
      </c>
      <c r="R424" s="7" t="s">
        <v>47</v>
      </c>
      <c r="S424" s="8">
        <v>5748.9582440000004</v>
      </c>
      <c r="U424" s="8">
        <v>5748.9582440000004</v>
      </c>
      <c r="V424" s="7" t="s">
        <v>56</v>
      </c>
      <c r="W424" s="7" t="s">
        <v>2621</v>
      </c>
      <c r="X424" s="7" t="s">
        <v>2618</v>
      </c>
      <c r="Y424" s="7" t="s">
        <v>1691</v>
      </c>
      <c r="AA424" s="7" t="s">
        <v>2617</v>
      </c>
      <c r="AB424" s="7">
        <v>8</v>
      </c>
      <c r="AC424" s="7" t="s">
        <v>48</v>
      </c>
      <c r="AD424" s="7" t="s">
        <v>853</v>
      </c>
      <c r="AF424" s="7" t="s">
        <v>44</v>
      </c>
      <c r="AH424" s="4">
        <v>45747.999988425923</v>
      </c>
    </row>
    <row r="425" spans="1:34" x14ac:dyDescent="0.3">
      <c r="A425" s="4">
        <v>45747</v>
      </c>
      <c r="B425" s="4">
        <v>45747</v>
      </c>
      <c r="C425" s="7" t="s">
        <v>46</v>
      </c>
      <c r="D425" s="7" t="s">
        <v>36</v>
      </c>
      <c r="E425" s="7" t="s">
        <v>36</v>
      </c>
      <c r="F425" s="7" t="s">
        <v>36</v>
      </c>
      <c r="G425" s="7" t="s">
        <v>37</v>
      </c>
      <c r="K425" s="7" t="s">
        <v>38</v>
      </c>
      <c r="L425" s="7" t="s">
        <v>39</v>
      </c>
      <c r="M425" s="7" t="s">
        <v>38</v>
      </c>
      <c r="N425" s="7" t="s">
        <v>41</v>
      </c>
      <c r="R425" s="7" t="s">
        <v>49</v>
      </c>
      <c r="T425" s="8">
        <v>5748.9582440000004</v>
      </c>
      <c r="U425" s="8">
        <v>-5748.9582440000004</v>
      </c>
      <c r="V425" s="7" t="s">
        <v>56</v>
      </c>
      <c r="W425" s="7" t="s">
        <v>2621</v>
      </c>
      <c r="X425" s="7" t="s">
        <v>2618</v>
      </c>
      <c r="Y425" s="7" t="s">
        <v>1691</v>
      </c>
      <c r="AA425" s="7" t="s">
        <v>2617</v>
      </c>
      <c r="AB425" s="7">
        <v>8</v>
      </c>
      <c r="AC425" s="7" t="s">
        <v>48</v>
      </c>
      <c r="AD425" s="7" t="s">
        <v>855</v>
      </c>
      <c r="AF425" s="7" t="s">
        <v>44</v>
      </c>
      <c r="AH425" s="4">
        <v>45747.999988425923</v>
      </c>
    </row>
    <row r="426" spans="1:34" x14ac:dyDescent="0.3">
      <c r="A426" s="4">
        <v>45747</v>
      </c>
      <c r="B426" s="4">
        <v>44562</v>
      </c>
      <c r="C426" s="7" t="s">
        <v>35</v>
      </c>
      <c r="D426" s="7" t="s">
        <v>36</v>
      </c>
      <c r="E426" s="7" t="s">
        <v>36</v>
      </c>
      <c r="F426" s="7" t="s">
        <v>36</v>
      </c>
      <c r="G426" s="7" t="s">
        <v>37</v>
      </c>
      <c r="K426" s="7" t="s">
        <v>38</v>
      </c>
      <c r="L426" s="7" t="s">
        <v>39</v>
      </c>
      <c r="M426" s="7" t="s">
        <v>40</v>
      </c>
      <c r="N426" s="7" t="s">
        <v>41</v>
      </c>
      <c r="R426" s="7" t="s">
        <v>50</v>
      </c>
      <c r="S426" s="8">
        <v>42330.5</v>
      </c>
      <c r="U426" s="8">
        <v>42330.5</v>
      </c>
      <c r="V426" s="7" t="s">
        <v>56</v>
      </c>
      <c r="W426" s="7" t="s">
        <v>2619</v>
      </c>
      <c r="X426" s="7" t="s">
        <v>2618</v>
      </c>
      <c r="Y426" s="7" t="s">
        <v>1691</v>
      </c>
      <c r="AA426" s="7" t="s">
        <v>2617</v>
      </c>
      <c r="AB426" s="7">
        <v>10</v>
      </c>
      <c r="AC426" s="7" t="s">
        <v>51</v>
      </c>
      <c r="AD426" s="7" t="s">
        <v>856</v>
      </c>
      <c r="AF426" s="7" t="s">
        <v>44</v>
      </c>
      <c r="AH426" s="4">
        <v>45747.999988425923</v>
      </c>
    </row>
    <row r="427" spans="1:34" x14ac:dyDescent="0.3">
      <c r="A427" s="4">
        <v>45747</v>
      </c>
      <c r="B427" s="4">
        <v>44562</v>
      </c>
      <c r="C427" s="7" t="s">
        <v>35</v>
      </c>
      <c r="D427" s="7" t="s">
        <v>36</v>
      </c>
      <c r="E427" s="7" t="s">
        <v>36</v>
      </c>
      <c r="F427" s="7" t="s">
        <v>36</v>
      </c>
      <c r="G427" s="7" t="s">
        <v>37</v>
      </c>
      <c r="K427" s="7" t="s">
        <v>38</v>
      </c>
      <c r="L427" s="7" t="s">
        <v>39</v>
      </c>
      <c r="M427" s="7" t="s">
        <v>40</v>
      </c>
      <c r="N427" s="7" t="s">
        <v>41</v>
      </c>
      <c r="R427" s="7" t="s">
        <v>52</v>
      </c>
      <c r="T427" s="8">
        <v>42330.5</v>
      </c>
      <c r="U427" s="8">
        <v>-42330.5</v>
      </c>
      <c r="V427" s="7" t="s">
        <v>56</v>
      </c>
      <c r="W427" s="7" t="s">
        <v>2619</v>
      </c>
      <c r="X427" s="7" t="s">
        <v>2618</v>
      </c>
      <c r="Y427" s="7" t="s">
        <v>1691</v>
      </c>
      <c r="AA427" s="7" t="s">
        <v>2617</v>
      </c>
      <c r="AB427" s="7">
        <v>10</v>
      </c>
      <c r="AC427" s="7" t="s">
        <v>51</v>
      </c>
      <c r="AD427" s="7" t="s">
        <v>858</v>
      </c>
      <c r="AF427" s="7" t="s">
        <v>44</v>
      </c>
      <c r="AH427" s="4">
        <v>45747.999988425923</v>
      </c>
    </row>
    <row r="428" spans="1:34" x14ac:dyDescent="0.3">
      <c r="A428" s="4">
        <v>45747</v>
      </c>
      <c r="B428" s="4">
        <v>45747</v>
      </c>
      <c r="C428" s="7" t="s">
        <v>35</v>
      </c>
      <c r="D428" s="7" t="s">
        <v>36</v>
      </c>
      <c r="E428" s="7" t="s">
        <v>36</v>
      </c>
      <c r="F428" s="7" t="s">
        <v>36</v>
      </c>
      <c r="G428" s="7" t="s">
        <v>37</v>
      </c>
      <c r="K428" s="7" t="s">
        <v>38</v>
      </c>
      <c r="L428" s="7" t="s">
        <v>39</v>
      </c>
      <c r="M428" s="7" t="s">
        <v>40</v>
      </c>
      <c r="N428" s="7" t="s">
        <v>41</v>
      </c>
      <c r="R428" s="7" t="s">
        <v>45</v>
      </c>
      <c r="S428" s="8">
        <v>548384.81000000006</v>
      </c>
      <c r="U428" s="8">
        <v>548384.81000000006</v>
      </c>
      <c r="V428" s="7" t="s">
        <v>56</v>
      </c>
      <c r="W428" s="7" t="s">
        <v>2620</v>
      </c>
      <c r="X428" s="7" t="s">
        <v>2618</v>
      </c>
      <c r="Y428" s="7" t="s">
        <v>1691</v>
      </c>
      <c r="AA428" s="7" t="s">
        <v>2617</v>
      </c>
      <c r="AB428" s="7">
        <v>11</v>
      </c>
      <c r="AC428" s="7" t="s">
        <v>53</v>
      </c>
      <c r="AD428" s="7" t="s">
        <v>859</v>
      </c>
      <c r="AF428" s="7" t="s">
        <v>44</v>
      </c>
      <c r="AH428" s="4">
        <v>45747.999988425923</v>
      </c>
    </row>
    <row r="429" spans="1:34" x14ac:dyDescent="0.3">
      <c r="A429" s="4">
        <v>45747</v>
      </c>
      <c r="B429" s="4">
        <v>45747</v>
      </c>
      <c r="C429" s="7" t="s">
        <v>35</v>
      </c>
      <c r="D429" s="7" t="s">
        <v>36</v>
      </c>
      <c r="E429" s="7" t="s">
        <v>36</v>
      </c>
      <c r="F429" s="7" t="s">
        <v>36</v>
      </c>
      <c r="G429" s="7" t="s">
        <v>37</v>
      </c>
      <c r="K429" s="7" t="s">
        <v>38</v>
      </c>
      <c r="L429" s="7" t="s">
        <v>39</v>
      </c>
      <c r="M429" s="7" t="s">
        <v>40</v>
      </c>
      <c r="N429" s="7" t="s">
        <v>41</v>
      </c>
      <c r="R429" s="7" t="s">
        <v>54</v>
      </c>
      <c r="T429" s="8">
        <v>548384.81000000006</v>
      </c>
      <c r="U429" s="8">
        <v>-548384.81000000006</v>
      </c>
      <c r="V429" s="7" t="s">
        <v>56</v>
      </c>
      <c r="W429" s="7" t="s">
        <v>2620</v>
      </c>
      <c r="X429" s="7" t="s">
        <v>2618</v>
      </c>
      <c r="Y429" s="7" t="s">
        <v>1691</v>
      </c>
      <c r="AA429" s="7" t="s">
        <v>2617</v>
      </c>
      <c r="AB429" s="7">
        <v>11</v>
      </c>
      <c r="AC429" s="7" t="s">
        <v>53</v>
      </c>
      <c r="AD429" s="7" t="s">
        <v>861</v>
      </c>
      <c r="AF429" s="7" t="s">
        <v>44</v>
      </c>
      <c r="AH429" s="4">
        <v>45747.999988425923</v>
      </c>
    </row>
    <row r="430" spans="1:34" x14ac:dyDescent="0.3">
      <c r="A430" s="4">
        <v>45748</v>
      </c>
      <c r="B430" s="4">
        <v>45748</v>
      </c>
      <c r="C430" s="7" t="s">
        <v>35</v>
      </c>
      <c r="D430" s="7" t="s">
        <v>36</v>
      </c>
      <c r="E430" s="7" t="s">
        <v>36</v>
      </c>
      <c r="F430" s="7" t="s">
        <v>36</v>
      </c>
      <c r="G430" s="7" t="s">
        <v>37</v>
      </c>
      <c r="K430" s="7" t="s">
        <v>38</v>
      </c>
      <c r="L430" s="7" t="s">
        <v>39</v>
      </c>
      <c r="M430" s="7" t="s">
        <v>40</v>
      </c>
      <c r="N430" s="7" t="s">
        <v>41</v>
      </c>
      <c r="R430" s="7" t="s">
        <v>54</v>
      </c>
      <c r="S430" s="8">
        <v>548384.81000000006</v>
      </c>
      <c r="U430" s="8">
        <v>548384.81000000006</v>
      </c>
      <c r="V430" s="7" t="s">
        <v>56</v>
      </c>
      <c r="W430" s="7" t="s">
        <v>2620</v>
      </c>
      <c r="X430" s="7" t="s">
        <v>2618</v>
      </c>
      <c r="Y430" s="7" t="s">
        <v>1691</v>
      </c>
      <c r="AA430" s="7" t="s">
        <v>2617</v>
      </c>
      <c r="AB430" s="7">
        <v>11</v>
      </c>
      <c r="AC430" s="7" t="s">
        <v>55</v>
      </c>
      <c r="AD430" s="7" t="s">
        <v>862</v>
      </c>
      <c r="AF430" s="7" t="s">
        <v>44</v>
      </c>
      <c r="AH430" s="4">
        <v>45777.999988425923</v>
      </c>
    </row>
    <row r="431" spans="1:34" x14ac:dyDescent="0.3">
      <c r="A431" s="4">
        <v>45748</v>
      </c>
      <c r="B431" s="4">
        <v>45748</v>
      </c>
      <c r="C431" s="7" t="s">
        <v>35</v>
      </c>
      <c r="D431" s="7" t="s">
        <v>36</v>
      </c>
      <c r="E431" s="7" t="s">
        <v>36</v>
      </c>
      <c r="F431" s="7" t="s">
        <v>36</v>
      </c>
      <c r="G431" s="7" t="s">
        <v>37</v>
      </c>
      <c r="K431" s="7" t="s">
        <v>38</v>
      </c>
      <c r="L431" s="7" t="s">
        <v>39</v>
      </c>
      <c r="M431" s="7" t="s">
        <v>40</v>
      </c>
      <c r="N431" s="7" t="s">
        <v>41</v>
      </c>
      <c r="R431" s="7" t="s">
        <v>45</v>
      </c>
      <c r="T431" s="8">
        <v>548384.81000000006</v>
      </c>
      <c r="U431" s="8">
        <v>-548384.81000000006</v>
      </c>
      <c r="V431" s="7" t="s">
        <v>56</v>
      </c>
      <c r="W431" s="7" t="s">
        <v>2620</v>
      </c>
      <c r="X431" s="7" t="s">
        <v>2618</v>
      </c>
      <c r="Y431" s="7" t="s">
        <v>1691</v>
      </c>
      <c r="AA431" s="7" t="s">
        <v>2617</v>
      </c>
      <c r="AB431" s="7">
        <v>11</v>
      </c>
      <c r="AC431" s="7" t="s">
        <v>55</v>
      </c>
      <c r="AD431" s="7" t="s">
        <v>864</v>
      </c>
      <c r="AF431" s="7" t="s">
        <v>44</v>
      </c>
      <c r="AH431" s="4">
        <v>45777.999988425923</v>
      </c>
    </row>
    <row r="432" spans="1:34" x14ac:dyDescent="0.3">
      <c r="A432" s="4">
        <v>45748</v>
      </c>
      <c r="B432" s="4">
        <v>45777</v>
      </c>
      <c r="C432" s="7" t="s">
        <v>46</v>
      </c>
      <c r="D432" s="7" t="s">
        <v>36</v>
      </c>
      <c r="E432" s="7" t="s">
        <v>36</v>
      </c>
      <c r="F432" s="7" t="s">
        <v>36</v>
      </c>
      <c r="G432" s="7" t="s">
        <v>37</v>
      </c>
      <c r="K432" s="7" t="s">
        <v>38</v>
      </c>
      <c r="L432" s="7" t="s">
        <v>39</v>
      </c>
      <c r="M432" s="7" t="s">
        <v>38</v>
      </c>
      <c r="N432" s="7" t="s">
        <v>41</v>
      </c>
      <c r="R432" s="7" t="s">
        <v>49</v>
      </c>
      <c r="S432" s="8">
        <v>5748.9582440000004</v>
      </c>
      <c r="U432" s="8">
        <v>5748.9582440000004</v>
      </c>
      <c r="V432" s="7" t="s">
        <v>56</v>
      </c>
      <c r="W432" s="7" t="s">
        <v>57</v>
      </c>
      <c r="X432" s="7" t="s">
        <v>2618</v>
      </c>
      <c r="Y432" s="7" t="s">
        <v>1691</v>
      </c>
      <c r="AA432" s="7" t="s">
        <v>2617</v>
      </c>
      <c r="AB432" s="7">
        <v>12</v>
      </c>
      <c r="AC432" s="7" t="s">
        <v>57</v>
      </c>
      <c r="AD432" s="7" t="s">
        <v>865</v>
      </c>
      <c r="AF432" s="7" t="s">
        <v>44</v>
      </c>
      <c r="AH432" s="4">
        <v>45777.999988425923</v>
      </c>
    </row>
    <row r="433" spans="1:34" x14ac:dyDescent="0.3">
      <c r="A433" s="4">
        <v>45748</v>
      </c>
      <c r="B433" s="4">
        <v>45777</v>
      </c>
      <c r="C433" s="7" t="s">
        <v>46</v>
      </c>
      <c r="D433" s="7" t="s">
        <v>36</v>
      </c>
      <c r="E433" s="7" t="s">
        <v>36</v>
      </c>
      <c r="F433" s="7" t="s">
        <v>36</v>
      </c>
      <c r="G433" s="7" t="s">
        <v>37</v>
      </c>
      <c r="K433" s="7" t="s">
        <v>38</v>
      </c>
      <c r="L433" s="7" t="s">
        <v>39</v>
      </c>
      <c r="M433" s="7" t="s">
        <v>40</v>
      </c>
      <c r="N433" s="7" t="s">
        <v>41</v>
      </c>
      <c r="R433" s="7" t="s">
        <v>45</v>
      </c>
      <c r="S433" s="8">
        <v>44251.041755999999</v>
      </c>
      <c r="U433" s="8">
        <v>44251.041755999999</v>
      </c>
      <c r="V433" s="7" t="s">
        <v>56</v>
      </c>
      <c r="W433" s="7" t="s">
        <v>57</v>
      </c>
      <c r="X433" s="7" t="s">
        <v>2618</v>
      </c>
      <c r="Y433" s="7" t="s">
        <v>1691</v>
      </c>
      <c r="AA433" s="7" t="s">
        <v>2617</v>
      </c>
      <c r="AB433" s="7">
        <v>12</v>
      </c>
      <c r="AC433" s="7" t="s">
        <v>57</v>
      </c>
      <c r="AD433" s="7" t="s">
        <v>867</v>
      </c>
      <c r="AF433" s="7" t="s">
        <v>44</v>
      </c>
      <c r="AH433" s="4">
        <v>45777.999988425923</v>
      </c>
    </row>
    <row r="434" spans="1:34" x14ac:dyDescent="0.3">
      <c r="A434" s="4">
        <v>45748</v>
      </c>
      <c r="B434" s="4">
        <v>45777</v>
      </c>
      <c r="C434" s="7" t="s">
        <v>46</v>
      </c>
      <c r="D434" s="7" t="s">
        <v>36</v>
      </c>
      <c r="E434" s="7" t="s">
        <v>36</v>
      </c>
      <c r="F434" s="7" t="s">
        <v>36</v>
      </c>
      <c r="G434" s="7" t="s">
        <v>37</v>
      </c>
      <c r="K434" s="7" t="s">
        <v>38</v>
      </c>
      <c r="L434" s="7" t="s">
        <v>39</v>
      </c>
      <c r="M434" s="7" t="s">
        <v>40</v>
      </c>
      <c r="N434" s="7" t="s">
        <v>41</v>
      </c>
      <c r="R434" s="7" t="s">
        <v>58</v>
      </c>
      <c r="T434" s="8">
        <v>50000</v>
      </c>
      <c r="U434" s="8">
        <v>-50000</v>
      </c>
      <c r="V434" s="7" t="s">
        <v>56</v>
      </c>
      <c r="W434" s="7" t="s">
        <v>57</v>
      </c>
      <c r="X434" s="7" t="s">
        <v>2618</v>
      </c>
      <c r="Y434" s="7" t="s">
        <v>1691</v>
      </c>
      <c r="AA434" s="7" t="s">
        <v>2617</v>
      </c>
      <c r="AB434" s="7">
        <v>12</v>
      </c>
      <c r="AC434" s="7" t="s">
        <v>57</v>
      </c>
      <c r="AD434" s="7" t="s">
        <v>868</v>
      </c>
      <c r="AF434" s="7" t="s">
        <v>44</v>
      </c>
      <c r="AH434" s="4">
        <v>45777.999988425923</v>
      </c>
    </row>
    <row r="435" spans="1:34" x14ac:dyDescent="0.3">
      <c r="A435" s="4">
        <v>45777</v>
      </c>
      <c r="B435" s="4">
        <v>45777</v>
      </c>
      <c r="C435" s="7" t="s">
        <v>46</v>
      </c>
      <c r="D435" s="7" t="s">
        <v>36</v>
      </c>
      <c r="E435" s="7" t="s">
        <v>36</v>
      </c>
      <c r="F435" s="7" t="s">
        <v>36</v>
      </c>
      <c r="G435" s="7" t="s">
        <v>37</v>
      </c>
      <c r="K435" s="7" t="s">
        <v>38</v>
      </c>
      <c r="L435" s="7" t="s">
        <v>39</v>
      </c>
      <c r="M435" s="7" t="s">
        <v>40</v>
      </c>
      <c r="N435" s="7" t="s">
        <v>41</v>
      </c>
      <c r="R435" s="7" t="s">
        <v>47</v>
      </c>
      <c r="S435" s="8">
        <v>5490.8271670000004</v>
      </c>
      <c r="U435" s="8">
        <v>5490.8271670000004</v>
      </c>
      <c r="V435" s="7" t="s">
        <v>56</v>
      </c>
      <c r="W435" s="7" t="s">
        <v>2621</v>
      </c>
      <c r="X435" s="7" t="s">
        <v>2618</v>
      </c>
      <c r="Y435" s="7" t="s">
        <v>1691</v>
      </c>
      <c r="AA435" s="7" t="s">
        <v>2617</v>
      </c>
      <c r="AB435" s="7">
        <v>8</v>
      </c>
      <c r="AC435" s="7" t="s">
        <v>48</v>
      </c>
      <c r="AD435" s="7" t="s">
        <v>869</v>
      </c>
      <c r="AF435" s="7" t="s">
        <v>44</v>
      </c>
      <c r="AH435" s="4">
        <v>45777.999988425923</v>
      </c>
    </row>
    <row r="436" spans="1:34" x14ac:dyDescent="0.3">
      <c r="A436" s="4">
        <v>45777</v>
      </c>
      <c r="B436" s="4">
        <v>45777</v>
      </c>
      <c r="C436" s="7" t="s">
        <v>46</v>
      </c>
      <c r="D436" s="7" t="s">
        <v>36</v>
      </c>
      <c r="E436" s="7" t="s">
        <v>36</v>
      </c>
      <c r="F436" s="7" t="s">
        <v>36</v>
      </c>
      <c r="G436" s="7" t="s">
        <v>37</v>
      </c>
      <c r="K436" s="7" t="s">
        <v>38</v>
      </c>
      <c r="L436" s="7" t="s">
        <v>39</v>
      </c>
      <c r="M436" s="7" t="s">
        <v>38</v>
      </c>
      <c r="N436" s="7" t="s">
        <v>41</v>
      </c>
      <c r="R436" s="7" t="s">
        <v>49</v>
      </c>
      <c r="T436" s="8">
        <v>5490.8271670000004</v>
      </c>
      <c r="U436" s="8">
        <v>-5490.8271670000004</v>
      </c>
      <c r="V436" s="7" t="s">
        <v>56</v>
      </c>
      <c r="W436" s="7" t="s">
        <v>2621</v>
      </c>
      <c r="X436" s="7" t="s">
        <v>2618</v>
      </c>
      <c r="Y436" s="7" t="s">
        <v>1691</v>
      </c>
      <c r="AA436" s="7" t="s">
        <v>2617</v>
      </c>
      <c r="AB436" s="7">
        <v>8</v>
      </c>
      <c r="AC436" s="7" t="s">
        <v>48</v>
      </c>
      <c r="AD436" s="7" t="s">
        <v>871</v>
      </c>
      <c r="AF436" s="7" t="s">
        <v>44</v>
      </c>
      <c r="AH436" s="4">
        <v>45777.999988425923</v>
      </c>
    </row>
    <row r="437" spans="1:34" x14ac:dyDescent="0.3">
      <c r="A437" s="4">
        <v>45777</v>
      </c>
      <c r="B437" s="4">
        <v>44562</v>
      </c>
      <c r="C437" s="7" t="s">
        <v>35</v>
      </c>
      <c r="D437" s="7" t="s">
        <v>36</v>
      </c>
      <c r="E437" s="7" t="s">
        <v>36</v>
      </c>
      <c r="F437" s="7" t="s">
        <v>36</v>
      </c>
      <c r="G437" s="7" t="s">
        <v>37</v>
      </c>
      <c r="K437" s="7" t="s">
        <v>38</v>
      </c>
      <c r="L437" s="7" t="s">
        <v>39</v>
      </c>
      <c r="M437" s="7" t="s">
        <v>40</v>
      </c>
      <c r="N437" s="7" t="s">
        <v>41</v>
      </c>
      <c r="R437" s="7" t="s">
        <v>50</v>
      </c>
      <c r="S437" s="8">
        <v>42330.49</v>
      </c>
      <c r="U437" s="8">
        <v>42330.49</v>
      </c>
      <c r="V437" s="7" t="s">
        <v>56</v>
      </c>
      <c r="W437" s="7" t="s">
        <v>2619</v>
      </c>
      <c r="X437" s="7" t="s">
        <v>2618</v>
      </c>
      <c r="Y437" s="7" t="s">
        <v>1691</v>
      </c>
      <c r="AA437" s="7" t="s">
        <v>2617</v>
      </c>
      <c r="AB437" s="7">
        <v>10</v>
      </c>
      <c r="AC437" s="7" t="s">
        <v>51</v>
      </c>
      <c r="AD437" s="7" t="s">
        <v>872</v>
      </c>
      <c r="AF437" s="7" t="s">
        <v>44</v>
      </c>
      <c r="AH437" s="4">
        <v>45777.999988425923</v>
      </c>
    </row>
    <row r="438" spans="1:34" x14ac:dyDescent="0.3">
      <c r="A438" s="4">
        <v>45777</v>
      </c>
      <c r="B438" s="4">
        <v>44562</v>
      </c>
      <c r="C438" s="7" t="s">
        <v>35</v>
      </c>
      <c r="D438" s="7" t="s">
        <v>36</v>
      </c>
      <c r="E438" s="7" t="s">
        <v>36</v>
      </c>
      <c r="F438" s="7" t="s">
        <v>36</v>
      </c>
      <c r="G438" s="7" t="s">
        <v>37</v>
      </c>
      <c r="K438" s="7" t="s">
        <v>38</v>
      </c>
      <c r="L438" s="7" t="s">
        <v>39</v>
      </c>
      <c r="M438" s="7" t="s">
        <v>40</v>
      </c>
      <c r="N438" s="7" t="s">
        <v>41</v>
      </c>
      <c r="R438" s="7" t="s">
        <v>52</v>
      </c>
      <c r="T438" s="8">
        <v>42330.49</v>
      </c>
      <c r="U438" s="8">
        <v>-42330.49</v>
      </c>
      <c r="V438" s="7" t="s">
        <v>56</v>
      </c>
      <c r="W438" s="7" t="s">
        <v>2619</v>
      </c>
      <c r="X438" s="7" t="s">
        <v>2618</v>
      </c>
      <c r="Y438" s="7" t="s">
        <v>1691</v>
      </c>
      <c r="AA438" s="7" t="s">
        <v>2617</v>
      </c>
      <c r="AB438" s="7">
        <v>10</v>
      </c>
      <c r="AC438" s="7" t="s">
        <v>51</v>
      </c>
      <c r="AD438" s="7" t="s">
        <v>874</v>
      </c>
      <c r="AF438" s="7" t="s">
        <v>44</v>
      </c>
      <c r="AH438" s="4">
        <v>45777.999988425923</v>
      </c>
    </row>
    <row r="439" spans="1:34" x14ac:dyDescent="0.3">
      <c r="A439" s="4">
        <v>45777</v>
      </c>
      <c r="B439" s="4">
        <v>45777</v>
      </c>
      <c r="C439" s="7" t="s">
        <v>35</v>
      </c>
      <c r="D439" s="7" t="s">
        <v>36</v>
      </c>
      <c r="E439" s="7" t="s">
        <v>36</v>
      </c>
      <c r="F439" s="7" t="s">
        <v>36</v>
      </c>
      <c r="G439" s="7" t="s">
        <v>37</v>
      </c>
      <c r="K439" s="7" t="s">
        <v>38</v>
      </c>
      <c r="L439" s="7" t="s">
        <v>39</v>
      </c>
      <c r="M439" s="7" t="s">
        <v>40</v>
      </c>
      <c r="N439" s="7" t="s">
        <v>41</v>
      </c>
      <c r="R439" s="7" t="s">
        <v>45</v>
      </c>
      <c r="S439" s="8">
        <v>551583.72</v>
      </c>
      <c r="U439" s="8">
        <v>551583.72</v>
      </c>
      <c r="V439" s="7" t="s">
        <v>56</v>
      </c>
      <c r="W439" s="7" t="s">
        <v>2620</v>
      </c>
      <c r="X439" s="7" t="s">
        <v>2618</v>
      </c>
      <c r="Y439" s="7" t="s">
        <v>1691</v>
      </c>
      <c r="AA439" s="7" t="s">
        <v>2617</v>
      </c>
      <c r="AB439" s="7">
        <v>11</v>
      </c>
      <c r="AC439" s="7" t="s">
        <v>53</v>
      </c>
      <c r="AD439" s="7" t="s">
        <v>875</v>
      </c>
      <c r="AF439" s="7" t="s">
        <v>44</v>
      </c>
      <c r="AH439" s="4">
        <v>45777.999988425923</v>
      </c>
    </row>
    <row r="440" spans="1:34" x14ac:dyDescent="0.3">
      <c r="A440" s="4">
        <v>45777</v>
      </c>
      <c r="B440" s="4">
        <v>45777</v>
      </c>
      <c r="C440" s="7" t="s">
        <v>35</v>
      </c>
      <c r="D440" s="7" t="s">
        <v>36</v>
      </c>
      <c r="E440" s="7" t="s">
        <v>36</v>
      </c>
      <c r="F440" s="7" t="s">
        <v>36</v>
      </c>
      <c r="G440" s="7" t="s">
        <v>37</v>
      </c>
      <c r="K440" s="7" t="s">
        <v>38</v>
      </c>
      <c r="L440" s="7" t="s">
        <v>39</v>
      </c>
      <c r="M440" s="7" t="s">
        <v>40</v>
      </c>
      <c r="N440" s="7" t="s">
        <v>41</v>
      </c>
      <c r="R440" s="7" t="s">
        <v>54</v>
      </c>
      <c r="T440" s="8">
        <v>551583.72</v>
      </c>
      <c r="U440" s="8">
        <v>-551583.72</v>
      </c>
      <c r="V440" s="7" t="s">
        <v>56</v>
      </c>
      <c r="W440" s="7" t="s">
        <v>2620</v>
      </c>
      <c r="X440" s="7" t="s">
        <v>2618</v>
      </c>
      <c r="Y440" s="7" t="s">
        <v>1691</v>
      </c>
      <c r="AA440" s="7" t="s">
        <v>2617</v>
      </c>
      <c r="AB440" s="7">
        <v>11</v>
      </c>
      <c r="AC440" s="7" t="s">
        <v>53</v>
      </c>
      <c r="AD440" s="7" t="s">
        <v>877</v>
      </c>
      <c r="AF440" s="7" t="s">
        <v>44</v>
      </c>
      <c r="AH440" s="4">
        <v>45777.999988425923</v>
      </c>
    </row>
    <row r="441" spans="1:34" x14ac:dyDescent="0.3">
      <c r="A441" s="4">
        <v>45778</v>
      </c>
      <c r="B441" s="4">
        <v>45778</v>
      </c>
      <c r="C441" s="7" t="s">
        <v>35</v>
      </c>
      <c r="D441" s="7" t="s">
        <v>36</v>
      </c>
      <c r="E441" s="7" t="s">
        <v>36</v>
      </c>
      <c r="F441" s="7" t="s">
        <v>36</v>
      </c>
      <c r="G441" s="7" t="s">
        <v>37</v>
      </c>
      <c r="K441" s="7" t="s">
        <v>38</v>
      </c>
      <c r="L441" s="7" t="s">
        <v>39</v>
      </c>
      <c r="M441" s="7" t="s">
        <v>40</v>
      </c>
      <c r="N441" s="7" t="s">
        <v>41</v>
      </c>
      <c r="R441" s="7" t="s">
        <v>54</v>
      </c>
      <c r="S441" s="8">
        <v>551583.72</v>
      </c>
      <c r="U441" s="8">
        <v>551583.72</v>
      </c>
      <c r="V441" s="7" t="s">
        <v>56</v>
      </c>
      <c r="W441" s="7" t="s">
        <v>2620</v>
      </c>
      <c r="X441" s="7" t="s">
        <v>2618</v>
      </c>
      <c r="Y441" s="7" t="s">
        <v>1691</v>
      </c>
      <c r="AA441" s="7" t="s">
        <v>2617</v>
      </c>
      <c r="AB441" s="7">
        <v>11</v>
      </c>
      <c r="AC441" s="7" t="s">
        <v>55</v>
      </c>
      <c r="AD441" s="7" t="s">
        <v>878</v>
      </c>
      <c r="AF441" s="7" t="s">
        <v>44</v>
      </c>
      <c r="AH441" s="4">
        <v>45808.999988425923</v>
      </c>
    </row>
    <row r="442" spans="1:34" x14ac:dyDescent="0.3">
      <c r="A442" s="4">
        <v>45778</v>
      </c>
      <c r="B442" s="4">
        <v>45778</v>
      </c>
      <c r="C442" s="7" t="s">
        <v>35</v>
      </c>
      <c r="D442" s="7" t="s">
        <v>36</v>
      </c>
      <c r="E442" s="7" t="s">
        <v>36</v>
      </c>
      <c r="F442" s="7" t="s">
        <v>36</v>
      </c>
      <c r="G442" s="7" t="s">
        <v>37</v>
      </c>
      <c r="K442" s="7" t="s">
        <v>38</v>
      </c>
      <c r="L442" s="7" t="s">
        <v>39</v>
      </c>
      <c r="M442" s="7" t="s">
        <v>40</v>
      </c>
      <c r="N442" s="7" t="s">
        <v>41</v>
      </c>
      <c r="R442" s="7" t="s">
        <v>45</v>
      </c>
      <c r="T442" s="8">
        <v>551583.72</v>
      </c>
      <c r="U442" s="8">
        <v>-551583.72</v>
      </c>
      <c r="V442" s="7" t="s">
        <v>56</v>
      </c>
      <c r="W442" s="7" t="s">
        <v>2620</v>
      </c>
      <c r="X442" s="7" t="s">
        <v>2618</v>
      </c>
      <c r="Y442" s="7" t="s">
        <v>1691</v>
      </c>
      <c r="AA442" s="7" t="s">
        <v>2617</v>
      </c>
      <c r="AB442" s="7">
        <v>11</v>
      </c>
      <c r="AC442" s="7" t="s">
        <v>55</v>
      </c>
      <c r="AD442" s="7" t="s">
        <v>880</v>
      </c>
      <c r="AF442" s="7" t="s">
        <v>44</v>
      </c>
      <c r="AH442" s="4">
        <v>45808.999988425923</v>
      </c>
    </row>
    <row r="443" spans="1:34" x14ac:dyDescent="0.3">
      <c r="A443" s="4">
        <v>45778</v>
      </c>
      <c r="B443" s="4">
        <v>45808</v>
      </c>
      <c r="C443" s="7" t="s">
        <v>46</v>
      </c>
      <c r="D443" s="7" t="s">
        <v>36</v>
      </c>
      <c r="E443" s="7" t="s">
        <v>36</v>
      </c>
      <c r="F443" s="7" t="s">
        <v>36</v>
      </c>
      <c r="G443" s="7" t="s">
        <v>37</v>
      </c>
      <c r="K443" s="7" t="s">
        <v>38</v>
      </c>
      <c r="L443" s="7" t="s">
        <v>39</v>
      </c>
      <c r="M443" s="7" t="s">
        <v>38</v>
      </c>
      <c r="N443" s="7" t="s">
        <v>41</v>
      </c>
      <c r="R443" s="7" t="s">
        <v>49</v>
      </c>
      <c r="S443" s="8">
        <v>5490.8271670000004</v>
      </c>
      <c r="U443" s="8">
        <v>5490.8271670000004</v>
      </c>
      <c r="V443" s="7" t="s">
        <v>56</v>
      </c>
      <c r="W443" s="7" t="s">
        <v>57</v>
      </c>
      <c r="X443" s="7" t="s">
        <v>2618</v>
      </c>
      <c r="Y443" s="7" t="s">
        <v>1691</v>
      </c>
      <c r="AA443" s="7" t="s">
        <v>2617</v>
      </c>
      <c r="AB443" s="7">
        <v>12</v>
      </c>
      <c r="AC443" s="7" t="s">
        <v>57</v>
      </c>
      <c r="AD443" s="7" t="s">
        <v>881</v>
      </c>
      <c r="AF443" s="7" t="s">
        <v>44</v>
      </c>
      <c r="AH443" s="4">
        <v>45808.999988425923</v>
      </c>
    </row>
    <row r="444" spans="1:34" x14ac:dyDescent="0.3">
      <c r="A444" s="4">
        <v>45778</v>
      </c>
      <c r="B444" s="4">
        <v>45808</v>
      </c>
      <c r="C444" s="7" t="s">
        <v>46</v>
      </c>
      <c r="D444" s="7" t="s">
        <v>36</v>
      </c>
      <c r="E444" s="7" t="s">
        <v>36</v>
      </c>
      <c r="F444" s="7" t="s">
        <v>36</v>
      </c>
      <c r="G444" s="7" t="s">
        <v>37</v>
      </c>
      <c r="K444" s="7" t="s">
        <v>38</v>
      </c>
      <c r="L444" s="7" t="s">
        <v>39</v>
      </c>
      <c r="M444" s="7" t="s">
        <v>40</v>
      </c>
      <c r="N444" s="7" t="s">
        <v>41</v>
      </c>
      <c r="R444" s="7" t="s">
        <v>45</v>
      </c>
      <c r="S444" s="8">
        <v>44509.172832999997</v>
      </c>
      <c r="U444" s="8">
        <v>44509.172832999997</v>
      </c>
      <c r="V444" s="7" t="s">
        <v>56</v>
      </c>
      <c r="W444" s="7" t="s">
        <v>57</v>
      </c>
      <c r="X444" s="7" t="s">
        <v>2618</v>
      </c>
      <c r="Y444" s="7" t="s">
        <v>1691</v>
      </c>
      <c r="AA444" s="7" t="s">
        <v>2617</v>
      </c>
      <c r="AB444" s="7">
        <v>12</v>
      </c>
      <c r="AC444" s="7" t="s">
        <v>57</v>
      </c>
      <c r="AD444" s="7" t="s">
        <v>883</v>
      </c>
      <c r="AF444" s="7" t="s">
        <v>44</v>
      </c>
      <c r="AH444" s="4">
        <v>45808.999988425923</v>
      </c>
    </row>
    <row r="445" spans="1:34" x14ac:dyDescent="0.3">
      <c r="A445" s="4">
        <v>45778</v>
      </c>
      <c r="B445" s="4">
        <v>45808</v>
      </c>
      <c r="C445" s="7" t="s">
        <v>46</v>
      </c>
      <c r="D445" s="7" t="s">
        <v>36</v>
      </c>
      <c r="E445" s="7" t="s">
        <v>36</v>
      </c>
      <c r="F445" s="7" t="s">
        <v>36</v>
      </c>
      <c r="G445" s="7" t="s">
        <v>37</v>
      </c>
      <c r="K445" s="7" t="s">
        <v>38</v>
      </c>
      <c r="L445" s="7" t="s">
        <v>39</v>
      </c>
      <c r="M445" s="7" t="s">
        <v>40</v>
      </c>
      <c r="N445" s="7" t="s">
        <v>41</v>
      </c>
      <c r="R445" s="7" t="s">
        <v>58</v>
      </c>
      <c r="T445" s="8">
        <v>50000</v>
      </c>
      <c r="U445" s="8">
        <v>-50000</v>
      </c>
      <c r="V445" s="7" t="s">
        <v>56</v>
      </c>
      <c r="W445" s="7" t="s">
        <v>57</v>
      </c>
      <c r="X445" s="7" t="s">
        <v>2618</v>
      </c>
      <c r="Y445" s="7" t="s">
        <v>1691</v>
      </c>
      <c r="AA445" s="7" t="s">
        <v>2617</v>
      </c>
      <c r="AB445" s="7">
        <v>12</v>
      </c>
      <c r="AC445" s="7" t="s">
        <v>57</v>
      </c>
      <c r="AD445" s="7" t="s">
        <v>884</v>
      </c>
      <c r="AF445" s="7" t="s">
        <v>44</v>
      </c>
      <c r="AH445" s="4">
        <v>45808.999988425923</v>
      </c>
    </row>
    <row r="446" spans="1:34" x14ac:dyDescent="0.3">
      <c r="A446" s="4">
        <v>45808</v>
      </c>
      <c r="B446" s="4">
        <v>45808</v>
      </c>
      <c r="C446" s="7" t="s">
        <v>46</v>
      </c>
      <c r="D446" s="7" t="s">
        <v>36</v>
      </c>
      <c r="E446" s="7" t="s">
        <v>36</v>
      </c>
      <c r="F446" s="7" t="s">
        <v>36</v>
      </c>
      <c r="G446" s="7" t="s">
        <v>37</v>
      </c>
      <c r="K446" s="7" t="s">
        <v>38</v>
      </c>
      <c r="L446" s="7" t="s">
        <v>39</v>
      </c>
      <c r="M446" s="7" t="s">
        <v>40</v>
      </c>
      <c r="N446" s="7" t="s">
        <v>41</v>
      </c>
      <c r="R446" s="7" t="s">
        <v>47</v>
      </c>
      <c r="S446" s="8">
        <v>5231.1903259999999</v>
      </c>
      <c r="U446" s="8">
        <v>5231.1903259999999</v>
      </c>
      <c r="V446" s="7" t="s">
        <v>56</v>
      </c>
      <c r="W446" s="7" t="s">
        <v>2621</v>
      </c>
      <c r="X446" s="7" t="s">
        <v>2618</v>
      </c>
      <c r="Y446" s="7" t="s">
        <v>1691</v>
      </c>
      <c r="AA446" s="7" t="s">
        <v>2617</v>
      </c>
      <c r="AB446" s="7">
        <v>8</v>
      </c>
      <c r="AC446" s="7" t="s">
        <v>48</v>
      </c>
      <c r="AD446" s="7" t="s">
        <v>885</v>
      </c>
      <c r="AF446" s="7" t="s">
        <v>44</v>
      </c>
      <c r="AH446" s="4">
        <v>45808.999988425923</v>
      </c>
    </row>
    <row r="447" spans="1:34" x14ac:dyDescent="0.3">
      <c r="A447" s="4">
        <v>45808</v>
      </c>
      <c r="B447" s="4">
        <v>45808</v>
      </c>
      <c r="C447" s="7" t="s">
        <v>46</v>
      </c>
      <c r="D447" s="7" t="s">
        <v>36</v>
      </c>
      <c r="E447" s="7" t="s">
        <v>36</v>
      </c>
      <c r="F447" s="7" t="s">
        <v>36</v>
      </c>
      <c r="G447" s="7" t="s">
        <v>37</v>
      </c>
      <c r="K447" s="7" t="s">
        <v>38</v>
      </c>
      <c r="L447" s="7" t="s">
        <v>39</v>
      </c>
      <c r="M447" s="7" t="s">
        <v>38</v>
      </c>
      <c r="N447" s="7" t="s">
        <v>41</v>
      </c>
      <c r="R447" s="7" t="s">
        <v>49</v>
      </c>
      <c r="T447" s="8">
        <v>5231.1903259999999</v>
      </c>
      <c r="U447" s="8">
        <v>-5231.1903259999999</v>
      </c>
      <c r="V447" s="7" t="s">
        <v>56</v>
      </c>
      <c r="W447" s="7" t="s">
        <v>2621</v>
      </c>
      <c r="X447" s="7" t="s">
        <v>2618</v>
      </c>
      <c r="Y447" s="7" t="s">
        <v>1691</v>
      </c>
      <c r="AA447" s="7" t="s">
        <v>2617</v>
      </c>
      <c r="AB447" s="7">
        <v>8</v>
      </c>
      <c r="AC447" s="7" t="s">
        <v>48</v>
      </c>
      <c r="AD447" s="7" t="s">
        <v>887</v>
      </c>
      <c r="AF447" s="7" t="s">
        <v>44</v>
      </c>
      <c r="AH447" s="4">
        <v>45808.999988425923</v>
      </c>
    </row>
    <row r="448" spans="1:34" x14ac:dyDescent="0.3">
      <c r="A448" s="4">
        <v>45808</v>
      </c>
      <c r="B448" s="4">
        <v>44562</v>
      </c>
      <c r="C448" s="7" t="s">
        <v>35</v>
      </c>
      <c r="D448" s="7" t="s">
        <v>36</v>
      </c>
      <c r="E448" s="7" t="s">
        <v>36</v>
      </c>
      <c r="F448" s="7" t="s">
        <v>36</v>
      </c>
      <c r="G448" s="7" t="s">
        <v>37</v>
      </c>
      <c r="K448" s="7" t="s">
        <v>38</v>
      </c>
      <c r="L448" s="7" t="s">
        <v>39</v>
      </c>
      <c r="M448" s="7" t="s">
        <v>40</v>
      </c>
      <c r="N448" s="7" t="s">
        <v>41</v>
      </c>
      <c r="R448" s="7" t="s">
        <v>50</v>
      </c>
      <c r="S448" s="8">
        <v>42330.49</v>
      </c>
      <c r="U448" s="8">
        <v>42330.49</v>
      </c>
      <c r="V448" s="7" t="s">
        <v>56</v>
      </c>
      <c r="W448" s="7" t="s">
        <v>2619</v>
      </c>
      <c r="X448" s="7" t="s">
        <v>2618</v>
      </c>
      <c r="Y448" s="7" t="s">
        <v>1691</v>
      </c>
      <c r="AA448" s="7" t="s">
        <v>2617</v>
      </c>
      <c r="AB448" s="7">
        <v>10</v>
      </c>
      <c r="AC448" s="7" t="s">
        <v>51</v>
      </c>
      <c r="AD448" s="7" t="s">
        <v>888</v>
      </c>
      <c r="AF448" s="7" t="s">
        <v>44</v>
      </c>
      <c r="AH448" s="4">
        <v>45808.999988425923</v>
      </c>
    </row>
    <row r="449" spans="1:34" x14ac:dyDescent="0.3">
      <c r="A449" s="4">
        <v>45808</v>
      </c>
      <c r="B449" s="4">
        <v>44562</v>
      </c>
      <c r="C449" s="7" t="s">
        <v>35</v>
      </c>
      <c r="D449" s="7" t="s">
        <v>36</v>
      </c>
      <c r="E449" s="7" t="s">
        <v>36</v>
      </c>
      <c r="F449" s="7" t="s">
        <v>36</v>
      </c>
      <c r="G449" s="7" t="s">
        <v>37</v>
      </c>
      <c r="K449" s="7" t="s">
        <v>38</v>
      </c>
      <c r="L449" s="7" t="s">
        <v>39</v>
      </c>
      <c r="M449" s="7" t="s">
        <v>40</v>
      </c>
      <c r="N449" s="7" t="s">
        <v>41</v>
      </c>
      <c r="R449" s="7" t="s">
        <v>52</v>
      </c>
      <c r="T449" s="8">
        <v>42330.49</v>
      </c>
      <c r="U449" s="8">
        <v>-42330.49</v>
      </c>
      <c r="V449" s="7" t="s">
        <v>56</v>
      </c>
      <c r="W449" s="7" t="s">
        <v>2619</v>
      </c>
      <c r="X449" s="7" t="s">
        <v>2618</v>
      </c>
      <c r="Y449" s="7" t="s">
        <v>1691</v>
      </c>
      <c r="AA449" s="7" t="s">
        <v>2617</v>
      </c>
      <c r="AB449" s="7">
        <v>10</v>
      </c>
      <c r="AC449" s="7" t="s">
        <v>51</v>
      </c>
      <c r="AD449" s="7" t="s">
        <v>890</v>
      </c>
      <c r="AF449" s="7" t="s">
        <v>44</v>
      </c>
      <c r="AH449" s="4">
        <v>45808.999988425923</v>
      </c>
    </row>
    <row r="450" spans="1:34" x14ac:dyDescent="0.3">
      <c r="A450" s="4">
        <v>45808</v>
      </c>
      <c r="B450" s="4">
        <v>45808</v>
      </c>
      <c r="C450" s="7" t="s">
        <v>35</v>
      </c>
      <c r="D450" s="7" t="s">
        <v>36</v>
      </c>
      <c r="E450" s="7" t="s">
        <v>36</v>
      </c>
      <c r="F450" s="7" t="s">
        <v>36</v>
      </c>
      <c r="G450" s="7" t="s">
        <v>37</v>
      </c>
      <c r="K450" s="7" t="s">
        <v>38</v>
      </c>
      <c r="L450" s="7" t="s">
        <v>39</v>
      </c>
      <c r="M450" s="7" t="s">
        <v>40</v>
      </c>
      <c r="N450" s="7" t="s">
        <v>41</v>
      </c>
      <c r="R450" s="7" t="s">
        <v>45</v>
      </c>
      <c r="S450" s="8">
        <v>554801.29</v>
      </c>
      <c r="U450" s="8">
        <v>554801.29</v>
      </c>
      <c r="V450" s="7" t="s">
        <v>56</v>
      </c>
      <c r="W450" s="7" t="s">
        <v>2620</v>
      </c>
      <c r="X450" s="7" t="s">
        <v>2618</v>
      </c>
      <c r="Y450" s="7" t="s">
        <v>1691</v>
      </c>
      <c r="AA450" s="7" t="s">
        <v>2617</v>
      </c>
      <c r="AB450" s="7">
        <v>11</v>
      </c>
      <c r="AC450" s="7" t="s">
        <v>53</v>
      </c>
      <c r="AD450" s="7" t="s">
        <v>891</v>
      </c>
      <c r="AF450" s="7" t="s">
        <v>44</v>
      </c>
      <c r="AH450" s="4">
        <v>45808.999988425923</v>
      </c>
    </row>
    <row r="451" spans="1:34" x14ac:dyDescent="0.3">
      <c r="A451" s="4">
        <v>45808</v>
      </c>
      <c r="B451" s="4">
        <v>45808</v>
      </c>
      <c r="C451" s="7" t="s">
        <v>35</v>
      </c>
      <c r="D451" s="7" t="s">
        <v>36</v>
      </c>
      <c r="E451" s="7" t="s">
        <v>36</v>
      </c>
      <c r="F451" s="7" t="s">
        <v>36</v>
      </c>
      <c r="G451" s="7" t="s">
        <v>37</v>
      </c>
      <c r="K451" s="7" t="s">
        <v>38</v>
      </c>
      <c r="L451" s="7" t="s">
        <v>39</v>
      </c>
      <c r="M451" s="7" t="s">
        <v>40</v>
      </c>
      <c r="N451" s="7" t="s">
        <v>41</v>
      </c>
      <c r="R451" s="7" t="s">
        <v>54</v>
      </c>
      <c r="T451" s="8">
        <v>554801.29</v>
      </c>
      <c r="U451" s="8">
        <v>-554801.29</v>
      </c>
      <c r="V451" s="7" t="s">
        <v>56</v>
      </c>
      <c r="W451" s="7" t="s">
        <v>2620</v>
      </c>
      <c r="X451" s="7" t="s">
        <v>2618</v>
      </c>
      <c r="Y451" s="7" t="s">
        <v>1691</v>
      </c>
      <c r="AA451" s="7" t="s">
        <v>2617</v>
      </c>
      <c r="AB451" s="7">
        <v>11</v>
      </c>
      <c r="AC451" s="7" t="s">
        <v>53</v>
      </c>
      <c r="AD451" s="7" t="s">
        <v>893</v>
      </c>
      <c r="AF451" s="7" t="s">
        <v>44</v>
      </c>
      <c r="AH451" s="4">
        <v>45808.999988425923</v>
      </c>
    </row>
    <row r="452" spans="1:34" x14ac:dyDescent="0.3">
      <c r="A452" s="4">
        <v>45809</v>
      </c>
      <c r="B452" s="4">
        <v>45809</v>
      </c>
      <c r="C452" s="7" t="s">
        <v>35</v>
      </c>
      <c r="D452" s="7" t="s">
        <v>36</v>
      </c>
      <c r="E452" s="7" t="s">
        <v>36</v>
      </c>
      <c r="F452" s="7" t="s">
        <v>36</v>
      </c>
      <c r="G452" s="7" t="s">
        <v>37</v>
      </c>
      <c r="K452" s="7" t="s">
        <v>38</v>
      </c>
      <c r="L452" s="7" t="s">
        <v>39</v>
      </c>
      <c r="M452" s="7" t="s">
        <v>40</v>
      </c>
      <c r="N452" s="7" t="s">
        <v>41</v>
      </c>
      <c r="R452" s="7" t="s">
        <v>54</v>
      </c>
      <c r="S452" s="8">
        <v>554801.29</v>
      </c>
      <c r="U452" s="8">
        <v>554801.29</v>
      </c>
      <c r="V452" s="7" t="s">
        <v>56</v>
      </c>
      <c r="W452" s="7" t="s">
        <v>2620</v>
      </c>
      <c r="X452" s="7" t="s">
        <v>2618</v>
      </c>
      <c r="Y452" s="7" t="s">
        <v>1691</v>
      </c>
      <c r="AA452" s="7" t="s">
        <v>2617</v>
      </c>
      <c r="AB452" s="7">
        <v>11</v>
      </c>
      <c r="AC452" s="7" t="s">
        <v>55</v>
      </c>
      <c r="AD452" s="7" t="s">
        <v>894</v>
      </c>
      <c r="AF452" s="7" t="s">
        <v>44</v>
      </c>
      <c r="AH452" s="4">
        <v>45838.999988425923</v>
      </c>
    </row>
    <row r="453" spans="1:34" x14ac:dyDescent="0.3">
      <c r="A453" s="4">
        <v>45809</v>
      </c>
      <c r="B453" s="4">
        <v>45809</v>
      </c>
      <c r="C453" s="7" t="s">
        <v>35</v>
      </c>
      <c r="D453" s="7" t="s">
        <v>36</v>
      </c>
      <c r="E453" s="7" t="s">
        <v>36</v>
      </c>
      <c r="F453" s="7" t="s">
        <v>36</v>
      </c>
      <c r="G453" s="7" t="s">
        <v>37</v>
      </c>
      <c r="K453" s="7" t="s">
        <v>38</v>
      </c>
      <c r="L453" s="7" t="s">
        <v>39</v>
      </c>
      <c r="M453" s="7" t="s">
        <v>40</v>
      </c>
      <c r="N453" s="7" t="s">
        <v>41</v>
      </c>
      <c r="R453" s="7" t="s">
        <v>45</v>
      </c>
      <c r="T453" s="8">
        <v>554801.29</v>
      </c>
      <c r="U453" s="8">
        <v>-554801.29</v>
      </c>
      <c r="V453" s="7" t="s">
        <v>56</v>
      </c>
      <c r="W453" s="7" t="s">
        <v>2620</v>
      </c>
      <c r="X453" s="7" t="s">
        <v>2618</v>
      </c>
      <c r="Y453" s="7" t="s">
        <v>1691</v>
      </c>
      <c r="AA453" s="7" t="s">
        <v>2617</v>
      </c>
      <c r="AB453" s="7">
        <v>11</v>
      </c>
      <c r="AC453" s="7" t="s">
        <v>55</v>
      </c>
      <c r="AD453" s="7" t="s">
        <v>896</v>
      </c>
      <c r="AF453" s="7" t="s">
        <v>44</v>
      </c>
      <c r="AH453" s="4">
        <v>45838.999988425923</v>
      </c>
    </row>
    <row r="454" spans="1:34" x14ac:dyDescent="0.3">
      <c r="A454" s="4">
        <v>45809</v>
      </c>
      <c r="B454" s="4">
        <v>45838</v>
      </c>
      <c r="C454" s="7" t="s">
        <v>46</v>
      </c>
      <c r="D454" s="7" t="s">
        <v>36</v>
      </c>
      <c r="E454" s="7" t="s">
        <v>36</v>
      </c>
      <c r="F454" s="7" t="s">
        <v>36</v>
      </c>
      <c r="G454" s="7" t="s">
        <v>37</v>
      </c>
      <c r="K454" s="7" t="s">
        <v>38</v>
      </c>
      <c r="L454" s="7" t="s">
        <v>39</v>
      </c>
      <c r="M454" s="7" t="s">
        <v>38</v>
      </c>
      <c r="N454" s="7" t="s">
        <v>41</v>
      </c>
      <c r="R454" s="7" t="s">
        <v>49</v>
      </c>
      <c r="S454" s="8">
        <v>5231.1903259999999</v>
      </c>
      <c r="U454" s="8">
        <v>5231.1903259999999</v>
      </c>
      <c r="V454" s="7" t="s">
        <v>56</v>
      </c>
      <c r="W454" s="7" t="s">
        <v>57</v>
      </c>
      <c r="X454" s="7" t="s">
        <v>2618</v>
      </c>
      <c r="Y454" s="7" t="s">
        <v>1691</v>
      </c>
      <c r="AA454" s="7" t="s">
        <v>2617</v>
      </c>
      <c r="AB454" s="7">
        <v>12</v>
      </c>
      <c r="AC454" s="7" t="s">
        <v>57</v>
      </c>
      <c r="AD454" s="7" t="s">
        <v>897</v>
      </c>
      <c r="AF454" s="7" t="s">
        <v>44</v>
      </c>
      <c r="AH454" s="4">
        <v>45838.999988425923</v>
      </c>
    </row>
    <row r="455" spans="1:34" x14ac:dyDescent="0.3">
      <c r="A455" s="4">
        <v>45809</v>
      </c>
      <c r="B455" s="4">
        <v>45838</v>
      </c>
      <c r="C455" s="7" t="s">
        <v>46</v>
      </c>
      <c r="D455" s="7" t="s">
        <v>36</v>
      </c>
      <c r="E455" s="7" t="s">
        <v>36</v>
      </c>
      <c r="F455" s="7" t="s">
        <v>36</v>
      </c>
      <c r="G455" s="7" t="s">
        <v>37</v>
      </c>
      <c r="K455" s="7" t="s">
        <v>38</v>
      </c>
      <c r="L455" s="7" t="s">
        <v>39</v>
      </c>
      <c r="M455" s="7" t="s">
        <v>40</v>
      </c>
      <c r="N455" s="7" t="s">
        <v>41</v>
      </c>
      <c r="R455" s="7" t="s">
        <v>45</v>
      </c>
      <c r="S455" s="8">
        <v>44768.809673999996</v>
      </c>
      <c r="U455" s="8">
        <v>44768.809673999996</v>
      </c>
      <c r="V455" s="7" t="s">
        <v>56</v>
      </c>
      <c r="W455" s="7" t="s">
        <v>57</v>
      </c>
      <c r="X455" s="7" t="s">
        <v>2618</v>
      </c>
      <c r="Y455" s="7" t="s">
        <v>1691</v>
      </c>
      <c r="AA455" s="7" t="s">
        <v>2617</v>
      </c>
      <c r="AB455" s="7">
        <v>12</v>
      </c>
      <c r="AC455" s="7" t="s">
        <v>57</v>
      </c>
      <c r="AD455" s="7" t="s">
        <v>899</v>
      </c>
      <c r="AF455" s="7" t="s">
        <v>44</v>
      </c>
      <c r="AH455" s="4">
        <v>45838.999988425923</v>
      </c>
    </row>
    <row r="456" spans="1:34" x14ac:dyDescent="0.3">
      <c r="A456" s="4">
        <v>45809</v>
      </c>
      <c r="B456" s="4">
        <v>45838</v>
      </c>
      <c r="C456" s="7" t="s">
        <v>46</v>
      </c>
      <c r="D456" s="7" t="s">
        <v>36</v>
      </c>
      <c r="E456" s="7" t="s">
        <v>36</v>
      </c>
      <c r="F456" s="7" t="s">
        <v>36</v>
      </c>
      <c r="G456" s="7" t="s">
        <v>37</v>
      </c>
      <c r="K456" s="7" t="s">
        <v>38</v>
      </c>
      <c r="L456" s="7" t="s">
        <v>39</v>
      </c>
      <c r="M456" s="7" t="s">
        <v>40</v>
      </c>
      <c r="N456" s="7" t="s">
        <v>41</v>
      </c>
      <c r="R456" s="7" t="s">
        <v>58</v>
      </c>
      <c r="T456" s="8">
        <v>50000</v>
      </c>
      <c r="U456" s="8">
        <v>-50000</v>
      </c>
      <c r="V456" s="7" t="s">
        <v>56</v>
      </c>
      <c r="W456" s="7" t="s">
        <v>57</v>
      </c>
      <c r="X456" s="7" t="s">
        <v>2618</v>
      </c>
      <c r="Y456" s="7" t="s">
        <v>1691</v>
      </c>
      <c r="AA456" s="7" t="s">
        <v>2617</v>
      </c>
      <c r="AB456" s="7">
        <v>12</v>
      </c>
      <c r="AC456" s="7" t="s">
        <v>57</v>
      </c>
      <c r="AD456" s="7" t="s">
        <v>900</v>
      </c>
      <c r="AF456" s="7" t="s">
        <v>44</v>
      </c>
      <c r="AH456" s="4">
        <v>45838.999988425923</v>
      </c>
    </row>
    <row r="457" spans="1:34" x14ac:dyDescent="0.3">
      <c r="A457" s="4">
        <v>45838</v>
      </c>
      <c r="B457" s="4">
        <v>45838</v>
      </c>
      <c r="C457" s="7" t="s">
        <v>46</v>
      </c>
      <c r="D457" s="7" t="s">
        <v>36</v>
      </c>
      <c r="E457" s="7" t="s">
        <v>36</v>
      </c>
      <c r="F457" s="7" t="s">
        <v>36</v>
      </c>
      <c r="G457" s="7" t="s">
        <v>37</v>
      </c>
      <c r="K457" s="7" t="s">
        <v>38</v>
      </c>
      <c r="L457" s="7" t="s">
        <v>39</v>
      </c>
      <c r="M457" s="7" t="s">
        <v>40</v>
      </c>
      <c r="N457" s="7" t="s">
        <v>41</v>
      </c>
      <c r="R457" s="7" t="s">
        <v>47</v>
      </c>
      <c r="S457" s="8">
        <v>4970.0389359999999</v>
      </c>
      <c r="U457" s="8">
        <v>4970.0389359999999</v>
      </c>
      <c r="V457" s="7" t="s">
        <v>56</v>
      </c>
      <c r="W457" s="7" t="s">
        <v>2621</v>
      </c>
      <c r="X457" s="7" t="s">
        <v>2618</v>
      </c>
      <c r="Y457" s="7" t="s">
        <v>1691</v>
      </c>
      <c r="AA457" s="7" t="s">
        <v>2617</v>
      </c>
      <c r="AB457" s="7">
        <v>8</v>
      </c>
      <c r="AC457" s="7" t="s">
        <v>48</v>
      </c>
      <c r="AD457" s="7" t="s">
        <v>901</v>
      </c>
      <c r="AF457" s="7" t="s">
        <v>44</v>
      </c>
      <c r="AH457" s="4">
        <v>45838.999988425923</v>
      </c>
    </row>
    <row r="458" spans="1:34" x14ac:dyDescent="0.3">
      <c r="A458" s="4">
        <v>45838</v>
      </c>
      <c r="B458" s="4">
        <v>45838</v>
      </c>
      <c r="C458" s="7" t="s">
        <v>46</v>
      </c>
      <c r="D458" s="7" t="s">
        <v>36</v>
      </c>
      <c r="E458" s="7" t="s">
        <v>36</v>
      </c>
      <c r="F458" s="7" t="s">
        <v>36</v>
      </c>
      <c r="G458" s="7" t="s">
        <v>37</v>
      </c>
      <c r="K458" s="7" t="s">
        <v>38</v>
      </c>
      <c r="L458" s="7" t="s">
        <v>39</v>
      </c>
      <c r="M458" s="7" t="s">
        <v>38</v>
      </c>
      <c r="N458" s="7" t="s">
        <v>41</v>
      </c>
      <c r="R458" s="7" t="s">
        <v>49</v>
      </c>
      <c r="T458" s="8">
        <v>4970.0389359999999</v>
      </c>
      <c r="U458" s="8">
        <v>-4970.0389359999999</v>
      </c>
      <c r="V458" s="7" t="s">
        <v>56</v>
      </c>
      <c r="W458" s="7" t="s">
        <v>2621</v>
      </c>
      <c r="X458" s="7" t="s">
        <v>2618</v>
      </c>
      <c r="Y458" s="7" t="s">
        <v>1691</v>
      </c>
      <c r="AA458" s="7" t="s">
        <v>2617</v>
      </c>
      <c r="AB458" s="7">
        <v>8</v>
      </c>
      <c r="AC458" s="7" t="s">
        <v>48</v>
      </c>
      <c r="AD458" s="7" t="s">
        <v>903</v>
      </c>
      <c r="AF458" s="7" t="s">
        <v>44</v>
      </c>
      <c r="AH458" s="4">
        <v>45838.999988425923</v>
      </c>
    </row>
    <row r="459" spans="1:34" x14ac:dyDescent="0.3">
      <c r="A459" s="4">
        <v>45838</v>
      </c>
      <c r="B459" s="4">
        <v>44562</v>
      </c>
      <c r="C459" s="7" t="s">
        <v>35</v>
      </c>
      <c r="D459" s="7" t="s">
        <v>36</v>
      </c>
      <c r="E459" s="7" t="s">
        <v>36</v>
      </c>
      <c r="F459" s="7" t="s">
        <v>36</v>
      </c>
      <c r="G459" s="7" t="s">
        <v>37</v>
      </c>
      <c r="K459" s="7" t="s">
        <v>38</v>
      </c>
      <c r="L459" s="7" t="s">
        <v>39</v>
      </c>
      <c r="M459" s="7" t="s">
        <v>40</v>
      </c>
      <c r="N459" s="7" t="s">
        <v>41</v>
      </c>
      <c r="R459" s="7" t="s">
        <v>50</v>
      </c>
      <c r="S459" s="8">
        <v>42330.49</v>
      </c>
      <c r="U459" s="8">
        <v>42330.49</v>
      </c>
      <c r="V459" s="7" t="s">
        <v>56</v>
      </c>
      <c r="W459" s="7" t="s">
        <v>2619</v>
      </c>
      <c r="X459" s="7" t="s">
        <v>2618</v>
      </c>
      <c r="Y459" s="7" t="s">
        <v>1691</v>
      </c>
      <c r="AA459" s="7" t="s">
        <v>2617</v>
      </c>
      <c r="AB459" s="7">
        <v>10</v>
      </c>
      <c r="AC459" s="7" t="s">
        <v>51</v>
      </c>
      <c r="AD459" s="7" t="s">
        <v>904</v>
      </c>
      <c r="AF459" s="7" t="s">
        <v>44</v>
      </c>
      <c r="AH459" s="4">
        <v>45838.999988425923</v>
      </c>
    </row>
    <row r="460" spans="1:34" x14ac:dyDescent="0.3">
      <c r="A460" s="4">
        <v>45838</v>
      </c>
      <c r="B460" s="4">
        <v>44562</v>
      </c>
      <c r="C460" s="7" t="s">
        <v>35</v>
      </c>
      <c r="D460" s="7" t="s">
        <v>36</v>
      </c>
      <c r="E460" s="7" t="s">
        <v>36</v>
      </c>
      <c r="F460" s="7" t="s">
        <v>36</v>
      </c>
      <c r="G460" s="7" t="s">
        <v>37</v>
      </c>
      <c r="K460" s="7" t="s">
        <v>38</v>
      </c>
      <c r="L460" s="7" t="s">
        <v>39</v>
      </c>
      <c r="M460" s="7" t="s">
        <v>40</v>
      </c>
      <c r="N460" s="7" t="s">
        <v>41</v>
      </c>
      <c r="R460" s="7" t="s">
        <v>52</v>
      </c>
      <c r="T460" s="8">
        <v>42330.49</v>
      </c>
      <c r="U460" s="8">
        <v>-42330.49</v>
      </c>
      <c r="V460" s="7" t="s">
        <v>56</v>
      </c>
      <c r="W460" s="7" t="s">
        <v>2619</v>
      </c>
      <c r="X460" s="7" t="s">
        <v>2618</v>
      </c>
      <c r="Y460" s="7" t="s">
        <v>1691</v>
      </c>
      <c r="AA460" s="7" t="s">
        <v>2617</v>
      </c>
      <c r="AB460" s="7">
        <v>10</v>
      </c>
      <c r="AC460" s="7" t="s">
        <v>51</v>
      </c>
      <c r="AD460" s="7" t="s">
        <v>906</v>
      </c>
      <c r="AF460" s="7" t="s">
        <v>44</v>
      </c>
      <c r="AH460" s="4">
        <v>45838.999988425923</v>
      </c>
    </row>
    <row r="461" spans="1:34" x14ac:dyDescent="0.3">
      <c r="A461" s="4">
        <v>45838</v>
      </c>
      <c r="B461" s="4">
        <v>45838</v>
      </c>
      <c r="C461" s="7" t="s">
        <v>35</v>
      </c>
      <c r="D461" s="7" t="s">
        <v>36</v>
      </c>
      <c r="E461" s="7" t="s">
        <v>36</v>
      </c>
      <c r="F461" s="7" t="s">
        <v>36</v>
      </c>
      <c r="G461" s="7" t="s">
        <v>37</v>
      </c>
      <c r="K461" s="7" t="s">
        <v>38</v>
      </c>
      <c r="L461" s="7" t="s">
        <v>39</v>
      </c>
      <c r="M461" s="7" t="s">
        <v>40</v>
      </c>
      <c r="N461" s="7" t="s">
        <v>41</v>
      </c>
      <c r="R461" s="7" t="s">
        <v>45</v>
      </c>
      <c r="S461" s="8">
        <v>558037.63</v>
      </c>
      <c r="U461" s="8">
        <v>558037.63</v>
      </c>
      <c r="V461" s="7" t="s">
        <v>56</v>
      </c>
      <c r="W461" s="7" t="s">
        <v>2620</v>
      </c>
      <c r="X461" s="7" t="s">
        <v>2618</v>
      </c>
      <c r="Y461" s="7" t="s">
        <v>1691</v>
      </c>
      <c r="AA461" s="7" t="s">
        <v>2617</v>
      </c>
      <c r="AB461" s="7">
        <v>11</v>
      </c>
      <c r="AC461" s="7" t="s">
        <v>53</v>
      </c>
      <c r="AD461" s="7" t="s">
        <v>907</v>
      </c>
      <c r="AF461" s="7" t="s">
        <v>44</v>
      </c>
      <c r="AH461" s="4">
        <v>45838.999988425923</v>
      </c>
    </row>
    <row r="462" spans="1:34" x14ac:dyDescent="0.3">
      <c r="A462" s="4">
        <v>45838</v>
      </c>
      <c r="B462" s="4">
        <v>45838</v>
      </c>
      <c r="C462" s="7" t="s">
        <v>35</v>
      </c>
      <c r="D462" s="7" t="s">
        <v>36</v>
      </c>
      <c r="E462" s="7" t="s">
        <v>36</v>
      </c>
      <c r="F462" s="7" t="s">
        <v>36</v>
      </c>
      <c r="G462" s="7" t="s">
        <v>37</v>
      </c>
      <c r="K462" s="7" t="s">
        <v>38</v>
      </c>
      <c r="L462" s="7" t="s">
        <v>39</v>
      </c>
      <c r="M462" s="7" t="s">
        <v>40</v>
      </c>
      <c r="N462" s="7" t="s">
        <v>41</v>
      </c>
      <c r="R462" s="7" t="s">
        <v>54</v>
      </c>
      <c r="T462" s="8">
        <v>558037.63</v>
      </c>
      <c r="U462" s="8">
        <v>-558037.63</v>
      </c>
      <c r="V462" s="7" t="s">
        <v>56</v>
      </c>
      <c r="W462" s="7" t="s">
        <v>2620</v>
      </c>
      <c r="X462" s="7" t="s">
        <v>2618</v>
      </c>
      <c r="Y462" s="7" t="s">
        <v>1691</v>
      </c>
      <c r="AA462" s="7" t="s">
        <v>2617</v>
      </c>
      <c r="AB462" s="7">
        <v>11</v>
      </c>
      <c r="AC462" s="7" t="s">
        <v>53</v>
      </c>
      <c r="AD462" s="7" t="s">
        <v>909</v>
      </c>
      <c r="AF462" s="7" t="s">
        <v>44</v>
      </c>
      <c r="AH462" s="4">
        <v>45838.999988425923</v>
      </c>
    </row>
    <row r="463" spans="1:34" x14ac:dyDescent="0.3">
      <c r="A463" s="4">
        <v>45839</v>
      </c>
      <c r="B463" s="4">
        <v>45839</v>
      </c>
      <c r="C463" s="7" t="s">
        <v>35</v>
      </c>
      <c r="D463" s="7" t="s">
        <v>36</v>
      </c>
      <c r="E463" s="7" t="s">
        <v>36</v>
      </c>
      <c r="F463" s="7" t="s">
        <v>36</v>
      </c>
      <c r="G463" s="7" t="s">
        <v>37</v>
      </c>
      <c r="K463" s="7" t="s">
        <v>38</v>
      </c>
      <c r="L463" s="7" t="s">
        <v>39</v>
      </c>
      <c r="M463" s="7" t="s">
        <v>40</v>
      </c>
      <c r="N463" s="7" t="s">
        <v>41</v>
      </c>
      <c r="R463" s="7" t="s">
        <v>54</v>
      </c>
      <c r="S463" s="8">
        <v>558037.63</v>
      </c>
      <c r="U463" s="8">
        <v>558037.63</v>
      </c>
      <c r="V463" s="7" t="s">
        <v>56</v>
      </c>
      <c r="W463" s="7" t="s">
        <v>2620</v>
      </c>
      <c r="X463" s="7" t="s">
        <v>2618</v>
      </c>
      <c r="Y463" s="7" t="s">
        <v>1691</v>
      </c>
      <c r="AA463" s="7" t="s">
        <v>2617</v>
      </c>
      <c r="AB463" s="7">
        <v>11</v>
      </c>
      <c r="AC463" s="7" t="s">
        <v>55</v>
      </c>
      <c r="AD463" s="7" t="s">
        <v>910</v>
      </c>
      <c r="AF463" s="7" t="s">
        <v>44</v>
      </c>
      <c r="AH463" s="4">
        <v>45869.999988425923</v>
      </c>
    </row>
    <row r="464" spans="1:34" x14ac:dyDescent="0.3">
      <c r="A464" s="4">
        <v>45839</v>
      </c>
      <c r="B464" s="4">
        <v>45839</v>
      </c>
      <c r="C464" s="7" t="s">
        <v>35</v>
      </c>
      <c r="D464" s="7" t="s">
        <v>36</v>
      </c>
      <c r="E464" s="7" t="s">
        <v>36</v>
      </c>
      <c r="F464" s="7" t="s">
        <v>36</v>
      </c>
      <c r="G464" s="7" t="s">
        <v>37</v>
      </c>
      <c r="K464" s="7" t="s">
        <v>38</v>
      </c>
      <c r="L464" s="7" t="s">
        <v>39</v>
      </c>
      <c r="M464" s="7" t="s">
        <v>40</v>
      </c>
      <c r="N464" s="7" t="s">
        <v>41</v>
      </c>
      <c r="R464" s="7" t="s">
        <v>45</v>
      </c>
      <c r="T464" s="8">
        <v>558037.63</v>
      </c>
      <c r="U464" s="8">
        <v>-558037.63</v>
      </c>
      <c r="V464" s="7" t="s">
        <v>56</v>
      </c>
      <c r="W464" s="7" t="s">
        <v>2620</v>
      </c>
      <c r="X464" s="7" t="s">
        <v>2618</v>
      </c>
      <c r="Y464" s="7" t="s">
        <v>1691</v>
      </c>
      <c r="AA464" s="7" t="s">
        <v>2617</v>
      </c>
      <c r="AB464" s="7">
        <v>11</v>
      </c>
      <c r="AC464" s="7" t="s">
        <v>55</v>
      </c>
      <c r="AD464" s="7" t="s">
        <v>912</v>
      </c>
      <c r="AF464" s="7" t="s">
        <v>44</v>
      </c>
      <c r="AH464" s="4">
        <v>45869.999988425923</v>
      </c>
    </row>
    <row r="465" spans="1:34" x14ac:dyDescent="0.3">
      <c r="A465" s="4">
        <v>45839</v>
      </c>
      <c r="B465" s="4">
        <v>45869</v>
      </c>
      <c r="C465" s="7" t="s">
        <v>46</v>
      </c>
      <c r="D465" s="7" t="s">
        <v>36</v>
      </c>
      <c r="E465" s="7" t="s">
        <v>36</v>
      </c>
      <c r="F465" s="7" t="s">
        <v>36</v>
      </c>
      <c r="G465" s="7" t="s">
        <v>37</v>
      </c>
      <c r="K465" s="7" t="s">
        <v>38</v>
      </c>
      <c r="L465" s="7" t="s">
        <v>39</v>
      </c>
      <c r="M465" s="7" t="s">
        <v>38</v>
      </c>
      <c r="N465" s="7" t="s">
        <v>41</v>
      </c>
      <c r="R465" s="7" t="s">
        <v>49</v>
      </c>
      <c r="S465" s="8">
        <v>4970.0389359999999</v>
      </c>
      <c r="U465" s="8">
        <v>4970.0389359999999</v>
      </c>
      <c r="V465" s="7" t="s">
        <v>56</v>
      </c>
      <c r="W465" s="7" t="s">
        <v>57</v>
      </c>
      <c r="X465" s="7" t="s">
        <v>2618</v>
      </c>
      <c r="Y465" s="7" t="s">
        <v>1691</v>
      </c>
      <c r="AA465" s="7" t="s">
        <v>2617</v>
      </c>
      <c r="AB465" s="7">
        <v>12</v>
      </c>
      <c r="AC465" s="7" t="s">
        <v>57</v>
      </c>
      <c r="AD465" s="7" t="s">
        <v>913</v>
      </c>
      <c r="AF465" s="7" t="s">
        <v>44</v>
      </c>
      <c r="AH465" s="4">
        <v>45869.999988425923</v>
      </c>
    </row>
    <row r="466" spans="1:34" x14ac:dyDescent="0.3">
      <c r="A466" s="4">
        <v>45839</v>
      </c>
      <c r="B466" s="4">
        <v>45869</v>
      </c>
      <c r="C466" s="7" t="s">
        <v>46</v>
      </c>
      <c r="D466" s="7" t="s">
        <v>36</v>
      </c>
      <c r="E466" s="7" t="s">
        <v>36</v>
      </c>
      <c r="F466" s="7" t="s">
        <v>36</v>
      </c>
      <c r="G466" s="7" t="s">
        <v>37</v>
      </c>
      <c r="K466" s="7" t="s">
        <v>38</v>
      </c>
      <c r="L466" s="7" t="s">
        <v>39</v>
      </c>
      <c r="M466" s="7" t="s">
        <v>40</v>
      </c>
      <c r="N466" s="7" t="s">
        <v>41</v>
      </c>
      <c r="R466" s="7" t="s">
        <v>45</v>
      </c>
      <c r="S466" s="8">
        <v>45029.961064000003</v>
      </c>
      <c r="U466" s="8">
        <v>45029.961064000003</v>
      </c>
      <c r="V466" s="7" t="s">
        <v>56</v>
      </c>
      <c r="W466" s="7" t="s">
        <v>57</v>
      </c>
      <c r="X466" s="7" t="s">
        <v>2618</v>
      </c>
      <c r="Y466" s="7" t="s">
        <v>1691</v>
      </c>
      <c r="AA466" s="7" t="s">
        <v>2617</v>
      </c>
      <c r="AB466" s="7">
        <v>12</v>
      </c>
      <c r="AC466" s="7" t="s">
        <v>57</v>
      </c>
      <c r="AD466" s="7" t="s">
        <v>915</v>
      </c>
      <c r="AF466" s="7" t="s">
        <v>44</v>
      </c>
      <c r="AH466" s="4">
        <v>45869.999988425923</v>
      </c>
    </row>
    <row r="467" spans="1:34" x14ac:dyDescent="0.3">
      <c r="A467" s="4">
        <v>45839</v>
      </c>
      <c r="B467" s="4">
        <v>45869</v>
      </c>
      <c r="C467" s="7" t="s">
        <v>46</v>
      </c>
      <c r="D467" s="7" t="s">
        <v>36</v>
      </c>
      <c r="E467" s="7" t="s">
        <v>36</v>
      </c>
      <c r="F467" s="7" t="s">
        <v>36</v>
      </c>
      <c r="G467" s="7" t="s">
        <v>37</v>
      </c>
      <c r="K467" s="7" t="s">
        <v>38</v>
      </c>
      <c r="L467" s="7" t="s">
        <v>39</v>
      </c>
      <c r="M467" s="7" t="s">
        <v>40</v>
      </c>
      <c r="N467" s="7" t="s">
        <v>41</v>
      </c>
      <c r="R467" s="7" t="s">
        <v>58</v>
      </c>
      <c r="T467" s="8">
        <v>50000</v>
      </c>
      <c r="U467" s="8">
        <v>-50000</v>
      </c>
      <c r="V467" s="7" t="s">
        <v>56</v>
      </c>
      <c r="W467" s="7" t="s">
        <v>57</v>
      </c>
      <c r="X467" s="7" t="s">
        <v>2618</v>
      </c>
      <c r="Y467" s="7" t="s">
        <v>1691</v>
      </c>
      <c r="AA467" s="7" t="s">
        <v>2617</v>
      </c>
      <c r="AB467" s="7">
        <v>12</v>
      </c>
      <c r="AC467" s="7" t="s">
        <v>57</v>
      </c>
      <c r="AD467" s="7" t="s">
        <v>916</v>
      </c>
      <c r="AF467" s="7" t="s">
        <v>44</v>
      </c>
      <c r="AH467" s="4">
        <v>45869.999988425923</v>
      </c>
    </row>
    <row r="468" spans="1:34" x14ac:dyDescent="0.3">
      <c r="A468" s="4">
        <v>45869</v>
      </c>
      <c r="B468" s="4">
        <v>45869</v>
      </c>
      <c r="C468" s="7" t="s">
        <v>46</v>
      </c>
      <c r="D468" s="7" t="s">
        <v>36</v>
      </c>
      <c r="E468" s="7" t="s">
        <v>36</v>
      </c>
      <c r="F468" s="7" t="s">
        <v>36</v>
      </c>
      <c r="G468" s="7" t="s">
        <v>37</v>
      </c>
      <c r="K468" s="7" t="s">
        <v>38</v>
      </c>
      <c r="L468" s="7" t="s">
        <v>39</v>
      </c>
      <c r="M468" s="7" t="s">
        <v>40</v>
      </c>
      <c r="N468" s="7" t="s">
        <v>41</v>
      </c>
      <c r="R468" s="7" t="s">
        <v>47</v>
      </c>
      <c r="S468" s="8">
        <v>4707.3641630000002</v>
      </c>
      <c r="U468" s="8">
        <v>4707.3641630000002</v>
      </c>
      <c r="V468" s="7" t="s">
        <v>56</v>
      </c>
      <c r="W468" s="7" t="s">
        <v>2621</v>
      </c>
      <c r="X468" s="7" t="s">
        <v>2618</v>
      </c>
      <c r="Y468" s="7" t="s">
        <v>1691</v>
      </c>
      <c r="AA468" s="7" t="s">
        <v>2617</v>
      </c>
      <c r="AB468" s="7">
        <v>8</v>
      </c>
      <c r="AC468" s="7" t="s">
        <v>48</v>
      </c>
      <c r="AD468" s="7" t="s">
        <v>917</v>
      </c>
      <c r="AF468" s="7" t="s">
        <v>44</v>
      </c>
      <c r="AH468" s="4">
        <v>45869.999988425923</v>
      </c>
    </row>
    <row r="469" spans="1:34" x14ac:dyDescent="0.3">
      <c r="A469" s="4">
        <v>45869</v>
      </c>
      <c r="B469" s="4">
        <v>45869</v>
      </c>
      <c r="C469" s="7" t="s">
        <v>46</v>
      </c>
      <c r="D469" s="7" t="s">
        <v>36</v>
      </c>
      <c r="E469" s="7" t="s">
        <v>36</v>
      </c>
      <c r="F469" s="7" t="s">
        <v>36</v>
      </c>
      <c r="G469" s="7" t="s">
        <v>37</v>
      </c>
      <c r="K469" s="7" t="s">
        <v>38</v>
      </c>
      <c r="L469" s="7" t="s">
        <v>39</v>
      </c>
      <c r="M469" s="7" t="s">
        <v>38</v>
      </c>
      <c r="N469" s="7" t="s">
        <v>41</v>
      </c>
      <c r="R469" s="7" t="s">
        <v>49</v>
      </c>
      <c r="T469" s="8">
        <v>4707.3641630000002</v>
      </c>
      <c r="U469" s="8">
        <v>-4707.3641630000002</v>
      </c>
      <c r="V469" s="7" t="s">
        <v>56</v>
      </c>
      <c r="W469" s="7" t="s">
        <v>2621</v>
      </c>
      <c r="X469" s="7" t="s">
        <v>2618</v>
      </c>
      <c r="Y469" s="7" t="s">
        <v>1691</v>
      </c>
      <c r="AA469" s="7" t="s">
        <v>2617</v>
      </c>
      <c r="AB469" s="7">
        <v>8</v>
      </c>
      <c r="AC469" s="7" t="s">
        <v>48</v>
      </c>
      <c r="AD469" s="7" t="s">
        <v>919</v>
      </c>
      <c r="AF469" s="7" t="s">
        <v>44</v>
      </c>
      <c r="AH469" s="4">
        <v>45869.999988425923</v>
      </c>
    </row>
    <row r="470" spans="1:34" x14ac:dyDescent="0.3">
      <c r="A470" s="4">
        <v>45869</v>
      </c>
      <c r="B470" s="4">
        <v>44562</v>
      </c>
      <c r="C470" s="7" t="s">
        <v>35</v>
      </c>
      <c r="D470" s="7" t="s">
        <v>36</v>
      </c>
      <c r="E470" s="7" t="s">
        <v>36</v>
      </c>
      <c r="F470" s="7" t="s">
        <v>36</v>
      </c>
      <c r="G470" s="7" t="s">
        <v>37</v>
      </c>
      <c r="K470" s="7" t="s">
        <v>38</v>
      </c>
      <c r="L470" s="7" t="s">
        <v>39</v>
      </c>
      <c r="M470" s="7" t="s">
        <v>40</v>
      </c>
      <c r="N470" s="7" t="s">
        <v>41</v>
      </c>
      <c r="R470" s="7" t="s">
        <v>50</v>
      </c>
      <c r="S470" s="8">
        <v>42330.49</v>
      </c>
      <c r="U470" s="8">
        <v>42330.49</v>
      </c>
      <c r="V470" s="7" t="s">
        <v>56</v>
      </c>
      <c r="W470" s="7" t="s">
        <v>2619</v>
      </c>
      <c r="X470" s="7" t="s">
        <v>2618</v>
      </c>
      <c r="Y470" s="7" t="s">
        <v>1691</v>
      </c>
      <c r="AA470" s="7" t="s">
        <v>2617</v>
      </c>
      <c r="AB470" s="7">
        <v>10</v>
      </c>
      <c r="AC470" s="7" t="s">
        <v>51</v>
      </c>
      <c r="AD470" s="7" t="s">
        <v>920</v>
      </c>
      <c r="AF470" s="7" t="s">
        <v>44</v>
      </c>
      <c r="AH470" s="4">
        <v>45869.999988425923</v>
      </c>
    </row>
    <row r="471" spans="1:34" x14ac:dyDescent="0.3">
      <c r="A471" s="4">
        <v>45869</v>
      </c>
      <c r="B471" s="4">
        <v>44562</v>
      </c>
      <c r="C471" s="7" t="s">
        <v>35</v>
      </c>
      <c r="D471" s="7" t="s">
        <v>36</v>
      </c>
      <c r="E471" s="7" t="s">
        <v>36</v>
      </c>
      <c r="F471" s="7" t="s">
        <v>36</v>
      </c>
      <c r="G471" s="7" t="s">
        <v>37</v>
      </c>
      <c r="K471" s="7" t="s">
        <v>38</v>
      </c>
      <c r="L471" s="7" t="s">
        <v>39</v>
      </c>
      <c r="M471" s="7" t="s">
        <v>40</v>
      </c>
      <c r="N471" s="7" t="s">
        <v>41</v>
      </c>
      <c r="R471" s="7" t="s">
        <v>52</v>
      </c>
      <c r="T471" s="8">
        <v>42330.49</v>
      </c>
      <c r="U471" s="8">
        <v>-42330.49</v>
      </c>
      <c r="V471" s="7" t="s">
        <v>56</v>
      </c>
      <c r="W471" s="7" t="s">
        <v>2619</v>
      </c>
      <c r="X471" s="7" t="s">
        <v>2618</v>
      </c>
      <c r="Y471" s="7" t="s">
        <v>1691</v>
      </c>
      <c r="AA471" s="7" t="s">
        <v>2617</v>
      </c>
      <c r="AB471" s="7">
        <v>10</v>
      </c>
      <c r="AC471" s="7" t="s">
        <v>51</v>
      </c>
      <c r="AD471" s="7" t="s">
        <v>922</v>
      </c>
      <c r="AF471" s="7" t="s">
        <v>44</v>
      </c>
      <c r="AH471" s="4">
        <v>45869.999988425923</v>
      </c>
    </row>
    <row r="472" spans="1:34" x14ac:dyDescent="0.3">
      <c r="A472" s="4">
        <v>45869</v>
      </c>
      <c r="B472" s="4">
        <v>45869</v>
      </c>
      <c r="C472" s="7" t="s">
        <v>35</v>
      </c>
      <c r="D472" s="7" t="s">
        <v>36</v>
      </c>
      <c r="E472" s="7" t="s">
        <v>36</v>
      </c>
      <c r="F472" s="7" t="s">
        <v>36</v>
      </c>
      <c r="G472" s="7" t="s">
        <v>37</v>
      </c>
      <c r="K472" s="7" t="s">
        <v>38</v>
      </c>
      <c r="L472" s="7" t="s">
        <v>39</v>
      </c>
      <c r="M472" s="7" t="s">
        <v>40</v>
      </c>
      <c r="N472" s="7" t="s">
        <v>41</v>
      </c>
      <c r="R472" s="7" t="s">
        <v>45</v>
      </c>
      <c r="S472" s="8">
        <v>561292.85</v>
      </c>
      <c r="U472" s="8">
        <v>561292.85</v>
      </c>
      <c r="V472" s="7" t="s">
        <v>56</v>
      </c>
      <c r="W472" s="7" t="s">
        <v>2620</v>
      </c>
      <c r="X472" s="7" t="s">
        <v>2618</v>
      </c>
      <c r="Y472" s="7" t="s">
        <v>1691</v>
      </c>
      <c r="AA472" s="7" t="s">
        <v>2617</v>
      </c>
      <c r="AB472" s="7">
        <v>11</v>
      </c>
      <c r="AC472" s="7" t="s">
        <v>53</v>
      </c>
      <c r="AD472" s="7" t="s">
        <v>923</v>
      </c>
      <c r="AF472" s="7" t="s">
        <v>44</v>
      </c>
      <c r="AH472" s="4">
        <v>45869.999988425923</v>
      </c>
    </row>
    <row r="473" spans="1:34" x14ac:dyDescent="0.3">
      <c r="A473" s="4">
        <v>45869</v>
      </c>
      <c r="B473" s="4">
        <v>45869</v>
      </c>
      <c r="C473" s="7" t="s">
        <v>35</v>
      </c>
      <c r="D473" s="7" t="s">
        <v>36</v>
      </c>
      <c r="E473" s="7" t="s">
        <v>36</v>
      </c>
      <c r="F473" s="7" t="s">
        <v>36</v>
      </c>
      <c r="G473" s="7" t="s">
        <v>37</v>
      </c>
      <c r="K473" s="7" t="s">
        <v>38</v>
      </c>
      <c r="L473" s="7" t="s">
        <v>39</v>
      </c>
      <c r="M473" s="7" t="s">
        <v>40</v>
      </c>
      <c r="N473" s="7" t="s">
        <v>41</v>
      </c>
      <c r="R473" s="7" t="s">
        <v>54</v>
      </c>
      <c r="T473" s="8">
        <v>561292.85</v>
      </c>
      <c r="U473" s="8">
        <v>-561292.85</v>
      </c>
      <c r="V473" s="7" t="s">
        <v>56</v>
      </c>
      <c r="W473" s="7" t="s">
        <v>2620</v>
      </c>
      <c r="X473" s="7" t="s">
        <v>2618</v>
      </c>
      <c r="Y473" s="7" t="s">
        <v>1691</v>
      </c>
      <c r="AA473" s="7" t="s">
        <v>2617</v>
      </c>
      <c r="AB473" s="7">
        <v>11</v>
      </c>
      <c r="AC473" s="7" t="s">
        <v>53</v>
      </c>
      <c r="AD473" s="7" t="s">
        <v>925</v>
      </c>
      <c r="AF473" s="7" t="s">
        <v>44</v>
      </c>
      <c r="AH473" s="4">
        <v>45869.999988425923</v>
      </c>
    </row>
    <row r="474" spans="1:34" x14ac:dyDescent="0.3">
      <c r="A474" s="4">
        <v>45870</v>
      </c>
      <c r="B474" s="4">
        <v>45870</v>
      </c>
      <c r="C474" s="7" t="s">
        <v>35</v>
      </c>
      <c r="D474" s="7" t="s">
        <v>36</v>
      </c>
      <c r="E474" s="7" t="s">
        <v>36</v>
      </c>
      <c r="F474" s="7" t="s">
        <v>36</v>
      </c>
      <c r="G474" s="7" t="s">
        <v>37</v>
      </c>
      <c r="K474" s="7" t="s">
        <v>38</v>
      </c>
      <c r="L474" s="7" t="s">
        <v>39</v>
      </c>
      <c r="M474" s="7" t="s">
        <v>40</v>
      </c>
      <c r="N474" s="7" t="s">
        <v>41</v>
      </c>
      <c r="R474" s="7" t="s">
        <v>54</v>
      </c>
      <c r="S474" s="8">
        <v>561292.85</v>
      </c>
      <c r="U474" s="8">
        <v>561292.85</v>
      </c>
      <c r="V474" s="7" t="s">
        <v>56</v>
      </c>
      <c r="W474" s="7" t="s">
        <v>2620</v>
      </c>
      <c r="X474" s="7" t="s">
        <v>2618</v>
      </c>
      <c r="Y474" s="7" t="s">
        <v>1691</v>
      </c>
      <c r="AA474" s="7" t="s">
        <v>2617</v>
      </c>
      <c r="AB474" s="7">
        <v>11</v>
      </c>
      <c r="AC474" s="7" t="s">
        <v>55</v>
      </c>
      <c r="AD474" s="7" t="s">
        <v>926</v>
      </c>
      <c r="AF474" s="7" t="s">
        <v>44</v>
      </c>
      <c r="AH474" s="4">
        <v>45900.999988425923</v>
      </c>
    </row>
    <row r="475" spans="1:34" x14ac:dyDescent="0.3">
      <c r="A475" s="4">
        <v>45870</v>
      </c>
      <c r="B475" s="4">
        <v>45870</v>
      </c>
      <c r="C475" s="7" t="s">
        <v>35</v>
      </c>
      <c r="D475" s="7" t="s">
        <v>36</v>
      </c>
      <c r="E475" s="7" t="s">
        <v>36</v>
      </c>
      <c r="F475" s="7" t="s">
        <v>36</v>
      </c>
      <c r="G475" s="7" t="s">
        <v>37</v>
      </c>
      <c r="K475" s="7" t="s">
        <v>38</v>
      </c>
      <c r="L475" s="7" t="s">
        <v>39</v>
      </c>
      <c r="M475" s="7" t="s">
        <v>40</v>
      </c>
      <c r="N475" s="7" t="s">
        <v>41</v>
      </c>
      <c r="R475" s="7" t="s">
        <v>45</v>
      </c>
      <c r="T475" s="8">
        <v>561292.85</v>
      </c>
      <c r="U475" s="8">
        <v>-561292.85</v>
      </c>
      <c r="V475" s="7" t="s">
        <v>56</v>
      </c>
      <c r="W475" s="7" t="s">
        <v>2620</v>
      </c>
      <c r="X475" s="7" t="s">
        <v>2618</v>
      </c>
      <c r="Y475" s="7" t="s">
        <v>1691</v>
      </c>
      <c r="AA475" s="7" t="s">
        <v>2617</v>
      </c>
      <c r="AB475" s="7">
        <v>11</v>
      </c>
      <c r="AC475" s="7" t="s">
        <v>55</v>
      </c>
      <c r="AD475" s="7" t="s">
        <v>928</v>
      </c>
      <c r="AF475" s="7" t="s">
        <v>44</v>
      </c>
      <c r="AH475" s="4">
        <v>45900.999988425923</v>
      </c>
    </row>
    <row r="476" spans="1:34" x14ac:dyDescent="0.3">
      <c r="A476" s="4">
        <v>45870</v>
      </c>
      <c r="B476" s="4">
        <v>45900</v>
      </c>
      <c r="C476" s="7" t="s">
        <v>46</v>
      </c>
      <c r="D476" s="7" t="s">
        <v>36</v>
      </c>
      <c r="E476" s="7" t="s">
        <v>36</v>
      </c>
      <c r="F476" s="7" t="s">
        <v>36</v>
      </c>
      <c r="G476" s="7" t="s">
        <v>37</v>
      </c>
      <c r="K476" s="7" t="s">
        <v>38</v>
      </c>
      <c r="L476" s="7" t="s">
        <v>39</v>
      </c>
      <c r="M476" s="7" t="s">
        <v>38</v>
      </c>
      <c r="N476" s="7" t="s">
        <v>41</v>
      </c>
      <c r="R476" s="7" t="s">
        <v>49</v>
      </c>
      <c r="S476" s="8">
        <v>4707.3641630000002</v>
      </c>
      <c r="U476" s="8">
        <v>4707.3641630000002</v>
      </c>
      <c r="V476" s="7" t="s">
        <v>56</v>
      </c>
      <c r="W476" s="7" t="s">
        <v>57</v>
      </c>
      <c r="X476" s="7" t="s">
        <v>2618</v>
      </c>
      <c r="Y476" s="7" t="s">
        <v>1691</v>
      </c>
      <c r="AA476" s="7" t="s">
        <v>2617</v>
      </c>
      <c r="AB476" s="7">
        <v>12</v>
      </c>
      <c r="AC476" s="7" t="s">
        <v>57</v>
      </c>
      <c r="AD476" s="7" t="s">
        <v>929</v>
      </c>
      <c r="AF476" s="7" t="s">
        <v>44</v>
      </c>
      <c r="AH476" s="4">
        <v>45900.999988425923</v>
      </c>
    </row>
    <row r="477" spans="1:34" x14ac:dyDescent="0.3">
      <c r="A477" s="4">
        <v>45870</v>
      </c>
      <c r="B477" s="4">
        <v>45900</v>
      </c>
      <c r="C477" s="7" t="s">
        <v>46</v>
      </c>
      <c r="D477" s="7" t="s">
        <v>36</v>
      </c>
      <c r="E477" s="7" t="s">
        <v>36</v>
      </c>
      <c r="F477" s="7" t="s">
        <v>36</v>
      </c>
      <c r="G477" s="7" t="s">
        <v>37</v>
      </c>
      <c r="K477" s="7" t="s">
        <v>38</v>
      </c>
      <c r="L477" s="7" t="s">
        <v>39</v>
      </c>
      <c r="M477" s="7" t="s">
        <v>40</v>
      </c>
      <c r="N477" s="7" t="s">
        <v>41</v>
      </c>
      <c r="R477" s="7" t="s">
        <v>45</v>
      </c>
      <c r="S477" s="8">
        <v>45292.635837000002</v>
      </c>
      <c r="U477" s="8">
        <v>45292.635837000002</v>
      </c>
      <c r="V477" s="7" t="s">
        <v>56</v>
      </c>
      <c r="W477" s="7" t="s">
        <v>57</v>
      </c>
      <c r="X477" s="7" t="s">
        <v>2618</v>
      </c>
      <c r="Y477" s="7" t="s">
        <v>1691</v>
      </c>
      <c r="AA477" s="7" t="s">
        <v>2617</v>
      </c>
      <c r="AB477" s="7">
        <v>12</v>
      </c>
      <c r="AC477" s="7" t="s">
        <v>57</v>
      </c>
      <c r="AD477" s="7" t="s">
        <v>931</v>
      </c>
      <c r="AF477" s="7" t="s">
        <v>44</v>
      </c>
      <c r="AH477" s="4">
        <v>45900.999988425923</v>
      </c>
    </row>
    <row r="478" spans="1:34" x14ac:dyDescent="0.3">
      <c r="A478" s="4">
        <v>45870</v>
      </c>
      <c r="B478" s="4">
        <v>45900</v>
      </c>
      <c r="C478" s="7" t="s">
        <v>46</v>
      </c>
      <c r="D478" s="7" t="s">
        <v>36</v>
      </c>
      <c r="E478" s="7" t="s">
        <v>36</v>
      </c>
      <c r="F478" s="7" t="s">
        <v>36</v>
      </c>
      <c r="G478" s="7" t="s">
        <v>37</v>
      </c>
      <c r="K478" s="7" t="s">
        <v>38</v>
      </c>
      <c r="L478" s="7" t="s">
        <v>39</v>
      </c>
      <c r="M478" s="7" t="s">
        <v>40</v>
      </c>
      <c r="N478" s="7" t="s">
        <v>41</v>
      </c>
      <c r="R478" s="7" t="s">
        <v>58</v>
      </c>
      <c r="T478" s="8">
        <v>50000</v>
      </c>
      <c r="U478" s="8">
        <v>-50000</v>
      </c>
      <c r="V478" s="7" t="s">
        <v>56</v>
      </c>
      <c r="W478" s="7" t="s">
        <v>57</v>
      </c>
      <c r="X478" s="7" t="s">
        <v>2618</v>
      </c>
      <c r="Y478" s="7" t="s">
        <v>1691</v>
      </c>
      <c r="AA478" s="7" t="s">
        <v>2617</v>
      </c>
      <c r="AB478" s="7">
        <v>12</v>
      </c>
      <c r="AC478" s="7" t="s">
        <v>57</v>
      </c>
      <c r="AD478" s="7" t="s">
        <v>932</v>
      </c>
      <c r="AF478" s="7" t="s">
        <v>44</v>
      </c>
      <c r="AH478" s="4">
        <v>45900.999988425923</v>
      </c>
    </row>
    <row r="479" spans="1:34" x14ac:dyDescent="0.3">
      <c r="A479" s="4">
        <v>45900</v>
      </c>
      <c r="B479" s="4">
        <v>45900</v>
      </c>
      <c r="C479" s="7" t="s">
        <v>46</v>
      </c>
      <c r="D479" s="7" t="s">
        <v>36</v>
      </c>
      <c r="E479" s="7" t="s">
        <v>36</v>
      </c>
      <c r="F479" s="7" t="s">
        <v>36</v>
      </c>
      <c r="G479" s="7" t="s">
        <v>37</v>
      </c>
      <c r="K479" s="7" t="s">
        <v>38</v>
      </c>
      <c r="L479" s="7" t="s">
        <v>39</v>
      </c>
      <c r="M479" s="7" t="s">
        <v>40</v>
      </c>
      <c r="N479" s="7" t="s">
        <v>41</v>
      </c>
      <c r="R479" s="7" t="s">
        <v>47</v>
      </c>
      <c r="S479" s="8">
        <v>4443.1571210000002</v>
      </c>
      <c r="U479" s="8">
        <v>4443.1571210000002</v>
      </c>
      <c r="V479" s="7" t="s">
        <v>56</v>
      </c>
      <c r="W479" s="7" t="s">
        <v>2621</v>
      </c>
      <c r="X479" s="7" t="s">
        <v>2618</v>
      </c>
      <c r="Y479" s="7" t="s">
        <v>1691</v>
      </c>
      <c r="AA479" s="7" t="s">
        <v>2617</v>
      </c>
      <c r="AB479" s="7">
        <v>8</v>
      </c>
      <c r="AC479" s="7" t="s">
        <v>48</v>
      </c>
      <c r="AD479" s="7" t="s">
        <v>933</v>
      </c>
      <c r="AF479" s="7" t="s">
        <v>44</v>
      </c>
      <c r="AH479" s="4">
        <v>45900.999988425923</v>
      </c>
    </row>
    <row r="480" spans="1:34" x14ac:dyDescent="0.3">
      <c r="A480" s="4">
        <v>45900</v>
      </c>
      <c r="B480" s="4">
        <v>45900</v>
      </c>
      <c r="C480" s="7" t="s">
        <v>46</v>
      </c>
      <c r="D480" s="7" t="s">
        <v>36</v>
      </c>
      <c r="E480" s="7" t="s">
        <v>36</v>
      </c>
      <c r="F480" s="7" t="s">
        <v>36</v>
      </c>
      <c r="G480" s="7" t="s">
        <v>37</v>
      </c>
      <c r="K480" s="7" t="s">
        <v>38</v>
      </c>
      <c r="L480" s="7" t="s">
        <v>39</v>
      </c>
      <c r="M480" s="7" t="s">
        <v>38</v>
      </c>
      <c r="N480" s="7" t="s">
        <v>41</v>
      </c>
      <c r="R480" s="7" t="s">
        <v>49</v>
      </c>
      <c r="T480" s="8">
        <v>4443.1571210000002</v>
      </c>
      <c r="U480" s="8">
        <v>-4443.1571210000002</v>
      </c>
      <c r="V480" s="7" t="s">
        <v>56</v>
      </c>
      <c r="W480" s="7" t="s">
        <v>2621</v>
      </c>
      <c r="X480" s="7" t="s">
        <v>2618</v>
      </c>
      <c r="Y480" s="7" t="s">
        <v>1691</v>
      </c>
      <c r="AA480" s="7" t="s">
        <v>2617</v>
      </c>
      <c r="AB480" s="7">
        <v>8</v>
      </c>
      <c r="AC480" s="7" t="s">
        <v>48</v>
      </c>
      <c r="AD480" s="7" t="s">
        <v>935</v>
      </c>
      <c r="AF480" s="7" t="s">
        <v>44</v>
      </c>
      <c r="AH480" s="4">
        <v>45900.999988425923</v>
      </c>
    </row>
    <row r="481" spans="1:34" x14ac:dyDescent="0.3">
      <c r="A481" s="4">
        <v>45900</v>
      </c>
      <c r="B481" s="4">
        <v>44562</v>
      </c>
      <c r="C481" s="7" t="s">
        <v>35</v>
      </c>
      <c r="D481" s="7" t="s">
        <v>36</v>
      </c>
      <c r="E481" s="7" t="s">
        <v>36</v>
      </c>
      <c r="F481" s="7" t="s">
        <v>36</v>
      </c>
      <c r="G481" s="7" t="s">
        <v>37</v>
      </c>
      <c r="K481" s="7" t="s">
        <v>38</v>
      </c>
      <c r="L481" s="7" t="s">
        <v>39</v>
      </c>
      <c r="M481" s="7" t="s">
        <v>40</v>
      </c>
      <c r="N481" s="7" t="s">
        <v>41</v>
      </c>
      <c r="R481" s="7" t="s">
        <v>50</v>
      </c>
      <c r="S481" s="8">
        <v>42330.49</v>
      </c>
      <c r="U481" s="8">
        <v>42330.49</v>
      </c>
      <c r="V481" s="7" t="s">
        <v>56</v>
      </c>
      <c r="W481" s="7" t="s">
        <v>2619</v>
      </c>
      <c r="X481" s="7" t="s">
        <v>2618</v>
      </c>
      <c r="Y481" s="7" t="s">
        <v>1691</v>
      </c>
      <c r="AA481" s="7" t="s">
        <v>2617</v>
      </c>
      <c r="AB481" s="7">
        <v>10</v>
      </c>
      <c r="AC481" s="7" t="s">
        <v>51</v>
      </c>
      <c r="AD481" s="7" t="s">
        <v>936</v>
      </c>
      <c r="AF481" s="7" t="s">
        <v>44</v>
      </c>
      <c r="AH481" s="4">
        <v>45900.999988425923</v>
      </c>
    </row>
    <row r="482" spans="1:34" x14ac:dyDescent="0.3">
      <c r="A482" s="4">
        <v>45900</v>
      </c>
      <c r="B482" s="4">
        <v>44562</v>
      </c>
      <c r="C482" s="7" t="s">
        <v>35</v>
      </c>
      <c r="D482" s="7" t="s">
        <v>36</v>
      </c>
      <c r="E482" s="7" t="s">
        <v>36</v>
      </c>
      <c r="F482" s="7" t="s">
        <v>36</v>
      </c>
      <c r="G482" s="7" t="s">
        <v>37</v>
      </c>
      <c r="K482" s="7" t="s">
        <v>38</v>
      </c>
      <c r="L482" s="7" t="s">
        <v>39</v>
      </c>
      <c r="M482" s="7" t="s">
        <v>40</v>
      </c>
      <c r="N482" s="7" t="s">
        <v>41</v>
      </c>
      <c r="R482" s="7" t="s">
        <v>52</v>
      </c>
      <c r="T482" s="8">
        <v>42330.49</v>
      </c>
      <c r="U482" s="8">
        <v>-42330.49</v>
      </c>
      <c r="V482" s="7" t="s">
        <v>56</v>
      </c>
      <c r="W482" s="7" t="s">
        <v>2619</v>
      </c>
      <c r="X482" s="7" t="s">
        <v>2618</v>
      </c>
      <c r="Y482" s="7" t="s">
        <v>1691</v>
      </c>
      <c r="AA482" s="7" t="s">
        <v>2617</v>
      </c>
      <c r="AB482" s="7">
        <v>10</v>
      </c>
      <c r="AC482" s="7" t="s">
        <v>51</v>
      </c>
      <c r="AD482" s="7" t="s">
        <v>938</v>
      </c>
      <c r="AF482" s="7" t="s">
        <v>44</v>
      </c>
      <c r="AH482" s="4">
        <v>45900.999988425923</v>
      </c>
    </row>
    <row r="483" spans="1:34" x14ac:dyDescent="0.3">
      <c r="A483" s="4">
        <v>45900</v>
      </c>
      <c r="B483" s="4">
        <v>45900</v>
      </c>
      <c r="C483" s="7" t="s">
        <v>35</v>
      </c>
      <c r="D483" s="7" t="s">
        <v>36</v>
      </c>
      <c r="E483" s="7" t="s">
        <v>36</v>
      </c>
      <c r="F483" s="7" t="s">
        <v>36</v>
      </c>
      <c r="G483" s="7" t="s">
        <v>37</v>
      </c>
      <c r="K483" s="7" t="s">
        <v>38</v>
      </c>
      <c r="L483" s="7" t="s">
        <v>39</v>
      </c>
      <c r="M483" s="7" t="s">
        <v>40</v>
      </c>
      <c r="N483" s="7" t="s">
        <v>41</v>
      </c>
      <c r="R483" s="7" t="s">
        <v>45</v>
      </c>
      <c r="S483" s="8">
        <v>564567.06999999995</v>
      </c>
      <c r="U483" s="8">
        <v>564567.06999999995</v>
      </c>
      <c r="V483" s="7" t="s">
        <v>56</v>
      </c>
      <c r="W483" s="7" t="s">
        <v>2620</v>
      </c>
      <c r="X483" s="7" t="s">
        <v>2618</v>
      </c>
      <c r="Y483" s="7" t="s">
        <v>1691</v>
      </c>
      <c r="AA483" s="7" t="s">
        <v>2617</v>
      </c>
      <c r="AB483" s="7">
        <v>11</v>
      </c>
      <c r="AC483" s="7" t="s">
        <v>53</v>
      </c>
      <c r="AD483" s="7" t="s">
        <v>939</v>
      </c>
      <c r="AF483" s="7" t="s">
        <v>44</v>
      </c>
      <c r="AH483" s="4">
        <v>45900.999988425923</v>
      </c>
    </row>
    <row r="484" spans="1:34" x14ac:dyDescent="0.3">
      <c r="A484" s="4">
        <v>45900</v>
      </c>
      <c r="B484" s="4">
        <v>45900</v>
      </c>
      <c r="C484" s="7" t="s">
        <v>35</v>
      </c>
      <c r="D484" s="7" t="s">
        <v>36</v>
      </c>
      <c r="E484" s="7" t="s">
        <v>36</v>
      </c>
      <c r="F484" s="7" t="s">
        <v>36</v>
      </c>
      <c r="G484" s="7" t="s">
        <v>37</v>
      </c>
      <c r="K484" s="7" t="s">
        <v>38</v>
      </c>
      <c r="L484" s="7" t="s">
        <v>39</v>
      </c>
      <c r="M484" s="7" t="s">
        <v>40</v>
      </c>
      <c r="N484" s="7" t="s">
        <v>41</v>
      </c>
      <c r="R484" s="7" t="s">
        <v>54</v>
      </c>
      <c r="T484" s="8">
        <v>564567.06999999995</v>
      </c>
      <c r="U484" s="8">
        <v>-564567.06999999995</v>
      </c>
      <c r="V484" s="7" t="s">
        <v>56</v>
      </c>
      <c r="W484" s="7" t="s">
        <v>2620</v>
      </c>
      <c r="X484" s="7" t="s">
        <v>2618</v>
      </c>
      <c r="Y484" s="7" t="s">
        <v>1691</v>
      </c>
      <c r="AA484" s="7" t="s">
        <v>2617</v>
      </c>
      <c r="AB484" s="7">
        <v>11</v>
      </c>
      <c r="AC484" s="7" t="s">
        <v>53</v>
      </c>
      <c r="AD484" s="7" t="s">
        <v>941</v>
      </c>
      <c r="AF484" s="7" t="s">
        <v>44</v>
      </c>
      <c r="AH484" s="4">
        <v>45900.999988425923</v>
      </c>
    </row>
    <row r="485" spans="1:34" x14ac:dyDescent="0.3">
      <c r="A485" s="4">
        <v>45901</v>
      </c>
      <c r="B485" s="4">
        <v>45901</v>
      </c>
      <c r="C485" s="7" t="s">
        <v>35</v>
      </c>
      <c r="D485" s="7" t="s">
        <v>36</v>
      </c>
      <c r="E485" s="7" t="s">
        <v>36</v>
      </c>
      <c r="F485" s="7" t="s">
        <v>36</v>
      </c>
      <c r="G485" s="7" t="s">
        <v>37</v>
      </c>
      <c r="K485" s="7" t="s">
        <v>38</v>
      </c>
      <c r="L485" s="7" t="s">
        <v>39</v>
      </c>
      <c r="M485" s="7" t="s">
        <v>40</v>
      </c>
      <c r="N485" s="7" t="s">
        <v>41</v>
      </c>
      <c r="R485" s="7" t="s">
        <v>54</v>
      </c>
      <c r="S485" s="8">
        <v>564567.06999999995</v>
      </c>
      <c r="U485" s="8">
        <v>564567.06999999995</v>
      </c>
      <c r="V485" s="7" t="s">
        <v>56</v>
      </c>
      <c r="W485" s="7" t="s">
        <v>2620</v>
      </c>
      <c r="X485" s="7" t="s">
        <v>2618</v>
      </c>
      <c r="Y485" s="7" t="s">
        <v>1691</v>
      </c>
      <c r="AA485" s="7" t="s">
        <v>2617</v>
      </c>
      <c r="AB485" s="7">
        <v>11</v>
      </c>
      <c r="AC485" s="7" t="s">
        <v>55</v>
      </c>
      <c r="AD485" s="7" t="s">
        <v>942</v>
      </c>
      <c r="AF485" s="7" t="s">
        <v>44</v>
      </c>
      <c r="AH485" s="4">
        <v>45930.999988425923</v>
      </c>
    </row>
    <row r="486" spans="1:34" x14ac:dyDescent="0.3">
      <c r="A486" s="4">
        <v>45901</v>
      </c>
      <c r="B486" s="4">
        <v>45901</v>
      </c>
      <c r="C486" s="7" t="s">
        <v>35</v>
      </c>
      <c r="D486" s="7" t="s">
        <v>36</v>
      </c>
      <c r="E486" s="7" t="s">
        <v>36</v>
      </c>
      <c r="F486" s="7" t="s">
        <v>36</v>
      </c>
      <c r="G486" s="7" t="s">
        <v>37</v>
      </c>
      <c r="K486" s="7" t="s">
        <v>38</v>
      </c>
      <c r="L486" s="7" t="s">
        <v>39</v>
      </c>
      <c r="M486" s="7" t="s">
        <v>40</v>
      </c>
      <c r="N486" s="7" t="s">
        <v>41</v>
      </c>
      <c r="R486" s="7" t="s">
        <v>45</v>
      </c>
      <c r="T486" s="8">
        <v>564567.06999999995</v>
      </c>
      <c r="U486" s="8">
        <v>-564567.06999999995</v>
      </c>
      <c r="V486" s="7" t="s">
        <v>56</v>
      </c>
      <c r="W486" s="7" t="s">
        <v>2620</v>
      </c>
      <c r="X486" s="7" t="s">
        <v>2618</v>
      </c>
      <c r="Y486" s="7" t="s">
        <v>1691</v>
      </c>
      <c r="AA486" s="7" t="s">
        <v>2617</v>
      </c>
      <c r="AB486" s="7">
        <v>11</v>
      </c>
      <c r="AC486" s="7" t="s">
        <v>55</v>
      </c>
      <c r="AD486" s="7" t="s">
        <v>944</v>
      </c>
      <c r="AF486" s="7" t="s">
        <v>44</v>
      </c>
      <c r="AH486" s="4">
        <v>45930.999988425923</v>
      </c>
    </row>
    <row r="487" spans="1:34" x14ac:dyDescent="0.3">
      <c r="A487" s="4">
        <v>45901</v>
      </c>
      <c r="B487" s="4">
        <v>45930</v>
      </c>
      <c r="C487" s="7" t="s">
        <v>46</v>
      </c>
      <c r="D487" s="7" t="s">
        <v>36</v>
      </c>
      <c r="E487" s="7" t="s">
        <v>36</v>
      </c>
      <c r="F487" s="7" t="s">
        <v>36</v>
      </c>
      <c r="G487" s="7" t="s">
        <v>37</v>
      </c>
      <c r="K487" s="7" t="s">
        <v>38</v>
      </c>
      <c r="L487" s="7" t="s">
        <v>39</v>
      </c>
      <c r="M487" s="7" t="s">
        <v>38</v>
      </c>
      <c r="N487" s="7" t="s">
        <v>41</v>
      </c>
      <c r="R487" s="7" t="s">
        <v>49</v>
      </c>
      <c r="S487" s="8">
        <v>4443.1571210000002</v>
      </c>
      <c r="U487" s="8">
        <v>4443.1571210000002</v>
      </c>
      <c r="V487" s="7" t="s">
        <v>56</v>
      </c>
      <c r="W487" s="7" t="s">
        <v>57</v>
      </c>
      <c r="X487" s="7" t="s">
        <v>2618</v>
      </c>
      <c r="Y487" s="7" t="s">
        <v>1691</v>
      </c>
      <c r="AA487" s="7" t="s">
        <v>2617</v>
      </c>
      <c r="AB487" s="7">
        <v>12</v>
      </c>
      <c r="AC487" s="7" t="s">
        <v>57</v>
      </c>
      <c r="AD487" s="7" t="s">
        <v>945</v>
      </c>
      <c r="AF487" s="7" t="s">
        <v>44</v>
      </c>
      <c r="AH487" s="4">
        <v>45930.999988425923</v>
      </c>
    </row>
    <row r="488" spans="1:34" x14ac:dyDescent="0.3">
      <c r="A488" s="4">
        <v>45901</v>
      </c>
      <c r="B488" s="4">
        <v>45930</v>
      </c>
      <c r="C488" s="7" t="s">
        <v>46</v>
      </c>
      <c r="D488" s="7" t="s">
        <v>36</v>
      </c>
      <c r="E488" s="7" t="s">
        <v>36</v>
      </c>
      <c r="F488" s="7" t="s">
        <v>36</v>
      </c>
      <c r="G488" s="7" t="s">
        <v>37</v>
      </c>
      <c r="K488" s="7" t="s">
        <v>38</v>
      </c>
      <c r="L488" s="7" t="s">
        <v>39</v>
      </c>
      <c r="M488" s="7" t="s">
        <v>40</v>
      </c>
      <c r="N488" s="7" t="s">
        <v>41</v>
      </c>
      <c r="R488" s="7" t="s">
        <v>45</v>
      </c>
      <c r="S488" s="8">
        <v>45556.842879000003</v>
      </c>
      <c r="U488" s="8">
        <v>45556.842879000003</v>
      </c>
      <c r="V488" s="7" t="s">
        <v>56</v>
      </c>
      <c r="W488" s="7" t="s">
        <v>57</v>
      </c>
      <c r="X488" s="7" t="s">
        <v>2618</v>
      </c>
      <c r="Y488" s="7" t="s">
        <v>1691</v>
      </c>
      <c r="AA488" s="7" t="s">
        <v>2617</v>
      </c>
      <c r="AB488" s="7">
        <v>12</v>
      </c>
      <c r="AC488" s="7" t="s">
        <v>57</v>
      </c>
      <c r="AD488" s="7" t="s">
        <v>947</v>
      </c>
      <c r="AF488" s="7" t="s">
        <v>44</v>
      </c>
      <c r="AH488" s="4">
        <v>45930.999988425923</v>
      </c>
    </row>
    <row r="489" spans="1:34" x14ac:dyDescent="0.3">
      <c r="A489" s="4">
        <v>45901</v>
      </c>
      <c r="B489" s="4">
        <v>45930</v>
      </c>
      <c r="C489" s="7" t="s">
        <v>46</v>
      </c>
      <c r="D489" s="7" t="s">
        <v>36</v>
      </c>
      <c r="E489" s="7" t="s">
        <v>36</v>
      </c>
      <c r="F489" s="7" t="s">
        <v>36</v>
      </c>
      <c r="G489" s="7" t="s">
        <v>37</v>
      </c>
      <c r="K489" s="7" t="s">
        <v>38</v>
      </c>
      <c r="L489" s="7" t="s">
        <v>39</v>
      </c>
      <c r="M489" s="7" t="s">
        <v>40</v>
      </c>
      <c r="N489" s="7" t="s">
        <v>41</v>
      </c>
      <c r="R489" s="7" t="s">
        <v>58</v>
      </c>
      <c r="T489" s="8">
        <v>50000</v>
      </c>
      <c r="U489" s="8">
        <v>-50000</v>
      </c>
      <c r="V489" s="7" t="s">
        <v>56</v>
      </c>
      <c r="W489" s="7" t="s">
        <v>57</v>
      </c>
      <c r="X489" s="7" t="s">
        <v>2618</v>
      </c>
      <c r="Y489" s="7" t="s">
        <v>1691</v>
      </c>
      <c r="AA489" s="7" t="s">
        <v>2617</v>
      </c>
      <c r="AB489" s="7">
        <v>12</v>
      </c>
      <c r="AC489" s="7" t="s">
        <v>57</v>
      </c>
      <c r="AD489" s="7" t="s">
        <v>948</v>
      </c>
      <c r="AF489" s="7" t="s">
        <v>44</v>
      </c>
      <c r="AH489" s="4">
        <v>45930.999988425923</v>
      </c>
    </row>
    <row r="490" spans="1:34" x14ac:dyDescent="0.3">
      <c r="A490" s="4">
        <v>45930</v>
      </c>
      <c r="B490" s="4">
        <v>45930</v>
      </c>
      <c r="C490" s="7" t="s">
        <v>46</v>
      </c>
      <c r="D490" s="7" t="s">
        <v>36</v>
      </c>
      <c r="E490" s="7" t="s">
        <v>36</v>
      </c>
      <c r="F490" s="7" t="s">
        <v>36</v>
      </c>
      <c r="G490" s="7" t="s">
        <v>37</v>
      </c>
      <c r="K490" s="7" t="s">
        <v>38</v>
      </c>
      <c r="L490" s="7" t="s">
        <v>39</v>
      </c>
      <c r="M490" s="7" t="s">
        <v>40</v>
      </c>
      <c r="N490" s="7" t="s">
        <v>41</v>
      </c>
      <c r="R490" s="7" t="s">
        <v>47</v>
      </c>
      <c r="S490" s="8">
        <v>4177.4088709999996</v>
      </c>
      <c r="U490" s="8">
        <v>4177.4088709999996</v>
      </c>
      <c r="V490" s="7" t="s">
        <v>56</v>
      </c>
      <c r="W490" s="7" t="s">
        <v>2621</v>
      </c>
      <c r="X490" s="7" t="s">
        <v>2618</v>
      </c>
      <c r="Y490" s="7" t="s">
        <v>1691</v>
      </c>
      <c r="AA490" s="7" t="s">
        <v>2617</v>
      </c>
      <c r="AB490" s="7">
        <v>8</v>
      </c>
      <c r="AC490" s="7" t="s">
        <v>48</v>
      </c>
      <c r="AD490" s="7" t="s">
        <v>949</v>
      </c>
      <c r="AF490" s="7" t="s">
        <v>44</v>
      </c>
      <c r="AH490" s="4">
        <v>45930.999988425923</v>
      </c>
    </row>
    <row r="491" spans="1:34" x14ac:dyDescent="0.3">
      <c r="A491" s="4">
        <v>45930</v>
      </c>
      <c r="B491" s="4">
        <v>45930</v>
      </c>
      <c r="C491" s="7" t="s">
        <v>46</v>
      </c>
      <c r="D491" s="7" t="s">
        <v>36</v>
      </c>
      <c r="E491" s="7" t="s">
        <v>36</v>
      </c>
      <c r="F491" s="7" t="s">
        <v>36</v>
      </c>
      <c r="G491" s="7" t="s">
        <v>37</v>
      </c>
      <c r="K491" s="7" t="s">
        <v>38</v>
      </c>
      <c r="L491" s="7" t="s">
        <v>39</v>
      </c>
      <c r="M491" s="7" t="s">
        <v>38</v>
      </c>
      <c r="N491" s="7" t="s">
        <v>41</v>
      </c>
      <c r="R491" s="7" t="s">
        <v>49</v>
      </c>
      <c r="T491" s="8">
        <v>4177.4088709999996</v>
      </c>
      <c r="U491" s="8">
        <v>-4177.4088709999996</v>
      </c>
      <c r="V491" s="7" t="s">
        <v>56</v>
      </c>
      <c r="W491" s="7" t="s">
        <v>2621</v>
      </c>
      <c r="X491" s="7" t="s">
        <v>2618</v>
      </c>
      <c r="Y491" s="7" t="s">
        <v>1691</v>
      </c>
      <c r="AA491" s="7" t="s">
        <v>2617</v>
      </c>
      <c r="AB491" s="7">
        <v>8</v>
      </c>
      <c r="AC491" s="7" t="s">
        <v>48</v>
      </c>
      <c r="AD491" s="7" t="s">
        <v>951</v>
      </c>
      <c r="AF491" s="7" t="s">
        <v>44</v>
      </c>
      <c r="AH491" s="4">
        <v>45930.999988425923</v>
      </c>
    </row>
    <row r="492" spans="1:34" x14ac:dyDescent="0.3">
      <c r="A492" s="4">
        <v>45930</v>
      </c>
      <c r="B492" s="4">
        <v>44562</v>
      </c>
      <c r="C492" s="7" t="s">
        <v>35</v>
      </c>
      <c r="D492" s="7" t="s">
        <v>36</v>
      </c>
      <c r="E492" s="7" t="s">
        <v>36</v>
      </c>
      <c r="F492" s="7" t="s">
        <v>36</v>
      </c>
      <c r="G492" s="7" t="s">
        <v>37</v>
      </c>
      <c r="K492" s="7" t="s">
        <v>38</v>
      </c>
      <c r="L492" s="7" t="s">
        <v>39</v>
      </c>
      <c r="M492" s="7" t="s">
        <v>40</v>
      </c>
      <c r="N492" s="7" t="s">
        <v>41</v>
      </c>
      <c r="R492" s="7" t="s">
        <v>50</v>
      </c>
      <c r="S492" s="8">
        <v>42330.49</v>
      </c>
      <c r="U492" s="8">
        <v>42330.49</v>
      </c>
      <c r="V492" s="7" t="s">
        <v>56</v>
      </c>
      <c r="W492" s="7" t="s">
        <v>2619</v>
      </c>
      <c r="X492" s="7" t="s">
        <v>2618</v>
      </c>
      <c r="Y492" s="7" t="s">
        <v>1691</v>
      </c>
      <c r="AA492" s="7" t="s">
        <v>2617</v>
      </c>
      <c r="AB492" s="7">
        <v>10</v>
      </c>
      <c r="AC492" s="7" t="s">
        <v>51</v>
      </c>
      <c r="AD492" s="7" t="s">
        <v>952</v>
      </c>
      <c r="AF492" s="7" t="s">
        <v>44</v>
      </c>
      <c r="AH492" s="4">
        <v>45930.999988425923</v>
      </c>
    </row>
    <row r="493" spans="1:34" x14ac:dyDescent="0.3">
      <c r="A493" s="4">
        <v>45930</v>
      </c>
      <c r="B493" s="4">
        <v>44562</v>
      </c>
      <c r="C493" s="7" t="s">
        <v>35</v>
      </c>
      <c r="D493" s="7" t="s">
        <v>36</v>
      </c>
      <c r="E493" s="7" t="s">
        <v>36</v>
      </c>
      <c r="F493" s="7" t="s">
        <v>36</v>
      </c>
      <c r="G493" s="7" t="s">
        <v>37</v>
      </c>
      <c r="K493" s="7" t="s">
        <v>38</v>
      </c>
      <c r="L493" s="7" t="s">
        <v>39</v>
      </c>
      <c r="M493" s="7" t="s">
        <v>40</v>
      </c>
      <c r="N493" s="7" t="s">
        <v>41</v>
      </c>
      <c r="R493" s="7" t="s">
        <v>52</v>
      </c>
      <c r="T493" s="8">
        <v>42330.49</v>
      </c>
      <c r="U493" s="8">
        <v>-42330.49</v>
      </c>
      <c r="V493" s="7" t="s">
        <v>56</v>
      </c>
      <c r="W493" s="7" t="s">
        <v>2619</v>
      </c>
      <c r="X493" s="7" t="s">
        <v>2618</v>
      </c>
      <c r="Y493" s="7" t="s">
        <v>1691</v>
      </c>
      <c r="AA493" s="7" t="s">
        <v>2617</v>
      </c>
      <c r="AB493" s="7">
        <v>10</v>
      </c>
      <c r="AC493" s="7" t="s">
        <v>51</v>
      </c>
      <c r="AD493" s="7" t="s">
        <v>954</v>
      </c>
      <c r="AF493" s="7" t="s">
        <v>44</v>
      </c>
      <c r="AH493" s="4">
        <v>45930.999988425923</v>
      </c>
    </row>
    <row r="494" spans="1:34" x14ac:dyDescent="0.3">
      <c r="A494" s="4">
        <v>45930</v>
      </c>
      <c r="B494" s="4">
        <v>45930</v>
      </c>
      <c r="C494" s="7" t="s">
        <v>35</v>
      </c>
      <c r="D494" s="7" t="s">
        <v>36</v>
      </c>
      <c r="E494" s="7" t="s">
        <v>36</v>
      </c>
      <c r="F494" s="7" t="s">
        <v>36</v>
      </c>
      <c r="G494" s="7" t="s">
        <v>37</v>
      </c>
      <c r="K494" s="7" t="s">
        <v>38</v>
      </c>
      <c r="L494" s="7" t="s">
        <v>39</v>
      </c>
      <c r="M494" s="7" t="s">
        <v>40</v>
      </c>
      <c r="N494" s="7" t="s">
        <v>41</v>
      </c>
      <c r="R494" s="7" t="s">
        <v>45</v>
      </c>
      <c r="S494" s="8">
        <v>567860.36</v>
      </c>
      <c r="U494" s="8">
        <v>567860.36</v>
      </c>
      <c r="V494" s="7" t="s">
        <v>56</v>
      </c>
      <c r="W494" s="7" t="s">
        <v>2620</v>
      </c>
      <c r="X494" s="7" t="s">
        <v>2618</v>
      </c>
      <c r="Y494" s="7" t="s">
        <v>1691</v>
      </c>
      <c r="AA494" s="7" t="s">
        <v>2617</v>
      </c>
      <c r="AB494" s="7">
        <v>11</v>
      </c>
      <c r="AC494" s="7" t="s">
        <v>53</v>
      </c>
      <c r="AD494" s="7" t="s">
        <v>955</v>
      </c>
      <c r="AF494" s="7" t="s">
        <v>44</v>
      </c>
      <c r="AH494" s="4">
        <v>45930.999988425923</v>
      </c>
    </row>
    <row r="495" spans="1:34" x14ac:dyDescent="0.3">
      <c r="A495" s="4">
        <v>45930</v>
      </c>
      <c r="B495" s="4">
        <v>45930</v>
      </c>
      <c r="C495" s="7" t="s">
        <v>35</v>
      </c>
      <c r="D495" s="7" t="s">
        <v>36</v>
      </c>
      <c r="E495" s="7" t="s">
        <v>36</v>
      </c>
      <c r="F495" s="7" t="s">
        <v>36</v>
      </c>
      <c r="G495" s="7" t="s">
        <v>37</v>
      </c>
      <c r="K495" s="7" t="s">
        <v>38</v>
      </c>
      <c r="L495" s="7" t="s">
        <v>39</v>
      </c>
      <c r="M495" s="7" t="s">
        <v>40</v>
      </c>
      <c r="N495" s="7" t="s">
        <v>41</v>
      </c>
      <c r="R495" s="7" t="s">
        <v>54</v>
      </c>
      <c r="T495" s="8">
        <v>567860.36</v>
      </c>
      <c r="U495" s="8">
        <v>-567860.36</v>
      </c>
      <c r="V495" s="7" t="s">
        <v>56</v>
      </c>
      <c r="W495" s="7" t="s">
        <v>2620</v>
      </c>
      <c r="X495" s="7" t="s">
        <v>2618</v>
      </c>
      <c r="Y495" s="7" t="s">
        <v>1691</v>
      </c>
      <c r="AA495" s="7" t="s">
        <v>2617</v>
      </c>
      <c r="AB495" s="7">
        <v>11</v>
      </c>
      <c r="AC495" s="7" t="s">
        <v>53</v>
      </c>
      <c r="AD495" s="7" t="s">
        <v>957</v>
      </c>
      <c r="AF495" s="7" t="s">
        <v>44</v>
      </c>
      <c r="AH495" s="4">
        <v>45930.999988425923</v>
      </c>
    </row>
    <row r="496" spans="1:34" x14ac:dyDescent="0.3">
      <c r="A496" s="4">
        <v>45931</v>
      </c>
      <c r="B496" s="4">
        <v>45931</v>
      </c>
      <c r="C496" s="7" t="s">
        <v>35</v>
      </c>
      <c r="D496" s="7" t="s">
        <v>36</v>
      </c>
      <c r="E496" s="7" t="s">
        <v>36</v>
      </c>
      <c r="F496" s="7" t="s">
        <v>36</v>
      </c>
      <c r="G496" s="7" t="s">
        <v>37</v>
      </c>
      <c r="K496" s="7" t="s">
        <v>38</v>
      </c>
      <c r="L496" s="7" t="s">
        <v>39</v>
      </c>
      <c r="M496" s="7" t="s">
        <v>40</v>
      </c>
      <c r="N496" s="7" t="s">
        <v>41</v>
      </c>
      <c r="R496" s="7" t="s">
        <v>54</v>
      </c>
      <c r="S496" s="8">
        <v>567860.36</v>
      </c>
      <c r="U496" s="8">
        <v>567860.36</v>
      </c>
      <c r="V496" s="7" t="s">
        <v>56</v>
      </c>
      <c r="W496" s="7" t="s">
        <v>2620</v>
      </c>
      <c r="X496" s="7" t="s">
        <v>2618</v>
      </c>
      <c r="Y496" s="7" t="s">
        <v>1691</v>
      </c>
      <c r="AA496" s="7" t="s">
        <v>2617</v>
      </c>
      <c r="AB496" s="7">
        <v>11</v>
      </c>
      <c r="AC496" s="7" t="s">
        <v>55</v>
      </c>
      <c r="AD496" s="7" t="s">
        <v>958</v>
      </c>
      <c r="AF496" s="7" t="s">
        <v>44</v>
      </c>
      <c r="AH496" s="4">
        <v>45961.999988425923</v>
      </c>
    </row>
    <row r="497" spans="1:34" x14ac:dyDescent="0.3">
      <c r="A497" s="4">
        <v>45931</v>
      </c>
      <c r="B497" s="4">
        <v>45931</v>
      </c>
      <c r="C497" s="7" t="s">
        <v>35</v>
      </c>
      <c r="D497" s="7" t="s">
        <v>36</v>
      </c>
      <c r="E497" s="7" t="s">
        <v>36</v>
      </c>
      <c r="F497" s="7" t="s">
        <v>36</v>
      </c>
      <c r="G497" s="7" t="s">
        <v>37</v>
      </c>
      <c r="K497" s="7" t="s">
        <v>38</v>
      </c>
      <c r="L497" s="7" t="s">
        <v>39</v>
      </c>
      <c r="M497" s="7" t="s">
        <v>40</v>
      </c>
      <c r="N497" s="7" t="s">
        <v>41</v>
      </c>
      <c r="R497" s="7" t="s">
        <v>45</v>
      </c>
      <c r="T497" s="8">
        <v>567860.36</v>
      </c>
      <c r="U497" s="8">
        <v>-567860.36</v>
      </c>
      <c r="V497" s="7" t="s">
        <v>56</v>
      </c>
      <c r="W497" s="7" t="s">
        <v>2620</v>
      </c>
      <c r="X497" s="7" t="s">
        <v>2618</v>
      </c>
      <c r="Y497" s="7" t="s">
        <v>1691</v>
      </c>
      <c r="AA497" s="7" t="s">
        <v>2617</v>
      </c>
      <c r="AB497" s="7">
        <v>11</v>
      </c>
      <c r="AC497" s="7" t="s">
        <v>55</v>
      </c>
      <c r="AD497" s="7" t="s">
        <v>960</v>
      </c>
      <c r="AF497" s="7" t="s">
        <v>44</v>
      </c>
      <c r="AH497" s="4">
        <v>45961.999988425923</v>
      </c>
    </row>
    <row r="498" spans="1:34" x14ac:dyDescent="0.3">
      <c r="A498" s="4">
        <v>45931</v>
      </c>
      <c r="B498" s="4">
        <v>45961</v>
      </c>
      <c r="C498" s="7" t="s">
        <v>46</v>
      </c>
      <c r="D498" s="7" t="s">
        <v>36</v>
      </c>
      <c r="E498" s="7" t="s">
        <v>36</v>
      </c>
      <c r="F498" s="7" t="s">
        <v>36</v>
      </c>
      <c r="G498" s="7" t="s">
        <v>37</v>
      </c>
      <c r="K498" s="7" t="s">
        <v>38</v>
      </c>
      <c r="L498" s="7" t="s">
        <v>39</v>
      </c>
      <c r="M498" s="7" t="s">
        <v>38</v>
      </c>
      <c r="N498" s="7" t="s">
        <v>41</v>
      </c>
      <c r="R498" s="7" t="s">
        <v>49</v>
      </c>
      <c r="S498" s="8">
        <v>4177.4088709999996</v>
      </c>
      <c r="U498" s="8">
        <v>4177.4088709999996</v>
      </c>
      <c r="V498" s="7" t="s">
        <v>56</v>
      </c>
      <c r="W498" s="7" t="s">
        <v>57</v>
      </c>
      <c r="X498" s="7" t="s">
        <v>2618</v>
      </c>
      <c r="Y498" s="7" t="s">
        <v>1691</v>
      </c>
      <c r="AA498" s="7" t="s">
        <v>2617</v>
      </c>
      <c r="AB498" s="7">
        <v>12</v>
      </c>
      <c r="AC498" s="7" t="s">
        <v>57</v>
      </c>
      <c r="AD498" s="7" t="s">
        <v>961</v>
      </c>
      <c r="AF498" s="7" t="s">
        <v>44</v>
      </c>
      <c r="AH498" s="4">
        <v>45961.999988425923</v>
      </c>
    </row>
    <row r="499" spans="1:34" x14ac:dyDescent="0.3">
      <c r="A499" s="4">
        <v>45931</v>
      </c>
      <c r="B499" s="4">
        <v>45961</v>
      </c>
      <c r="C499" s="7" t="s">
        <v>46</v>
      </c>
      <c r="D499" s="7" t="s">
        <v>36</v>
      </c>
      <c r="E499" s="7" t="s">
        <v>36</v>
      </c>
      <c r="F499" s="7" t="s">
        <v>36</v>
      </c>
      <c r="G499" s="7" t="s">
        <v>37</v>
      </c>
      <c r="K499" s="7" t="s">
        <v>38</v>
      </c>
      <c r="L499" s="7" t="s">
        <v>39</v>
      </c>
      <c r="M499" s="7" t="s">
        <v>40</v>
      </c>
      <c r="N499" s="7" t="s">
        <v>41</v>
      </c>
      <c r="R499" s="7" t="s">
        <v>45</v>
      </c>
      <c r="S499" s="8">
        <v>45822.591129</v>
      </c>
      <c r="U499" s="8">
        <v>45822.591129</v>
      </c>
      <c r="V499" s="7" t="s">
        <v>56</v>
      </c>
      <c r="W499" s="7" t="s">
        <v>57</v>
      </c>
      <c r="X499" s="7" t="s">
        <v>2618</v>
      </c>
      <c r="Y499" s="7" t="s">
        <v>1691</v>
      </c>
      <c r="AA499" s="7" t="s">
        <v>2617</v>
      </c>
      <c r="AB499" s="7">
        <v>12</v>
      </c>
      <c r="AC499" s="7" t="s">
        <v>57</v>
      </c>
      <c r="AD499" s="7" t="s">
        <v>963</v>
      </c>
      <c r="AF499" s="7" t="s">
        <v>44</v>
      </c>
      <c r="AH499" s="4">
        <v>45961.999988425923</v>
      </c>
    </row>
    <row r="500" spans="1:34" x14ac:dyDescent="0.3">
      <c r="A500" s="4">
        <v>45931</v>
      </c>
      <c r="B500" s="4">
        <v>45961</v>
      </c>
      <c r="C500" s="7" t="s">
        <v>46</v>
      </c>
      <c r="D500" s="7" t="s">
        <v>36</v>
      </c>
      <c r="E500" s="7" t="s">
        <v>36</v>
      </c>
      <c r="F500" s="7" t="s">
        <v>36</v>
      </c>
      <c r="G500" s="7" t="s">
        <v>37</v>
      </c>
      <c r="K500" s="7" t="s">
        <v>38</v>
      </c>
      <c r="L500" s="7" t="s">
        <v>39</v>
      </c>
      <c r="M500" s="7" t="s">
        <v>40</v>
      </c>
      <c r="N500" s="7" t="s">
        <v>41</v>
      </c>
      <c r="R500" s="7" t="s">
        <v>58</v>
      </c>
      <c r="T500" s="8">
        <v>50000</v>
      </c>
      <c r="U500" s="8">
        <v>-50000</v>
      </c>
      <c r="V500" s="7" t="s">
        <v>56</v>
      </c>
      <c r="W500" s="7" t="s">
        <v>57</v>
      </c>
      <c r="X500" s="7" t="s">
        <v>2618</v>
      </c>
      <c r="Y500" s="7" t="s">
        <v>1691</v>
      </c>
      <c r="AA500" s="7" t="s">
        <v>2617</v>
      </c>
      <c r="AB500" s="7">
        <v>12</v>
      </c>
      <c r="AC500" s="7" t="s">
        <v>57</v>
      </c>
      <c r="AD500" s="7" t="s">
        <v>964</v>
      </c>
      <c r="AF500" s="7" t="s">
        <v>44</v>
      </c>
      <c r="AH500" s="4">
        <v>45961.999988425923</v>
      </c>
    </row>
    <row r="501" spans="1:34" x14ac:dyDescent="0.3">
      <c r="A501" s="4">
        <v>45961</v>
      </c>
      <c r="B501" s="4">
        <v>45961</v>
      </c>
      <c r="C501" s="7" t="s">
        <v>46</v>
      </c>
      <c r="D501" s="7" t="s">
        <v>36</v>
      </c>
      <c r="E501" s="7" t="s">
        <v>36</v>
      </c>
      <c r="F501" s="7" t="s">
        <v>36</v>
      </c>
      <c r="G501" s="7" t="s">
        <v>37</v>
      </c>
      <c r="K501" s="7" t="s">
        <v>38</v>
      </c>
      <c r="L501" s="7" t="s">
        <v>39</v>
      </c>
      <c r="M501" s="7" t="s">
        <v>40</v>
      </c>
      <c r="N501" s="7" t="s">
        <v>41</v>
      </c>
      <c r="R501" s="7" t="s">
        <v>47</v>
      </c>
      <c r="S501" s="8">
        <v>3910.1104220000002</v>
      </c>
      <c r="U501" s="8">
        <v>3910.1104220000002</v>
      </c>
      <c r="V501" s="7" t="s">
        <v>56</v>
      </c>
      <c r="W501" s="7" t="s">
        <v>2621</v>
      </c>
      <c r="X501" s="7" t="s">
        <v>2618</v>
      </c>
      <c r="Y501" s="7" t="s">
        <v>1691</v>
      </c>
      <c r="AA501" s="7" t="s">
        <v>2617</v>
      </c>
      <c r="AB501" s="7">
        <v>8</v>
      </c>
      <c r="AC501" s="7" t="s">
        <v>48</v>
      </c>
      <c r="AD501" s="7" t="s">
        <v>965</v>
      </c>
      <c r="AF501" s="7" t="s">
        <v>44</v>
      </c>
      <c r="AH501" s="4">
        <v>45961.999988425923</v>
      </c>
    </row>
    <row r="502" spans="1:34" x14ac:dyDescent="0.3">
      <c r="A502" s="4">
        <v>45961</v>
      </c>
      <c r="B502" s="4">
        <v>45961</v>
      </c>
      <c r="C502" s="7" t="s">
        <v>46</v>
      </c>
      <c r="D502" s="7" t="s">
        <v>36</v>
      </c>
      <c r="E502" s="7" t="s">
        <v>36</v>
      </c>
      <c r="F502" s="7" t="s">
        <v>36</v>
      </c>
      <c r="G502" s="7" t="s">
        <v>37</v>
      </c>
      <c r="K502" s="7" t="s">
        <v>38</v>
      </c>
      <c r="L502" s="7" t="s">
        <v>39</v>
      </c>
      <c r="M502" s="7" t="s">
        <v>38</v>
      </c>
      <c r="N502" s="7" t="s">
        <v>41</v>
      </c>
      <c r="R502" s="7" t="s">
        <v>49</v>
      </c>
      <c r="T502" s="8">
        <v>3910.1104220000002</v>
      </c>
      <c r="U502" s="8">
        <v>-3910.1104220000002</v>
      </c>
      <c r="V502" s="7" t="s">
        <v>56</v>
      </c>
      <c r="W502" s="7" t="s">
        <v>2621</v>
      </c>
      <c r="X502" s="7" t="s">
        <v>2618</v>
      </c>
      <c r="Y502" s="7" t="s">
        <v>1691</v>
      </c>
      <c r="AA502" s="7" t="s">
        <v>2617</v>
      </c>
      <c r="AB502" s="7">
        <v>8</v>
      </c>
      <c r="AC502" s="7" t="s">
        <v>48</v>
      </c>
      <c r="AD502" s="7" t="s">
        <v>967</v>
      </c>
      <c r="AF502" s="7" t="s">
        <v>44</v>
      </c>
      <c r="AH502" s="4">
        <v>45961.999988425923</v>
      </c>
    </row>
    <row r="503" spans="1:34" x14ac:dyDescent="0.3">
      <c r="A503" s="4">
        <v>45961</v>
      </c>
      <c r="B503" s="4">
        <v>44562</v>
      </c>
      <c r="C503" s="7" t="s">
        <v>35</v>
      </c>
      <c r="D503" s="7" t="s">
        <v>36</v>
      </c>
      <c r="E503" s="7" t="s">
        <v>36</v>
      </c>
      <c r="F503" s="7" t="s">
        <v>36</v>
      </c>
      <c r="G503" s="7" t="s">
        <v>37</v>
      </c>
      <c r="K503" s="7" t="s">
        <v>38</v>
      </c>
      <c r="L503" s="7" t="s">
        <v>39</v>
      </c>
      <c r="M503" s="7" t="s">
        <v>40</v>
      </c>
      <c r="N503" s="7" t="s">
        <v>41</v>
      </c>
      <c r="R503" s="7" t="s">
        <v>50</v>
      </c>
      <c r="S503" s="8">
        <v>42330.49</v>
      </c>
      <c r="U503" s="8">
        <v>42330.49</v>
      </c>
      <c r="V503" s="7" t="s">
        <v>56</v>
      </c>
      <c r="W503" s="7" t="s">
        <v>2619</v>
      </c>
      <c r="X503" s="7" t="s">
        <v>2618</v>
      </c>
      <c r="Y503" s="7" t="s">
        <v>1691</v>
      </c>
      <c r="AA503" s="7" t="s">
        <v>2617</v>
      </c>
      <c r="AB503" s="7">
        <v>10</v>
      </c>
      <c r="AC503" s="7" t="s">
        <v>51</v>
      </c>
      <c r="AD503" s="7" t="s">
        <v>968</v>
      </c>
      <c r="AF503" s="7" t="s">
        <v>44</v>
      </c>
      <c r="AH503" s="4">
        <v>45961.999988425923</v>
      </c>
    </row>
    <row r="504" spans="1:34" x14ac:dyDescent="0.3">
      <c r="A504" s="4">
        <v>45961</v>
      </c>
      <c r="B504" s="4">
        <v>44562</v>
      </c>
      <c r="C504" s="7" t="s">
        <v>35</v>
      </c>
      <c r="D504" s="7" t="s">
        <v>36</v>
      </c>
      <c r="E504" s="7" t="s">
        <v>36</v>
      </c>
      <c r="F504" s="7" t="s">
        <v>36</v>
      </c>
      <c r="G504" s="7" t="s">
        <v>37</v>
      </c>
      <c r="K504" s="7" t="s">
        <v>38</v>
      </c>
      <c r="L504" s="7" t="s">
        <v>39</v>
      </c>
      <c r="M504" s="7" t="s">
        <v>40</v>
      </c>
      <c r="N504" s="7" t="s">
        <v>41</v>
      </c>
      <c r="R504" s="7" t="s">
        <v>52</v>
      </c>
      <c r="T504" s="8">
        <v>42330.49</v>
      </c>
      <c r="U504" s="8">
        <v>-42330.49</v>
      </c>
      <c r="V504" s="7" t="s">
        <v>56</v>
      </c>
      <c r="W504" s="7" t="s">
        <v>2619</v>
      </c>
      <c r="X504" s="7" t="s">
        <v>2618</v>
      </c>
      <c r="Y504" s="7" t="s">
        <v>1691</v>
      </c>
      <c r="AA504" s="7" t="s">
        <v>2617</v>
      </c>
      <c r="AB504" s="7">
        <v>10</v>
      </c>
      <c r="AC504" s="7" t="s">
        <v>51</v>
      </c>
      <c r="AD504" s="7" t="s">
        <v>970</v>
      </c>
      <c r="AF504" s="7" t="s">
        <v>44</v>
      </c>
      <c r="AH504" s="4">
        <v>45961.999988425923</v>
      </c>
    </row>
    <row r="505" spans="1:34" x14ac:dyDescent="0.3">
      <c r="A505" s="4">
        <v>45961</v>
      </c>
      <c r="B505" s="4">
        <v>45961</v>
      </c>
      <c r="C505" s="7" t="s">
        <v>35</v>
      </c>
      <c r="D505" s="7" t="s">
        <v>36</v>
      </c>
      <c r="E505" s="7" t="s">
        <v>36</v>
      </c>
      <c r="F505" s="7" t="s">
        <v>36</v>
      </c>
      <c r="G505" s="7" t="s">
        <v>37</v>
      </c>
      <c r="K505" s="7" t="s">
        <v>38</v>
      </c>
      <c r="L505" s="7" t="s">
        <v>39</v>
      </c>
      <c r="M505" s="7" t="s">
        <v>40</v>
      </c>
      <c r="N505" s="7" t="s">
        <v>41</v>
      </c>
      <c r="R505" s="7" t="s">
        <v>45</v>
      </c>
      <c r="S505" s="8">
        <v>571172.89</v>
      </c>
      <c r="U505" s="8">
        <v>571172.89</v>
      </c>
      <c r="V505" s="7" t="s">
        <v>56</v>
      </c>
      <c r="W505" s="7" t="s">
        <v>2620</v>
      </c>
      <c r="X505" s="7" t="s">
        <v>2618</v>
      </c>
      <c r="Y505" s="7" t="s">
        <v>1691</v>
      </c>
      <c r="AA505" s="7" t="s">
        <v>2617</v>
      </c>
      <c r="AB505" s="7">
        <v>11</v>
      </c>
      <c r="AC505" s="7" t="s">
        <v>53</v>
      </c>
      <c r="AD505" s="7" t="s">
        <v>971</v>
      </c>
      <c r="AF505" s="7" t="s">
        <v>44</v>
      </c>
      <c r="AH505" s="4">
        <v>45961.999988425923</v>
      </c>
    </row>
    <row r="506" spans="1:34" x14ac:dyDescent="0.3">
      <c r="A506" s="4">
        <v>45961</v>
      </c>
      <c r="B506" s="4">
        <v>45961</v>
      </c>
      <c r="C506" s="7" t="s">
        <v>35</v>
      </c>
      <c r="D506" s="7" t="s">
        <v>36</v>
      </c>
      <c r="E506" s="7" t="s">
        <v>36</v>
      </c>
      <c r="F506" s="7" t="s">
        <v>36</v>
      </c>
      <c r="G506" s="7" t="s">
        <v>37</v>
      </c>
      <c r="K506" s="7" t="s">
        <v>38</v>
      </c>
      <c r="L506" s="7" t="s">
        <v>39</v>
      </c>
      <c r="M506" s="7" t="s">
        <v>40</v>
      </c>
      <c r="N506" s="7" t="s">
        <v>41</v>
      </c>
      <c r="R506" s="7" t="s">
        <v>54</v>
      </c>
      <c r="T506" s="8">
        <v>571172.89</v>
      </c>
      <c r="U506" s="8">
        <v>-571172.89</v>
      </c>
      <c r="V506" s="7" t="s">
        <v>56</v>
      </c>
      <c r="W506" s="7" t="s">
        <v>2620</v>
      </c>
      <c r="X506" s="7" t="s">
        <v>2618</v>
      </c>
      <c r="Y506" s="7" t="s">
        <v>1691</v>
      </c>
      <c r="AA506" s="7" t="s">
        <v>2617</v>
      </c>
      <c r="AB506" s="7">
        <v>11</v>
      </c>
      <c r="AC506" s="7" t="s">
        <v>53</v>
      </c>
      <c r="AD506" s="7" t="s">
        <v>973</v>
      </c>
      <c r="AF506" s="7" t="s">
        <v>44</v>
      </c>
      <c r="AH506" s="4">
        <v>45961.999988425923</v>
      </c>
    </row>
    <row r="507" spans="1:34" x14ac:dyDescent="0.3">
      <c r="A507" s="4">
        <v>45962</v>
      </c>
      <c r="B507" s="4">
        <v>45962</v>
      </c>
      <c r="C507" s="7" t="s">
        <v>35</v>
      </c>
      <c r="D507" s="7" t="s">
        <v>36</v>
      </c>
      <c r="E507" s="7" t="s">
        <v>36</v>
      </c>
      <c r="F507" s="7" t="s">
        <v>36</v>
      </c>
      <c r="G507" s="7" t="s">
        <v>37</v>
      </c>
      <c r="K507" s="7" t="s">
        <v>38</v>
      </c>
      <c r="L507" s="7" t="s">
        <v>39</v>
      </c>
      <c r="M507" s="7" t="s">
        <v>40</v>
      </c>
      <c r="N507" s="7" t="s">
        <v>41</v>
      </c>
      <c r="R507" s="7" t="s">
        <v>54</v>
      </c>
      <c r="S507" s="8">
        <v>571172.89</v>
      </c>
      <c r="U507" s="8">
        <v>571172.89</v>
      </c>
      <c r="V507" s="7" t="s">
        <v>56</v>
      </c>
      <c r="W507" s="7" t="s">
        <v>2620</v>
      </c>
      <c r="X507" s="7" t="s">
        <v>2618</v>
      </c>
      <c r="Y507" s="7" t="s">
        <v>1691</v>
      </c>
      <c r="AA507" s="7" t="s">
        <v>2617</v>
      </c>
      <c r="AB507" s="7">
        <v>11</v>
      </c>
      <c r="AC507" s="7" t="s">
        <v>55</v>
      </c>
      <c r="AD507" s="7" t="s">
        <v>974</v>
      </c>
      <c r="AF507" s="7" t="s">
        <v>44</v>
      </c>
      <c r="AH507" s="4">
        <v>45991.999988425923</v>
      </c>
    </row>
    <row r="508" spans="1:34" x14ac:dyDescent="0.3">
      <c r="A508" s="4">
        <v>45962</v>
      </c>
      <c r="B508" s="4">
        <v>45962</v>
      </c>
      <c r="C508" s="7" t="s">
        <v>35</v>
      </c>
      <c r="D508" s="7" t="s">
        <v>36</v>
      </c>
      <c r="E508" s="7" t="s">
        <v>36</v>
      </c>
      <c r="F508" s="7" t="s">
        <v>36</v>
      </c>
      <c r="G508" s="7" t="s">
        <v>37</v>
      </c>
      <c r="K508" s="7" t="s">
        <v>38</v>
      </c>
      <c r="L508" s="7" t="s">
        <v>39</v>
      </c>
      <c r="M508" s="7" t="s">
        <v>40</v>
      </c>
      <c r="N508" s="7" t="s">
        <v>41</v>
      </c>
      <c r="R508" s="7" t="s">
        <v>45</v>
      </c>
      <c r="T508" s="8">
        <v>571172.89</v>
      </c>
      <c r="U508" s="8">
        <v>-571172.89</v>
      </c>
      <c r="V508" s="7" t="s">
        <v>56</v>
      </c>
      <c r="W508" s="7" t="s">
        <v>2620</v>
      </c>
      <c r="X508" s="7" t="s">
        <v>2618</v>
      </c>
      <c r="Y508" s="7" t="s">
        <v>1691</v>
      </c>
      <c r="AA508" s="7" t="s">
        <v>2617</v>
      </c>
      <c r="AB508" s="7">
        <v>11</v>
      </c>
      <c r="AC508" s="7" t="s">
        <v>55</v>
      </c>
      <c r="AD508" s="7" t="s">
        <v>976</v>
      </c>
      <c r="AF508" s="7" t="s">
        <v>44</v>
      </c>
      <c r="AH508" s="4">
        <v>45991.999988425923</v>
      </c>
    </row>
    <row r="509" spans="1:34" x14ac:dyDescent="0.3">
      <c r="A509" s="4">
        <v>45962</v>
      </c>
      <c r="B509" s="4">
        <v>45991</v>
      </c>
      <c r="C509" s="7" t="s">
        <v>46</v>
      </c>
      <c r="D509" s="7" t="s">
        <v>36</v>
      </c>
      <c r="E509" s="7" t="s">
        <v>36</v>
      </c>
      <c r="F509" s="7" t="s">
        <v>36</v>
      </c>
      <c r="G509" s="7" t="s">
        <v>37</v>
      </c>
      <c r="K509" s="7" t="s">
        <v>38</v>
      </c>
      <c r="L509" s="7" t="s">
        <v>39</v>
      </c>
      <c r="M509" s="7" t="s">
        <v>38</v>
      </c>
      <c r="N509" s="7" t="s">
        <v>41</v>
      </c>
      <c r="R509" s="7" t="s">
        <v>49</v>
      </c>
      <c r="S509" s="8">
        <v>3910.1104220000002</v>
      </c>
      <c r="U509" s="8">
        <v>3910.1104220000002</v>
      </c>
      <c r="V509" s="7" t="s">
        <v>56</v>
      </c>
      <c r="W509" s="7" t="s">
        <v>57</v>
      </c>
      <c r="X509" s="7" t="s">
        <v>2618</v>
      </c>
      <c r="Y509" s="7" t="s">
        <v>1691</v>
      </c>
      <c r="AA509" s="7" t="s">
        <v>2617</v>
      </c>
      <c r="AB509" s="7">
        <v>12</v>
      </c>
      <c r="AC509" s="7" t="s">
        <v>57</v>
      </c>
      <c r="AD509" s="7" t="s">
        <v>977</v>
      </c>
      <c r="AF509" s="7" t="s">
        <v>44</v>
      </c>
      <c r="AH509" s="4">
        <v>45991.999988425923</v>
      </c>
    </row>
    <row r="510" spans="1:34" x14ac:dyDescent="0.3">
      <c r="A510" s="4">
        <v>45962</v>
      </c>
      <c r="B510" s="4">
        <v>45991</v>
      </c>
      <c r="C510" s="7" t="s">
        <v>46</v>
      </c>
      <c r="D510" s="7" t="s">
        <v>36</v>
      </c>
      <c r="E510" s="7" t="s">
        <v>36</v>
      </c>
      <c r="F510" s="7" t="s">
        <v>36</v>
      </c>
      <c r="G510" s="7" t="s">
        <v>37</v>
      </c>
      <c r="K510" s="7" t="s">
        <v>38</v>
      </c>
      <c r="L510" s="7" t="s">
        <v>39</v>
      </c>
      <c r="M510" s="7" t="s">
        <v>40</v>
      </c>
      <c r="N510" s="7" t="s">
        <v>41</v>
      </c>
      <c r="R510" s="7" t="s">
        <v>45</v>
      </c>
      <c r="S510" s="8">
        <v>46089.889578000002</v>
      </c>
      <c r="U510" s="8">
        <v>46089.889578000002</v>
      </c>
      <c r="V510" s="7" t="s">
        <v>56</v>
      </c>
      <c r="W510" s="7" t="s">
        <v>57</v>
      </c>
      <c r="X510" s="7" t="s">
        <v>2618</v>
      </c>
      <c r="Y510" s="7" t="s">
        <v>1691</v>
      </c>
      <c r="AA510" s="7" t="s">
        <v>2617</v>
      </c>
      <c r="AB510" s="7">
        <v>12</v>
      </c>
      <c r="AC510" s="7" t="s">
        <v>57</v>
      </c>
      <c r="AD510" s="7" t="s">
        <v>979</v>
      </c>
      <c r="AF510" s="7" t="s">
        <v>44</v>
      </c>
      <c r="AH510" s="4">
        <v>45991.999988425923</v>
      </c>
    </row>
    <row r="511" spans="1:34" x14ac:dyDescent="0.3">
      <c r="A511" s="4">
        <v>45962</v>
      </c>
      <c r="B511" s="4">
        <v>45991</v>
      </c>
      <c r="C511" s="7" t="s">
        <v>46</v>
      </c>
      <c r="D511" s="7" t="s">
        <v>36</v>
      </c>
      <c r="E511" s="7" t="s">
        <v>36</v>
      </c>
      <c r="F511" s="7" t="s">
        <v>36</v>
      </c>
      <c r="G511" s="7" t="s">
        <v>37</v>
      </c>
      <c r="K511" s="7" t="s">
        <v>38</v>
      </c>
      <c r="L511" s="7" t="s">
        <v>39</v>
      </c>
      <c r="M511" s="7" t="s">
        <v>40</v>
      </c>
      <c r="N511" s="7" t="s">
        <v>41</v>
      </c>
      <c r="R511" s="7" t="s">
        <v>58</v>
      </c>
      <c r="T511" s="8">
        <v>50000</v>
      </c>
      <c r="U511" s="8">
        <v>-50000</v>
      </c>
      <c r="V511" s="7" t="s">
        <v>56</v>
      </c>
      <c r="W511" s="7" t="s">
        <v>57</v>
      </c>
      <c r="X511" s="7" t="s">
        <v>2618</v>
      </c>
      <c r="Y511" s="7" t="s">
        <v>1691</v>
      </c>
      <c r="AA511" s="7" t="s">
        <v>2617</v>
      </c>
      <c r="AB511" s="7">
        <v>12</v>
      </c>
      <c r="AC511" s="7" t="s">
        <v>57</v>
      </c>
      <c r="AD511" s="7" t="s">
        <v>980</v>
      </c>
      <c r="AF511" s="7" t="s">
        <v>44</v>
      </c>
      <c r="AH511" s="4">
        <v>45991.999988425923</v>
      </c>
    </row>
    <row r="512" spans="1:34" x14ac:dyDescent="0.3">
      <c r="A512" s="4">
        <v>45991</v>
      </c>
      <c r="B512" s="4">
        <v>45991</v>
      </c>
      <c r="C512" s="7" t="s">
        <v>46</v>
      </c>
      <c r="D512" s="7" t="s">
        <v>36</v>
      </c>
      <c r="E512" s="7" t="s">
        <v>36</v>
      </c>
      <c r="F512" s="7" t="s">
        <v>36</v>
      </c>
      <c r="G512" s="7" t="s">
        <v>37</v>
      </c>
      <c r="K512" s="7" t="s">
        <v>38</v>
      </c>
      <c r="L512" s="7" t="s">
        <v>39</v>
      </c>
      <c r="M512" s="7" t="s">
        <v>40</v>
      </c>
      <c r="N512" s="7" t="s">
        <v>41</v>
      </c>
      <c r="R512" s="7" t="s">
        <v>47</v>
      </c>
      <c r="S512" s="8">
        <v>3641.2527329999998</v>
      </c>
      <c r="U512" s="8">
        <v>3641.2527329999998</v>
      </c>
      <c r="V512" s="7" t="s">
        <v>56</v>
      </c>
      <c r="W512" s="7" t="s">
        <v>2621</v>
      </c>
      <c r="X512" s="7" t="s">
        <v>2618</v>
      </c>
      <c r="Y512" s="7" t="s">
        <v>1691</v>
      </c>
      <c r="AA512" s="7" t="s">
        <v>2617</v>
      </c>
      <c r="AB512" s="7">
        <v>8</v>
      </c>
      <c r="AC512" s="7" t="s">
        <v>48</v>
      </c>
      <c r="AD512" s="7" t="s">
        <v>981</v>
      </c>
      <c r="AF512" s="7" t="s">
        <v>44</v>
      </c>
      <c r="AH512" s="4">
        <v>45991.999988425923</v>
      </c>
    </row>
    <row r="513" spans="1:34" x14ac:dyDescent="0.3">
      <c r="A513" s="4">
        <v>45991</v>
      </c>
      <c r="B513" s="4">
        <v>45991</v>
      </c>
      <c r="C513" s="7" t="s">
        <v>46</v>
      </c>
      <c r="D513" s="7" t="s">
        <v>36</v>
      </c>
      <c r="E513" s="7" t="s">
        <v>36</v>
      </c>
      <c r="F513" s="7" t="s">
        <v>36</v>
      </c>
      <c r="G513" s="7" t="s">
        <v>37</v>
      </c>
      <c r="K513" s="7" t="s">
        <v>38</v>
      </c>
      <c r="L513" s="7" t="s">
        <v>39</v>
      </c>
      <c r="M513" s="7" t="s">
        <v>38</v>
      </c>
      <c r="N513" s="7" t="s">
        <v>41</v>
      </c>
      <c r="R513" s="7" t="s">
        <v>49</v>
      </c>
      <c r="T513" s="8">
        <v>3641.2527329999998</v>
      </c>
      <c r="U513" s="8">
        <v>-3641.2527329999998</v>
      </c>
      <c r="V513" s="7" t="s">
        <v>56</v>
      </c>
      <c r="W513" s="7" t="s">
        <v>2621</v>
      </c>
      <c r="X513" s="7" t="s">
        <v>2618</v>
      </c>
      <c r="Y513" s="7" t="s">
        <v>1691</v>
      </c>
      <c r="AA513" s="7" t="s">
        <v>2617</v>
      </c>
      <c r="AB513" s="7">
        <v>8</v>
      </c>
      <c r="AC513" s="7" t="s">
        <v>48</v>
      </c>
      <c r="AD513" s="7" t="s">
        <v>983</v>
      </c>
      <c r="AF513" s="7" t="s">
        <v>44</v>
      </c>
      <c r="AH513" s="4">
        <v>45991.999988425923</v>
      </c>
    </row>
    <row r="514" spans="1:34" x14ac:dyDescent="0.3">
      <c r="A514" s="4">
        <v>45991</v>
      </c>
      <c r="B514" s="4">
        <v>44562</v>
      </c>
      <c r="C514" s="7" t="s">
        <v>35</v>
      </c>
      <c r="D514" s="7" t="s">
        <v>36</v>
      </c>
      <c r="E514" s="7" t="s">
        <v>36</v>
      </c>
      <c r="F514" s="7" t="s">
        <v>36</v>
      </c>
      <c r="G514" s="7" t="s">
        <v>37</v>
      </c>
      <c r="K514" s="7" t="s">
        <v>38</v>
      </c>
      <c r="L514" s="7" t="s">
        <v>39</v>
      </c>
      <c r="M514" s="7" t="s">
        <v>40</v>
      </c>
      <c r="N514" s="7" t="s">
        <v>41</v>
      </c>
      <c r="R514" s="7" t="s">
        <v>50</v>
      </c>
      <c r="S514" s="8">
        <v>42330.49</v>
      </c>
      <c r="U514" s="8">
        <v>42330.49</v>
      </c>
      <c r="V514" s="7" t="s">
        <v>56</v>
      </c>
      <c r="W514" s="7" t="s">
        <v>2619</v>
      </c>
      <c r="X514" s="7" t="s">
        <v>2618</v>
      </c>
      <c r="Y514" s="7" t="s">
        <v>1691</v>
      </c>
      <c r="AA514" s="7" t="s">
        <v>2617</v>
      </c>
      <c r="AB514" s="7">
        <v>10</v>
      </c>
      <c r="AC514" s="7" t="s">
        <v>51</v>
      </c>
      <c r="AD514" s="7" t="s">
        <v>984</v>
      </c>
      <c r="AF514" s="7" t="s">
        <v>44</v>
      </c>
      <c r="AH514" s="4">
        <v>45991.999988425923</v>
      </c>
    </row>
    <row r="515" spans="1:34" x14ac:dyDescent="0.3">
      <c r="A515" s="4">
        <v>45991</v>
      </c>
      <c r="B515" s="4">
        <v>44562</v>
      </c>
      <c r="C515" s="7" t="s">
        <v>35</v>
      </c>
      <c r="D515" s="7" t="s">
        <v>36</v>
      </c>
      <c r="E515" s="7" t="s">
        <v>36</v>
      </c>
      <c r="F515" s="7" t="s">
        <v>36</v>
      </c>
      <c r="G515" s="7" t="s">
        <v>37</v>
      </c>
      <c r="K515" s="7" t="s">
        <v>38</v>
      </c>
      <c r="L515" s="7" t="s">
        <v>39</v>
      </c>
      <c r="M515" s="7" t="s">
        <v>40</v>
      </c>
      <c r="N515" s="7" t="s">
        <v>41</v>
      </c>
      <c r="R515" s="7" t="s">
        <v>52</v>
      </c>
      <c r="T515" s="8">
        <v>42330.49</v>
      </c>
      <c r="U515" s="8">
        <v>-42330.49</v>
      </c>
      <c r="V515" s="7" t="s">
        <v>56</v>
      </c>
      <c r="W515" s="7" t="s">
        <v>2619</v>
      </c>
      <c r="X515" s="7" t="s">
        <v>2618</v>
      </c>
      <c r="Y515" s="7" t="s">
        <v>1691</v>
      </c>
      <c r="AA515" s="7" t="s">
        <v>2617</v>
      </c>
      <c r="AB515" s="7">
        <v>10</v>
      </c>
      <c r="AC515" s="7" t="s">
        <v>51</v>
      </c>
      <c r="AD515" s="7" t="s">
        <v>986</v>
      </c>
      <c r="AF515" s="7" t="s">
        <v>44</v>
      </c>
      <c r="AH515" s="4">
        <v>45991.999988425923</v>
      </c>
    </row>
    <row r="516" spans="1:34" x14ac:dyDescent="0.3">
      <c r="A516" s="4">
        <v>45991</v>
      </c>
      <c r="B516" s="4">
        <v>45991</v>
      </c>
      <c r="C516" s="7" t="s">
        <v>35</v>
      </c>
      <c r="D516" s="7" t="s">
        <v>36</v>
      </c>
      <c r="E516" s="7" t="s">
        <v>36</v>
      </c>
      <c r="F516" s="7" t="s">
        <v>36</v>
      </c>
      <c r="G516" s="7" t="s">
        <v>37</v>
      </c>
      <c r="K516" s="7" t="s">
        <v>38</v>
      </c>
      <c r="L516" s="7" t="s">
        <v>39</v>
      </c>
      <c r="M516" s="7" t="s">
        <v>40</v>
      </c>
      <c r="N516" s="7" t="s">
        <v>41</v>
      </c>
      <c r="R516" s="7" t="s">
        <v>45</v>
      </c>
      <c r="S516" s="8">
        <v>574504.73</v>
      </c>
      <c r="U516" s="8">
        <v>574504.73</v>
      </c>
      <c r="V516" s="7" t="s">
        <v>56</v>
      </c>
      <c r="W516" s="7" t="s">
        <v>2620</v>
      </c>
      <c r="X516" s="7" t="s">
        <v>2618</v>
      </c>
      <c r="Y516" s="7" t="s">
        <v>1691</v>
      </c>
      <c r="AA516" s="7" t="s">
        <v>2617</v>
      </c>
      <c r="AB516" s="7">
        <v>11</v>
      </c>
      <c r="AC516" s="7" t="s">
        <v>53</v>
      </c>
      <c r="AD516" s="7" t="s">
        <v>987</v>
      </c>
      <c r="AF516" s="7" t="s">
        <v>44</v>
      </c>
      <c r="AH516" s="4">
        <v>45991.999988425923</v>
      </c>
    </row>
    <row r="517" spans="1:34" x14ac:dyDescent="0.3">
      <c r="A517" s="4">
        <v>45991</v>
      </c>
      <c r="B517" s="4">
        <v>45991</v>
      </c>
      <c r="C517" s="7" t="s">
        <v>35</v>
      </c>
      <c r="D517" s="7" t="s">
        <v>36</v>
      </c>
      <c r="E517" s="7" t="s">
        <v>36</v>
      </c>
      <c r="F517" s="7" t="s">
        <v>36</v>
      </c>
      <c r="G517" s="7" t="s">
        <v>37</v>
      </c>
      <c r="K517" s="7" t="s">
        <v>38</v>
      </c>
      <c r="L517" s="7" t="s">
        <v>39</v>
      </c>
      <c r="M517" s="7" t="s">
        <v>40</v>
      </c>
      <c r="N517" s="7" t="s">
        <v>41</v>
      </c>
      <c r="R517" s="7" t="s">
        <v>54</v>
      </c>
      <c r="T517" s="8">
        <v>574504.73</v>
      </c>
      <c r="U517" s="8">
        <v>-574504.73</v>
      </c>
      <c r="V517" s="7" t="s">
        <v>56</v>
      </c>
      <c r="W517" s="7" t="s">
        <v>2620</v>
      </c>
      <c r="X517" s="7" t="s">
        <v>2618</v>
      </c>
      <c r="Y517" s="7" t="s">
        <v>1691</v>
      </c>
      <c r="AA517" s="7" t="s">
        <v>2617</v>
      </c>
      <c r="AB517" s="7">
        <v>11</v>
      </c>
      <c r="AC517" s="7" t="s">
        <v>53</v>
      </c>
      <c r="AD517" s="7" t="s">
        <v>989</v>
      </c>
      <c r="AF517" s="7" t="s">
        <v>44</v>
      </c>
      <c r="AH517" s="4">
        <v>45991.999988425923</v>
      </c>
    </row>
    <row r="518" spans="1:34" x14ac:dyDescent="0.3">
      <c r="A518" s="4">
        <v>45992</v>
      </c>
      <c r="B518" s="4">
        <v>45992</v>
      </c>
      <c r="C518" s="7" t="s">
        <v>35</v>
      </c>
      <c r="D518" s="7" t="s">
        <v>36</v>
      </c>
      <c r="E518" s="7" t="s">
        <v>36</v>
      </c>
      <c r="F518" s="7" t="s">
        <v>36</v>
      </c>
      <c r="G518" s="7" t="s">
        <v>37</v>
      </c>
      <c r="K518" s="7" t="s">
        <v>38</v>
      </c>
      <c r="L518" s="7" t="s">
        <v>39</v>
      </c>
      <c r="M518" s="7" t="s">
        <v>40</v>
      </c>
      <c r="N518" s="7" t="s">
        <v>41</v>
      </c>
      <c r="R518" s="7" t="s">
        <v>54</v>
      </c>
      <c r="S518" s="8">
        <v>574504.73</v>
      </c>
      <c r="U518" s="8">
        <v>574504.73</v>
      </c>
      <c r="V518" s="7" t="s">
        <v>56</v>
      </c>
      <c r="W518" s="7" t="s">
        <v>2620</v>
      </c>
      <c r="X518" s="7" t="s">
        <v>2618</v>
      </c>
      <c r="Y518" s="7" t="s">
        <v>1691</v>
      </c>
      <c r="AA518" s="7" t="s">
        <v>2617</v>
      </c>
      <c r="AB518" s="7">
        <v>11</v>
      </c>
      <c r="AC518" s="7" t="s">
        <v>55</v>
      </c>
      <c r="AD518" s="7" t="s">
        <v>990</v>
      </c>
      <c r="AF518" s="7" t="s">
        <v>44</v>
      </c>
      <c r="AH518" s="4">
        <v>46022.999988425923</v>
      </c>
    </row>
    <row r="519" spans="1:34" x14ac:dyDescent="0.3">
      <c r="A519" s="4">
        <v>45992</v>
      </c>
      <c r="B519" s="4">
        <v>45992</v>
      </c>
      <c r="C519" s="7" t="s">
        <v>35</v>
      </c>
      <c r="D519" s="7" t="s">
        <v>36</v>
      </c>
      <c r="E519" s="7" t="s">
        <v>36</v>
      </c>
      <c r="F519" s="7" t="s">
        <v>36</v>
      </c>
      <c r="G519" s="7" t="s">
        <v>37</v>
      </c>
      <c r="K519" s="7" t="s">
        <v>38</v>
      </c>
      <c r="L519" s="7" t="s">
        <v>39</v>
      </c>
      <c r="M519" s="7" t="s">
        <v>40</v>
      </c>
      <c r="N519" s="7" t="s">
        <v>41</v>
      </c>
      <c r="R519" s="7" t="s">
        <v>45</v>
      </c>
      <c r="T519" s="8">
        <v>574504.73</v>
      </c>
      <c r="U519" s="8">
        <v>-574504.73</v>
      </c>
      <c r="V519" s="7" t="s">
        <v>56</v>
      </c>
      <c r="W519" s="7" t="s">
        <v>2620</v>
      </c>
      <c r="X519" s="7" t="s">
        <v>2618</v>
      </c>
      <c r="Y519" s="7" t="s">
        <v>1691</v>
      </c>
      <c r="AA519" s="7" t="s">
        <v>2617</v>
      </c>
      <c r="AB519" s="7">
        <v>11</v>
      </c>
      <c r="AC519" s="7" t="s">
        <v>55</v>
      </c>
      <c r="AD519" s="7" t="s">
        <v>992</v>
      </c>
      <c r="AF519" s="7" t="s">
        <v>44</v>
      </c>
      <c r="AH519" s="4">
        <v>46022.999988425923</v>
      </c>
    </row>
    <row r="520" spans="1:34" x14ac:dyDescent="0.3">
      <c r="A520" s="4">
        <v>45992</v>
      </c>
      <c r="B520" s="4">
        <v>46022</v>
      </c>
      <c r="C520" s="7" t="s">
        <v>46</v>
      </c>
      <c r="D520" s="7" t="s">
        <v>36</v>
      </c>
      <c r="E520" s="7" t="s">
        <v>36</v>
      </c>
      <c r="F520" s="7" t="s">
        <v>36</v>
      </c>
      <c r="G520" s="7" t="s">
        <v>37</v>
      </c>
      <c r="K520" s="7" t="s">
        <v>38</v>
      </c>
      <c r="L520" s="7" t="s">
        <v>39</v>
      </c>
      <c r="M520" s="7" t="s">
        <v>38</v>
      </c>
      <c r="N520" s="7" t="s">
        <v>41</v>
      </c>
      <c r="R520" s="7" t="s">
        <v>49</v>
      </c>
      <c r="S520" s="8">
        <v>3641.2527329999998</v>
      </c>
      <c r="U520" s="8">
        <v>3641.2527329999998</v>
      </c>
      <c r="V520" s="7" t="s">
        <v>56</v>
      </c>
      <c r="W520" s="7" t="s">
        <v>57</v>
      </c>
      <c r="X520" s="7" t="s">
        <v>2618</v>
      </c>
      <c r="Y520" s="7" t="s">
        <v>1691</v>
      </c>
      <c r="AA520" s="7" t="s">
        <v>2617</v>
      </c>
      <c r="AB520" s="7">
        <v>12</v>
      </c>
      <c r="AC520" s="7" t="s">
        <v>57</v>
      </c>
      <c r="AD520" s="7" t="s">
        <v>993</v>
      </c>
      <c r="AF520" s="7" t="s">
        <v>44</v>
      </c>
      <c r="AH520" s="4">
        <v>46022.999988425923</v>
      </c>
    </row>
    <row r="521" spans="1:34" x14ac:dyDescent="0.3">
      <c r="A521" s="4">
        <v>45992</v>
      </c>
      <c r="B521" s="4">
        <v>46022</v>
      </c>
      <c r="C521" s="7" t="s">
        <v>46</v>
      </c>
      <c r="D521" s="7" t="s">
        <v>36</v>
      </c>
      <c r="E521" s="7" t="s">
        <v>36</v>
      </c>
      <c r="F521" s="7" t="s">
        <v>36</v>
      </c>
      <c r="G521" s="7" t="s">
        <v>37</v>
      </c>
      <c r="K521" s="7" t="s">
        <v>38</v>
      </c>
      <c r="L521" s="7" t="s">
        <v>39</v>
      </c>
      <c r="M521" s="7" t="s">
        <v>40</v>
      </c>
      <c r="N521" s="7" t="s">
        <v>41</v>
      </c>
      <c r="R521" s="7" t="s">
        <v>45</v>
      </c>
      <c r="S521" s="8">
        <v>46358.747266999999</v>
      </c>
      <c r="U521" s="8">
        <v>46358.747266999999</v>
      </c>
      <c r="V521" s="7" t="s">
        <v>56</v>
      </c>
      <c r="W521" s="7" t="s">
        <v>57</v>
      </c>
      <c r="X521" s="7" t="s">
        <v>2618</v>
      </c>
      <c r="Y521" s="7" t="s">
        <v>1691</v>
      </c>
      <c r="AA521" s="7" t="s">
        <v>2617</v>
      </c>
      <c r="AB521" s="7">
        <v>12</v>
      </c>
      <c r="AC521" s="7" t="s">
        <v>57</v>
      </c>
      <c r="AD521" s="7" t="s">
        <v>995</v>
      </c>
      <c r="AF521" s="7" t="s">
        <v>44</v>
      </c>
      <c r="AH521" s="4">
        <v>46022.999988425923</v>
      </c>
    </row>
    <row r="522" spans="1:34" x14ac:dyDescent="0.3">
      <c r="A522" s="4">
        <v>45992</v>
      </c>
      <c r="B522" s="4">
        <v>46022</v>
      </c>
      <c r="C522" s="7" t="s">
        <v>46</v>
      </c>
      <c r="D522" s="7" t="s">
        <v>36</v>
      </c>
      <c r="E522" s="7" t="s">
        <v>36</v>
      </c>
      <c r="F522" s="7" t="s">
        <v>36</v>
      </c>
      <c r="G522" s="7" t="s">
        <v>37</v>
      </c>
      <c r="K522" s="7" t="s">
        <v>38</v>
      </c>
      <c r="L522" s="7" t="s">
        <v>39</v>
      </c>
      <c r="M522" s="7" t="s">
        <v>40</v>
      </c>
      <c r="N522" s="7" t="s">
        <v>41</v>
      </c>
      <c r="R522" s="7" t="s">
        <v>58</v>
      </c>
      <c r="T522" s="8">
        <v>50000</v>
      </c>
      <c r="U522" s="8">
        <v>-50000</v>
      </c>
      <c r="V522" s="7" t="s">
        <v>56</v>
      </c>
      <c r="W522" s="7" t="s">
        <v>57</v>
      </c>
      <c r="X522" s="7" t="s">
        <v>2618</v>
      </c>
      <c r="Y522" s="7" t="s">
        <v>1691</v>
      </c>
      <c r="AA522" s="7" t="s">
        <v>2617</v>
      </c>
      <c r="AB522" s="7">
        <v>12</v>
      </c>
      <c r="AC522" s="7" t="s">
        <v>57</v>
      </c>
      <c r="AD522" s="7" t="s">
        <v>996</v>
      </c>
      <c r="AF522" s="7" t="s">
        <v>44</v>
      </c>
      <c r="AH522" s="4">
        <v>46022.999988425923</v>
      </c>
    </row>
    <row r="523" spans="1:34" x14ac:dyDescent="0.3">
      <c r="A523" s="4">
        <v>46022</v>
      </c>
      <c r="B523" s="4">
        <v>46022</v>
      </c>
      <c r="C523" s="7" t="s">
        <v>46</v>
      </c>
      <c r="D523" s="7" t="s">
        <v>36</v>
      </c>
      <c r="E523" s="7" t="s">
        <v>36</v>
      </c>
      <c r="F523" s="7" t="s">
        <v>36</v>
      </c>
      <c r="G523" s="7" t="s">
        <v>37</v>
      </c>
      <c r="K523" s="7" t="s">
        <v>38</v>
      </c>
      <c r="L523" s="7" t="s">
        <v>39</v>
      </c>
      <c r="M523" s="7" t="s">
        <v>40</v>
      </c>
      <c r="N523" s="7" t="s">
        <v>41</v>
      </c>
      <c r="R523" s="7" t="s">
        <v>47</v>
      </c>
      <c r="S523" s="8">
        <v>3370.8267080000001</v>
      </c>
      <c r="U523" s="8">
        <v>3370.8267080000001</v>
      </c>
      <c r="V523" s="7" t="s">
        <v>56</v>
      </c>
      <c r="W523" s="7" t="s">
        <v>2621</v>
      </c>
      <c r="X523" s="7" t="s">
        <v>2618</v>
      </c>
      <c r="Y523" s="7" t="s">
        <v>1691</v>
      </c>
      <c r="AA523" s="7" t="s">
        <v>2617</v>
      </c>
      <c r="AB523" s="7">
        <v>8</v>
      </c>
      <c r="AC523" s="7" t="s">
        <v>48</v>
      </c>
      <c r="AD523" s="7" t="s">
        <v>997</v>
      </c>
      <c r="AF523" s="7" t="s">
        <v>44</v>
      </c>
      <c r="AH523" s="4">
        <v>46022.999988425923</v>
      </c>
    </row>
    <row r="524" spans="1:34" x14ac:dyDescent="0.3">
      <c r="A524" s="4">
        <v>46022</v>
      </c>
      <c r="B524" s="4">
        <v>46022</v>
      </c>
      <c r="C524" s="7" t="s">
        <v>46</v>
      </c>
      <c r="D524" s="7" t="s">
        <v>36</v>
      </c>
      <c r="E524" s="7" t="s">
        <v>36</v>
      </c>
      <c r="F524" s="7" t="s">
        <v>36</v>
      </c>
      <c r="G524" s="7" t="s">
        <v>37</v>
      </c>
      <c r="K524" s="7" t="s">
        <v>38</v>
      </c>
      <c r="L524" s="7" t="s">
        <v>39</v>
      </c>
      <c r="M524" s="7" t="s">
        <v>38</v>
      </c>
      <c r="N524" s="7" t="s">
        <v>41</v>
      </c>
      <c r="R524" s="7" t="s">
        <v>49</v>
      </c>
      <c r="T524" s="8">
        <v>3370.8267080000001</v>
      </c>
      <c r="U524" s="8">
        <v>-3370.8267080000001</v>
      </c>
      <c r="V524" s="7" t="s">
        <v>56</v>
      </c>
      <c r="W524" s="7" t="s">
        <v>2621</v>
      </c>
      <c r="X524" s="7" t="s">
        <v>2618</v>
      </c>
      <c r="Y524" s="7" t="s">
        <v>1691</v>
      </c>
      <c r="AA524" s="7" t="s">
        <v>2617</v>
      </c>
      <c r="AB524" s="7">
        <v>8</v>
      </c>
      <c r="AC524" s="7" t="s">
        <v>48</v>
      </c>
      <c r="AD524" s="7" t="s">
        <v>999</v>
      </c>
      <c r="AF524" s="7" t="s">
        <v>44</v>
      </c>
      <c r="AH524" s="4">
        <v>46022.999988425923</v>
      </c>
    </row>
    <row r="525" spans="1:34" x14ac:dyDescent="0.3">
      <c r="A525" s="4">
        <v>46022</v>
      </c>
      <c r="B525" s="4">
        <v>44562</v>
      </c>
      <c r="C525" s="7" t="s">
        <v>35</v>
      </c>
      <c r="D525" s="7" t="s">
        <v>36</v>
      </c>
      <c r="E525" s="7" t="s">
        <v>36</v>
      </c>
      <c r="F525" s="7" t="s">
        <v>36</v>
      </c>
      <c r="G525" s="7" t="s">
        <v>37</v>
      </c>
      <c r="K525" s="7" t="s">
        <v>38</v>
      </c>
      <c r="L525" s="7" t="s">
        <v>39</v>
      </c>
      <c r="M525" s="7" t="s">
        <v>40</v>
      </c>
      <c r="N525" s="7" t="s">
        <v>41</v>
      </c>
      <c r="R525" s="7" t="s">
        <v>50</v>
      </c>
      <c r="S525" s="8">
        <v>42330.49</v>
      </c>
      <c r="U525" s="8">
        <v>42330.49</v>
      </c>
      <c r="V525" s="7" t="s">
        <v>56</v>
      </c>
      <c r="W525" s="7" t="s">
        <v>2619</v>
      </c>
      <c r="X525" s="7" t="s">
        <v>2618</v>
      </c>
      <c r="Y525" s="7" t="s">
        <v>1691</v>
      </c>
      <c r="AA525" s="7" t="s">
        <v>2617</v>
      </c>
      <c r="AB525" s="7">
        <v>10</v>
      </c>
      <c r="AC525" s="7" t="s">
        <v>51</v>
      </c>
      <c r="AD525" s="7" t="s">
        <v>1000</v>
      </c>
      <c r="AF525" s="7" t="s">
        <v>44</v>
      </c>
      <c r="AH525" s="4">
        <v>46022.999988425923</v>
      </c>
    </row>
    <row r="526" spans="1:34" x14ac:dyDescent="0.3">
      <c r="A526" s="4">
        <v>46022</v>
      </c>
      <c r="B526" s="4">
        <v>44562</v>
      </c>
      <c r="C526" s="7" t="s">
        <v>35</v>
      </c>
      <c r="D526" s="7" t="s">
        <v>36</v>
      </c>
      <c r="E526" s="7" t="s">
        <v>36</v>
      </c>
      <c r="F526" s="7" t="s">
        <v>36</v>
      </c>
      <c r="G526" s="7" t="s">
        <v>37</v>
      </c>
      <c r="K526" s="7" t="s">
        <v>38</v>
      </c>
      <c r="L526" s="7" t="s">
        <v>39</v>
      </c>
      <c r="M526" s="7" t="s">
        <v>40</v>
      </c>
      <c r="N526" s="7" t="s">
        <v>41</v>
      </c>
      <c r="R526" s="7" t="s">
        <v>52</v>
      </c>
      <c r="T526" s="8">
        <v>42330.49</v>
      </c>
      <c r="U526" s="8">
        <v>-42330.49</v>
      </c>
      <c r="V526" s="7" t="s">
        <v>56</v>
      </c>
      <c r="W526" s="7" t="s">
        <v>2619</v>
      </c>
      <c r="X526" s="7" t="s">
        <v>2618</v>
      </c>
      <c r="Y526" s="7" t="s">
        <v>1691</v>
      </c>
      <c r="AA526" s="7" t="s">
        <v>2617</v>
      </c>
      <c r="AB526" s="7">
        <v>10</v>
      </c>
      <c r="AC526" s="7" t="s">
        <v>51</v>
      </c>
      <c r="AD526" s="7" t="s">
        <v>1002</v>
      </c>
      <c r="AF526" s="7" t="s">
        <v>44</v>
      </c>
      <c r="AH526" s="4">
        <v>46022.999988425923</v>
      </c>
    </row>
    <row r="527" spans="1:34" x14ac:dyDescent="0.3">
      <c r="A527" s="4">
        <v>46022</v>
      </c>
      <c r="B527" s="4">
        <v>46022</v>
      </c>
      <c r="C527" s="7" t="s">
        <v>35</v>
      </c>
      <c r="D527" s="7" t="s">
        <v>36</v>
      </c>
      <c r="E527" s="7" t="s">
        <v>36</v>
      </c>
      <c r="F527" s="7" t="s">
        <v>36</v>
      </c>
      <c r="G527" s="7" t="s">
        <v>37</v>
      </c>
      <c r="K527" s="7" t="s">
        <v>38</v>
      </c>
      <c r="L527" s="7" t="s">
        <v>39</v>
      </c>
      <c r="M527" s="7" t="s">
        <v>40</v>
      </c>
      <c r="N527" s="7" t="s">
        <v>41</v>
      </c>
      <c r="R527" s="7" t="s">
        <v>45</v>
      </c>
      <c r="S527" s="8">
        <v>577856.01</v>
      </c>
      <c r="U527" s="8">
        <v>577856.01</v>
      </c>
      <c r="V527" s="7" t="s">
        <v>56</v>
      </c>
      <c r="W527" s="7" t="s">
        <v>2620</v>
      </c>
      <c r="X527" s="7" t="s">
        <v>2618</v>
      </c>
      <c r="Y527" s="7" t="s">
        <v>1691</v>
      </c>
      <c r="AA527" s="7" t="s">
        <v>2617</v>
      </c>
      <c r="AB527" s="7">
        <v>11</v>
      </c>
      <c r="AC527" s="7" t="s">
        <v>53</v>
      </c>
      <c r="AD527" s="7" t="s">
        <v>1003</v>
      </c>
      <c r="AF527" s="7" t="s">
        <v>44</v>
      </c>
      <c r="AH527" s="4">
        <v>46022.999988425923</v>
      </c>
    </row>
    <row r="528" spans="1:34" x14ac:dyDescent="0.3">
      <c r="A528" s="4">
        <v>46022</v>
      </c>
      <c r="B528" s="4">
        <v>46022</v>
      </c>
      <c r="C528" s="7" t="s">
        <v>35</v>
      </c>
      <c r="D528" s="7" t="s">
        <v>36</v>
      </c>
      <c r="E528" s="7" t="s">
        <v>36</v>
      </c>
      <c r="F528" s="7" t="s">
        <v>36</v>
      </c>
      <c r="G528" s="7" t="s">
        <v>37</v>
      </c>
      <c r="K528" s="7" t="s">
        <v>38</v>
      </c>
      <c r="L528" s="7" t="s">
        <v>39</v>
      </c>
      <c r="M528" s="7" t="s">
        <v>40</v>
      </c>
      <c r="N528" s="7" t="s">
        <v>41</v>
      </c>
      <c r="R528" s="7" t="s">
        <v>54</v>
      </c>
      <c r="T528" s="8">
        <v>577856.01</v>
      </c>
      <c r="U528" s="8">
        <v>-577856.01</v>
      </c>
      <c r="V528" s="7" t="s">
        <v>56</v>
      </c>
      <c r="W528" s="7" t="s">
        <v>2620</v>
      </c>
      <c r="X528" s="7" t="s">
        <v>2618</v>
      </c>
      <c r="Y528" s="7" t="s">
        <v>1691</v>
      </c>
      <c r="AA528" s="7" t="s">
        <v>2617</v>
      </c>
      <c r="AB528" s="7">
        <v>11</v>
      </c>
      <c r="AC528" s="7" t="s">
        <v>53</v>
      </c>
      <c r="AD528" s="7" t="s">
        <v>1005</v>
      </c>
      <c r="AF528" s="7" t="s">
        <v>44</v>
      </c>
      <c r="AH528" s="4">
        <v>46022.999988425923</v>
      </c>
    </row>
    <row r="529" spans="1:34" x14ac:dyDescent="0.3">
      <c r="A529" s="4">
        <v>46023</v>
      </c>
      <c r="B529" s="4">
        <v>46023</v>
      </c>
      <c r="C529" s="7" t="s">
        <v>35</v>
      </c>
      <c r="D529" s="7" t="s">
        <v>36</v>
      </c>
      <c r="E529" s="7" t="s">
        <v>36</v>
      </c>
      <c r="F529" s="7" t="s">
        <v>36</v>
      </c>
      <c r="G529" s="7" t="s">
        <v>37</v>
      </c>
      <c r="K529" s="7" t="s">
        <v>38</v>
      </c>
      <c r="L529" s="7" t="s">
        <v>39</v>
      </c>
      <c r="M529" s="7" t="s">
        <v>40</v>
      </c>
      <c r="N529" s="7" t="s">
        <v>41</v>
      </c>
      <c r="R529" s="7" t="s">
        <v>54</v>
      </c>
      <c r="S529" s="8">
        <v>577856.01</v>
      </c>
      <c r="U529" s="8">
        <v>577856.01</v>
      </c>
      <c r="V529" s="7" t="s">
        <v>56</v>
      </c>
      <c r="W529" s="7" t="s">
        <v>2620</v>
      </c>
      <c r="X529" s="7" t="s">
        <v>2618</v>
      </c>
      <c r="Y529" s="7" t="s">
        <v>1691</v>
      </c>
      <c r="AA529" s="7" t="s">
        <v>2617</v>
      </c>
      <c r="AB529" s="7">
        <v>11</v>
      </c>
      <c r="AC529" s="7" t="s">
        <v>55</v>
      </c>
      <c r="AD529" s="7" t="s">
        <v>1006</v>
      </c>
      <c r="AF529" s="7" t="s">
        <v>44</v>
      </c>
      <c r="AH529" s="4">
        <v>46053.999988425923</v>
      </c>
    </row>
    <row r="530" spans="1:34" x14ac:dyDescent="0.3">
      <c r="A530" s="4">
        <v>46023</v>
      </c>
      <c r="B530" s="4">
        <v>46023</v>
      </c>
      <c r="C530" s="7" t="s">
        <v>35</v>
      </c>
      <c r="D530" s="7" t="s">
        <v>36</v>
      </c>
      <c r="E530" s="7" t="s">
        <v>36</v>
      </c>
      <c r="F530" s="7" t="s">
        <v>36</v>
      </c>
      <c r="G530" s="7" t="s">
        <v>37</v>
      </c>
      <c r="K530" s="7" t="s">
        <v>38</v>
      </c>
      <c r="L530" s="7" t="s">
        <v>39</v>
      </c>
      <c r="M530" s="7" t="s">
        <v>40</v>
      </c>
      <c r="N530" s="7" t="s">
        <v>41</v>
      </c>
      <c r="R530" s="7" t="s">
        <v>45</v>
      </c>
      <c r="T530" s="8">
        <v>577856.01</v>
      </c>
      <c r="U530" s="8">
        <v>-577856.01</v>
      </c>
      <c r="V530" s="7" t="s">
        <v>56</v>
      </c>
      <c r="W530" s="7" t="s">
        <v>2620</v>
      </c>
      <c r="X530" s="7" t="s">
        <v>2618</v>
      </c>
      <c r="Y530" s="7" t="s">
        <v>1691</v>
      </c>
      <c r="AA530" s="7" t="s">
        <v>2617</v>
      </c>
      <c r="AB530" s="7">
        <v>11</v>
      </c>
      <c r="AC530" s="7" t="s">
        <v>55</v>
      </c>
      <c r="AD530" s="7" t="s">
        <v>1008</v>
      </c>
      <c r="AF530" s="7" t="s">
        <v>44</v>
      </c>
      <c r="AH530" s="4">
        <v>46053.999988425923</v>
      </c>
    </row>
    <row r="531" spans="1:34" x14ac:dyDescent="0.3">
      <c r="A531" s="4">
        <v>46023</v>
      </c>
      <c r="B531" s="4">
        <v>46053</v>
      </c>
      <c r="C531" s="7" t="s">
        <v>46</v>
      </c>
      <c r="D531" s="7" t="s">
        <v>36</v>
      </c>
      <c r="E531" s="7" t="s">
        <v>36</v>
      </c>
      <c r="F531" s="7" t="s">
        <v>36</v>
      </c>
      <c r="G531" s="7" t="s">
        <v>37</v>
      </c>
      <c r="K531" s="7" t="s">
        <v>38</v>
      </c>
      <c r="L531" s="7" t="s">
        <v>39</v>
      </c>
      <c r="M531" s="7" t="s">
        <v>38</v>
      </c>
      <c r="N531" s="7" t="s">
        <v>41</v>
      </c>
      <c r="R531" s="7" t="s">
        <v>49</v>
      </c>
      <c r="S531" s="8">
        <v>3370.8267080000001</v>
      </c>
      <c r="U531" s="8">
        <v>3370.8267080000001</v>
      </c>
      <c r="V531" s="7" t="s">
        <v>56</v>
      </c>
      <c r="W531" s="7" t="s">
        <v>57</v>
      </c>
      <c r="X531" s="7" t="s">
        <v>2618</v>
      </c>
      <c r="Y531" s="7" t="s">
        <v>1691</v>
      </c>
      <c r="AA531" s="7" t="s">
        <v>2617</v>
      </c>
      <c r="AB531" s="7">
        <v>12</v>
      </c>
      <c r="AC531" s="7" t="s">
        <v>57</v>
      </c>
      <c r="AD531" s="7" t="s">
        <v>1009</v>
      </c>
      <c r="AF531" s="7" t="s">
        <v>44</v>
      </c>
      <c r="AH531" s="4">
        <v>46053.999988425923</v>
      </c>
    </row>
    <row r="532" spans="1:34" x14ac:dyDescent="0.3">
      <c r="A532" s="4">
        <v>46023</v>
      </c>
      <c r="B532" s="4">
        <v>46053</v>
      </c>
      <c r="C532" s="7" t="s">
        <v>46</v>
      </c>
      <c r="D532" s="7" t="s">
        <v>36</v>
      </c>
      <c r="E532" s="7" t="s">
        <v>36</v>
      </c>
      <c r="F532" s="7" t="s">
        <v>36</v>
      </c>
      <c r="G532" s="7" t="s">
        <v>37</v>
      </c>
      <c r="K532" s="7" t="s">
        <v>38</v>
      </c>
      <c r="L532" s="7" t="s">
        <v>39</v>
      </c>
      <c r="M532" s="7" t="s">
        <v>40</v>
      </c>
      <c r="N532" s="7" t="s">
        <v>41</v>
      </c>
      <c r="R532" s="7" t="s">
        <v>45</v>
      </c>
      <c r="S532" s="8">
        <v>46629.173291999999</v>
      </c>
      <c r="U532" s="8">
        <v>46629.173291999999</v>
      </c>
      <c r="V532" s="7" t="s">
        <v>56</v>
      </c>
      <c r="W532" s="7" t="s">
        <v>57</v>
      </c>
      <c r="X532" s="7" t="s">
        <v>2618</v>
      </c>
      <c r="Y532" s="7" t="s">
        <v>1691</v>
      </c>
      <c r="AA532" s="7" t="s">
        <v>2617</v>
      </c>
      <c r="AB532" s="7">
        <v>12</v>
      </c>
      <c r="AC532" s="7" t="s">
        <v>57</v>
      </c>
      <c r="AD532" s="7" t="s">
        <v>1011</v>
      </c>
      <c r="AF532" s="7" t="s">
        <v>44</v>
      </c>
      <c r="AH532" s="4">
        <v>46053.999988425923</v>
      </c>
    </row>
    <row r="533" spans="1:34" x14ac:dyDescent="0.3">
      <c r="A533" s="4">
        <v>46023</v>
      </c>
      <c r="B533" s="4">
        <v>46053</v>
      </c>
      <c r="C533" s="7" t="s">
        <v>46</v>
      </c>
      <c r="D533" s="7" t="s">
        <v>36</v>
      </c>
      <c r="E533" s="7" t="s">
        <v>36</v>
      </c>
      <c r="F533" s="7" t="s">
        <v>36</v>
      </c>
      <c r="G533" s="7" t="s">
        <v>37</v>
      </c>
      <c r="K533" s="7" t="s">
        <v>38</v>
      </c>
      <c r="L533" s="7" t="s">
        <v>39</v>
      </c>
      <c r="M533" s="7" t="s">
        <v>40</v>
      </c>
      <c r="N533" s="7" t="s">
        <v>41</v>
      </c>
      <c r="R533" s="7" t="s">
        <v>58</v>
      </c>
      <c r="T533" s="8">
        <v>50000</v>
      </c>
      <c r="U533" s="8">
        <v>-50000</v>
      </c>
      <c r="V533" s="7" t="s">
        <v>56</v>
      </c>
      <c r="W533" s="7" t="s">
        <v>57</v>
      </c>
      <c r="X533" s="7" t="s">
        <v>2618</v>
      </c>
      <c r="Y533" s="7" t="s">
        <v>1691</v>
      </c>
      <c r="AA533" s="7" t="s">
        <v>2617</v>
      </c>
      <c r="AB533" s="7">
        <v>12</v>
      </c>
      <c r="AC533" s="7" t="s">
        <v>57</v>
      </c>
      <c r="AD533" s="7" t="s">
        <v>1012</v>
      </c>
      <c r="AF533" s="7" t="s">
        <v>44</v>
      </c>
      <c r="AH533" s="4">
        <v>46053.999988425923</v>
      </c>
    </row>
    <row r="534" spans="1:34" x14ac:dyDescent="0.3">
      <c r="A534" s="4">
        <v>46053</v>
      </c>
      <c r="B534" s="4">
        <v>46053</v>
      </c>
      <c r="C534" s="7" t="s">
        <v>46</v>
      </c>
      <c r="D534" s="7" t="s">
        <v>36</v>
      </c>
      <c r="E534" s="7" t="s">
        <v>36</v>
      </c>
      <c r="F534" s="7" t="s">
        <v>36</v>
      </c>
      <c r="G534" s="7" t="s">
        <v>37</v>
      </c>
      <c r="K534" s="7" t="s">
        <v>38</v>
      </c>
      <c r="L534" s="7" t="s">
        <v>39</v>
      </c>
      <c r="M534" s="7" t="s">
        <v>40</v>
      </c>
      <c r="N534" s="7" t="s">
        <v>41</v>
      </c>
      <c r="R534" s="7" t="s">
        <v>47</v>
      </c>
      <c r="S534" s="8">
        <v>3098.8231970000002</v>
      </c>
      <c r="U534" s="8">
        <v>3098.8231970000002</v>
      </c>
      <c r="V534" s="7" t="s">
        <v>56</v>
      </c>
      <c r="W534" s="7" t="s">
        <v>2621</v>
      </c>
      <c r="X534" s="7" t="s">
        <v>2618</v>
      </c>
      <c r="Y534" s="7" t="s">
        <v>1691</v>
      </c>
      <c r="AA534" s="7" t="s">
        <v>2617</v>
      </c>
      <c r="AB534" s="7">
        <v>8</v>
      </c>
      <c r="AC534" s="7" t="s">
        <v>48</v>
      </c>
      <c r="AD534" s="7" t="s">
        <v>1013</v>
      </c>
      <c r="AF534" s="7" t="s">
        <v>44</v>
      </c>
      <c r="AH534" s="4">
        <v>46053.999988425923</v>
      </c>
    </row>
    <row r="535" spans="1:34" x14ac:dyDescent="0.3">
      <c r="A535" s="4">
        <v>46053</v>
      </c>
      <c r="B535" s="4">
        <v>46053</v>
      </c>
      <c r="C535" s="7" t="s">
        <v>46</v>
      </c>
      <c r="D535" s="7" t="s">
        <v>36</v>
      </c>
      <c r="E535" s="7" t="s">
        <v>36</v>
      </c>
      <c r="F535" s="7" t="s">
        <v>36</v>
      </c>
      <c r="G535" s="7" t="s">
        <v>37</v>
      </c>
      <c r="K535" s="7" t="s">
        <v>38</v>
      </c>
      <c r="L535" s="7" t="s">
        <v>39</v>
      </c>
      <c r="M535" s="7" t="s">
        <v>38</v>
      </c>
      <c r="N535" s="7" t="s">
        <v>41</v>
      </c>
      <c r="R535" s="7" t="s">
        <v>49</v>
      </c>
      <c r="T535" s="8">
        <v>3098.8231970000002</v>
      </c>
      <c r="U535" s="8">
        <v>-3098.8231970000002</v>
      </c>
      <c r="V535" s="7" t="s">
        <v>56</v>
      </c>
      <c r="W535" s="7" t="s">
        <v>2621</v>
      </c>
      <c r="X535" s="7" t="s">
        <v>2618</v>
      </c>
      <c r="Y535" s="7" t="s">
        <v>1691</v>
      </c>
      <c r="AA535" s="7" t="s">
        <v>2617</v>
      </c>
      <c r="AB535" s="7">
        <v>8</v>
      </c>
      <c r="AC535" s="7" t="s">
        <v>48</v>
      </c>
      <c r="AD535" s="7" t="s">
        <v>1015</v>
      </c>
      <c r="AF535" s="7" t="s">
        <v>44</v>
      </c>
      <c r="AH535" s="4">
        <v>46053.999988425923</v>
      </c>
    </row>
    <row r="536" spans="1:34" x14ac:dyDescent="0.3">
      <c r="A536" s="4">
        <v>46053</v>
      </c>
      <c r="B536" s="4">
        <v>44562</v>
      </c>
      <c r="C536" s="7" t="s">
        <v>35</v>
      </c>
      <c r="D536" s="7" t="s">
        <v>36</v>
      </c>
      <c r="E536" s="7" t="s">
        <v>36</v>
      </c>
      <c r="F536" s="7" t="s">
        <v>36</v>
      </c>
      <c r="G536" s="7" t="s">
        <v>37</v>
      </c>
      <c r="K536" s="7" t="s">
        <v>38</v>
      </c>
      <c r="L536" s="7" t="s">
        <v>39</v>
      </c>
      <c r="M536" s="7" t="s">
        <v>40</v>
      </c>
      <c r="N536" s="7" t="s">
        <v>41</v>
      </c>
      <c r="R536" s="7" t="s">
        <v>50</v>
      </c>
      <c r="S536" s="8">
        <v>42330.49</v>
      </c>
      <c r="U536" s="8">
        <v>42330.49</v>
      </c>
      <c r="V536" s="7" t="s">
        <v>56</v>
      </c>
      <c r="W536" s="7" t="s">
        <v>2619</v>
      </c>
      <c r="X536" s="7" t="s">
        <v>2618</v>
      </c>
      <c r="Y536" s="7" t="s">
        <v>1691</v>
      </c>
      <c r="AA536" s="7" t="s">
        <v>2617</v>
      </c>
      <c r="AB536" s="7">
        <v>10</v>
      </c>
      <c r="AC536" s="7" t="s">
        <v>51</v>
      </c>
      <c r="AD536" s="7" t="s">
        <v>1016</v>
      </c>
      <c r="AF536" s="7" t="s">
        <v>44</v>
      </c>
      <c r="AH536" s="4">
        <v>46053.999988425923</v>
      </c>
    </row>
    <row r="537" spans="1:34" x14ac:dyDescent="0.3">
      <c r="A537" s="4">
        <v>46053</v>
      </c>
      <c r="B537" s="4">
        <v>44562</v>
      </c>
      <c r="C537" s="7" t="s">
        <v>35</v>
      </c>
      <c r="D537" s="7" t="s">
        <v>36</v>
      </c>
      <c r="E537" s="7" t="s">
        <v>36</v>
      </c>
      <c r="F537" s="7" t="s">
        <v>36</v>
      </c>
      <c r="G537" s="7" t="s">
        <v>37</v>
      </c>
      <c r="K537" s="7" t="s">
        <v>38</v>
      </c>
      <c r="L537" s="7" t="s">
        <v>39</v>
      </c>
      <c r="M537" s="7" t="s">
        <v>40</v>
      </c>
      <c r="N537" s="7" t="s">
        <v>41</v>
      </c>
      <c r="R537" s="7" t="s">
        <v>52</v>
      </c>
      <c r="T537" s="8">
        <v>42330.49</v>
      </c>
      <c r="U537" s="8">
        <v>-42330.49</v>
      </c>
      <c r="V537" s="7" t="s">
        <v>56</v>
      </c>
      <c r="W537" s="7" t="s">
        <v>2619</v>
      </c>
      <c r="X537" s="7" t="s">
        <v>2618</v>
      </c>
      <c r="Y537" s="7" t="s">
        <v>1691</v>
      </c>
      <c r="AA537" s="7" t="s">
        <v>2617</v>
      </c>
      <c r="AB537" s="7">
        <v>10</v>
      </c>
      <c r="AC537" s="7" t="s">
        <v>51</v>
      </c>
      <c r="AD537" s="7" t="s">
        <v>1018</v>
      </c>
      <c r="AF537" s="7" t="s">
        <v>44</v>
      </c>
      <c r="AH537" s="4">
        <v>46053.999988425923</v>
      </c>
    </row>
    <row r="538" spans="1:34" x14ac:dyDescent="0.3">
      <c r="A538" s="4">
        <v>46053</v>
      </c>
      <c r="B538" s="4">
        <v>46053</v>
      </c>
      <c r="C538" s="7" t="s">
        <v>35</v>
      </c>
      <c r="D538" s="7" t="s">
        <v>36</v>
      </c>
      <c r="E538" s="7" t="s">
        <v>36</v>
      </c>
      <c r="F538" s="7" t="s">
        <v>36</v>
      </c>
      <c r="G538" s="7" t="s">
        <v>37</v>
      </c>
      <c r="K538" s="7" t="s">
        <v>38</v>
      </c>
      <c r="L538" s="7" t="s">
        <v>39</v>
      </c>
      <c r="M538" s="7" t="s">
        <v>40</v>
      </c>
      <c r="N538" s="7" t="s">
        <v>41</v>
      </c>
      <c r="R538" s="7" t="s">
        <v>45</v>
      </c>
      <c r="S538" s="8">
        <v>531226.83371899999</v>
      </c>
      <c r="U538" s="8">
        <v>531226.83371899999</v>
      </c>
      <c r="V538" s="7" t="s">
        <v>56</v>
      </c>
      <c r="W538" s="7" t="s">
        <v>2620</v>
      </c>
      <c r="X538" s="7" t="s">
        <v>2618</v>
      </c>
      <c r="Y538" s="7" t="s">
        <v>1691</v>
      </c>
      <c r="AA538" s="7" t="s">
        <v>2617</v>
      </c>
      <c r="AB538" s="7">
        <v>11</v>
      </c>
      <c r="AC538" s="7" t="s">
        <v>53</v>
      </c>
      <c r="AD538" s="7" t="s">
        <v>1019</v>
      </c>
      <c r="AF538" s="7" t="s">
        <v>44</v>
      </c>
      <c r="AH538" s="4">
        <v>46053.999988425923</v>
      </c>
    </row>
    <row r="539" spans="1:34" x14ac:dyDescent="0.3">
      <c r="A539" s="4">
        <v>46053</v>
      </c>
      <c r="B539" s="4">
        <v>46053</v>
      </c>
      <c r="C539" s="7" t="s">
        <v>35</v>
      </c>
      <c r="D539" s="7" t="s">
        <v>36</v>
      </c>
      <c r="E539" s="7" t="s">
        <v>36</v>
      </c>
      <c r="F539" s="7" t="s">
        <v>36</v>
      </c>
      <c r="G539" s="7" t="s">
        <v>37</v>
      </c>
      <c r="K539" s="7" t="s">
        <v>38</v>
      </c>
      <c r="L539" s="7" t="s">
        <v>39</v>
      </c>
      <c r="M539" s="7" t="s">
        <v>40</v>
      </c>
      <c r="N539" s="7" t="s">
        <v>41</v>
      </c>
      <c r="R539" s="7" t="s">
        <v>54</v>
      </c>
      <c r="T539" s="8">
        <v>531226.83371899999</v>
      </c>
      <c r="U539" s="8">
        <v>-531226.83371899999</v>
      </c>
      <c r="V539" s="7" t="s">
        <v>56</v>
      </c>
      <c r="W539" s="7" t="s">
        <v>2620</v>
      </c>
      <c r="X539" s="7" t="s">
        <v>2618</v>
      </c>
      <c r="Y539" s="7" t="s">
        <v>1691</v>
      </c>
      <c r="AA539" s="7" t="s">
        <v>2617</v>
      </c>
      <c r="AB539" s="7">
        <v>11</v>
      </c>
      <c r="AC539" s="7" t="s">
        <v>53</v>
      </c>
      <c r="AD539" s="7" t="s">
        <v>1021</v>
      </c>
      <c r="AF539" s="7" t="s">
        <v>44</v>
      </c>
      <c r="AH539" s="4">
        <v>46053.999988425923</v>
      </c>
    </row>
    <row r="540" spans="1:34" x14ac:dyDescent="0.3">
      <c r="A540" s="4">
        <v>46054</v>
      </c>
      <c r="B540" s="4">
        <v>46054</v>
      </c>
      <c r="C540" s="7" t="s">
        <v>35</v>
      </c>
      <c r="D540" s="7" t="s">
        <v>36</v>
      </c>
      <c r="E540" s="7" t="s">
        <v>36</v>
      </c>
      <c r="F540" s="7" t="s">
        <v>36</v>
      </c>
      <c r="G540" s="7" t="s">
        <v>37</v>
      </c>
      <c r="K540" s="7" t="s">
        <v>38</v>
      </c>
      <c r="L540" s="7" t="s">
        <v>39</v>
      </c>
      <c r="M540" s="7" t="s">
        <v>40</v>
      </c>
      <c r="N540" s="7" t="s">
        <v>41</v>
      </c>
      <c r="R540" s="7" t="s">
        <v>54</v>
      </c>
      <c r="S540" s="8">
        <v>531226.82999999996</v>
      </c>
      <c r="U540" s="8">
        <v>531226.82999999996</v>
      </c>
      <c r="V540" s="7" t="s">
        <v>56</v>
      </c>
      <c r="W540" s="7" t="s">
        <v>2620</v>
      </c>
      <c r="X540" s="7" t="s">
        <v>2618</v>
      </c>
      <c r="Y540" s="7" t="s">
        <v>1691</v>
      </c>
      <c r="AA540" s="7" t="s">
        <v>2617</v>
      </c>
      <c r="AB540" s="7">
        <v>11</v>
      </c>
      <c r="AC540" s="7" t="s">
        <v>55</v>
      </c>
      <c r="AD540" s="7" t="s">
        <v>1022</v>
      </c>
      <c r="AF540" s="7" t="s">
        <v>44</v>
      </c>
      <c r="AH540" s="4">
        <v>46081.999988425923</v>
      </c>
    </row>
    <row r="541" spans="1:34" x14ac:dyDescent="0.3">
      <c r="A541" s="4">
        <v>46054</v>
      </c>
      <c r="B541" s="4">
        <v>46054</v>
      </c>
      <c r="C541" s="7" t="s">
        <v>35</v>
      </c>
      <c r="D541" s="7" t="s">
        <v>36</v>
      </c>
      <c r="E541" s="7" t="s">
        <v>36</v>
      </c>
      <c r="F541" s="7" t="s">
        <v>36</v>
      </c>
      <c r="G541" s="7" t="s">
        <v>37</v>
      </c>
      <c r="K541" s="7" t="s">
        <v>38</v>
      </c>
      <c r="L541" s="7" t="s">
        <v>39</v>
      </c>
      <c r="M541" s="7" t="s">
        <v>40</v>
      </c>
      <c r="N541" s="7" t="s">
        <v>41</v>
      </c>
      <c r="R541" s="7" t="s">
        <v>45</v>
      </c>
      <c r="T541" s="8">
        <v>531226.82999999996</v>
      </c>
      <c r="U541" s="8">
        <v>-531226.82999999996</v>
      </c>
      <c r="V541" s="7" t="s">
        <v>56</v>
      </c>
      <c r="W541" s="7" t="s">
        <v>2620</v>
      </c>
      <c r="X541" s="7" t="s">
        <v>2618</v>
      </c>
      <c r="Y541" s="7" t="s">
        <v>1691</v>
      </c>
      <c r="AA541" s="7" t="s">
        <v>2617</v>
      </c>
      <c r="AB541" s="7">
        <v>11</v>
      </c>
      <c r="AC541" s="7" t="s">
        <v>55</v>
      </c>
      <c r="AD541" s="7" t="s">
        <v>1024</v>
      </c>
      <c r="AF541" s="7" t="s">
        <v>44</v>
      </c>
      <c r="AH541" s="4">
        <v>46081.999988425923</v>
      </c>
    </row>
    <row r="542" spans="1:34" x14ac:dyDescent="0.3">
      <c r="A542" s="4">
        <v>46054</v>
      </c>
      <c r="B542" s="4">
        <v>46081</v>
      </c>
      <c r="C542" s="7" t="s">
        <v>46</v>
      </c>
      <c r="D542" s="7" t="s">
        <v>36</v>
      </c>
      <c r="E542" s="7" t="s">
        <v>36</v>
      </c>
      <c r="F542" s="7" t="s">
        <v>36</v>
      </c>
      <c r="G542" s="7" t="s">
        <v>37</v>
      </c>
      <c r="K542" s="7" t="s">
        <v>38</v>
      </c>
      <c r="L542" s="7" t="s">
        <v>39</v>
      </c>
      <c r="M542" s="7" t="s">
        <v>38</v>
      </c>
      <c r="N542" s="7" t="s">
        <v>41</v>
      </c>
      <c r="R542" s="7" t="s">
        <v>49</v>
      </c>
      <c r="S542" s="8">
        <v>3098.8231970000002</v>
      </c>
      <c r="U542" s="8">
        <v>3098.8231970000002</v>
      </c>
      <c r="V542" s="7" t="s">
        <v>56</v>
      </c>
      <c r="W542" s="7" t="s">
        <v>57</v>
      </c>
      <c r="X542" s="7" t="s">
        <v>2618</v>
      </c>
      <c r="Y542" s="7" t="s">
        <v>1691</v>
      </c>
      <c r="AA542" s="7" t="s">
        <v>2617</v>
      </c>
      <c r="AB542" s="7">
        <v>12</v>
      </c>
      <c r="AC542" s="7" t="s">
        <v>57</v>
      </c>
      <c r="AD542" s="7" t="s">
        <v>1025</v>
      </c>
      <c r="AF542" s="7" t="s">
        <v>44</v>
      </c>
      <c r="AH542" s="4">
        <v>46081.999988425923</v>
      </c>
    </row>
    <row r="543" spans="1:34" x14ac:dyDescent="0.3">
      <c r="A543" s="4">
        <v>46054</v>
      </c>
      <c r="B543" s="4">
        <v>46081</v>
      </c>
      <c r="C543" s="7" t="s">
        <v>46</v>
      </c>
      <c r="D543" s="7" t="s">
        <v>36</v>
      </c>
      <c r="E543" s="7" t="s">
        <v>36</v>
      </c>
      <c r="F543" s="7" t="s">
        <v>36</v>
      </c>
      <c r="G543" s="7" t="s">
        <v>37</v>
      </c>
      <c r="K543" s="7" t="s">
        <v>38</v>
      </c>
      <c r="L543" s="7" t="s">
        <v>39</v>
      </c>
      <c r="M543" s="7" t="s">
        <v>40</v>
      </c>
      <c r="N543" s="7" t="s">
        <v>41</v>
      </c>
      <c r="R543" s="7" t="s">
        <v>45</v>
      </c>
      <c r="S543" s="8">
        <v>46901.176803000002</v>
      </c>
      <c r="U543" s="8">
        <v>46901.176803000002</v>
      </c>
      <c r="V543" s="7" t="s">
        <v>56</v>
      </c>
      <c r="W543" s="7" t="s">
        <v>57</v>
      </c>
      <c r="X543" s="7" t="s">
        <v>2618</v>
      </c>
      <c r="Y543" s="7" t="s">
        <v>1691</v>
      </c>
      <c r="AA543" s="7" t="s">
        <v>2617</v>
      </c>
      <c r="AB543" s="7">
        <v>12</v>
      </c>
      <c r="AC543" s="7" t="s">
        <v>57</v>
      </c>
      <c r="AD543" s="7" t="s">
        <v>1027</v>
      </c>
      <c r="AF543" s="7" t="s">
        <v>44</v>
      </c>
      <c r="AH543" s="4">
        <v>46081.999988425923</v>
      </c>
    </row>
    <row r="544" spans="1:34" x14ac:dyDescent="0.3">
      <c r="A544" s="4">
        <v>46054</v>
      </c>
      <c r="B544" s="4">
        <v>46081</v>
      </c>
      <c r="C544" s="7" t="s">
        <v>46</v>
      </c>
      <c r="D544" s="7" t="s">
        <v>36</v>
      </c>
      <c r="E544" s="7" t="s">
        <v>36</v>
      </c>
      <c r="F544" s="7" t="s">
        <v>36</v>
      </c>
      <c r="G544" s="7" t="s">
        <v>37</v>
      </c>
      <c r="K544" s="7" t="s">
        <v>38</v>
      </c>
      <c r="L544" s="7" t="s">
        <v>39</v>
      </c>
      <c r="M544" s="7" t="s">
        <v>40</v>
      </c>
      <c r="N544" s="7" t="s">
        <v>41</v>
      </c>
      <c r="R544" s="7" t="s">
        <v>58</v>
      </c>
      <c r="T544" s="8">
        <v>50000</v>
      </c>
      <c r="U544" s="8">
        <v>-50000</v>
      </c>
      <c r="V544" s="7" t="s">
        <v>56</v>
      </c>
      <c r="W544" s="7" t="s">
        <v>57</v>
      </c>
      <c r="X544" s="7" t="s">
        <v>2618</v>
      </c>
      <c r="Y544" s="7" t="s">
        <v>1691</v>
      </c>
      <c r="AA544" s="7" t="s">
        <v>2617</v>
      </c>
      <c r="AB544" s="7">
        <v>12</v>
      </c>
      <c r="AC544" s="7" t="s">
        <v>57</v>
      </c>
      <c r="AD544" s="7" t="s">
        <v>1028</v>
      </c>
      <c r="AF544" s="7" t="s">
        <v>44</v>
      </c>
      <c r="AH544" s="4">
        <v>46081.999988425923</v>
      </c>
    </row>
    <row r="545" spans="1:34" x14ac:dyDescent="0.3">
      <c r="A545" s="4">
        <v>46081</v>
      </c>
      <c r="B545" s="4">
        <v>46081</v>
      </c>
      <c r="C545" s="7" t="s">
        <v>46</v>
      </c>
      <c r="D545" s="7" t="s">
        <v>36</v>
      </c>
      <c r="E545" s="7" t="s">
        <v>36</v>
      </c>
      <c r="F545" s="7" t="s">
        <v>36</v>
      </c>
      <c r="G545" s="7" t="s">
        <v>37</v>
      </c>
      <c r="K545" s="7" t="s">
        <v>38</v>
      </c>
      <c r="L545" s="7" t="s">
        <v>39</v>
      </c>
      <c r="M545" s="7" t="s">
        <v>40</v>
      </c>
      <c r="N545" s="7" t="s">
        <v>41</v>
      </c>
      <c r="R545" s="7" t="s">
        <v>47</v>
      </c>
      <c r="S545" s="8">
        <v>2825.2329989999998</v>
      </c>
      <c r="U545" s="8">
        <v>2825.2329989999998</v>
      </c>
      <c r="V545" s="7" t="s">
        <v>56</v>
      </c>
      <c r="W545" s="7" t="s">
        <v>2621</v>
      </c>
      <c r="X545" s="7" t="s">
        <v>2618</v>
      </c>
      <c r="Y545" s="7" t="s">
        <v>1691</v>
      </c>
      <c r="AA545" s="7" t="s">
        <v>2617</v>
      </c>
      <c r="AB545" s="7">
        <v>8</v>
      </c>
      <c r="AC545" s="7" t="s">
        <v>48</v>
      </c>
      <c r="AD545" s="7" t="s">
        <v>1029</v>
      </c>
      <c r="AF545" s="7" t="s">
        <v>44</v>
      </c>
      <c r="AH545" s="4">
        <v>46081.999988425923</v>
      </c>
    </row>
    <row r="546" spans="1:34" x14ac:dyDescent="0.3">
      <c r="A546" s="4">
        <v>46081</v>
      </c>
      <c r="B546" s="4">
        <v>46081</v>
      </c>
      <c r="C546" s="7" t="s">
        <v>46</v>
      </c>
      <c r="D546" s="7" t="s">
        <v>36</v>
      </c>
      <c r="E546" s="7" t="s">
        <v>36</v>
      </c>
      <c r="F546" s="7" t="s">
        <v>36</v>
      </c>
      <c r="G546" s="7" t="s">
        <v>37</v>
      </c>
      <c r="K546" s="7" t="s">
        <v>38</v>
      </c>
      <c r="L546" s="7" t="s">
        <v>39</v>
      </c>
      <c r="M546" s="7" t="s">
        <v>38</v>
      </c>
      <c r="N546" s="7" t="s">
        <v>41</v>
      </c>
      <c r="R546" s="7" t="s">
        <v>49</v>
      </c>
      <c r="T546" s="8">
        <v>2825.2329989999998</v>
      </c>
      <c r="U546" s="8">
        <v>-2825.2329989999998</v>
      </c>
      <c r="V546" s="7" t="s">
        <v>56</v>
      </c>
      <c r="W546" s="7" t="s">
        <v>2621</v>
      </c>
      <c r="X546" s="7" t="s">
        <v>2618</v>
      </c>
      <c r="Y546" s="7" t="s">
        <v>1691</v>
      </c>
      <c r="AA546" s="7" t="s">
        <v>2617</v>
      </c>
      <c r="AB546" s="7">
        <v>8</v>
      </c>
      <c r="AC546" s="7" t="s">
        <v>48</v>
      </c>
      <c r="AD546" s="7" t="s">
        <v>1031</v>
      </c>
      <c r="AF546" s="7" t="s">
        <v>44</v>
      </c>
      <c r="AH546" s="4">
        <v>46081.999988425923</v>
      </c>
    </row>
    <row r="547" spans="1:34" x14ac:dyDescent="0.3">
      <c r="A547" s="4">
        <v>46081</v>
      </c>
      <c r="B547" s="4">
        <v>44562</v>
      </c>
      <c r="C547" s="7" t="s">
        <v>35</v>
      </c>
      <c r="D547" s="7" t="s">
        <v>36</v>
      </c>
      <c r="E547" s="7" t="s">
        <v>36</v>
      </c>
      <c r="F547" s="7" t="s">
        <v>36</v>
      </c>
      <c r="G547" s="7" t="s">
        <v>37</v>
      </c>
      <c r="K547" s="7" t="s">
        <v>38</v>
      </c>
      <c r="L547" s="7" t="s">
        <v>39</v>
      </c>
      <c r="M547" s="7" t="s">
        <v>40</v>
      </c>
      <c r="N547" s="7" t="s">
        <v>41</v>
      </c>
      <c r="R547" s="7" t="s">
        <v>50</v>
      </c>
      <c r="S547" s="8">
        <v>42330.49</v>
      </c>
      <c r="U547" s="8">
        <v>42330.49</v>
      </c>
      <c r="V547" s="7" t="s">
        <v>56</v>
      </c>
      <c r="W547" s="7" t="s">
        <v>2619</v>
      </c>
      <c r="X547" s="7" t="s">
        <v>2618</v>
      </c>
      <c r="Y547" s="7" t="s">
        <v>1691</v>
      </c>
      <c r="AA547" s="7" t="s">
        <v>2617</v>
      </c>
      <c r="AB547" s="7">
        <v>10</v>
      </c>
      <c r="AC547" s="7" t="s">
        <v>51</v>
      </c>
      <c r="AD547" s="7" t="s">
        <v>1032</v>
      </c>
      <c r="AF547" s="7" t="s">
        <v>44</v>
      </c>
      <c r="AH547" s="4">
        <v>46081.999988425923</v>
      </c>
    </row>
    <row r="548" spans="1:34" x14ac:dyDescent="0.3">
      <c r="A548" s="4">
        <v>46081</v>
      </c>
      <c r="B548" s="4">
        <v>44562</v>
      </c>
      <c r="C548" s="7" t="s">
        <v>35</v>
      </c>
      <c r="D548" s="7" t="s">
        <v>36</v>
      </c>
      <c r="E548" s="7" t="s">
        <v>36</v>
      </c>
      <c r="F548" s="7" t="s">
        <v>36</v>
      </c>
      <c r="G548" s="7" t="s">
        <v>37</v>
      </c>
      <c r="K548" s="7" t="s">
        <v>38</v>
      </c>
      <c r="L548" s="7" t="s">
        <v>39</v>
      </c>
      <c r="M548" s="7" t="s">
        <v>40</v>
      </c>
      <c r="N548" s="7" t="s">
        <v>41</v>
      </c>
      <c r="R548" s="7" t="s">
        <v>52</v>
      </c>
      <c r="T548" s="8">
        <v>42330.49</v>
      </c>
      <c r="U548" s="8">
        <v>-42330.49</v>
      </c>
      <c r="V548" s="7" t="s">
        <v>56</v>
      </c>
      <c r="W548" s="7" t="s">
        <v>2619</v>
      </c>
      <c r="X548" s="7" t="s">
        <v>2618</v>
      </c>
      <c r="Y548" s="7" t="s">
        <v>1691</v>
      </c>
      <c r="AA548" s="7" t="s">
        <v>2617</v>
      </c>
      <c r="AB548" s="7">
        <v>10</v>
      </c>
      <c r="AC548" s="7" t="s">
        <v>51</v>
      </c>
      <c r="AD548" s="7" t="s">
        <v>1034</v>
      </c>
      <c r="AF548" s="7" t="s">
        <v>44</v>
      </c>
      <c r="AH548" s="4">
        <v>46081.999988425923</v>
      </c>
    </row>
    <row r="549" spans="1:34" x14ac:dyDescent="0.3">
      <c r="A549" s="4">
        <v>46081</v>
      </c>
      <c r="B549" s="4">
        <v>46081</v>
      </c>
      <c r="C549" s="7" t="s">
        <v>35</v>
      </c>
      <c r="D549" s="7" t="s">
        <v>36</v>
      </c>
      <c r="E549" s="7" t="s">
        <v>36</v>
      </c>
      <c r="F549" s="7" t="s">
        <v>36</v>
      </c>
      <c r="G549" s="7" t="s">
        <v>37</v>
      </c>
      <c r="K549" s="7" t="s">
        <v>38</v>
      </c>
      <c r="L549" s="7" t="s">
        <v>39</v>
      </c>
      <c r="M549" s="7" t="s">
        <v>40</v>
      </c>
      <c r="N549" s="7" t="s">
        <v>41</v>
      </c>
      <c r="R549" s="7" t="s">
        <v>45</v>
      </c>
      <c r="S549" s="8">
        <v>484325.65319699998</v>
      </c>
      <c r="U549" s="8">
        <v>484325.65319699998</v>
      </c>
      <c r="V549" s="7" t="s">
        <v>56</v>
      </c>
      <c r="W549" s="7" t="s">
        <v>2620</v>
      </c>
      <c r="X549" s="7" t="s">
        <v>2618</v>
      </c>
      <c r="Y549" s="7" t="s">
        <v>1691</v>
      </c>
      <c r="AA549" s="7" t="s">
        <v>2617</v>
      </c>
      <c r="AB549" s="7">
        <v>11</v>
      </c>
      <c r="AC549" s="7" t="s">
        <v>53</v>
      </c>
      <c r="AD549" s="7" t="s">
        <v>1035</v>
      </c>
      <c r="AF549" s="7" t="s">
        <v>44</v>
      </c>
      <c r="AH549" s="4">
        <v>46081.999988425923</v>
      </c>
    </row>
    <row r="550" spans="1:34" x14ac:dyDescent="0.3">
      <c r="A550" s="4">
        <v>46081</v>
      </c>
      <c r="B550" s="4">
        <v>46081</v>
      </c>
      <c r="C550" s="7" t="s">
        <v>35</v>
      </c>
      <c r="D550" s="7" t="s">
        <v>36</v>
      </c>
      <c r="E550" s="7" t="s">
        <v>36</v>
      </c>
      <c r="F550" s="7" t="s">
        <v>36</v>
      </c>
      <c r="G550" s="7" t="s">
        <v>37</v>
      </c>
      <c r="K550" s="7" t="s">
        <v>38</v>
      </c>
      <c r="L550" s="7" t="s">
        <v>39</v>
      </c>
      <c r="M550" s="7" t="s">
        <v>40</v>
      </c>
      <c r="N550" s="7" t="s">
        <v>41</v>
      </c>
      <c r="R550" s="7" t="s">
        <v>54</v>
      </c>
      <c r="T550" s="8">
        <v>484325.65319699998</v>
      </c>
      <c r="U550" s="8">
        <v>-484325.65319699998</v>
      </c>
      <c r="V550" s="7" t="s">
        <v>56</v>
      </c>
      <c r="W550" s="7" t="s">
        <v>2620</v>
      </c>
      <c r="X550" s="7" t="s">
        <v>2618</v>
      </c>
      <c r="Y550" s="7" t="s">
        <v>1691</v>
      </c>
      <c r="AA550" s="7" t="s">
        <v>2617</v>
      </c>
      <c r="AB550" s="7">
        <v>11</v>
      </c>
      <c r="AC550" s="7" t="s">
        <v>53</v>
      </c>
      <c r="AD550" s="7" t="s">
        <v>1037</v>
      </c>
      <c r="AF550" s="7" t="s">
        <v>44</v>
      </c>
      <c r="AH550" s="4">
        <v>46081.999988425923</v>
      </c>
    </row>
    <row r="551" spans="1:34" x14ac:dyDescent="0.3">
      <c r="A551" s="4">
        <v>46082</v>
      </c>
      <c r="B551" s="4">
        <v>46082</v>
      </c>
      <c r="C551" s="7" t="s">
        <v>35</v>
      </c>
      <c r="D551" s="7" t="s">
        <v>36</v>
      </c>
      <c r="E551" s="7" t="s">
        <v>36</v>
      </c>
      <c r="F551" s="7" t="s">
        <v>36</v>
      </c>
      <c r="G551" s="7" t="s">
        <v>37</v>
      </c>
      <c r="K551" s="7" t="s">
        <v>38</v>
      </c>
      <c r="L551" s="7" t="s">
        <v>39</v>
      </c>
      <c r="M551" s="7" t="s">
        <v>40</v>
      </c>
      <c r="N551" s="7" t="s">
        <v>41</v>
      </c>
      <c r="R551" s="7" t="s">
        <v>54</v>
      </c>
      <c r="S551" s="8">
        <v>484325.66</v>
      </c>
      <c r="U551" s="8">
        <v>484325.66</v>
      </c>
      <c r="V551" s="7" t="s">
        <v>56</v>
      </c>
      <c r="W551" s="7" t="s">
        <v>2620</v>
      </c>
      <c r="X551" s="7" t="s">
        <v>2618</v>
      </c>
      <c r="Y551" s="7" t="s">
        <v>1691</v>
      </c>
      <c r="AA551" s="7" t="s">
        <v>2617</v>
      </c>
      <c r="AB551" s="7">
        <v>11</v>
      </c>
      <c r="AC551" s="7" t="s">
        <v>55</v>
      </c>
      <c r="AD551" s="7" t="s">
        <v>1038</v>
      </c>
      <c r="AF551" s="7" t="s">
        <v>44</v>
      </c>
      <c r="AH551" s="4">
        <v>46112.999988425923</v>
      </c>
    </row>
    <row r="552" spans="1:34" x14ac:dyDescent="0.3">
      <c r="A552" s="4">
        <v>46082</v>
      </c>
      <c r="B552" s="4">
        <v>46082</v>
      </c>
      <c r="C552" s="7" t="s">
        <v>35</v>
      </c>
      <c r="D552" s="7" t="s">
        <v>36</v>
      </c>
      <c r="E552" s="7" t="s">
        <v>36</v>
      </c>
      <c r="F552" s="7" t="s">
        <v>36</v>
      </c>
      <c r="G552" s="7" t="s">
        <v>37</v>
      </c>
      <c r="K552" s="7" t="s">
        <v>38</v>
      </c>
      <c r="L552" s="7" t="s">
        <v>39</v>
      </c>
      <c r="M552" s="7" t="s">
        <v>40</v>
      </c>
      <c r="N552" s="7" t="s">
        <v>41</v>
      </c>
      <c r="R552" s="7" t="s">
        <v>45</v>
      </c>
      <c r="T552" s="8">
        <v>484325.66</v>
      </c>
      <c r="U552" s="8">
        <v>-484325.66</v>
      </c>
      <c r="V552" s="7" t="s">
        <v>56</v>
      </c>
      <c r="W552" s="7" t="s">
        <v>2620</v>
      </c>
      <c r="X552" s="7" t="s">
        <v>2618</v>
      </c>
      <c r="Y552" s="7" t="s">
        <v>1691</v>
      </c>
      <c r="AA552" s="7" t="s">
        <v>2617</v>
      </c>
      <c r="AB552" s="7">
        <v>11</v>
      </c>
      <c r="AC552" s="7" t="s">
        <v>55</v>
      </c>
      <c r="AD552" s="7" t="s">
        <v>1040</v>
      </c>
      <c r="AF552" s="7" t="s">
        <v>44</v>
      </c>
      <c r="AH552" s="4">
        <v>46112.999988425923</v>
      </c>
    </row>
    <row r="553" spans="1:34" x14ac:dyDescent="0.3">
      <c r="A553" s="4">
        <v>46082</v>
      </c>
      <c r="B553" s="4">
        <v>46112</v>
      </c>
      <c r="C553" s="7" t="s">
        <v>46</v>
      </c>
      <c r="D553" s="7" t="s">
        <v>36</v>
      </c>
      <c r="E553" s="7" t="s">
        <v>36</v>
      </c>
      <c r="F553" s="7" t="s">
        <v>36</v>
      </c>
      <c r="G553" s="7" t="s">
        <v>37</v>
      </c>
      <c r="K553" s="7" t="s">
        <v>38</v>
      </c>
      <c r="L553" s="7" t="s">
        <v>39</v>
      </c>
      <c r="M553" s="7" t="s">
        <v>38</v>
      </c>
      <c r="N553" s="7" t="s">
        <v>41</v>
      </c>
      <c r="R553" s="7" t="s">
        <v>49</v>
      </c>
      <c r="S553" s="8">
        <v>2825.2329989999998</v>
      </c>
      <c r="U553" s="8">
        <v>2825.2329989999998</v>
      </c>
      <c r="V553" s="7" t="s">
        <v>56</v>
      </c>
      <c r="W553" s="7" t="s">
        <v>57</v>
      </c>
      <c r="X553" s="7" t="s">
        <v>2618</v>
      </c>
      <c r="Y553" s="7" t="s">
        <v>1691</v>
      </c>
      <c r="AA553" s="7" t="s">
        <v>2617</v>
      </c>
      <c r="AB553" s="7">
        <v>12</v>
      </c>
      <c r="AC553" s="7" t="s">
        <v>57</v>
      </c>
      <c r="AD553" s="7" t="s">
        <v>1041</v>
      </c>
      <c r="AF553" s="7" t="s">
        <v>44</v>
      </c>
      <c r="AH553" s="4">
        <v>46112.999988425923</v>
      </c>
    </row>
    <row r="554" spans="1:34" x14ac:dyDescent="0.3">
      <c r="A554" s="4">
        <v>46082</v>
      </c>
      <c r="B554" s="4">
        <v>46112</v>
      </c>
      <c r="C554" s="7" t="s">
        <v>46</v>
      </c>
      <c r="D554" s="7" t="s">
        <v>36</v>
      </c>
      <c r="E554" s="7" t="s">
        <v>36</v>
      </c>
      <c r="F554" s="7" t="s">
        <v>36</v>
      </c>
      <c r="G554" s="7" t="s">
        <v>37</v>
      </c>
      <c r="K554" s="7" t="s">
        <v>38</v>
      </c>
      <c r="L554" s="7" t="s">
        <v>39</v>
      </c>
      <c r="M554" s="7" t="s">
        <v>40</v>
      </c>
      <c r="N554" s="7" t="s">
        <v>41</v>
      </c>
      <c r="R554" s="7" t="s">
        <v>45</v>
      </c>
      <c r="S554" s="8">
        <v>47174.767001</v>
      </c>
      <c r="U554" s="8">
        <v>47174.767001</v>
      </c>
      <c r="V554" s="7" t="s">
        <v>56</v>
      </c>
      <c r="W554" s="7" t="s">
        <v>57</v>
      </c>
      <c r="X554" s="7" t="s">
        <v>2618</v>
      </c>
      <c r="Y554" s="7" t="s">
        <v>1691</v>
      </c>
      <c r="AA554" s="7" t="s">
        <v>2617</v>
      </c>
      <c r="AB554" s="7">
        <v>12</v>
      </c>
      <c r="AC554" s="7" t="s">
        <v>57</v>
      </c>
      <c r="AD554" s="7" t="s">
        <v>1043</v>
      </c>
      <c r="AF554" s="7" t="s">
        <v>44</v>
      </c>
      <c r="AH554" s="4">
        <v>46112.999988425923</v>
      </c>
    </row>
    <row r="555" spans="1:34" x14ac:dyDescent="0.3">
      <c r="A555" s="4">
        <v>46082</v>
      </c>
      <c r="B555" s="4">
        <v>46112</v>
      </c>
      <c r="C555" s="7" t="s">
        <v>46</v>
      </c>
      <c r="D555" s="7" t="s">
        <v>36</v>
      </c>
      <c r="E555" s="7" t="s">
        <v>36</v>
      </c>
      <c r="F555" s="7" t="s">
        <v>36</v>
      </c>
      <c r="G555" s="7" t="s">
        <v>37</v>
      </c>
      <c r="K555" s="7" t="s">
        <v>38</v>
      </c>
      <c r="L555" s="7" t="s">
        <v>39</v>
      </c>
      <c r="M555" s="7" t="s">
        <v>40</v>
      </c>
      <c r="N555" s="7" t="s">
        <v>41</v>
      </c>
      <c r="R555" s="7" t="s">
        <v>58</v>
      </c>
      <c r="T555" s="8">
        <v>50000</v>
      </c>
      <c r="U555" s="8">
        <v>-50000</v>
      </c>
      <c r="V555" s="7" t="s">
        <v>56</v>
      </c>
      <c r="W555" s="7" t="s">
        <v>57</v>
      </c>
      <c r="X555" s="7" t="s">
        <v>2618</v>
      </c>
      <c r="Y555" s="7" t="s">
        <v>1691</v>
      </c>
      <c r="AA555" s="7" t="s">
        <v>2617</v>
      </c>
      <c r="AB555" s="7">
        <v>12</v>
      </c>
      <c r="AC555" s="7" t="s">
        <v>57</v>
      </c>
      <c r="AD555" s="7" t="s">
        <v>1044</v>
      </c>
      <c r="AF555" s="7" t="s">
        <v>44</v>
      </c>
      <c r="AH555" s="4">
        <v>46112.999988425923</v>
      </c>
    </row>
    <row r="556" spans="1:34" x14ac:dyDescent="0.3">
      <c r="A556" s="4">
        <v>46112</v>
      </c>
      <c r="B556" s="4">
        <v>46112</v>
      </c>
      <c r="C556" s="7" t="s">
        <v>46</v>
      </c>
      <c r="D556" s="7" t="s">
        <v>36</v>
      </c>
      <c r="E556" s="7" t="s">
        <v>36</v>
      </c>
      <c r="F556" s="7" t="s">
        <v>36</v>
      </c>
      <c r="G556" s="7" t="s">
        <v>37</v>
      </c>
      <c r="K556" s="7" t="s">
        <v>38</v>
      </c>
      <c r="L556" s="7" t="s">
        <v>39</v>
      </c>
      <c r="M556" s="7" t="s">
        <v>40</v>
      </c>
      <c r="N556" s="7" t="s">
        <v>41</v>
      </c>
      <c r="R556" s="7" t="s">
        <v>47</v>
      </c>
      <c r="S556" s="8">
        <v>2550.0468580000002</v>
      </c>
      <c r="U556" s="8">
        <v>2550.0468580000002</v>
      </c>
      <c r="V556" s="7" t="s">
        <v>56</v>
      </c>
      <c r="W556" s="7" t="s">
        <v>2621</v>
      </c>
      <c r="X556" s="7" t="s">
        <v>2618</v>
      </c>
      <c r="Y556" s="7" t="s">
        <v>1691</v>
      </c>
      <c r="AA556" s="7" t="s">
        <v>2617</v>
      </c>
      <c r="AB556" s="7">
        <v>8</v>
      </c>
      <c r="AC556" s="7" t="s">
        <v>48</v>
      </c>
      <c r="AD556" s="7" t="s">
        <v>1045</v>
      </c>
      <c r="AF556" s="7" t="s">
        <v>44</v>
      </c>
      <c r="AH556" s="4">
        <v>46112.999988425923</v>
      </c>
    </row>
    <row r="557" spans="1:34" x14ac:dyDescent="0.3">
      <c r="A557" s="4">
        <v>46112</v>
      </c>
      <c r="B557" s="4">
        <v>46112</v>
      </c>
      <c r="C557" s="7" t="s">
        <v>46</v>
      </c>
      <c r="D557" s="7" t="s">
        <v>36</v>
      </c>
      <c r="E557" s="7" t="s">
        <v>36</v>
      </c>
      <c r="F557" s="7" t="s">
        <v>36</v>
      </c>
      <c r="G557" s="7" t="s">
        <v>37</v>
      </c>
      <c r="K557" s="7" t="s">
        <v>38</v>
      </c>
      <c r="L557" s="7" t="s">
        <v>39</v>
      </c>
      <c r="M557" s="7" t="s">
        <v>38</v>
      </c>
      <c r="N557" s="7" t="s">
        <v>41</v>
      </c>
      <c r="R557" s="7" t="s">
        <v>49</v>
      </c>
      <c r="T557" s="8">
        <v>2550.0468580000002</v>
      </c>
      <c r="U557" s="8">
        <v>-2550.0468580000002</v>
      </c>
      <c r="V557" s="7" t="s">
        <v>56</v>
      </c>
      <c r="W557" s="7" t="s">
        <v>2621</v>
      </c>
      <c r="X557" s="7" t="s">
        <v>2618</v>
      </c>
      <c r="Y557" s="7" t="s">
        <v>1691</v>
      </c>
      <c r="AA557" s="7" t="s">
        <v>2617</v>
      </c>
      <c r="AB557" s="7">
        <v>8</v>
      </c>
      <c r="AC557" s="7" t="s">
        <v>48</v>
      </c>
      <c r="AD557" s="7" t="s">
        <v>1047</v>
      </c>
      <c r="AF557" s="7" t="s">
        <v>44</v>
      </c>
      <c r="AH557" s="4">
        <v>46112.999988425923</v>
      </c>
    </row>
    <row r="558" spans="1:34" x14ac:dyDescent="0.3">
      <c r="A558" s="4">
        <v>46112</v>
      </c>
      <c r="B558" s="4">
        <v>44562</v>
      </c>
      <c r="C558" s="7" t="s">
        <v>35</v>
      </c>
      <c r="D558" s="7" t="s">
        <v>36</v>
      </c>
      <c r="E558" s="7" t="s">
        <v>36</v>
      </c>
      <c r="F558" s="7" t="s">
        <v>36</v>
      </c>
      <c r="G558" s="7" t="s">
        <v>37</v>
      </c>
      <c r="K558" s="7" t="s">
        <v>38</v>
      </c>
      <c r="L558" s="7" t="s">
        <v>39</v>
      </c>
      <c r="M558" s="7" t="s">
        <v>40</v>
      </c>
      <c r="N558" s="7" t="s">
        <v>41</v>
      </c>
      <c r="R558" s="7" t="s">
        <v>50</v>
      </c>
      <c r="S558" s="8">
        <v>42330.49</v>
      </c>
      <c r="U558" s="8">
        <v>42330.49</v>
      </c>
      <c r="V558" s="7" t="s">
        <v>56</v>
      </c>
      <c r="W558" s="7" t="s">
        <v>2619</v>
      </c>
      <c r="X558" s="7" t="s">
        <v>2618</v>
      </c>
      <c r="Y558" s="7" t="s">
        <v>1691</v>
      </c>
      <c r="AA558" s="7" t="s">
        <v>2617</v>
      </c>
      <c r="AB558" s="7">
        <v>10</v>
      </c>
      <c r="AC558" s="7" t="s">
        <v>51</v>
      </c>
      <c r="AD558" s="7" t="s">
        <v>1048</v>
      </c>
      <c r="AF558" s="7" t="s">
        <v>44</v>
      </c>
      <c r="AH558" s="4">
        <v>46112.999988425923</v>
      </c>
    </row>
    <row r="559" spans="1:34" x14ac:dyDescent="0.3">
      <c r="A559" s="4">
        <v>46112</v>
      </c>
      <c r="B559" s="4">
        <v>44562</v>
      </c>
      <c r="C559" s="7" t="s">
        <v>35</v>
      </c>
      <c r="D559" s="7" t="s">
        <v>36</v>
      </c>
      <c r="E559" s="7" t="s">
        <v>36</v>
      </c>
      <c r="F559" s="7" t="s">
        <v>36</v>
      </c>
      <c r="G559" s="7" t="s">
        <v>37</v>
      </c>
      <c r="K559" s="7" t="s">
        <v>38</v>
      </c>
      <c r="L559" s="7" t="s">
        <v>39</v>
      </c>
      <c r="M559" s="7" t="s">
        <v>40</v>
      </c>
      <c r="N559" s="7" t="s">
        <v>41</v>
      </c>
      <c r="R559" s="7" t="s">
        <v>52</v>
      </c>
      <c r="T559" s="8">
        <v>42330.49</v>
      </c>
      <c r="U559" s="8">
        <v>-42330.49</v>
      </c>
      <c r="V559" s="7" t="s">
        <v>56</v>
      </c>
      <c r="W559" s="7" t="s">
        <v>2619</v>
      </c>
      <c r="X559" s="7" t="s">
        <v>2618</v>
      </c>
      <c r="Y559" s="7" t="s">
        <v>1691</v>
      </c>
      <c r="AA559" s="7" t="s">
        <v>2617</v>
      </c>
      <c r="AB559" s="7">
        <v>10</v>
      </c>
      <c r="AC559" s="7" t="s">
        <v>51</v>
      </c>
      <c r="AD559" s="7" t="s">
        <v>1050</v>
      </c>
      <c r="AF559" s="7" t="s">
        <v>44</v>
      </c>
      <c r="AH559" s="4">
        <v>46112.999988425923</v>
      </c>
    </row>
    <row r="560" spans="1:34" x14ac:dyDescent="0.3">
      <c r="A560" s="4">
        <v>46112</v>
      </c>
      <c r="B560" s="4">
        <v>46112</v>
      </c>
      <c r="C560" s="7" t="s">
        <v>35</v>
      </c>
      <c r="D560" s="7" t="s">
        <v>36</v>
      </c>
      <c r="E560" s="7" t="s">
        <v>36</v>
      </c>
      <c r="F560" s="7" t="s">
        <v>36</v>
      </c>
      <c r="G560" s="7" t="s">
        <v>37</v>
      </c>
      <c r="K560" s="7" t="s">
        <v>38</v>
      </c>
      <c r="L560" s="7" t="s">
        <v>39</v>
      </c>
      <c r="M560" s="7" t="s">
        <v>40</v>
      </c>
      <c r="N560" s="7" t="s">
        <v>41</v>
      </c>
      <c r="R560" s="7" t="s">
        <v>45</v>
      </c>
      <c r="S560" s="8">
        <v>437150.89299899997</v>
      </c>
      <c r="U560" s="8">
        <v>437150.89299899997</v>
      </c>
      <c r="V560" s="7" t="s">
        <v>56</v>
      </c>
      <c r="W560" s="7" t="s">
        <v>2620</v>
      </c>
      <c r="X560" s="7" t="s">
        <v>2618</v>
      </c>
      <c r="Y560" s="7" t="s">
        <v>1691</v>
      </c>
      <c r="AA560" s="7" t="s">
        <v>2617</v>
      </c>
      <c r="AB560" s="7">
        <v>11</v>
      </c>
      <c r="AC560" s="7" t="s">
        <v>53</v>
      </c>
      <c r="AD560" s="7" t="s">
        <v>1051</v>
      </c>
      <c r="AF560" s="7" t="s">
        <v>44</v>
      </c>
      <c r="AH560" s="4">
        <v>46112.999988425923</v>
      </c>
    </row>
    <row r="561" spans="1:34" x14ac:dyDescent="0.3">
      <c r="A561" s="4">
        <v>46112</v>
      </c>
      <c r="B561" s="4">
        <v>46112</v>
      </c>
      <c r="C561" s="7" t="s">
        <v>35</v>
      </c>
      <c r="D561" s="7" t="s">
        <v>36</v>
      </c>
      <c r="E561" s="7" t="s">
        <v>36</v>
      </c>
      <c r="F561" s="7" t="s">
        <v>36</v>
      </c>
      <c r="G561" s="7" t="s">
        <v>37</v>
      </c>
      <c r="K561" s="7" t="s">
        <v>38</v>
      </c>
      <c r="L561" s="7" t="s">
        <v>39</v>
      </c>
      <c r="M561" s="7" t="s">
        <v>40</v>
      </c>
      <c r="N561" s="7" t="s">
        <v>41</v>
      </c>
      <c r="R561" s="7" t="s">
        <v>54</v>
      </c>
      <c r="T561" s="8">
        <v>437150.89299899997</v>
      </c>
      <c r="U561" s="8">
        <v>-437150.89299899997</v>
      </c>
      <c r="V561" s="7" t="s">
        <v>56</v>
      </c>
      <c r="W561" s="7" t="s">
        <v>2620</v>
      </c>
      <c r="X561" s="7" t="s">
        <v>2618</v>
      </c>
      <c r="Y561" s="7" t="s">
        <v>1691</v>
      </c>
      <c r="AA561" s="7" t="s">
        <v>2617</v>
      </c>
      <c r="AB561" s="7">
        <v>11</v>
      </c>
      <c r="AC561" s="7" t="s">
        <v>53</v>
      </c>
      <c r="AD561" s="7" t="s">
        <v>1053</v>
      </c>
      <c r="AF561" s="7" t="s">
        <v>44</v>
      </c>
      <c r="AH561" s="4">
        <v>46112.999988425923</v>
      </c>
    </row>
    <row r="562" spans="1:34" x14ac:dyDescent="0.3">
      <c r="A562" s="4">
        <v>46113</v>
      </c>
      <c r="B562" s="4">
        <v>46113</v>
      </c>
      <c r="C562" s="7" t="s">
        <v>35</v>
      </c>
      <c r="D562" s="7" t="s">
        <v>36</v>
      </c>
      <c r="E562" s="7" t="s">
        <v>36</v>
      </c>
      <c r="F562" s="7" t="s">
        <v>36</v>
      </c>
      <c r="G562" s="7" t="s">
        <v>37</v>
      </c>
      <c r="K562" s="7" t="s">
        <v>38</v>
      </c>
      <c r="L562" s="7" t="s">
        <v>39</v>
      </c>
      <c r="M562" s="7" t="s">
        <v>40</v>
      </c>
      <c r="N562" s="7" t="s">
        <v>41</v>
      </c>
      <c r="R562" s="7" t="s">
        <v>54</v>
      </c>
      <c r="S562" s="8">
        <v>437150.89</v>
      </c>
      <c r="U562" s="8">
        <v>437150.89</v>
      </c>
      <c r="V562" s="7" t="s">
        <v>56</v>
      </c>
      <c r="W562" s="7" t="s">
        <v>2620</v>
      </c>
      <c r="X562" s="7" t="s">
        <v>2618</v>
      </c>
      <c r="Y562" s="7" t="s">
        <v>1691</v>
      </c>
      <c r="AA562" s="7" t="s">
        <v>2617</v>
      </c>
      <c r="AB562" s="7">
        <v>11</v>
      </c>
      <c r="AC562" s="7" t="s">
        <v>55</v>
      </c>
      <c r="AD562" s="7" t="s">
        <v>1054</v>
      </c>
      <c r="AF562" s="7" t="s">
        <v>44</v>
      </c>
      <c r="AH562" s="4">
        <v>46142.999988425923</v>
      </c>
    </row>
    <row r="563" spans="1:34" x14ac:dyDescent="0.3">
      <c r="A563" s="4">
        <v>46113</v>
      </c>
      <c r="B563" s="4">
        <v>46113</v>
      </c>
      <c r="C563" s="7" t="s">
        <v>35</v>
      </c>
      <c r="D563" s="7" t="s">
        <v>36</v>
      </c>
      <c r="E563" s="7" t="s">
        <v>36</v>
      </c>
      <c r="F563" s="7" t="s">
        <v>36</v>
      </c>
      <c r="G563" s="7" t="s">
        <v>37</v>
      </c>
      <c r="K563" s="7" t="s">
        <v>38</v>
      </c>
      <c r="L563" s="7" t="s">
        <v>39</v>
      </c>
      <c r="M563" s="7" t="s">
        <v>40</v>
      </c>
      <c r="N563" s="7" t="s">
        <v>41</v>
      </c>
      <c r="R563" s="7" t="s">
        <v>45</v>
      </c>
      <c r="T563" s="8">
        <v>437150.89</v>
      </c>
      <c r="U563" s="8">
        <v>-437150.89</v>
      </c>
      <c r="V563" s="7" t="s">
        <v>56</v>
      </c>
      <c r="W563" s="7" t="s">
        <v>2620</v>
      </c>
      <c r="X563" s="7" t="s">
        <v>2618</v>
      </c>
      <c r="Y563" s="7" t="s">
        <v>1691</v>
      </c>
      <c r="AA563" s="7" t="s">
        <v>2617</v>
      </c>
      <c r="AB563" s="7">
        <v>11</v>
      </c>
      <c r="AC563" s="7" t="s">
        <v>55</v>
      </c>
      <c r="AD563" s="7" t="s">
        <v>1056</v>
      </c>
      <c r="AF563" s="7" t="s">
        <v>44</v>
      </c>
      <c r="AH563" s="4">
        <v>46142.999988425923</v>
      </c>
    </row>
    <row r="564" spans="1:34" x14ac:dyDescent="0.3">
      <c r="A564" s="4">
        <v>46113</v>
      </c>
      <c r="B564" s="4">
        <v>46142</v>
      </c>
      <c r="C564" s="7" t="s">
        <v>46</v>
      </c>
      <c r="D564" s="7" t="s">
        <v>36</v>
      </c>
      <c r="E564" s="7" t="s">
        <v>36</v>
      </c>
      <c r="F564" s="7" t="s">
        <v>36</v>
      </c>
      <c r="G564" s="7" t="s">
        <v>37</v>
      </c>
      <c r="K564" s="7" t="s">
        <v>38</v>
      </c>
      <c r="L564" s="7" t="s">
        <v>39</v>
      </c>
      <c r="M564" s="7" t="s">
        <v>38</v>
      </c>
      <c r="N564" s="7" t="s">
        <v>41</v>
      </c>
      <c r="R564" s="7" t="s">
        <v>49</v>
      </c>
      <c r="S564" s="8">
        <v>2550.0468580000002</v>
      </c>
      <c r="U564" s="8">
        <v>2550.0468580000002</v>
      </c>
      <c r="V564" s="7" t="s">
        <v>56</v>
      </c>
      <c r="W564" s="7" t="s">
        <v>57</v>
      </c>
      <c r="X564" s="7" t="s">
        <v>2618</v>
      </c>
      <c r="Y564" s="7" t="s">
        <v>1691</v>
      </c>
      <c r="AA564" s="7" t="s">
        <v>2617</v>
      </c>
      <c r="AB564" s="7">
        <v>12</v>
      </c>
      <c r="AC564" s="7" t="s">
        <v>57</v>
      </c>
      <c r="AD564" s="7" t="s">
        <v>1057</v>
      </c>
      <c r="AF564" s="7" t="s">
        <v>44</v>
      </c>
      <c r="AH564" s="4">
        <v>46142.999988425923</v>
      </c>
    </row>
    <row r="565" spans="1:34" x14ac:dyDescent="0.3">
      <c r="A565" s="4">
        <v>46113</v>
      </c>
      <c r="B565" s="4">
        <v>46142</v>
      </c>
      <c r="C565" s="7" t="s">
        <v>46</v>
      </c>
      <c r="D565" s="7" t="s">
        <v>36</v>
      </c>
      <c r="E565" s="7" t="s">
        <v>36</v>
      </c>
      <c r="F565" s="7" t="s">
        <v>36</v>
      </c>
      <c r="G565" s="7" t="s">
        <v>37</v>
      </c>
      <c r="K565" s="7" t="s">
        <v>38</v>
      </c>
      <c r="L565" s="7" t="s">
        <v>39</v>
      </c>
      <c r="M565" s="7" t="s">
        <v>40</v>
      </c>
      <c r="N565" s="7" t="s">
        <v>41</v>
      </c>
      <c r="R565" s="7" t="s">
        <v>45</v>
      </c>
      <c r="S565" s="8">
        <v>47449.953141999998</v>
      </c>
      <c r="U565" s="8">
        <v>47449.953141999998</v>
      </c>
      <c r="V565" s="7" t="s">
        <v>56</v>
      </c>
      <c r="W565" s="7" t="s">
        <v>57</v>
      </c>
      <c r="X565" s="7" t="s">
        <v>2618</v>
      </c>
      <c r="Y565" s="7" t="s">
        <v>1691</v>
      </c>
      <c r="AA565" s="7" t="s">
        <v>2617</v>
      </c>
      <c r="AB565" s="7">
        <v>12</v>
      </c>
      <c r="AC565" s="7" t="s">
        <v>57</v>
      </c>
      <c r="AD565" s="7" t="s">
        <v>1059</v>
      </c>
      <c r="AF565" s="7" t="s">
        <v>44</v>
      </c>
      <c r="AH565" s="4">
        <v>46142.999988425923</v>
      </c>
    </row>
    <row r="566" spans="1:34" x14ac:dyDescent="0.3">
      <c r="A566" s="4">
        <v>46113</v>
      </c>
      <c r="B566" s="4">
        <v>46142</v>
      </c>
      <c r="C566" s="7" t="s">
        <v>46</v>
      </c>
      <c r="D566" s="7" t="s">
        <v>36</v>
      </c>
      <c r="E566" s="7" t="s">
        <v>36</v>
      </c>
      <c r="F566" s="7" t="s">
        <v>36</v>
      </c>
      <c r="G566" s="7" t="s">
        <v>37</v>
      </c>
      <c r="K566" s="7" t="s">
        <v>38</v>
      </c>
      <c r="L566" s="7" t="s">
        <v>39</v>
      </c>
      <c r="M566" s="7" t="s">
        <v>40</v>
      </c>
      <c r="N566" s="7" t="s">
        <v>41</v>
      </c>
      <c r="R566" s="7" t="s">
        <v>58</v>
      </c>
      <c r="T566" s="8">
        <v>50000</v>
      </c>
      <c r="U566" s="8">
        <v>-50000</v>
      </c>
      <c r="V566" s="7" t="s">
        <v>56</v>
      </c>
      <c r="W566" s="7" t="s">
        <v>57</v>
      </c>
      <c r="X566" s="7" t="s">
        <v>2618</v>
      </c>
      <c r="Y566" s="7" t="s">
        <v>1691</v>
      </c>
      <c r="AA566" s="7" t="s">
        <v>2617</v>
      </c>
      <c r="AB566" s="7">
        <v>12</v>
      </c>
      <c r="AC566" s="7" t="s">
        <v>57</v>
      </c>
      <c r="AD566" s="7" t="s">
        <v>1060</v>
      </c>
      <c r="AF566" s="7" t="s">
        <v>44</v>
      </c>
      <c r="AH566" s="4">
        <v>46142.999988425923</v>
      </c>
    </row>
    <row r="567" spans="1:34" x14ac:dyDescent="0.3">
      <c r="A567" s="4">
        <v>46142</v>
      </c>
      <c r="B567" s="4">
        <v>46142</v>
      </c>
      <c r="C567" s="7" t="s">
        <v>46</v>
      </c>
      <c r="D567" s="7" t="s">
        <v>36</v>
      </c>
      <c r="E567" s="7" t="s">
        <v>36</v>
      </c>
      <c r="F567" s="7" t="s">
        <v>36</v>
      </c>
      <c r="G567" s="7" t="s">
        <v>37</v>
      </c>
      <c r="K567" s="7" t="s">
        <v>38</v>
      </c>
      <c r="L567" s="7" t="s">
        <v>39</v>
      </c>
      <c r="M567" s="7" t="s">
        <v>40</v>
      </c>
      <c r="N567" s="7" t="s">
        <v>41</v>
      </c>
      <c r="R567" s="7" t="s">
        <v>47</v>
      </c>
      <c r="S567" s="8">
        <v>2273.2554639999998</v>
      </c>
      <c r="U567" s="8">
        <v>2273.2554639999998</v>
      </c>
      <c r="V567" s="7" t="s">
        <v>56</v>
      </c>
      <c r="W567" s="7" t="s">
        <v>2621</v>
      </c>
      <c r="X567" s="7" t="s">
        <v>2618</v>
      </c>
      <c r="Y567" s="7" t="s">
        <v>1691</v>
      </c>
      <c r="AA567" s="7" t="s">
        <v>2617</v>
      </c>
      <c r="AB567" s="7">
        <v>8</v>
      </c>
      <c r="AC567" s="7" t="s">
        <v>48</v>
      </c>
      <c r="AD567" s="7" t="s">
        <v>1061</v>
      </c>
      <c r="AF567" s="7" t="s">
        <v>44</v>
      </c>
      <c r="AH567" s="4">
        <v>46142.999988425923</v>
      </c>
    </row>
    <row r="568" spans="1:34" x14ac:dyDescent="0.3">
      <c r="A568" s="4">
        <v>46142</v>
      </c>
      <c r="B568" s="4">
        <v>46142</v>
      </c>
      <c r="C568" s="7" t="s">
        <v>46</v>
      </c>
      <c r="D568" s="7" t="s">
        <v>36</v>
      </c>
      <c r="E568" s="7" t="s">
        <v>36</v>
      </c>
      <c r="F568" s="7" t="s">
        <v>36</v>
      </c>
      <c r="G568" s="7" t="s">
        <v>37</v>
      </c>
      <c r="K568" s="7" t="s">
        <v>38</v>
      </c>
      <c r="L568" s="7" t="s">
        <v>39</v>
      </c>
      <c r="M568" s="7" t="s">
        <v>38</v>
      </c>
      <c r="N568" s="7" t="s">
        <v>41</v>
      </c>
      <c r="R568" s="7" t="s">
        <v>49</v>
      </c>
      <c r="T568" s="8">
        <v>2273.2554639999998</v>
      </c>
      <c r="U568" s="8">
        <v>-2273.2554639999998</v>
      </c>
      <c r="V568" s="7" t="s">
        <v>56</v>
      </c>
      <c r="W568" s="7" t="s">
        <v>2621</v>
      </c>
      <c r="X568" s="7" t="s">
        <v>2618</v>
      </c>
      <c r="Y568" s="7" t="s">
        <v>1691</v>
      </c>
      <c r="AA568" s="7" t="s">
        <v>2617</v>
      </c>
      <c r="AB568" s="7">
        <v>8</v>
      </c>
      <c r="AC568" s="7" t="s">
        <v>48</v>
      </c>
      <c r="AD568" s="7" t="s">
        <v>1063</v>
      </c>
      <c r="AF568" s="7" t="s">
        <v>44</v>
      </c>
      <c r="AH568" s="4">
        <v>46142.999988425923</v>
      </c>
    </row>
    <row r="569" spans="1:34" x14ac:dyDescent="0.3">
      <c r="A569" s="4">
        <v>46142</v>
      </c>
      <c r="B569" s="4">
        <v>44562</v>
      </c>
      <c r="C569" s="7" t="s">
        <v>35</v>
      </c>
      <c r="D569" s="7" t="s">
        <v>36</v>
      </c>
      <c r="E569" s="7" t="s">
        <v>36</v>
      </c>
      <c r="F569" s="7" t="s">
        <v>36</v>
      </c>
      <c r="G569" s="7" t="s">
        <v>37</v>
      </c>
      <c r="K569" s="7" t="s">
        <v>38</v>
      </c>
      <c r="L569" s="7" t="s">
        <v>39</v>
      </c>
      <c r="M569" s="7" t="s">
        <v>40</v>
      </c>
      <c r="N569" s="7" t="s">
        <v>41</v>
      </c>
      <c r="R569" s="7" t="s">
        <v>50</v>
      </c>
      <c r="S569" s="8">
        <v>42330.49</v>
      </c>
      <c r="U569" s="8">
        <v>42330.49</v>
      </c>
      <c r="V569" s="7" t="s">
        <v>56</v>
      </c>
      <c r="W569" s="7" t="s">
        <v>2619</v>
      </c>
      <c r="X569" s="7" t="s">
        <v>2618</v>
      </c>
      <c r="Y569" s="7" t="s">
        <v>1691</v>
      </c>
      <c r="AA569" s="7" t="s">
        <v>2617</v>
      </c>
      <c r="AB569" s="7">
        <v>10</v>
      </c>
      <c r="AC569" s="7" t="s">
        <v>51</v>
      </c>
      <c r="AD569" s="7" t="s">
        <v>1064</v>
      </c>
      <c r="AF569" s="7" t="s">
        <v>44</v>
      </c>
      <c r="AH569" s="4">
        <v>46142.999988425923</v>
      </c>
    </row>
    <row r="570" spans="1:34" x14ac:dyDescent="0.3">
      <c r="A570" s="4">
        <v>46142</v>
      </c>
      <c r="B570" s="4">
        <v>44562</v>
      </c>
      <c r="C570" s="7" t="s">
        <v>35</v>
      </c>
      <c r="D570" s="7" t="s">
        <v>36</v>
      </c>
      <c r="E570" s="7" t="s">
        <v>36</v>
      </c>
      <c r="F570" s="7" t="s">
        <v>36</v>
      </c>
      <c r="G570" s="7" t="s">
        <v>37</v>
      </c>
      <c r="K570" s="7" t="s">
        <v>38</v>
      </c>
      <c r="L570" s="7" t="s">
        <v>39</v>
      </c>
      <c r="M570" s="7" t="s">
        <v>40</v>
      </c>
      <c r="N570" s="7" t="s">
        <v>41</v>
      </c>
      <c r="R570" s="7" t="s">
        <v>52</v>
      </c>
      <c r="T570" s="8">
        <v>42330.49</v>
      </c>
      <c r="U570" s="8">
        <v>-42330.49</v>
      </c>
      <c r="V570" s="7" t="s">
        <v>56</v>
      </c>
      <c r="W570" s="7" t="s">
        <v>2619</v>
      </c>
      <c r="X570" s="7" t="s">
        <v>2618</v>
      </c>
      <c r="Y570" s="7" t="s">
        <v>1691</v>
      </c>
      <c r="AA570" s="7" t="s">
        <v>2617</v>
      </c>
      <c r="AB570" s="7">
        <v>10</v>
      </c>
      <c r="AC570" s="7" t="s">
        <v>51</v>
      </c>
      <c r="AD570" s="7" t="s">
        <v>1066</v>
      </c>
      <c r="AF570" s="7" t="s">
        <v>44</v>
      </c>
      <c r="AH570" s="4">
        <v>46142.999988425923</v>
      </c>
    </row>
    <row r="571" spans="1:34" x14ac:dyDescent="0.3">
      <c r="A571" s="4">
        <v>46142</v>
      </c>
      <c r="B571" s="4">
        <v>46142</v>
      </c>
      <c r="C571" s="7" t="s">
        <v>35</v>
      </c>
      <c r="D571" s="7" t="s">
        <v>36</v>
      </c>
      <c r="E571" s="7" t="s">
        <v>36</v>
      </c>
      <c r="F571" s="7" t="s">
        <v>36</v>
      </c>
      <c r="G571" s="7" t="s">
        <v>37</v>
      </c>
      <c r="K571" s="7" t="s">
        <v>38</v>
      </c>
      <c r="L571" s="7" t="s">
        <v>39</v>
      </c>
      <c r="M571" s="7" t="s">
        <v>40</v>
      </c>
      <c r="N571" s="7" t="s">
        <v>41</v>
      </c>
      <c r="R571" s="7" t="s">
        <v>45</v>
      </c>
      <c r="S571" s="8">
        <v>389700.936858</v>
      </c>
      <c r="U571" s="8">
        <v>389700.936858</v>
      </c>
      <c r="V571" s="7" t="s">
        <v>56</v>
      </c>
      <c r="W571" s="7" t="s">
        <v>2620</v>
      </c>
      <c r="X571" s="7" t="s">
        <v>2618</v>
      </c>
      <c r="Y571" s="7" t="s">
        <v>1691</v>
      </c>
      <c r="AA571" s="7" t="s">
        <v>2617</v>
      </c>
      <c r="AB571" s="7">
        <v>11</v>
      </c>
      <c r="AC571" s="7" t="s">
        <v>53</v>
      </c>
      <c r="AD571" s="7" t="s">
        <v>1067</v>
      </c>
      <c r="AF571" s="7" t="s">
        <v>44</v>
      </c>
      <c r="AH571" s="4">
        <v>46142.999988425923</v>
      </c>
    </row>
    <row r="572" spans="1:34" x14ac:dyDescent="0.3">
      <c r="A572" s="4">
        <v>46142</v>
      </c>
      <c r="B572" s="4">
        <v>46142</v>
      </c>
      <c r="C572" s="7" t="s">
        <v>35</v>
      </c>
      <c r="D572" s="7" t="s">
        <v>36</v>
      </c>
      <c r="E572" s="7" t="s">
        <v>36</v>
      </c>
      <c r="F572" s="7" t="s">
        <v>36</v>
      </c>
      <c r="G572" s="7" t="s">
        <v>37</v>
      </c>
      <c r="K572" s="7" t="s">
        <v>38</v>
      </c>
      <c r="L572" s="7" t="s">
        <v>39</v>
      </c>
      <c r="M572" s="7" t="s">
        <v>40</v>
      </c>
      <c r="N572" s="7" t="s">
        <v>41</v>
      </c>
      <c r="R572" s="7" t="s">
        <v>54</v>
      </c>
      <c r="T572" s="8">
        <v>389700.936858</v>
      </c>
      <c r="U572" s="8">
        <v>-389700.936858</v>
      </c>
      <c r="V572" s="7" t="s">
        <v>56</v>
      </c>
      <c r="W572" s="7" t="s">
        <v>2620</v>
      </c>
      <c r="X572" s="7" t="s">
        <v>2618</v>
      </c>
      <c r="Y572" s="7" t="s">
        <v>1691</v>
      </c>
      <c r="AA572" s="7" t="s">
        <v>2617</v>
      </c>
      <c r="AB572" s="7">
        <v>11</v>
      </c>
      <c r="AC572" s="7" t="s">
        <v>53</v>
      </c>
      <c r="AD572" s="7" t="s">
        <v>1069</v>
      </c>
      <c r="AF572" s="7" t="s">
        <v>44</v>
      </c>
      <c r="AH572" s="4">
        <v>46142.999988425923</v>
      </c>
    </row>
    <row r="573" spans="1:34" x14ac:dyDescent="0.3">
      <c r="A573" s="4">
        <v>46143</v>
      </c>
      <c r="B573" s="4">
        <v>46143</v>
      </c>
      <c r="C573" s="7" t="s">
        <v>35</v>
      </c>
      <c r="D573" s="7" t="s">
        <v>36</v>
      </c>
      <c r="E573" s="7" t="s">
        <v>36</v>
      </c>
      <c r="F573" s="7" t="s">
        <v>36</v>
      </c>
      <c r="G573" s="7" t="s">
        <v>37</v>
      </c>
      <c r="K573" s="7" t="s">
        <v>38</v>
      </c>
      <c r="L573" s="7" t="s">
        <v>39</v>
      </c>
      <c r="M573" s="7" t="s">
        <v>40</v>
      </c>
      <c r="N573" s="7" t="s">
        <v>41</v>
      </c>
      <c r="R573" s="7" t="s">
        <v>54</v>
      </c>
      <c r="S573" s="8">
        <v>389700.94</v>
      </c>
      <c r="U573" s="8">
        <v>389700.94</v>
      </c>
      <c r="V573" s="7" t="s">
        <v>56</v>
      </c>
      <c r="W573" s="7" t="s">
        <v>2620</v>
      </c>
      <c r="X573" s="7" t="s">
        <v>2618</v>
      </c>
      <c r="Y573" s="7" t="s">
        <v>1691</v>
      </c>
      <c r="AA573" s="7" t="s">
        <v>2617</v>
      </c>
      <c r="AB573" s="7">
        <v>11</v>
      </c>
      <c r="AC573" s="7" t="s">
        <v>55</v>
      </c>
      <c r="AD573" s="7" t="s">
        <v>1070</v>
      </c>
      <c r="AF573" s="7" t="s">
        <v>44</v>
      </c>
      <c r="AH573" s="4">
        <v>46173.999988425923</v>
      </c>
    </row>
    <row r="574" spans="1:34" x14ac:dyDescent="0.3">
      <c r="A574" s="4">
        <v>46143</v>
      </c>
      <c r="B574" s="4">
        <v>46143</v>
      </c>
      <c r="C574" s="7" t="s">
        <v>35</v>
      </c>
      <c r="D574" s="7" t="s">
        <v>36</v>
      </c>
      <c r="E574" s="7" t="s">
        <v>36</v>
      </c>
      <c r="F574" s="7" t="s">
        <v>36</v>
      </c>
      <c r="G574" s="7" t="s">
        <v>37</v>
      </c>
      <c r="K574" s="7" t="s">
        <v>38</v>
      </c>
      <c r="L574" s="7" t="s">
        <v>39</v>
      </c>
      <c r="M574" s="7" t="s">
        <v>40</v>
      </c>
      <c r="N574" s="7" t="s">
        <v>41</v>
      </c>
      <c r="R574" s="7" t="s">
        <v>45</v>
      </c>
      <c r="T574" s="8">
        <v>389700.94</v>
      </c>
      <c r="U574" s="8">
        <v>-389700.94</v>
      </c>
      <c r="V574" s="7" t="s">
        <v>56</v>
      </c>
      <c r="W574" s="7" t="s">
        <v>2620</v>
      </c>
      <c r="X574" s="7" t="s">
        <v>2618</v>
      </c>
      <c r="Y574" s="7" t="s">
        <v>1691</v>
      </c>
      <c r="AA574" s="7" t="s">
        <v>2617</v>
      </c>
      <c r="AB574" s="7">
        <v>11</v>
      </c>
      <c r="AC574" s="7" t="s">
        <v>55</v>
      </c>
      <c r="AD574" s="7" t="s">
        <v>1072</v>
      </c>
      <c r="AF574" s="7" t="s">
        <v>44</v>
      </c>
      <c r="AH574" s="4">
        <v>46173.999988425923</v>
      </c>
    </row>
    <row r="575" spans="1:34" x14ac:dyDescent="0.3">
      <c r="A575" s="4">
        <v>46143</v>
      </c>
      <c r="B575" s="4">
        <v>46173</v>
      </c>
      <c r="C575" s="7" t="s">
        <v>46</v>
      </c>
      <c r="D575" s="7" t="s">
        <v>36</v>
      </c>
      <c r="E575" s="7" t="s">
        <v>36</v>
      </c>
      <c r="F575" s="7" t="s">
        <v>36</v>
      </c>
      <c r="G575" s="7" t="s">
        <v>37</v>
      </c>
      <c r="K575" s="7" t="s">
        <v>38</v>
      </c>
      <c r="L575" s="7" t="s">
        <v>39</v>
      </c>
      <c r="M575" s="7" t="s">
        <v>38</v>
      </c>
      <c r="N575" s="7" t="s">
        <v>41</v>
      </c>
      <c r="R575" s="7" t="s">
        <v>49</v>
      </c>
      <c r="S575" s="8">
        <v>2273.2554639999998</v>
      </c>
      <c r="U575" s="8">
        <v>2273.2554639999998</v>
      </c>
      <c r="V575" s="7" t="s">
        <v>56</v>
      </c>
      <c r="W575" s="7" t="s">
        <v>57</v>
      </c>
      <c r="X575" s="7" t="s">
        <v>2618</v>
      </c>
      <c r="Y575" s="7" t="s">
        <v>1691</v>
      </c>
      <c r="AA575" s="7" t="s">
        <v>2617</v>
      </c>
      <c r="AB575" s="7">
        <v>12</v>
      </c>
      <c r="AC575" s="7" t="s">
        <v>57</v>
      </c>
      <c r="AD575" s="7" t="s">
        <v>1073</v>
      </c>
      <c r="AF575" s="7" t="s">
        <v>44</v>
      </c>
      <c r="AH575" s="4">
        <v>46173.999988425923</v>
      </c>
    </row>
    <row r="576" spans="1:34" x14ac:dyDescent="0.3">
      <c r="A576" s="4">
        <v>46143</v>
      </c>
      <c r="B576" s="4">
        <v>46173</v>
      </c>
      <c r="C576" s="7" t="s">
        <v>46</v>
      </c>
      <c r="D576" s="7" t="s">
        <v>36</v>
      </c>
      <c r="E576" s="7" t="s">
        <v>36</v>
      </c>
      <c r="F576" s="7" t="s">
        <v>36</v>
      </c>
      <c r="G576" s="7" t="s">
        <v>37</v>
      </c>
      <c r="K576" s="7" t="s">
        <v>38</v>
      </c>
      <c r="L576" s="7" t="s">
        <v>39</v>
      </c>
      <c r="M576" s="7" t="s">
        <v>40</v>
      </c>
      <c r="N576" s="7" t="s">
        <v>41</v>
      </c>
      <c r="R576" s="7" t="s">
        <v>45</v>
      </c>
      <c r="S576" s="8">
        <v>47726.744535999998</v>
      </c>
      <c r="U576" s="8">
        <v>47726.744535999998</v>
      </c>
      <c r="V576" s="7" t="s">
        <v>56</v>
      </c>
      <c r="W576" s="7" t="s">
        <v>57</v>
      </c>
      <c r="X576" s="7" t="s">
        <v>2618</v>
      </c>
      <c r="Y576" s="7" t="s">
        <v>1691</v>
      </c>
      <c r="AA576" s="7" t="s">
        <v>2617</v>
      </c>
      <c r="AB576" s="7">
        <v>12</v>
      </c>
      <c r="AC576" s="7" t="s">
        <v>57</v>
      </c>
      <c r="AD576" s="7" t="s">
        <v>1075</v>
      </c>
      <c r="AF576" s="7" t="s">
        <v>44</v>
      </c>
      <c r="AH576" s="4">
        <v>46173.999988425923</v>
      </c>
    </row>
    <row r="577" spans="1:34" x14ac:dyDescent="0.3">
      <c r="A577" s="4">
        <v>46143</v>
      </c>
      <c r="B577" s="4">
        <v>46173</v>
      </c>
      <c r="C577" s="7" t="s">
        <v>46</v>
      </c>
      <c r="D577" s="7" t="s">
        <v>36</v>
      </c>
      <c r="E577" s="7" t="s">
        <v>36</v>
      </c>
      <c r="F577" s="7" t="s">
        <v>36</v>
      </c>
      <c r="G577" s="7" t="s">
        <v>37</v>
      </c>
      <c r="K577" s="7" t="s">
        <v>38</v>
      </c>
      <c r="L577" s="7" t="s">
        <v>39</v>
      </c>
      <c r="M577" s="7" t="s">
        <v>40</v>
      </c>
      <c r="N577" s="7" t="s">
        <v>41</v>
      </c>
      <c r="R577" s="7" t="s">
        <v>58</v>
      </c>
      <c r="T577" s="8">
        <v>50000</v>
      </c>
      <c r="U577" s="8">
        <v>-50000</v>
      </c>
      <c r="V577" s="7" t="s">
        <v>56</v>
      </c>
      <c r="W577" s="7" t="s">
        <v>57</v>
      </c>
      <c r="X577" s="7" t="s">
        <v>2618</v>
      </c>
      <c r="Y577" s="7" t="s">
        <v>1691</v>
      </c>
      <c r="AA577" s="7" t="s">
        <v>2617</v>
      </c>
      <c r="AB577" s="7">
        <v>12</v>
      </c>
      <c r="AC577" s="7" t="s">
        <v>57</v>
      </c>
      <c r="AD577" s="7" t="s">
        <v>1076</v>
      </c>
      <c r="AF577" s="7" t="s">
        <v>44</v>
      </c>
      <c r="AH577" s="4">
        <v>46173.999988425923</v>
      </c>
    </row>
    <row r="578" spans="1:34" x14ac:dyDescent="0.3">
      <c r="A578" s="4">
        <v>46173</v>
      </c>
      <c r="B578" s="4">
        <v>46173</v>
      </c>
      <c r="C578" s="7" t="s">
        <v>46</v>
      </c>
      <c r="D578" s="7" t="s">
        <v>36</v>
      </c>
      <c r="E578" s="7" t="s">
        <v>36</v>
      </c>
      <c r="F578" s="7" t="s">
        <v>36</v>
      </c>
      <c r="G578" s="7" t="s">
        <v>37</v>
      </c>
      <c r="K578" s="7" t="s">
        <v>38</v>
      </c>
      <c r="L578" s="7" t="s">
        <v>39</v>
      </c>
      <c r="M578" s="7" t="s">
        <v>40</v>
      </c>
      <c r="N578" s="7" t="s">
        <v>41</v>
      </c>
      <c r="R578" s="7" t="s">
        <v>47</v>
      </c>
      <c r="S578" s="8">
        <v>1994.849455</v>
      </c>
      <c r="U578" s="8">
        <v>1994.849455</v>
      </c>
      <c r="V578" s="7" t="s">
        <v>56</v>
      </c>
      <c r="W578" s="7" t="s">
        <v>2621</v>
      </c>
      <c r="X578" s="7" t="s">
        <v>2618</v>
      </c>
      <c r="Y578" s="7" t="s">
        <v>1691</v>
      </c>
      <c r="AA578" s="7" t="s">
        <v>2617</v>
      </c>
      <c r="AB578" s="7">
        <v>8</v>
      </c>
      <c r="AC578" s="7" t="s">
        <v>48</v>
      </c>
      <c r="AD578" s="7" t="s">
        <v>1077</v>
      </c>
      <c r="AF578" s="7" t="s">
        <v>44</v>
      </c>
      <c r="AH578" s="4">
        <v>46173.999988425923</v>
      </c>
    </row>
    <row r="579" spans="1:34" x14ac:dyDescent="0.3">
      <c r="A579" s="4">
        <v>46173</v>
      </c>
      <c r="B579" s="4">
        <v>46173</v>
      </c>
      <c r="C579" s="7" t="s">
        <v>46</v>
      </c>
      <c r="D579" s="7" t="s">
        <v>36</v>
      </c>
      <c r="E579" s="7" t="s">
        <v>36</v>
      </c>
      <c r="F579" s="7" t="s">
        <v>36</v>
      </c>
      <c r="G579" s="7" t="s">
        <v>37</v>
      </c>
      <c r="K579" s="7" t="s">
        <v>38</v>
      </c>
      <c r="L579" s="7" t="s">
        <v>39</v>
      </c>
      <c r="M579" s="7" t="s">
        <v>38</v>
      </c>
      <c r="N579" s="7" t="s">
        <v>41</v>
      </c>
      <c r="R579" s="7" t="s">
        <v>49</v>
      </c>
      <c r="T579" s="8">
        <v>1994.849455</v>
      </c>
      <c r="U579" s="8">
        <v>-1994.849455</v>
      </c>
      <c r="V579" s="7" t="s">
        <v>56</v>
      </c>
      <c r="W579" s="7" t="s">
        <v>2621</v>
      </c>
      <c r="X579" s="7" t="s">
        <v>2618</v>
      </c>
      <c r="Y579" s="7" t="s">
        <v>1691</v>
      </c>
      <c r="AA579" s="7" t="s">
        <v>2617</v>
      </c>
      <c r="AB579" s="7">
        <v>8</v>
      </c>
      <c r="AC579" s="7" t="s">
        <v>48</v>
      </c>
      <c r="AD579" s="7" t="s">
        <v>1079</v>
      </c>
      <c r="AF579" s="7" t="s">
        <v>44</v>
      </c>
      <c r="AH579" s="4">
        <v>46173.999988425923</v>
      </c>
    </row>
    <row r="580" spans="1:34" x14ac:dyDescent="0.3">
      <c r="A580" s="4">
        <v>46173</v>
      </c>
      <c r="B580" s="4">
        <v>44562</v>
      </c>
      <c r="C580" s="7" t="s">
        <v>35</v>
      </c>
      <c r="D580" s="7" t="s">
        <v>36</v>
      </c>
      <c r="E580" s="7" t="s">
        <v>36</v>
      </c>
      <c r="F580" s="7" t="s">
        <v>36</v>
      </c>
      <c r="G580" s="7" t="s">
        <v>37</v>
      </c>
      <c r="K580" s="7" t="s">
        <v>38</v>
      </c>
      <c r="L580" s="7" t="s">
        <v>39</v>
      </c>
      <c r="M580" s="7" t="s">
        <v>40</v>
      </c>
      <c r="N580" s="7" t="s">
        <v>41</v>
      </c>
      <c r="R580" s="7" t="s">
        <v>50</v>
      </c>
      <c r="S580" s="8">
        <v>42330.49</v>
      </c>
      <c r="U580" s="8">
        <v>42330.49</v>
      </c>
      <c r="V580" s="7" t="s">
        <v>56</v>
      </c>
      <c r="W580" s="7" t="s">
        <v>2619</v>
      </c>
      <c r="X580" s="7" t="s">
        <v>2618</v>
      </c>
      <c r="Y580" s="7" t="s">
        <v>1691</v>
      </c>
      <c r="AA580" s="7" t="s">
        <v>2617</v>
      </c>
      <c r="AB580" s="7">
        <v>10</v>
      </c>
      <c r="AC580" s="7" t="s">
        <v>51</v>
      </c>
      <c r="AD580" s="7" t="s">
        <v>1080</v>
      </c>
      <c r="AF580" s="7" t="s">
        <v>44</v>
      </c>
      <c r="AH580" s="4">
        <v>46173.999988425923</v>
      </c>
    </row>
    <row r="581" spans="1:34" x14ac:dyDescent="0.3">
      <c r="A581" s="4">
        <v>46173</v>
      </c>
      <c r="B581" s="4">
        <v>44562</v>
      </c>
      <c r="C581" s="7" t="s">
        <v>35</v>
      </c>
      <c r="D581" s="7" t="s">
        <v>36</v>
      </c>
      <c r="E581" s="7" t="s">
        <v>36</v>
      </c>
      <c r="F581" s="7" t="s">
        <v>36</v>
      </c>
      <c r="G581" s="7" t="s">
        <v>37</v>
      </c>
      <c r="K581" s="7" t="s">
        <v>38</v>
      </c>
      <c r="L581" s="7" t="s">
        <v>39</v>
      </c>
      <c r="M581" s="7" t="s">
        <v>40</v>
      </c>
      <c r="N581" s="7" t="s">
        <v>41</v>
      </c>
      <c r="R581" s="7" t="s">
        <v>52</v>
      </c>
      <c r="T581" s="8">
        <v>42330.49</v>
      </c>
      <c r="U581" s="8">
        <v>-42330.49</v>
      </c>
      <c r="V581" s="7" t="s">
        <v>56</v>
      </c>
      <c r="W581" s="7" t="s">
        <v>2619</v>
      </c>
      <c r="X581" s="7" t="s">
        <v>2618</v>
      </c>
      <c r="Y581" s="7" t="s">
        <v>1691</v>
      </c>
      <c r="AA581" s="7" t="s">
        <v>2617</v>
      </c>
      <c r="AB581" s="7">
        <v>10</v>
      </c>
      <c r="AC581" s="7" t="s">
        <v>51</v>
      </c>
      <c r="AD581" s="7" t="s">
        <v>1082</v>
      </c>
      <c r="AF581" s="7" t="s">
        <v>44</v>
      </c>
      <c r="AH581" s="4">
        <v>46173.999988425923</v>
      </c>
    </row>
    <row r="582" spans="1:34" x14ac:dyDescent="0.3">
      <c r="A582" s="4">
        <v>46173</v>
      </c>
      <c r="B582" s="4">
        <v>46173</v>
      </c>
      <c r="C582" s="7" t="s">
        <v>35</v>
      </c>
      <c r="D582" s="7" t="s">
        <v>36</v>
      </c>
      <c r="E582" s="7" t="s">
        <v>36</v>
      </c>
      <c r="F582" s="7" t="s">
        <v>36</v>
      </c>
      <c r="G582" s="7" t="s">
        <v>37</v>
      </c>
      <c r="K582" s="7" t="s">
        <v>38</v>
      </c>
      <c r="L582" s="7" t="s">
        <v>39</v>
      </c>
      <c r="M582" s="7" t="s">
        <v>40</v>
      </c>
      <c r="N582" s="7" t="s">
        <v>41</v>
      </c>
      <c r="R582" s="7" t="s">
        <v>45</v>
      </c>
      <c r="S582" s="8">
        <v>341974.19546399999</v>
      </c>
      <c r="U582" s="8">
        <v>341974.19546399999</v>
      </c>
      <c r="V582" s="7" t="s">
        <v>56</v>
      </c>
      <c r="W582" s="7" t="s">
        <v>2620</v>
      </c>
      <c r="X582" s="7" t="s">
        <v>2618</v>
      </c>
      <c r="Y582" s="7" t="s">
        <v>1691</v>
      </c>
      <c r="AA582" s="7" t="s">
        <v>2617</v>
      </c>
      <c r="AB582" s="7">
        <v>11</v>
      </c>
      <c r="AC582" s="7" t="s">
        <v>53</v>
      </c>
      <c r="AD582" s="7" t="s">
        <v>1083</v>
      </c>
      <c r="AF582" s="7" t="s">
        <v>44</v>
      </c>
      <c r="AH582" s="4">
        <v>46173.999988425923</v>
      </c>
    </row>
    <row r="583" spans="1:34" x14ac:dyDescent="0.3">
      <c r="A583" s="4">
        <v>46173</v>
      </c>
      <c r="B583" s="4">
        <v>46173</v>
      </c>
      <c r="C583" s="7" t="s">
        <v>35</v>
      </c>
      <c r="D583" s="7" t="s">
        <v>36</v>
      </c>
      <c r="E583" s="7" t="s">
        <v>36</v>
      </c>
      <c r="F583" s="7" t="s">
        <v>36</v>
      </c>
      <c r="G583" s="7" t="s">
        <v>37</v>
      </c>
      <c r="K583" s="7" t="s">
        <v>38</v>
      </c>
      <c r="L583" s="7" t="s">
        <v>39</v>
      </c>
      <c r="M583" s="7" t="s">
        <v>40</v>
      </c>
      <c r="N583" s="7" t="s">
        <v>41</v>
      </c>
      <c r="R583" s="7" t="s">
        <v>54</v>
      </c>
      <c r="T583" s="8">
        <v>341974.19546399999</v>
      </c>
      <c r="U583" s="8">
        <v>-341974.19546399999</v>
      </c>
      <c r="V583" s="7" t="s">
        <v>56</v>
      </c>
      <c r="W583" s="7" t="s">
        <v>2620</v>
      </c>
      <c r="X583" s="7" t="s">
        <v>2618</v>
      </c>
      <c r="Y583" s="7" t="s">
        <v>1691</v>
      </c>
      <c r="AA583" s="7" t="s">
        <v>2617</v>
      </c>
      <c r="AB583" s="7">
        <v>11</v>
      </c>
      <c r="AC583" s="7" t="s">
        <v>53</v>
      </c>
      <c r="AD583" s="7" t="s">
        <v>1085</v>
      </c>
      <c r="AF583" s="7" t="s">
        <v>44</v>
      </c>
      <c r="AH583" s="4">
        <v>46173.999988425923</v>
      </c>
    </row>
    <row r="584" spans="1:34" x14ac:dyDescent="0.3">
      <c r="A584" s="4">
        <v>46174</v>
      </c>
      <c r="B584" s="4">
        <v>46174</v>
      </c>
      <c r="C584" s="7" t="s">
        <v>35</v>
      </c>
      <c r="D584" s="7" t="s">
        <v>36</v>
      </c>
      <c r="E584" s="7" t="s">
        <v>36</v>
      </c>
      <c r="F584" s="7" t="s">
        <v>36</v>
      </c>
      <c r="G584" s="7" t="s">
        <v>37</v>
      </c>
      <c r="K584" s="7" t="s">
        <v>38</v>
      </c>
      <c r="L584" s="7" t="s">
        <v>39</v>
      </c>
      <c r="M584" s="7" t="s">
        <v>40</v>
      </c>
      <c r="N584" s="7" t="s">
        <v>41</v>
      </c>
      <c r="R584" s="7" t="s">
        <v>54</v>
      </c>
      <c r="S584" s="8">
        <v>341974.19</v>
      </c>
      <c r="U584" s="8">
        <v>341974.19</v>
      </c>
      <c r="V584" s="7" t="s">
        <v>56</v>
      </c>
      <c r="W584" s="7" t="s">
        <v>2620</v>
      </c>
      <c r="X584" s="7" t="s">
        <v>2618</v>
      </c>
      <c r="Y584" s="7" t="s">
        <v>1691</v>
      </c>
      <c r="AA584" s="7" t="s">
        <v>2617</v>
      </c>
      <c r="AB584" s="7">
        <v>11</v>
      </c>
      <c r="AC584" s="7" t="s">
        <v>55</v>
      </c>
      <c r="AD584" s="7" t="s">
        <v>1086</v>
      </c>
      <c r="AF584" s="7" t="s">
        <v>44</v>
      </c>
      <c r="AH584" s="4">
        <v>46203.999988425923</v>
      </c>
    </row>
    <row r="585" spans="1:34" x14ac:dyDescent="0.3">
      <c r="A585" s="4">
        <v>46174</v>
      </c>
      <c r="B585" s="4">
        <v>46174</v>
      </c>
      <c r="C585" s="7" t="s">
        <v>35</v>
      </c>
      <c r="D585" s="7" t="s">
        <v>36</v>
      </c>
      <c r="E585" s="7" t="s">
        <v>36</v>
      </c>
      <c r="F585" s="7" t="s">
        <v>36</v>
      </c>
      <c r="G585" s="7" t="s">
        <v>37</v>
      </c>
      <c r="K585" s="7" t="s">
        <v>38</v>
      </c>
      <c r="L585" s="7" t="s">
        <v>39</v>
      </c>
      <c r="M585" s="7" t="s">
        <v>40</v>
      </c>
      <c r="N585" s="7" t="s">
        <v>41</v>
      </c>
      <c r="R585" s="7" t="s">
        <v>45</v>
      </c>
      <c r="T585" s="8">
        <v>341974.19</v>
      </c>
      <c r="U585" s="8">
        <v>-341974.19</v>
      </c>
      <c r="V585" s="7" t="s">
        <v>56</v>
      </c>
      <c r="W585" s="7" t="s">
        <v>2620</v>
      </c>
      <c r="X585" s="7" t="s">
        <v>2618</v>
      </c>
      <c r="Y585" s="7" t="s">
        <v>1691</v>
      </c>
      <c r="AA585" s="7" t="s">
        <v>2617</v>
      </c>
      <c r="AB585" s="7">
        <v>11</v>
      </c>
      <c r="AC585" s="7" t="s">
        <v>55</v>
      </c>
      <c r="AD585" s="7" t="s">
        <v>1088</v>
      </c>
      <c r="AF585" s="7" t="s">
        <v>44</v>
      </c>
      <c r="AH585" s="4">
        <v>46203.999988425923</v>
      </c>
    </row>
    <row r="586" spans="1:34" x14ac:dyDescent="0.3">
      <c r="A586" s="4">
        <v>46174</v>
      </c>
      <c r="B586" s="4">
        <v>46203</v>
      </c>
      <c r="C586" s="7" t="s">
        <v>46</v>
      </c>
      <c r="D586" s="7" t="s">
        <v>36</v>
      </c>
      <c r="E586" s="7" t="s">
        <v>36</v>
      </c>
      <c r="F586" s="7" t="s">
        <v>36</v>
      </c>
      <c r="G586" s="7" t="s">
        <v>37</v>
      </c>
      <c r="K586" s="7" t="s">
        <v>38</v>
      </c>
      <c r="L586" s="7" t="s">
        <v>39</v>
      </c>
      <c r="M586" s="7" t="s">
        <v>38</v>
      </c>
      <c r="N586" s="7" t="s">
        <v>41</v>
      </c>
      <c r="R586" s="7" t="s">
        <v>49</v>
      </c>
      <c r="S586" s="8">
        <v>1994.849455</v>
      </c>
      <c r="U586" s="8">
        <v>1994.849455</v>
      </c>
      <c r="V586" s="7" t="s">
        <v>56</v>
      </c>
      <c r="W586" s="7" t="s">
        <v>57</v>
      </c>
      <c r="X586" s="7" t="s">
        <v>2618</v>
      </c>
      <c r="Y586" s="7" t="s">
        <v>1691</v>
      </c>
      <c r="AA586" s="7" t="s">
        <v>2617</v>
      </c>
      <c r="AB586" s="7">
        <v>12</v>
      </c>
      <c r="AC586" s="7" t="s">
        <v>57</v>
      </c>
      <c r="AD586" s="7" t="s">
        <v>1089</v>
      </c>
      <c r="AF586" s="7" t="s">
        <v>44</v>
      </c>
      <c r="AH586" s="4">
        <v>46203.999988425923</v>
      </c>
    </row>
    <row r="587" spans="1:34" x14ac:dyDescent="0.3">
      <c r="A587" s="4">
        <v>46174</v>
      </c>
      <c r="B587" s="4">
        <v>46203</v>
      </c>
      <c r="C587" s="7" t="s">
        <v>46</v>
      </c>
      <c r="D587" s="7" t="s">
        <v>36</v>
      </c>
      <c r="E587" s="7" t="s">
        <v>36</v>
      </c>
      <c r="F587" s="7" t="s">
        <v>36</v>
      </c>
      <c r="G587" s="7" t="s">
        <v>37</v>
      </c>
      <c r="K587" s="7" t="s">
        <v>38</v>
      </c>
      <c r="L587" s="7" t="s">
        <v>39</v>
      </c>
      <c r="M587" s="7" t="s">
        <v>40</v>
      </c>
      <c r="N587" s="7" t="s">
        <v>41</v>
      </c>
      <c r="R587" s="7" t="s">
        <v>45</v>
      </c>
      <c r="S587" s="8">
        <v>48005.150544999997</v>
      </c>
      <c r="U587" s="8">
        <v>48005.150544999997</v>
      </c>
      <c r="V587" s="7" t="s">
        <v>56</v>
      </c>
      <c r="W587" s="7" t="s">
        <v>57</v>
      </c>
      <c r="X587" s="7" t="s">
        <v>2618</v>
      </c>
      <c r="Y587" s="7" t="s">
        <v>1691</v>
      </c>
      <c r="AA587" s="7" t="s">
        <v>2617</v>
      </c>
      <c r="AB587" s="7">
        <v>12</v>
      </c>
      <c r="AC587" s="7" t="s">
        <v>57</v>
      </c>
      <c r="AD587" s="7" t="s">
        <v>1091</v>
      </c>
      <c r="AF587" s="7" t="s">
        <v>44</v>
      </c>
      <c r="AH587" s="4">
        <v>46203.999988425923</v>
      </c>
    </row>
    <row r="588" spans="1:34" x14ac:dyDescent="0.3">
      <c r="A588" s="4">
        <v>46174</v>
      </c>
      <c r="B588" s="4">
        <v>46203</v>
      </c>
      <c r="C588" s="7" t="s">
        <v>46</v>
      </c>
      <c r="D588" s="7" t="s">
        <v>36</v>
      </c>
      <c r="E588" s="7" t="s">
        <v>36</v>
      </c>
      <c r="F588" s="7" t="s">
        <v>36</v>
      </c>
      <c r="G588" s="7" t="s">
        <v>37</v>
      </c>
      <c r="K588" s="7" t="s">
        <v>38</v>
      </c>
      <c r="L588" s="7" t="s">
        <v>39</v>
      </c>
      <c r="M588" s="7" t="s">
        <v>40</v>
      </c>
      <c r="N588" s="7" t="s">
        <v>41</v>
      </c>
      <c r="R588" s="7" t="s">
        <v>58</v>
      </c>
      <c r="T588" s="8">
        <v>50000</v>
      </c>
      <c r="U588" s="8">
        <v>-50000</v>
      </c>
      <c r="V588" s="7" t="s">
        <v>56</v>
      </c>
      <c r="W588" s="7" t="s">
        <v>57</v>
      </c>
      <c r="X588" s="7" t="s">
        <v>2618</v>
      </c>
      <c r="Y588" s="7" t="s">
        <v>1691</v>
      </c>
      <c r="AA588" s="7" t="s">
        <v>2617</v>
      </c>
      <c r="AB588" s="7">
        <v>12</v>
      </c>
      <c r="AC588" s="7" t="s">
        <v>57</v>
      </c>
      <c r="AD588" s="7" t="s">
        <v>1092</v>
      </c>
      <c r="AF588" s="7" t="s">
        <v>44</v>
      </c>
      <c r="AH588" s="4">
        <v>46203.999988425923</v>
      </c>
    </row>
    <row r="589" spans="1:34" x14ac:dyDescent="0.3">
      <c r="A589" s="4">
        <v>46203</v>
      </c>
      <c r="B589" s="4">
        <v>46203</v>
      </c>
      <c r="C589" s="7" t="s">
        <v>46</v>
      </c>
      <c r="D589" s="7" t="s">
        <v>36</v>
      </c>
      <c r="E589" s="7" t="s">
        <v>36</v>
      </c>
      <c r="F589" s="7" t="s">
        <v>36</v>
      </c>
      <c r="G589" s="7" t="s">
        <v>37</v>
      </c>
      <c r="K589" s="7" t="s">
        <v>38</v>
      </c>
      <c r="L589" s="7" t="s">
        <v>39</v>
      </c>
      <c r="M589" s="7" t="s">
        <v>40</v>
      </c>
      <c r="N589" s="7" t="s">
        <v>41</v>
      </c>
      <c r="R589" s="7" t="s">
        <v>47</v>
      </c>
      <c r="S589" s="8">
        <v>1714.8194100000001</v>
      </c>
      <c r="U589" s="8">
        <v>1714.8194100000001</v>
      </c>
      <c r="V589" s="7" t="s">
        <v>56</v>
      </c>
      <c r="W589" s="7" t="s">
        <v>2621</v>
      </c>
      <c r="X589" s="7" t="s">
        <v>2618</v>
      </c>
      <c r="Y589" s="7" t="s">
        <v>1691</v>
      </c>
      <c r="AA589" s="7" t="s">
        <v>2617</v>
      </c>
      <c r="AB589" s="7">
        <v>8</v>
      </c>
      <c r="AC589" s="7" t="s">
        <v>48</v>
      </c>
      <c r="AD589" s="7" t="s">
        <v>1093</v>
      </c>
      <c r="AF589" s="7" t="s">
        <v>44</v>
      </c>
      <c r="AH589" s="4">
        <v>46203.999988425923</v>
      </c>
    </row>
    <row r="590" spans="1:34" x14ac:dyDescent="0.3">
      <c r="A590" s="4">
        <v>46203</v>
      </c>
      <c r="B590" s="4">
        <v>46203</v>
      </c>
      <c r="C590" s="7" t="s">
        <v>46</v>
      </c>
      <c r="D590" s="7" t="s">
        <v>36</v>
      </c>
      <c r="E590" s="7" t="s">
        <v>36</v>
      </c>
      <c r="F590" s="7" t="s">
        <v>36</v>
      </c>
      <c r="G590" s="7" t="s">
        <v>37</v>
      </c>
      <c r="K590" s="7" t="s">
        <v>38</v>
      </c>
      <c r="L590" s="7" t="s">
        <v>39</v>
      </c>
      <c r="M590" s="7" t="s">
        <v>38</v>
      </c>
      <c r="N590" s="7" t="s">
        <v>41</v>
      </c>
      <c r="R590" s="7" t="s">
        <v>49</v>
      </c>
      <c r="T590" s="8">
        <v>1714.8194100000001</v>
      </c>
      <c r="U590" s="8">
        <v>-1714.8194100000001</v>
      </c>
      <c r="V590" s="7" t="s">
        <v>56</v>
      </c>
      <c r="W590" s="7" t="s">
        <v>2621</v>
      </c>
      <c r="X590" s="7" t="s">
        <v>2618</v>
      </c>
      <c r="Y590" s="7" t="s">
        <v>1691</v>
      </c>
      <c r="AA590" s="7" t="s">
        <v>2617</v>
      </c>
      <c r="AB590" s="7">
        <v>8</v>
      </c>
      <c r="AC590" s="7" t="s">
        <v>48</v>
      </c>
      <c r="AD590" s="7" t="s">
        <v>1095</v>
      </c>
      <c r="AF590" s="7" t="s">
        <v>44</v>
      </c>
      <c r="AH590" s="4">
        <v>46203.999988425923</v>
      </c>
    </row>
    <row r="591" spans="1:34" x14ac:dyDescent="0.3">
      <c r="A591" s="4">
        <v>46203</v>
      </c>
      <c r="B591" s="4">
        <v>44562</v>
      </c>
      <c r="C591" s="7" t="s">
        <v>35</v>
      </c>
      <c r="D591" s="7" t="s">
        <v>36</v>
      </c>
      <c r="E591" s="7" t="s">
        <v>36</v>
      </c>
      <c r="F591" s="7" t="s">
        <v>36</v>
      </c>
      <c r="G591" s="7" t="s">
        <v>37</v>
      </c>
      <c r="K591" s="7" t="s">
        <v>38</v>
      </c>
      <c r="L591" s="7" t="s">
        <v>39</v>
      </c>
      <c r="M591" s="7" t="s">
        <v>40</v>
      </c>
      <c r="N591" s="7" t="s">
        <v>41</v>
      </c>
      <c r="R591" s="7" t="s">
        <v>50</v>
      </c>
      <c r="S591" s="8">
        <v>42330.49</v>
      </c>
      <c r="U591" s="8">
        <v>42330.49</v>
      </c>
      <c r="V591" s="7" t="s">
        <v>56</v>
      </c>
      <c r="W591" s="7" t="s">
        <v>2619</v>
      </c>
      <c r="X591" s="7" t="s">
        <v>2618</v>
      </c>
      <c r="Y591" s="7" t="s">
        <v>1691</v>
      </c>
      <c r="AA591" s="7" t="s">
        <v>2617</v>
      </c>
      <c r="AB591" s="7">
        <v>10</v>
      </c>
      <c r="AC591" s="7" t="s">
        <v>51</v>
      </c>
      <c r="AD591" s="7" t="s">
        <v>1096</v>
      </c>
      <c r="AF591" s="7" t="s">
        <v>44</v>
      </c>
      <c r="AH591" s="4">
        <v>46203.999988425923</v>
      </c>
    </row>
    <row r="592" spans="1:34" x14ac:dyDescent="0.3">
      <c r="A592" s="4">
        <v>46203</v>
      </c>
      <c r="B592" s="4">
        <v>44562</v>
      </c>
      <c r="C592" s="7" t="s">
        <v>35</v>
      </c>
      <c r="D592" s="7" t="s">
        <v>36</v>
      </c>
      <c r="E592" s="7" t="s">
        <v>36</v>
      </c>
      <c r="F592" s="7" t="s">
        <v>36</v>
      </c>
      <c r="G592" s="7" t="s">
        <v>37</v>
      </c>
      <c r="K592" s="7" t="s">
        <v>38</v>
      </c>
      <c r="L592" s="7" t="s">
        <v>39</v>
      </c>
      <c r="M592" s="7" t="s">
        <v>40</v>
      </c>
      <c r="N592" s="7" t="s">
        <v>41</v>
      </c>
      <c r="R592" s="7" t="s">
        <v>52</v>
      </c>
      <c r="T592" s="8">
        <v>42330.49</v>
      </c>
      <c r="U592" s="8">
        <v>-42330.49</v>
      </c>
      <c r="V592" s="7" t="s">
        <v>56</v>
      </c>
      <c r="W592" s="7" t="s">
        <v>2619</v>
      </c>
      <c r="X592" s="7" t="s">
        <v>2618</v>
      </c>
      <c r="Y592" s="7" t="s">
        <v>1691</v>
      </c>
      <c r="AA592" s="7" t="s">
        <v>2617</v>
      </c>
      <c r="AB592" s="7">
        <v>10</v>
      </c>
      <c r="AC592" s="7" t="s">
        <v>51</v>
      </c>
      <c r="AD592" s="7" t="s">
        <v>1098</v>
      </c>
      <c r="AF592" s="7" t="s">
        <v>44</v>
      </c>
      <c r="AH592" s="4">
        <v>46203.999988425923</v>
      </c>
    </row>
    <row r="593" spans="1:34" x14ac:dyDescent="0.3">
      <c r="A593" s="4">
        <v>46203</v>
      </c>
      <c r="B593" s="4">
        <v>46203</v>
      </c>
      <c r="C593" s="7" t="s">
        <v>35</v>
      </c>
      <c r="D593" s="7" t="s">
        <v>36</v>
      </c>
      <c r="E593" s="7" t="s">
        <v>36</v>
      </c>
      <c r="F593" s="7" t="s">
        <v>36</v>
      </c>
      <c r="G593" s="7" t="s">
        <v>37</v>
      </c>
      <c r="K593" s="7" t="s">
        <v>38</v>
      </c>
      <c r="L593" s="7" t="s">
        <v>39</v>
      </c>
      <c r="M593" s="7" t="s">
        <v>40</v>
      </c>
      <c r="N593" s="7" t="s">
        <v>41</v>
      </c>
      <c r="R593" s="7" t="s">
        <v>45</v>
      </c>
      <c r="S593" s="8">
        <v>293969.03945500002</v>
      </c>
      <c r="U593" s="8">
        <v>293969.03945500002</v>
      </c>
      <c r="V593" s="7" t="s">
        <v>56</v>
      </c>
      <c r="W593" s="7" t="s">
        <v>2620</v>
      </c>
      <c r="X593" s="7" t="s">
        <v>2618</v>
      </c>
      <c r="Y593" s="7" t="s">
        <v>1691</v>
      </c>
      <c r="AA593" s="7" t="s">
        <v>2617</v>
      </c>
      <c r="AB593" s="7">
        <v>11</v>
      </c>
      <c r="AC593" s="7" t="s">
        <v>53</v>
      </c>
      <c r="AD593" s="7" t="s">
        <v>1099</v>
      </c>
      <c r="AF593" s="7" t="s">
        <v>44</v>
      </c>
      <c r="AH593" s="4">
        <v>46203.999988425923</v>
      </c>
    </row>
    <row r="594" spans="1:34" x14ac:dyDescent="0.3">
      <c r="A594" s="4">
        <v>46203</v>
      </c>
      <c r="B594" s="4">
        <v>46203</v>
      </c>
      <c r="C594" s="7" t="s">
        <v>35</v>
      </c>
      <c r="D594" s="7" t="s">
        <v>36</v>
      </c>
      <c r="E594" s="7" t="s">
        <v>36</v>
      </c>
      <c r="F594" s="7" t="s">
        <v>36</v>
      </c>
      <c r="G594" s="7" t="s">
        <v>37</v>
      </c>
      <c r="K594" s="7" t="s">
        <v>38</v>
      </c>
      <c r="L594" s="7" t="s">
        <v>39</v>
      </c>
      <c r="M594" s="7" t="s">
        <v>40</v>
      </c>
      <c r="N594" s="7" t="s">
        <v>41</v>
      </c>
      <c r="R594" s="7" t="s">
        <v>54</v>
      </c>
      <c r="T594" s="8">
        <v>293969.03945500002</v>
      </c>
      <c r="U594" s="8">
        <v>-293969.03945500002</v>
      </c>
      <c r="V594" s="7" t="s">
        <v>56</v>
      </c>
      <c r="W594" s="7" t="s">
        <v>2620</v>
      </c>
      <c r="X594" s="7" t="s">
        <v>2618</v>
      </c>
      <c r="Y594" s="7" t="s">
        <v>1691</v>
      </c>
      <c r="AA594" s="7" t="s">
        <v>2617</v>
      </c>
      <c r="AB594" s="7">
        <v>11</v>
      </c>
      <c r="AC594" s="7" t="s">
        <v>53</v>
      </c>
      <c r="AD594" s="7" t="s">
        <v>1101</v>
      </c>
      <c r="AF594" s="7" t="s">
        <v>44</v>
      </c>
      <c r="AH594" s="4">
        <v>46203.999988425923</v>
      </c>
    </row>
    <row r="595" spans="1:34" x14ac:dyDescent="0.3">
      <c r="A595" s="4">
        <v>46204</v>
      </c>
      <c r="B595" s="4">
        <v>46204</v>
      </c>
      <c r="C595" s="7" t="s">
        <v>35</v>
      </c>
      <c r="D595" s="7" t="s">
        <v>36</v>
      </c>
      <c r="E595" s="7" t="s">
        <v>36</v>
      </c>
      <c r="F595" s="7" t="s">
        <v>36</v>
      </c>
      <c r="G595" s="7" t="s">
        <v>37</v>
      </c>
      <c r="K595" s="7" t="s">
        <v>38</v>
      </c>
      <c r="L595" s="7" t="s">
        <v>39</v>
      </c>
      <c r="M595" s="7" t="s">
        <v>40</v>
      </c>
      <c r="N595" s="7" t="s">
        <v>41</v>
      </c>
      <c r="R595" s="7" t="s">
        <v>54</v>
      </c>
      <c r="S595" s="8">
        <v>293969.03999999998</v>
      </c>
      <c r="U595" s="8">
        <v>293969.03999999998</v>
      </c>
      <c r="V595" s="7" t="s">
        <v>56</v>
      </c>
      <c r="W595" s="7" t="s">
        <v>2620</v>
      </c>
      <c r="X595" s="7" t="s">
        <v>2618</v>
      </c>
      <c r="Y595" s="7" t="s">
        <v>1691</v>
      </c>
      <c r="AA595" s="7" t="s">
        <v>2617</v>
      </c>
      <c r="AB595" s="7">
        <v>11</v>
      </c>
      <c r="AC595" s="7" t="s">
        <v>55</v>
      </c>
      <c r="AD595" s="7" t="s">
        <v>1102</v>
      </c>
      <c r="AF595" s="7" t="s">
        <v>44</v>
      </c>
      <c r="AH595" s="4">
        <v>46234.999988425923</v>
      </c>
    </row>
    <row r="596" spans="1:34" x14ac:dyDescent="0.3">
      <c r="A596" s="4">
        <v>46204</v>
      </c>
      <c r="B596" s="4">
        <v>46204</v>
      </c>
      <c r="C596" s="7" t="s">
        <v>35</v>
      </c>
      <c r="D596" s="7" t="s">
        <v>36</v>
      </c>
      <c r="E596" s="7" t="s">
        <v>36</v>
      </c>
      <c r="F596" s="7" t="s">
        <v>36</v>
      </c>
      <c r="G596" s="7" t="s">
        <v>37</v>
      </c>
      <c r="K596" s="7" t="s">
        <v>38</v>
      </c>
      <c r="L596" s="7" t="s">
        <v>39</v>
      </c>
      <c r="M596" s="7" t="s">
        <v>40</v>
      </c>
      <c r="N596" s="7" t="s">
        <v>41</v>
      </c>
      <c r="R596" s="7" t="s">
        <v>45</v>
      </c>
      <c r="T596" s="8">
        <v>293969.03999999998</v>
      </c>
      <c r="U596" s="8">
        <v>-293969.03999999998</v>
      </c>
      <c r="V596" s="7" t="s">
        <v>56</v>
      </c>
      <c r="W596" s="7" t="s">
        <v>2620</v>
      </c>
      <c r="X596" s="7" t="s">
        <v>2618</v>
      </c>
      <c r="Y596" s="7" t="s">
        <v>1691</v>
      </c>
      <c r="AA596" s="7" t="s">
        <v>2617</v>
      </c>
      <c r="AB596" s="7">
        <v>11</v>
      </c>
      <c r="AC596" s="7" t="s">
        <v>55</v>
      </c>
      <c r="AD596" s="7" t="s">
        <v>1104</v>
      </c>
      <c r="AF596" s="7" t="s">
        <v>44</v>
      </c>
      <c r="AH596" s="4">
        <v>46234.999988425923</v>
      </c>
    </row>
    <row r="597" spans="1:34" x14ac:dyDescent="0.3">
      <c r="A597" s="4">
        <v>46204</v>
      </c>
      <c r="B597" s="4">
        <v>46234</v>
      </c>
      <c r="C597" s="7" t="s">
        <v>46</v>
      </c>
      <c r="D597" s="7" t="s">
        <v>36</v>
      </c>
      <c r="E597" s="7" t="s">
        <v>36</v>
      </c>
      <c r="F597" s="7" t="s">
        <v>36</v>
      </c>
      <c r="G597" s="7" t="s">
        <v>37</v>
      </c>
      <c r="K597" s="7" t="s">
        <v>38</v>
      </c>
      <c r="L597" s="7" t="s">
        <v>39</v>
      </c>
      <c r="M597" s="7" t="s">
        <v>38</v>
      </c>
      <c r="N597" s="7" t="s">
        <v>41</v>
      </c>
      <c r="R597" s="7" t="s">
        <v>49</v>
      </c>
      <c r="S597" s="8">
        <v>1714.8194100000001</v>
      </c>
      <c r="U597" s="8">
        <v>1714.8194100000001</v>
      </c>
      <c r="V597" s="7" t="s">
        <v>56</v>
      </c>
      <c r="W597" s="7" t="s">
        <v>57</v>
      </c>
      <c r="X597" s="7" t="s">
        <v>2618</v>
      </c>
      <c r="Y597" s="7" t="s">
        <v>1691</v>
      </c>
      <c r="AA597" s="7" t="s">
        <v>2617</v>
      </c>
      <c r="AB597" s="7">
        <v>12</v>
      </c>
      <c r="AC597" s="7" t="s">
        <v>57</v>
      </c>
      <c r="AD597" s="7" t="s">
        <v>1105</v>
      </c>
      <c r="AF597" s="7" t="s">
        <v>44</v>
      </c>
      <c r="AH597" s="4">
        <v>46234.999988425923</v>
      </c>
    </row>
    <row r="598" spans="1:34" x14ac:dyDescent="0.3">
      <c r="A598" s="4">
        <v>46204</v>
      </c>
      <c r="B598" s="4">
        <v>46234</v>
      </c>
      <c r="C598" s="7" t="s">
        <v>46</v>
      </c>
      <c r="D598" s="7" t="s">
        <v>36</v>
      </c>
      <c r="E598" s="7" t="s">
        <v>36</v>
      </c>
      <c r="F598" s="7" t="s">
        <v>36</v>
      </c>
      <c r="G598" s="7" t="s">
        <v>37</v>
      </c>
      <c r="K598" s="7" t="s">
        <v>38</v>
      </c>
      <c r="L598" s="7" t="s">
        <v>39</v>
      </c>
      <c r="M598" s="7" t="s">
        <v>40</v>
      </c>
      <c r="N598" s="7" t="s">
        <v>41</v>
      </c>
      <c r="R598" s="7" t="s">
        <v>45</v>
      </c>
      <c r="S598" s="8">
        <v>48285.180590000004</v>
      </c>
      <c r="U598" s="8">
        <v>48285.180590000004</v>
      </c>
      <c r="V598" s="7" t="s">
        <v>56</v>
      </c>
      <c r="W598" s="7" t="s">
        <v>57</v>
      </c>
      <c r="X598" s="7" t="s">
        <v>2618</v>
      </c>
      <c r="Y598" s="7" t="s">
        <v>1691</v>
      </c>
      <c r="AA598" s="7" t="s">
        <v>2617</v>
      </c>
      <c r="AB598" s="7">
        <v>12</v>
      </c>
      <c r="AC598" s="7" t="s">
        <v>57</v>
      </c>
      <c r="AD598" s="7" t="s">
        <v>1107</v>
      </c>
      <c r="AF598" s="7" t="s">
        <v>44</v>
      </c>
      <c r="AH598" s="4">
        <v>46234.999988425923</v>
      </c>
    </row>
    <row r="599" spans="1:34" x14ac:dyDescent="0.3">
      <c r="A599" s="4">
        <v>46204</v>
      </c>
      <c r="B599" s="4">
        <v>46234</v>
      </c>
      <c r="C599" s="7" t="s">
        <v>46</v>
      </c>
      <c r="D599" s="7" t="s">
        <v>36</v>
      </c>
      <c r="E599" s="7" t="s">
        <v>36</v>
      </c>
      <c r="F599" s="7" t="s">
        <v>36</v>
      </c>
      <c r="G599" s="7" t="s">
        <v>37</v>
      </c>
      <c r="K599" s="7" t="s">
        <v>38</v>
      </c>
      <c r="L599" s="7" t="s">
        <v>39</v>
      </c>
      <c r="M599" s="7" t="s">
        <v>40</v>
      </c>
      <c r="N599" s="7" t="s">
        <v>41</v>
      </c>
      <c r="R599" s="7" t="s">
        <v>58</v>
      </c>
      <c r="T599" s="8">
        <v>50000</v>
      </c>
      <c r="U599" s="8">
        <v>-50000</v>
      </c>
      <c r="V599" s="7" t="s">
        <v>56</v>
      </c>
      <c r="W599" s="7" t="s">
        <v>57</v>
      </c>
      <c r="X599" s="7" t="s">
        <v>2618</v>
      </c>
      <c r="Y599" s="7" t="s">
        <v>1691</v>
      </c>
      <c r="AA599" s="7" t="s">
        <v>2617</v>
      </c>
      <c r="AB599" s="7">
        <v>12</v>
      </c>
      <c r="AC599" s="7" t="s">
        <v>57</v>
      </c>
      <c r="AD599" s="7" t="s">
        <v>1108</v>
      </c>
      <c r="AF599" s="7" t="s">
        <v>44</v>
      </c>
      <c r="AH599" s="4">
        <v>46234.999988425923</v>
      </c>
    </row>
    <row r="600" spans="1:34" x14ac:dyDescent="0.3">
      <c r="A600" s="4">
        <v>46234</v>
      </c>
      <c r="B600" s="4">
        <v>46234</v>
      </c>
      <c r="C600" s="7" t="s">
        <v>46</v>
      </c>
      <c r="D600" s="7" t="s">
        <v>36</v>
      </c>
      <c r="E600" s="7" t="s">
        <v>36</v>
      </c>
      <c r="F600" s="7" t="s">
        <v>36</v>
      </c>
      <c r="G600" s="7" t="s">
        <v>37</v>
      </c>
      <c r="K600" s="7" t="s">
        <v>38</v>
      </c>
      <c r="L600" s="7" t="s">
        <v>39</v>
      </c>
      <c r="M600" s="7" t="s">
        <v>40</v>
      </c>
      <c r="N600" s="7" t="s">
        <v>41</v>
      </c>
      <c r="R600" s="7" t="s">
        <v>47</v>
      </c>
      <c r="S600" s="8">
        <v>1433.1558560000001</v>
      </c>
      <c r="U600" s="8">
        <v>1433.1558560000001</v>
      </c>
      <c r="V600" s="7" t="s">
        <v>56</v>
      </c>
      <c r="W600" s="7" t="s">
        <v>2621</v>
      </c>
      <c r="X600" s="7" t="s">
        <v>2618</v>
      </c>
      <c r="Y600" s="7" t="s">
        <v>1691</v>
      </c>
      <c r="AA600" s="7" t="s">
        <v>2617</v>
      </c>
      <c r="AB600" s="7">
        <v>8</v>
      </c>
      <c r="AC600" s="7" t="s">
        <v>48</v>
      </c>
      <c r="AD600" s="7" t="s">
        <v>1109</v>
      </c>
      <c r="AF600" s="7" t="s">
        <v>44</v>
      </c>
      <c r="AH600" s="4">
        <v>46234.999988425923</v>
      </c>
    </row>
    <row r="601" spans="1:34" x14ac:dyDescent="0.3">
      <c r="A601" s="4">
        <v>46234</v>
      </c>
      <c r="B601" s="4">
        <v>46234</v>
      </c>
      <c r="C601" s="7" t="s">
        <v>46</v>
      </c>
      <c r="D601" s="7" t="s">
        <v>36</v>
      </c>
      <c r="E601" s="7" t="s">
        <v>36</v>
      </c>
      <c r="F601" s="7" t="s">
        <v>36</v>
      </c>
      <c r="G601" s="7" t="s">
        <v>37</v>
      </c>
      <c r="K601" s="7" t="s">
        <v>38</v>
      </c>
      <c r="L601" s="7" t="s">
        <v>39</v>
      </c>
      <c r="M601" s="7" t="s">
        <v>38</v>
      </c>
      <c r="N601" s="7" t="s">
        <v>41</v>
      </c>
      <c r="R601" s="7" t="s">
        <v>49</v>
      </c>
      <c r="T601" s="8">
        <v>1433.1558560000001</v>
      </c>
      <c r="U601" s="8">
        <v>-1433.1558560000001</v>
      </c>
      <c r="V601" s="7" t="s">
        <v>56</v>
      </c>
      <c r="W601" s="7" t="s">
        <v>2621</v>
      </c>
      <c r="X601" s="7" t="s">
        <v>2618</v>
      </c>
      <c r="Y601" s="7" t="s">
        <v>1691</v>
      </c>
      <c r="AA601" s="7" t="s">
        <v>2617</v>
      </c>
      <c r="AB601" s="7">
        <v>8</v>
      </c>
      <c r="AC601" s="7" t="s">
        <v>48</v>
      </c>
      <c r="AD601" s="7" t="s">
        <v>1111</v>
      </c>
      <c r="AF601" s="7" t="s">
        <v>44</v>
      </c>
      <c r="AH601" s="4">
        <v>46234.999988425923</v>
      </c>
    </row>
    <row r="602" spans="1:34" x14ac:dyDescent="0.3">
      <c r="A602" s="4">
        <v>46234</v>
      </c>
      <c r="B602" s="4">
        <v>44562</v>
      </c>
      <c r="C602" s="7" t="s">
        <v>35</v>
      </c>
      <c r="D602" s="7" t="s">
        <v>36</v>
      </c>
      <c r="E602" s="7" t="s">
        <v>36</v>
      </c>
      <c r="F602" s="7" t="s">
        <v>36</v>
      </c>
      <c r="G602" s="7" t="s">
        <v>37</v>
      </c>
      <c r="K602" s="7" t="s">
        <v>38</v>
      </c>
      <c r="L602" s="7" t="s">
        <v>39</v>
      </c>
      <c r="M602" s="7" t="s">
        <v>40</v>
      </c>
      <c r="N602" s="7" t="s">
        <v>41</v>
      </c>
      <c r="R602" s="7" t="s">
        <v>50</v>
      </c>
      <c r="S602" s="8">
        <v>42330.49</v>
      </c>
      <c r="U602" s="8">
        <v>42330.49</v>
      </c>
      <c r="V602" s="7" t="s">
        <v>56</v>
      </c>
      <c r="W602" s="7" t="s">
        <v>2619</v>
      </c>
      <c r="X602" s="7" t="s">
        <v>2618</v>
      </c>
      <c r="Y602" s="7" t="s">
        <v>1691</v>
      </c>
      <c r="AA602" s="7" t="s">
        <v>2617</v>
      </c>
      <c r="AB602" s="7">
        <v>10</v>
      </c>
      <c r="AC602" s="7" t="s">
        <v>51</v>
      </c>
      <c r="AD602" s="7" t="s">
        <v>1112</v>
      </c>
      <c r="AF602" s="7" t="s">
        <v>44</v>
      </c>
      <c r="AH602" s="4">
        <v>46234.999988425923</v>
      </c>
    </row>
    <row r="603" spans="1:34" x14ac:dyDescent="0.3">
      <c r="A603" s="4">
        <v>46234</v>
      </c>
      <c r="B603" s="4">
        <v>44562</v>
      </c>
      <c r="C603" s="7" t="s">
        <v>35</v>
      </c>
      <c r="D603" s="7" t="s">
        <v>36</v>
      </c>
      <c r="E603" s="7" t="s">
        <v>36</v>
      </c>
      <c r="F603" s="7" t="s">
        <v>36</v>
      </c>
      <c r="G603" s="7" t="s">
        <v>37</v>
      </c>
      <c r="K603" s="7" t="s">
        <v>38</v>
      </c>
      <c r="L603" s="7" t="s">
        <v>39</v>
      </c>
      <c r="M603" s="7" t="s">
        <v>40</v>
      </c>
      <c r="N603" s="7" t="s">
        <v>41</v>
      </c>
      <c r="R603" s="7" t="s">
        <v>52</v>
      </c>
      <c r="T603" s="8">
        <v>42330.49</v>
      </c>
      <c r="U603" s="8">
        <v>-42330.49</v>
      </c>
      <c r="V603" s="7" t="s">
        <v>56</v>
      </c>
      <c r="W603" s="7" t="s">
        <v>2619</v>
      </c>
      <c r="X603" s="7" t="s">
        <v>2618</v>
      </c>
      <c r="Y603" s="7" t="s">
        <v>1691</v>
      </c>
      <c r="AA603" s="7" t="s">
        <v>2617</v>
      </c>
      <c r="AB603" s="7">
        <v>10</v>
      </c>
      <c r="AC603" s="7" t="s">
        <v>51</v>
      </c>
      <c r="AD603" s="7" t="s">
        <v>1114</v>
      </c>
      <c r="AF603" s="7" t="s">
        <v>44</v>
      </c>
      <c r="AH603" s="4">
        <v>46234.999988425923</v>
      </c>
    </row>
    <row r="604" spans="1:34" x14ac:dyDescent="0.3">
      <c r="A604" s="4">
        <v>46234</v>
      </c>
      <c r="B604" s="4">
        <v>46234</v>
      </c>
      <c r="C604" s="7" t="s">
        <v>35</v>
      </c>
      <c r="D604" s="7" t="s">
        <v>36</v>
      </c>
      <c r="E604" s="7" t="s">
        <v>36</v>
      </c>
      <c r="F604" s="7" t="s">
        <v>36</v>
      </c>
      <c r="G604" s="7" t="s">
        <v>37</v>
      </c>
      <c r="K604" s="7" t="s">
        <v>38</v>
      </c>
      <c r="L604" s="7" t="s">
        <v>39</v>
      </c>
      <c r="M604" s="7" t="s">
        <v>40</v>
      </c>
      <c r="N604" s="7" t="s">
        <v>41</v>
      </c>
      <c r="R604" s="7" t="s">
        <v>45</v>
      </c>
      <c r="S604" s="8">
        <v>245683.85941</v>
      </c>
      <c r="U604" s="8">
        <v>245683.85941</v>
      </c>
      <c r="V604" s="7" t="s">
        <v>56</v>
      </c>
      <c r="W604" s="7" t="s">
        <v>2620</v>
      </c>
      <c r="X604" s="7" t="s">
        <v>2618</v>
      </c>
      <c r="Y604" s="7" t="s">
        <v>1691</v>
      </c>
      <c r="AA604" s="7" t="s">
        <v>2617</v>
      </c>
      <c r="AB604" s="7">
        <v>11</v>
      </c>
      <c r="AC604" s="7" t="s">
        <v>53</v>
      </c>
      <c r="AD604" s="7" t="s">
        <v>1115</v>
      </c>
      <c r="AF604" s="7" t="s">
        <v>44</v>
      </c>
      <c r="AH604" s="4">
        <v>46234.999988425923</v>
      </c>
    </row>
    <row r="605" spans="1:34" x14ac:dyDescent="0.3">
      <c r="A605" s="4">
        <v>46234</v>
      </c>
      <c r="B605" s="4">
        <v>46234</v>
      </c>
      <c r="C605" s="7" t="s">
        <v>35</v>
      </c>
      <c r="D605" s="7" t="s">
        <v>36</v>
      </c>
      <c r="E605" s="7" t="s">
        <v>36</v>
      </c>
      <c r="F605" s="7" t="s">
        <v>36</v>
      </c>
      <c r="G605" s="7" t="s">
        <v>37</v>
      </c>
      <c r="K605" s="7" t="s">
        <v>38</v>
      </c>
      <c r="L605" s="7" t="s">
        <v>39</v>
      </c>
      <c r="M605" s="7" t="s">
        <v>40</v>
      </c>
      <c r="N605" s="7" t="s">
        <v>41</v>
      </c>
      <c r="R605" s="7" t="s">
        <v>54</v>
      </c>
      <c r="T605" s="8">
        <v>245683.85941</v>
      </c>
      <c r="U605" s="8">
        <v>-245683.85941</v>
      </c>
      <c r="V605" s="7" t="s">
        <v>56</v>
      </c>
      <c r="W605" s="7" t="s">
        <v>2620</v>
      </c>
      <c r="X605" s="7" t="s">
        <v>2618</v>
      </c>
      <c r="Y605" s="7" t="s">
        <v>1691</v>
      </c>
      <c r="AA605" s="7" t="s">
        <v>2617</v>
      </c>
      <c r="AB605" s="7">
        <v>11</v>
      </c>
      <c r="AC605" s="7" t="s">
        <v>53</v>
      </c>
      <c r="AD605" s="7" t="s">
        <v>1117</v>
      </c>
      <c r="AF605" s="7" t="s">
        <v>44</v>
      </c>
      <c r="AH605" s="4">
        <v>46234.999988425923</v>
      </c>
    </row>
    <row r="606" spans="1:34" x14ac:dyDescent="0.3">
      <c r="A606" s="4">
        <v>46235</v>
      </c>
      <c r="B606" s="4">
        <v>46235</v>
      </c>
      <c r="C606" s="7" t="s">
        <v>35</v>
      </c>
      <c r="D606" s="7" t="s">
        <v>36</v>
      </c>
      <c r="E606" s="7" t="s">
        <v>36</v>
      </c>
      <c r="F606" s="7" t="s">
        <v>36</v>
      </c>
      <c r="G606" s="7" t="s">
        <v>37</v>
      </c>
      <c r="K606" s="7" t="s">
        <v>38</v>
      </c>
      <c r="L606" s="7" t="s">
        <v>39</v>
      </c>
      <c r="M606" s="7" t="s">
        <v>40</v>
      </c>
      <c r="N606" s="7" t="s">
        <v>41</v>
      </c>
      <c r="R606" s="7" t="s">
        <v>54</v>
      </c>
      <c r="S606" s="8">
        <v>245683.86</v>
      </c>
      <c r="U606" s="8">
        <v>245683.86</v>
      </c>
      <c r="V606" s="7" t="s">
        <v>56</v>
      </c>
      <c r="W606" s="7" t="s">
        <v>2620</v>
      </c>
      <c r="X606" s="7" t="s">
        <v>2618</v>
      </c>
      <c r="Y606" s="7" t="s">
        <v>1691</v>
      </c>
      <c r="AA606" s="7" t="s">
        <v>2617</v>
      </c>
      <c r="AB606" s="7">
        <v>11</v>
      </c>
      <c r="AC606" s="7" t="s">
        <v>55</v>
      </c>
      <c r="AD606" s="7" t="s">
        <v>1118</v>
      </c>
      <c r="AF606" s="7" t="s">
        <v>44</v>
      </c>
      <c r="AH606" s="4">
        <v>46265.999988425923</v>
      </c>
    </row>
    <row r="607" spans="1:34" x14ac:dyDescent="0.3">
      <c r="A607" s="4">
        <v>46235</v>
      </c>
      <c r="B607" s="4">
        <v>46235</v>
      </c>
      <c r="C607" s="7" t="s">
        <v>35</v>
      </c>
      <c r="D607" s="7" t="s">
        <v>36</v>
      </c>
      <c r="E607" s="7" t="s">
        <v>36</v>
      </c>
      <c r="F607" s="7" t="s">
        <v>36</v>
      </c>
      <c r="G607" s="7" t="s">
        <v>37</v>
      </c>
      <c r="K607" s="7" t="s">
        <v>38</v>
      </c>
      <c r="L607" s="7" t="s">
        <v>39</v>
      </c>
      <c r="M607" s="7" t="s">
        <v>40</v>
      </c>
      <c r="N607" s="7" t="s">
        <v>41</v>
      </c>
      <c r="R607" s="7" t="s">
        <v>45</v>
      </c>
      <c r="T607" s="8">
        <v>245683.86</v>
      </c>
      <c r="U607" s="8">
        <v>-245683.86</v>
      </c>
      <c r="V607" s="7" t="s">
        <v>56</v>
      </c>
      <c r="W607" s="7" t="s">
        <v>2620</v>
      </c>
      <c r="X607" s="7" t="s">
        <v>2618</v>
      </c>
      <c r="Y607" s="7" t="s">
        <v>1691</v>
      </c>
      <c r="AA607" s="7" t="s">
        <v>2617</v>
      </c>
      <c r="AB607" s="7">
        <v>11</v>
      </c>
      <c r="AC607" s="7" t="s">
        <v>55</v>
      </c>
      <c r="AD607" s="7" t="s">
        <v>1120</v>
      </c>
      <c r="AF607" s="7" t="s">
        <v>44</v>
      </c>
      <c r="AH607" s="4">
        <v>46265.999988425923</v>
      </c>
    </row>
    <row r="608" spans="1:34" x14ac:dyDescent="0.3">
      <c r="A608" s="4">
        <v>46235</v>
      </c>
      <c r="B608" s="4">
        <v>46265</v>
      </c>
      <c r="C608" s="7" t="s">
        <v>46</v>
      </c>
      <c r="D608" s="7" t="s">
        <v>36</v>
      </c>
      <c r="E608" s="7" t="s">
        <v>36</v>
      </c>
      <c r="F608" s="7" t="s">
        <v>36</v>
      </c>
      <c r="G608" s="7" t="s">
        <v>37</v>
      </c>
      <c r="K608" s="7" t="s">
        <v>38</v>
      </c>
      <c r="L608" s="7" t="s">
        <v>39</v>
      </c>
      <c r="M608" s="7" t="s">
        <v>38</v>
      </c>
      <c r="N608" s="7" t="s">
        <v>41</v>
      </c>
      <c r="R608" s="7" t="s">
        <v>49</v>
      </c>
      <c r="S608" s="8">
        <v>1433.1558560000001</v>
      </c>
      <c r="U608" s="8">
        <v>1433.1558560000001</v>
      </c>
      <c r="V608" s="7" t="s">
        <v>56</v>
      </c>
      <c r="W608" s="7" t="s">
        <v>57</v>
      </c>
      <c r="X608" s="7" t="s">
        <v>2618</v>
      </c>
      <c r="Y608" s="7" t="s">
        <v>1691</v>
      </c>
      <c r="AA608" s="7" t="s">
        <v>2617</v>
      </c>
      <c r="AB608" s="7">
        <v>12</v>
      </c>
      <c r="AC608" s="7" t="s">
        <v>57</v>
      </c>
      <c r="AD608" s="7" t="s">
        <v>1121</v>
      </c>
      <c r="AF608" s="7" t="s">
        <v>44</v>
      </c>
      <c r="AH608" s="4">
        <v>46265.999988425923</v>
      </c>
    </row>
    <row r="609" spans="1:34" x14ac:dyDescent="0.3">
      <c r="A609" s="4">
        <v>46235</v>
      </c>
      <c r="B609" s="4">
        <v>46265</v>
      </c>
      <c r="C609" s="7" t="s">
        <v>46</v>
      </c>
      <c r="D609" s="7" t="s">
        <v>36</v>
      </c>
      <c r="E609" s="7" t="s">
        <v>36</v>
      </c>
      <c r="F609" s="7" t="s">
        <v>36</v>
      </c>
      <c r="G609" s="7" t="s">
        <v>37</v>
      </c>
      <c r="K609" s="7" t="s">
        <v>38</v>
      </c>
      <c r="L609" s="7" t="s">
        <v>39</v>
      </c>
      <c r="M609" s="7" t="s">
        <v>40</v>
      </c>
      <c r="N609" s="7" t="s">
        <v>41</v>
      </c>
      <c r="R609" s="7" t="s">
        <v>45</v>
      </c>
      <c r="S609" s="8">
        <v>48566.844144000002</v>
      </c>
      <c r="U609" s="8">
        <v>48566.844144000002</v>
      </c>
      <c r="V609" s="7" t="s">
        <v>56</v>
      </c>
      <c r="W609" s="7" t="s">
        <v>57</v>
      </c>
      <c r="X609" s="7" t="s">
        <v>2618</v>
      </c>
      <c r="Y609" s="7" t="s">
        <v>1691</v>
      </c>
      <c r="AA609" s="7" t="s">
        <v>2617</v>
      </c>
      <c r="AB609" s="7">
        <v>12</v>
      </c>
      <c r="AC609" s="7" t="s">
        <v>57</v>
      </c>
      <c r="AD609" s="7" t="s">
        <v>1123</v>
      </c>
      <c r="AF609" s="7" t="s">
        <v>44</v>
      </c>
      <c r="AH609" s="4">
        <v>46265.999988425923</v>
      </c>
    </row>
    <row r="610" spans="1:34" x14ac:dyDescent="0.3">
      <c r="A610" s="4">
        <v>46235</v>
      </c>
      <c r="B610" s="4">
        <v>46265</v>
      </c>
      <c r="C610" s="7" t="s">
        <v>46</v>
      </c>
      <c r="D610" s="7" t="s">
        <v>36</v>
      </c>
      <c r="E610" s="7" t="s">
        <v>36</v>
      </c>
      <c r="F610" s="7" t="s">
        <v>36</v>
      </c>
      <c r="G610" s="7" t="s">
        <v>37</v>
      </c>
      <c r="K610" s="7" t="s">
        <v>38</v>
      </c>
      <c r="L610" s="7" t="s">
        <v>39</v>
      </c>
      <c r="M610" s="7" t="s">
        <v>40</v>
      </c>
      <c r="N610" s="7" t="s">
        <v>41</v>
      </c>
      <c r="R610" s="7" t="s">
        <v>58</v>
      </c>
      <c r="T610" s="8">
        <v>50000</v>
      </c>
      <c r="U610" s="8">
        <v>-50000</v>
      </c>
      <c r="V610" s="7" t="s">
        <v>56</v>
      </c>
      <c r="W610" s="7" t="s">
        <v>57</v>
      </c>
      <c r="X610" s="7" t="s">
        <v>2618</v>
      </c>
      <c r="Y610" s="7" t="s">
        <v>1691</v>
      </c>
      <c r="AA610" s="7" t="s">
        <v>2617</v>
      </c>
      <c r="AB610" s="7">
        <v>12</v>
      </c>
      <c r="AC610" s="7" t="s">
        <v>57</v>
      </c>
      <c r="AD610" s="7" t="s">
        <v>1124</v>
      </c>
      <c r="AF610" s="7" t="s">
        <v>44</v>
      </c>
      <c r="AH610" s="4">
        <v>46265.999988425923</v>
      </c>
    </row>
    <row r="611" spans="1:34" x14ac:dyDescent="0.3">
      <c r="A611" s="4">
        <v>46265</v>
      </c>
      <c r="B611" s="4">
        <v>46265</v>
      </c>
      <c r="C611" s="7" t="s">
        <v>46</v>
      </c>
      <c r="D611" s="7" t="s">
        <v>36</v>
      </c>
      <c r="E611" s="7" t="s">
        <v>36</v>
      </c>
      <c r="F611" s="7" t="s">
        <v>36</v>
      </c>
      <c r="G611" s="7" t="s">
        <v>37</v>
      </c>
      <c r="K611" s="7" t="s">
        <v>38</v>
      </c>
      <c r="L611" s="7" t="s">
        <v>39</v>
      </c>
      <c r="M611" s="7" t="s">
        <v>40</v>
      </c>
      <c r="N611" s="7" t="s">
        <v>41</v>
      </c>
      <c r="R611" s="7" t="s">
        <v>47</v>
      </c>
      <c r="S611" s="8">
        <v>1149.8492659999999</v>
      </c>
      <c r="U611" s="8">
        <v>1149.8492659999999</v>
      </c>
      <c r="V611" s="7" t="s">
        <v>56</v>
      </c>
      <c r="W611" s="7" t="s">
        <v>2621</v>
      </c>
      <c r="X611" s="7" t="s">
        <v>2618</v>
      </c>
      <c r="Y611" s="7" t="s">
        <v>1691</v>
      </c>
      <c r="AA611" s="7" t="s">
        <v>2617</v>
      </c>
      <c r="AB611" s="7">
        <v>8</v>
      </c>
      <c r="AC611" s="7" t="s">
        <v>48</v>
      </c>
      <c r="AD611" s="7" t="s">
        <v>1125</v>
      </c>
      <c r="AF611" s="7" t="s">
        <v>44</v>
      </c>
      <c r="AH611" s="4">
        <v>46265.999988425923</v>
      </c>
    </row>
    <row r="612" spans="1:34" x14ac:dyDescent="0.3">
      <c r="A612" s="4">
        <v>46265</v>
      </c>
      <c r="B612" s="4">
        <v>46265</v>
      </c>
      <c r="C612" s="7" t="s">
        <v>46</v>
      </c>
      <c r="D612" s="7" t="s">
        <v>36</v>
      </c>
      <c r="E612" s="7" t="s">
        <v>36</v>
      </c>
      <c r="F612" s="7" t="s">
        <v>36</v>
      </c>
      <c r="G612" s="7" t="s">
        <v>37</v>
      </c>
      <c r="K612" s="7" t="s">
        <v>38</v>
      </c>
      <c r="L612" s="7" t="s">
        <v>39</v>
      </c>
      <c r="M612" s="7" t="s">
        <v>38</v>
      </c>
      <c r="N612" s="7" t="s">
        <v>41</v>
      </c>
      <c r="R612" s="7" t="s">
        <v>49</v>
      </c>
      <c r="T612" s="8">
        <v>1149.8492659999999</v>
      </c>
      <c r="U612" s="8">
        <v>-1149.8492659999999</v>
      </c>
      <c r="V612" s="7" t="s">
        <v>56</v>
      </c>
      <c r="W612" s="7" t="s">
        <v>2621</v>
      </c>
      <c r="X612" s="7" t="s">
        <v>2618</v>
      </c>
      <c r="Y612" s="7" t="s">
        <v>1691</v>
      </c>
      <c r="AA612" s="7" t="s">
        <v>2617</v>
      </c>
      <c r="AB612" s="7">
        <v>8</v>
      </c>
      <c r="AC612" s="7" t="s">
        <v>48</v>
      </c>
      <c r="AD612" s="7" t="s">
        <v>1127</v>
      </c>
      <c r="AF612" s="7" t="s">
        <v>44</v>
      </c>
      <c r="AH612" s="4">
        <v>46265.999988425923</v>
      </c>
    </row>
    <row r="613" spans="1:34" x14ac:dyDescent="0.3">
      <c r="A613" s="4">
        <v>46265</v>
      </c>
      <c r="B613" s="4">
        <v>44562</v>
      </c>
      <c r="C613" s="7" t="s">
        <v>35</v>
      </c>
      <c r="D613" s="7" t="s">
        <v>36</v>
      </c>
      <c r="E613" s="7" t="s">
        <v>36</v>
      </c>
      <c r="F613" s="7" t="s">
        <v>36</v>
      </c>
      <c r="G613" s="7" t="s">
        <v>37</v>
      </c>
      <c r="K613" s="7" t="s">
        <v>38</v>
      </c>
      <c r="L613" s="7" t="s">
        <v>39</v>
      </c>
      <c r="M613" s="7" t="s">
        <v>40</v>
      </c>
      <c r="N613" s="7" t="s">
        <v>41</v>
      </c>
      <c r="R613" s="7" t="s">
        <v>50</v>
      </c>
      <c r="S613" s="8">
        <v>42330.49</v>
      </c>
      <c r="U613" s="8">
        <v>42330.49</v>
      </c>
      <c r="V613" s="7" t="s">
        <v>56</v>
      </c>
      <c r="W613" s="7" t="s">
        <v>2619</v>
      </c>
      <c r="X613" s="7" t="s">
        <v>2618</v>
      </c>
      <c r="Y613" s="7" t="s">
        <v>1691</v>
      </c>
      <c r="AA613" s="7" t="s">
        <v>2617</v>
      </c>
      <c r="AB613" s="7">
        <v>10</v>
      </c>
      <c r="AC613" s="7" t="s">
        <v>51</v>
      </c>
      <c r="AD613" s="7" t="s">
        <v>1128</v>
      </c>
      <c r="AF613" s="7" t="s">
        <v>44</v>
      </c>
      <c r="AH613" s="4">
        <v>46265.999988425923</v>
      </c>
    </row>
    <row r="614" spans="1:34" x14ac:dyDescent="0.3">
      <c r="A614" s="4">
        <v>46265</v>
      </c>
      <c r="B614" s="4">
        <v>44562</v>
      </c>
      <c r="C614" s="7" t="s">
        <v>35</v>
      </c>
      <c r="D614" s="7" t="s">
        <v>36</v>
      </c>
      <c r="E614" s="7" t="s">
        <v>36</v>
      </c>
      <c r="F614" s="7" t="s">
        <v>36</v>
      </c>
      <c r="G614" s="7" t="s">
        <v>37</v>
      </c>
      <c r="K614" s="7" t="s">
        <v>38</v>
      </c>
      <c r="L614" s="7" t="s">
        <v>39</v>
      </c>
      <c r="M614" s="7" t="s">
        <v>40</v>
      </c>
      <c r="N614" s="7" t="s">
        <v>41</v>
      </c>
      <c r="R614" s="7" t="s">
        <v>52</v>
      </c>
      <c r="T614" s="8">
        <v>42330.49</v>
      </c>
      <c r="U614" s="8">
        <v>-42330.49</v>
      </c>
      <c r="V614" s="7" t="s">
        <v>56</v>
      </c>
      <c r="W614" s="7" t="s">
        <v>2619</v>
      </c>
      <c r="X614" s="7" t="s">
        <v>2618</v>
      </c>
      <c r="Y614" s="7" t="s">
        <v>1691</v>
      </c>
      <c r="AA614" s="7" t="s">
        <v>2617</v>
      </c>
      <c r="AB614" s="7">
        <v>10</v>
      </c>
      <c r="AC614" s="7" t="s">
        <v>51</v>
      </c>
      <c r="AD614" s="7" t="s">
        <v>1130</v>
      </c>
      <c r="AF614" s="7" t="s">
        <v>44</v>
      </c>
      <c r="AH614" s="4">
        <v>46265.999988425923</v>
      </c>
    </row>
    <row r="615" spans="1:34" x14ac:dyDescent="0.3">
      <c r="A615" s="4">
        <v>46265</v>
      </c>
      <c r="B615" s="4">
        <v>46265</v>
      </c>
      <c r="C615" s="7" t="s">
        <v>35</v>
      </c>
      <c r="D615" s="7" t="s">
        <v>36</v>
      </c>
      <c r="E615" s="7" t="s">
        <v>36</v>
      </c>
      <c r="F615" s="7" t="s">
        <v>36</v>
      </c>
      <c r="G615" s="7" t="s">
        <v>37</v>
      </c>
      <c r="K615" s="7" t="s">
        <v>38</v>
      </c>
      <c r="L615" s="7" t="s">
        <v>39</v>
      </c>
      <c r="M615" s="7" t="s">
        <v>40</v>
      </c>
      <c r="N615" s="7" t="s">
        <v>41</v>
      </c>
      <c r="R615" s="7" t="s">
        <v>45</v>
      </c>
      <c r="S615" s="8">
        <v>197117.01585600001</v>
      </c>
      <c r="U615" s="8">
        <v>197117.01585600001</v>
      </c>
      <c r="V615" s="7" t="s">
        <v>56</v>
      </c>
      <c r="W615" s="7" t="s">
        <v>2620</v>
      </c>
      <c r="X615" s="7" t="s">
        <v>2618</v>
      </c>
      <c r="Y615" s="7" t="s">
        <v>1691</v>
      </c>
      <c r="AA615" s="7" t="s">
        <v>2617</v>
      </c>
      <c r="AB615" s="7">
        <v>11</v>
      </c>
      <c r="AC615" s="7" t="s">
        <v>53</v>
      </c>
      <c r="AD615" s="7" t="s">
        <v>1131</v>
      </c>
      <c r="AF615" s="7" t="s">
        <v>44</v>
      </c>
      <c r="AH615" s="4">
        <v>46265.999988425923</v>
      </c>
    </row>
    <row r="616" spans="1:34" x14ac:dyDescent="0.3">
      <c r="A616" s="4">
        <v>46265</v>
      </c>
      <c r="B616" s="4">
        <v>46265</v>
      </c>
      <c r="C616" s="7" t="s">
        <v>35</v>
      </c>
      <c r="D616" s="7" t="s">
        <v>36</v>
      </c>
      <c r="E616" s="7" t="s">
        <v>36</v>
      </c>
      <c r="F616" s="7" t="s">
        <v>36</v>
      </c>
      <c r="G616" s="7" t="s">
        <v>37</v>
      </c>
      <c r="K616" s="7" t="s">
        <v>38</v>
      </c>
      <c r="L616" s="7" t="s">
        <v>39</v>
      </c>
      <c r="M616" s="7" t="s">
        <v>40</v>
      </c>
      <c r="N616" s="7" t="s">
        <v>41</v>
      </c>
      <c r="R616" s="7" t="s">
        <v>54</v>
      </c>
      <c r="T616" s="8">
        <v>197117.01585600001</v>
      </c>
      <c r="U616" s="8">
        <v>-197117.01585600001</v>
      </c>
      <c r="V616" s="7" t="s">
        <v>56</v>
      </c>
      <c r="W616" s="7" t="s">
        <v>2620</v>
      </c>
      <c r="X616" s="7" t="s">
        <v>2618</v>
      </c>
      <c r="Y616" s="7" t="s">
        <v>1691</v>
      </c>
      <c r="AA616" s="7" t="s">
        <v>2617</v>
      </c>
      <c r="AB616" s="7">
        <v>11</v>
      </c>
      <c r="AC616" s="7" t="s">
        <v>53</v>
      </c>
      <c r="AD616" s="7" t="s">
        <v>1133</v>
      </c>
      <c r="AF616" s="7" t="s">
        <v>44</v>
      </c>
      <c r="AH616" s="4">
        <v>46265.999988425923</v>
      </c>
    </row>
    <row r="617" spans="1:34" x14ac:dyDescent="0.3">
      <c r="A617" s="4">
        <v>46266</v>
      </c>
      <c r="B617" s="4">
        <v>46266</v>
      </c>
      <c r="C617" s="7" t="s">
        <v>35</v>
      </c>
      <c r="D617" s="7" t="s">
        <v>36</v>
      </c>
      <c r="E617" s="7" t="s">
        <v>36</v>
      </c>
      <c r="F617" s="7" t="s">
        <v>36</v>
      </c>
      <c r="G617" s="7" t="s">
        <v>37</v>
      </c>
      <c r="K617" s="7" t="s">
        <v>38</v>
      </c>
      <c r="L617" s="7" t="s">
        <v>39</v>
      </c>
      <c r="M617" s="7" t="s">
        <v>40</v>
      </c>
      <c r="N617" s="7" t="s">
        <v>41</v>
      </c>
      <c r="R617" s="7" t="s">
        <v>54</v>
      </c>
      <c r="S617" s="8">
        <v>197117.02</v>
      </c>
      <c r="U617" s="8">
        <v>197117.02</v>
      </c>
      <c r="V617" s="7" t="s">
        <v>56</v>
      </c>
      <c r="W617" s="7" t="s">
        <v>2620</v>
      </c>
      <c r="X617" s="7" t="s">
        <v>2618</v>
      </c>
      <c r="Y617" s="7" t="s">
        <v>1691</v>
      </c>
      <c r="AA617" s="7" t="s">
        <v>2617</v>
      </c>
      <c r="AB617" s="7">
        <v>11</v>
      </c>
      <c r="AC617" s="7" t="s">
        <v>55</v>
      </c>
      <c r="AD617" s="7" t="s">
        <v>1134</v>
      </c>
      <c r="AF617" s="7" t="s">
        <v>44</v>
      </c>
      <c r="AH617" s="4">
        <v>46295.999988425923</v>
      </c>
    </row>
    <row r="618" spans="1:34" x14ac:dyDescent="0.3">
      <c r="A618" s="4">
        <v>46266</v>
      </c>
      <c r="B618" s="4">
        <v>46266</v>
      </c>
      <c r="C618" s="7" t="s">
        <v>35</v>
      </c>
      <c r="D618" s="7" t="s">
        <v>36</v>
      </c>
      <c r="E618" s="7" t="s">
        <v>36</v>
      </c>
      <c r="F618" s="7" t="s">
        <v>36</v>
      </c>
      <c r="G618" s="7" t="s">
        <v>37</v>
      </c>
      <c r="K618" s="7" t="s">
        <v>38</v>
      </c>
      <c r="L618" s="7" t="s">
        <v>39</v>
      </c>
      <c r="M618" s="7" t="s">
        <v>40</v>
      </c>
      <c r="N618" s="7" t="s">
        <v>41</v>
      </c>
      <c r="R618" s="7" t="s">
        <v>45</v>
      </c>
      <c r="T618" s="8">
        <v>197117.02</v>
      </c>
      <c r="U618" s="8">
        <v>-197117.02</v>
      </c>
      <c r="V618" s="7" t="s">
        <v>56</v>
      </c>
      <c r="W618" s="7" t="s">
        <v>2620</v>
      </c>
      <c r="X618" s="7" t="s">
        <v>2618</v>
      </c>
      <c r="Y618" s="7" t="s">
        <v>1691</v>
      </c>
      <c r="AA618" s="7" t="s">
        <v>2617</v>
      </c>
      <c r="AB618" s="7">
        <v>11</v>
      </c>
      <c r="AC618" s="7" t="s">
        <v>55</v>
      </c>
      <c r="AD618" s="7" t="s">
        <v>1136</v>
      </c>
      <c r="AF618" s="7" t="s">
        <v>44</v>
      </c>
      <c r="AH618" s="4">
        <v>46295.999988425923</v>
      </c>
    </row>
    <row r="619" spans="1:34" x14ac:dyDescent="0.3">
      <c r="A619" s="4">
        <v>46266</v>
      </c>
      <c r="B619" s="4">
        <v>46295</v>
      </c>
      <c r="C619" s="7" t="s">
        <v>46</v>
      </c>
      <c r="D619" s="7" t="s">
        <v>36</v>
      </c>
      <c r="E619" s="7" t="s">
        <v>36</v>
      </c>
      <c r="F619" s="7" t="s">
        <v>36</v>
      </c>
      <c r="G619" s="7" t="s">
        <v>37</v>
      </c>
      <c r="K619" s="7" t="s">
        <v>38</v>
      </c>
      <c r="L619" s="7" t="s">
        <v>39</v>
      </c>
      <c r="M619" s="7" t="s">
        <v>38</v>
      </c>
      <c r="N619" s="7" t="s">
        <v>41</v>
      </c>
      <c r="R619" s="7" t="s">
        <v>49</v>
      </c>
      <c r="S619" s="8">
        <v>1149.8492659999999</v>
      </c>
      <c r="U619" s="8">
        <v>1149.8492659999999</v>
      </c>
      <c r="V619" s="7" t="s">
        <v>56</v>
      </c>
      <c r="W619" s="7" t="s">
        <v>57</v>
      </c>
      <c r="X619" s="7" t="s">
        <v>2618</v>
      </c>
      <c r="Y619" s="7" t="s">
        <v>1691</v>
      </c>
      <c r="AA619" s="7" t="s">
        <v>2617</v>
      </c>
      <c r="AB619" s="7">
        <v>12</v>
      </c>
      <c r="AC619" s="7" t="s">
        <v>57</v>
      </c>
      <c r="AD619" s="7" t="s">
        <v>1137</v>
      </c>
      <c r="AF619" s="7" t="s">
        <v>44</v>
      </c>
      <c r="AH619" s="4">
        <v>46295.999988425923</v>
      </c>
    </row>
    <row r="620" spans="1:34" x14ac:dyDescent="0.3">
      <c r="A620" s="4">
        <v>46266</v>
      </c>
      <c r="B620" s="4">
        <v>46295</v>
      </c>
      <c r="C620" s="7" t="s">
        <v>46</v>
      </c>
      <c r="D620" s="7" t="s">
        <v>36</v>
      </c>
      <c r="E620" s="7" t="s">
        <v>36</v>
      </c>
      <c r="F620" s="7" t="s">
        <v>36</v>
      </c>
      <c r="G620" s="7" t="s">
        <v>37</v>
      </c>
      <c r="K620" s="7" t="s">
        <v>38</v>
      </c>
      <c r="L620" s="7" t="s">
        <v>39</v>
      </c>
      <c r="M620" s="7" t="s">
        <v>40</v>
      </c>
      <c r="N620" s="7" t="s">
        <v>41</v>
      </c>
      <c r="R620" s="7" t="s">
        <v>45</v>
      </c>
      <c r="S620" s="8">
        <v>48850.150734000003</v>
      </c>
      <c r="U620" s="8">
        <v>48850.150734000003</v>
      </c>
      <c r="V620" s="7" t="s">
        <v>56</v>
      </c>
      <c r="W620" s="7" t="s">
        <v>57</v>
      </c>
      <c r="X620" s="7" t="s">
        <v>2618</v>
      </c>
      <c r="Y620" s="7" t="s">
        <v>1691</v>
      </c>
      <c r="AA620" s="7" t="s">
        <v>2617</v>
      </c>
      <c r="AB620" s="7">
        <v>12</v>
      </c>
      <c r="AC620" s="7" t="s">
        <v>57</v>
      </c>
      <c r="AD620" s="7" t="s">
        <v>1139</v>
      </c>
      <c r="AF620" s="7" t="s">
        <v>44</v>
      </c>
      <c r="AH620" s="4">
        <v>46295.999988425923</v>
      </c>
    </row>
    <row r="621" spans="1:34" x14ac:dyDescent="0.3">
      <c r="A621" s="4">
        <v>46266</v>
      </c>
      <c r="B621" s="4">
        <v>46295</v>
      </c>
      <c r="C621" s="7" t="s">
        <v>46</v>
      </c>
      <c r="D621" s="7" t="s">
        <v>36</v>
      </c>
      <c r="E621" s="7" t="s">
        <v>36</v>
      </c>
      <c r="F621" s="7" t="s">
        <v>36</v>
      </c>
      <c r="G621" s="7" t="s">
        <v>37</v>
      </c>
      <c r="K621" s="7" t="s">
        <v>38</v>
      </c>
      <c r="L621" s="7" t="s">
        <v>39</v>
      </c>
      <c r="M621" s="7" t="s">
        <v>40</v>
      </c>
      <c r="N621" s="7" t="s">
        <v>41</v>
      </c>
      <c r="R621" s="7" t="s">
        <v>58</v>
      </c>
      <c r="T621" s="8">
        <v>50000</v>
      </c>
      <c r="U621" s="8">
        <v>-50000</v>
      </c>
      <c r="V621" s="7" t="s">
        <v>56</v>
      </c>
      <c r="W621" s="7" t="s">
        <v>57</v>
      </c>
      <c r="X621" s="7" t="s">
        <v>2618</v>
      </c>
      <c r="Y621" s="7" t="s">
        <v>1691</v>
      </c>
      <c r="AA621" s="7" t="s">
        <v>2617</v>
      </c>
      <c r="AB621" s="7">
        <v>12</v>
      </c>
      <c r="AC621" s="7" t="s">
        <v>57</v>
      </c>
      <c r="AD621" s="7" t="s">
        <v>1140</v>
      </c>
      <c r="AF621" s="7" t="s">
        <v>44</v>
      </c>
      <c r="AH621" s="4">
        <v>46295.999988425923</v>
      </c>
    </row>
    <row r="622" spans="1:34" x14ac:dyDescent="0.3">
      <c r="A622" s="4">
        <v>46295</v>
      </c>
      <c r="B622" s="4">
        <v>46295</v>
      </c>
      <c r="C622" s="7" t="s">
        <v>46</v>
      </c>
      <c r="D622" s="7" t="s">
        <v>36</v>
      </c>
      <c r="E622" s="7" t="s">
        <v>36</v>
      </c>
      <c r="F622" s="7" t="s">
        <v>36</v>
      </c>
      <c r="G622" s="7" t="s">
        <v>37</v>
      </c>
      <c r="K622" s="7" t="s">
        <v>38</v>
      </c>
      <c r="L622" s="7" t="s">
        <v>39</v>
      </c>
      <c r="M622" s="7" t="s">
        <v>40</v>
      </c>
      <c r="N622" s="7" t="s">
        <v>41</v>
      </c>
      <c r="R622" s="7" t="s">
        <v>47</v>
      </c>
      <c r="S622" s="8">
        <v>864.89005299999997</v>
      </c>
      <c r="U622" s="8">
        <v>864.89005299999997</v>
      </c>
      <c r="V622" s="7" t="s">
        <v>56</v>
      </c>
      <c r="W622" s="7" t="s">
        <v>2621</v>
      </c>
      <c r="X622" s="7" t="s">
        <v>2618</v>
      </c>
      <c r="Y622" s="7" t="s">
        <v>1691</v>
      </c>
      <c r="AA622" s="7" t="s">
        <v>2617</v>
      </c>
      <c r="AB622" s="7">
        <v>8</v>
      </c>
      <c r="AC622" s="7" t="s">
        <v>48</v>
      </c>
      <c r="AD622" s="7" t="s">
        <v>1141</v>
      </c>
      <c r="AF622" s="7" t="s">
        <v>44</v>
      </c>
      <c r="AH622" s="4">
        <v>46295.999988425923</v>
      </c>
    </row>
    <row r="623" spans="1:34" x14ac:dyDescent="0.3">
      <c r="A623" s="4">
        <v>46295</v>
      </c>
      <c r="B623" s="4">
        <v>46295</v>
      </c>
      <c r="C623" s="7" t="s">
        <v>46</v>
      </c>
      <c r="D623" s="7" t="s">
        <v>36</v>
      </c>
      <c r="E623" s="7" t="s">
        <v>36</v>
      </c>
      <c r="F623" s="7" t="s">
        <v>36</v>
      </c>
      <c r="G623" s="7" t="s">
        <v>37</v>
      </c>
      <c r="K623" s="7" t="s">
        <v>38</v>
      </c>
      <c r="L623" s="7" t="s">
        <v>39</v>
      </c>
      <c r="M623" s="7" t="s">
        <v>38</v>
      </c>
      <c r="N623" s="7" t="s">
        <v>41</v>
      </c>
      <c r="R623" s="7" t="s">
        <v>49</v>
      </c>
      <c r="T623" s="8">
        <v>864.89005299999997</v>
      </c>
      <c r="U623" s="8">
        <v>-864.89005299999997</v>
      </c>
      <c r="V623" s="7" t="s">
        <v>56</v>
      </c>
      <c r="W623" s="7" t="s">
        <v>2621</v>
      </c>
      <c r="X623" s="7" t="s">
        <v>2618</v>
      </c>
      <c r="Y623" s="7" t="s">
        <v>1691</v>
      </c>
      <c r="AA623" s="7" t="s">
        <v>2617</v>
      </c>
      <c r="AB623" s="7">
        <v>8</v>
      </c>
      <c r="AC623" s="7" t="s">
        <v>48</v>
      </c>
      <c r="AD623" s="7" t="s">
        <v>1143</v>
      </c>
      <c r="AF623" s="7" t="s">
        <v>44</v>
      </c>
      <c r="AH623" s="4">
        <v>46295.999988425923</v>
      </c>
    </row>
    <row r="624" spans="1:34" x14ac:dyDescent="0.3">
      <c r="A624" s="4">
        <v>46295</v>
      </c>
      <c r="B624" s="4">
        <v>44562</v>
      </c>
      <c r="C624" s="7" t="s">
        <v>35</v>
      </c>
      <c r="D624" s="7" t="s">
        <v>36</v>
      </c>
      <c r="E624" s="7" t="s">
        <v>36</v>
      </c>
      <c r="F624" s="7" t="s">
        <v>36</v>
      </c>
      <c r="G624" s="7" t="s">
        <v>37</v>
      </c>
      <c r="K624" s="7" t="s">
        <v>38</v>
      </c>
      <c r="L624" s="7" t="s">
        <v>39</v>
      </c>
      <c r="M624" s="7" t="s">
        <v>40</v>
      </c>
      <c r="N624" s="7" t="s">
        <v>41</v>
      </c>
      <c r="R624" s="7" t="s">
        <v>50</v>
      </c>
      <c r="S624" s="8">
        <v>42330.49</v>
      </c>
      <c r="U624" s="8">
        <v>42330.49</v>
      </c>
      <c r="V624" s="7" t="s">
        <v>56</v>
      </c>
      <c r="W624" s="7" t="s">
        <v>2619</v>
      </c>
      <c r="X624" s="7" t="s">
        <v>2618</v>
      </c>
      <c r="Y624" s="7" t="s">
        <v>1691</v>
      </c>
      <c r="AA624" s="7" t="s">
        <v>2617</v>
      </c>
      <c r="AB624" s="7">
        <v>10</v>
      </c>
      <c r="AC624" s="7" t="s">
        <v>51</v>
      </c>
      <c r="AD624" s="7" t="s">
        <v>1144</v>
      </c>
      <c r="AF624" s="7" t="s">
        <v>44</v>
      </c>
      <c r="AH624" s="4">
        <v>46295.999988425923</v>
      </c>
    </row>
    <row r="625" spans="1:34" x14ac:dyDescent="0.3">
      <c r="A625" s="4">
        <v>46295</v>
      </c>
      <c r="B625" s="4">
        <v>44562</v>
      </c>
      <c r="C625" s="7" t="s">
        <v>35</v>
      </c>
      <c r="D625" s="7" t="s">
        <v>36</v>
      </c>
      <c r="E625" s="7" t="s">
        <v>36</v>
      </c>
      <c r="F625" s="7" t="s">
        <v>36</v>
      </c>
      <c r="G625" s="7" t="s">
        <v>37</v>
      </c>
      <c r="K625" s="7" t="s">
        <v>38</v>
      </c>
      <c r="L625" s="7" t="s">
        <v>39</v>
      </c>
      <c r="M625" s="7" t="s">
        <v>40</v>
      </c>
      <c r="N625" s="7" t="s">
        <v>41</v>
      </c>
      <c r="R625" s="7" t="s">
        <v>52</v>
      </c>
      <c r="T625" s="8">
        <v>42330.49</v>
      </c>
      <c r="U625" s="8">
        <v>-42330.49</v>
      </c>
      <c r="V625" s="7" t="s">
        <v>56</v>
      </c>
      <c r="W625" s="7" t="s">
        <v>2619</v>
      </c>
      <c r="X625" s="7" t="s">
        <v>2618</v>
      </c>
      <c r="Y625" s="7" t="s">
        <v>1691</v>
      </c>
      <c r="AA625" s="7" t="s">
        <v>2617</v>
      </c>
      <c r="AB625" s="7">
        <v>10</v>
      </c>
      <c r="AC625" s="7" t="s">
        <v>51</v>
      </c>
      <c r="AD625" s="7" t="s">
        <v>1146</v>
      </c>
      <c r="AF625" s="7" t="s">
        <v>44</v>
      </c>
      <c r="AH625" s="4">
        <v>46295.999988425923</v>
      </c>
    </row>
    <row r="626" spans="1:34" x14ac:dyDescent="0.3">
      <c r="A626" s="4">
        <v>46295</v>
      </c>
      <c r="B626" s="4">
        <v>46295</v>
      </c>
      <c r="C626" s="7" t="s">
        <v>35</v>
      </c>
      <c r="D626" s="7" t="s">
        <v>36</v>
      </c>
      <c r="E626" s="7" t="s">
        <v>36</v>
      </c>
      <c r="F626" s="7" t="s">
        <v>36</v>
      </c>
      <c r="G626" s="7" t="s">
        <v>37</v>
      </c>
      <c r="K626" s="7" t="s">
        <v>38</v>
      </c>
      <c r="L626" s="7" t="s">
        <v>39</v>
      </c>
      <c r="M626" s="7" t="s">
        <v>40</v>
      </c>
      <c r="N626" s="7" t="s">
        <v>41</v>
      </c>
      <c r="R626" s="7" t="s">
        <v>45</v>
      </c>
      <c r="S626" s="8">
        <v>148266.86926599999</v>
      </c>
      <c r="U626" s="8">
        <v>148266.86926599999</v>
      </c>
      <c r="V626" s="7" t="s">
        <v>56</v>
      </c>
      <c r="W626" s="7" t="s">
        <v>2620</v>
      </c>
      <c r="X626" s="7" t="s">
        <v>2618</v>
      </c>
      <c r="Y626" s="7" t="s">
        <v>1691</v>
      </c>
      <c r="AA626" s="7" t="s">
        <v>2617</v>
      </c>
      <c r="AB626" s="7">
        <v>11</v>
      </c>
      <c r="AC626" s="7" t="s">
        <v>53</v>
      </c>
      <c r="AD626" s="7" t="s">
        <v>1147</v>
      </c>
      <c r="AF626" s="7" t="s">
        <v>44</v>
      </c>
      <c r="AH626" s="4">
        <v>46295.999988425923</v>
      </c>
    </row>
    <row r="627" spans="1:34" x14ac:dyDescent="0.3">
      <c r="A627" s="4">
        <v>46295</v>
      </c>
      <c r="B627" s="4">
        <v>46295</v>
      </c>
      <c r="C627" s="7" t="s">
        <v>35</v>
      </c>
      <c r="D627" s="7" t="s">
        <v>36</v>
      </c>
      <c r="E627" s="7" t="s">
        <v>36</v>
      </c>
      <c r="F627" s="7" t="s">
        <v>36</v>
      </c>
      <c r="G627" s="7" t="s">
        <v>37</v>
      </c>
      <c r="K627" s="7" t="s">
        <v>38</v>
      </c>
      <c r="L627" s="7" t="s">
        <v>39</v>
      </c>
      <c r="M627" s="7" t="s">
        <v>40</v>
      </c>
      <c r="N627" s="7" t="s">
        <v>41</v>
      </c>
      <c r="R627" s="7" t="s">
        <v>54</v>
      </c>
      <c r="T627" s="8">
        <v>148266.86926599999</v>
      </c>
      <c r="U627" s="8">
        <v>-148266.86926599999</v>
      </c>
      <c r="V627" s="7" t="s">
        <v>56</v>
      </c>
      <c r="W627" s="7" t="s">
        <v>2620</v>
      </c>
      <c r="X627" s="7" t="s">
        <v>2618</v>
      </c>
      <c r="Y627" s="7" t="s">
        <v>1691</v>
      </c>
      <c r="AA627" s="7" t="s">
        <v>2617</v>
      </c>
      <c r="AB627" s="7">
        <v>11</v>
      </c>
      <c r="AC627" s="7" t="s">
        <v>53</v>
      </c>
      <c r="AD627" s="7" t="s">
        <v>1149</v>
      </c>
      <c r="AF627" s="7" t="s">
        <v>44</v>
      </c>
      <c r="AH627" s="4">
        <v>46295.999988425923</v>
      </c>
    </row>
    <row r="628" spans="1:34" x14ac:dyDescent="0.3">
      <c r="A628" s="4">
        <v>46296</v>
      </c>
      <c r="B628" s="4">
        <v>46296</v>
      </c>
      <c r="C628" s="7" t="s">
        <v>35</v>
      </c>
      <c r="D628" s="7" t="s">
        <v>36</v>
      </c>
      <c r="E628" s="7" t="s">
        <v>36</v>
      </c>
      <c r="F628" s="7" t="s">
        <v>36</v>
      </c>
      <c r="G628" s="7" t="s">
        <v>37</v>
      </c>
      <c r="K628" s="7" t="s">
        <v>38</v>
      </c>
      <c r="L628" s="7" t="s">
        <v>39</v>
      </c>
      <c r="M628" s="7" t="s">
        <v>40</v>
      </c>
      <c r="N628" s="7" t="s">
        <v>41</v>
      </c>
      <c r="R628" s="7" t="s">
        <v>54</v>
      </c>
      <c r="S628" s="8">
        <v>148266.85999999999</v>
      </c>
      <c r="U628" s="8">
        <v>148266.85999999999</v>
      </c>
      <c r="V628" s="7" t="s">
        <v>56</v>
      </c>
      <c r="W628" s="7" t="s">
        <v>2620</v>
      </c>
      <c r="X628" s="7" t="s">
        <v>2618</v>
      </c>
      <c r="Y628" s="7" t="s">
        <v>1691</v>
      </c>
      <c r="AA628" s="7" t="s">
        <v>2617</v>
      </c>
      <c r="AB628" s="7">
        <v>11</v>
      </c>
      <c r="AC628" s="7" t="s">
        <v>55</v>
      </c>
      <c r="AD628" s="7" t="s">
        <v>1150</v>
      </c>
      <c r="AF628" s="7" t="s">
        <v>44</v>
      </c>
      <c r="AH628" s="4">
        <v>46326.999988425923</v>
      </c>
    </row>
    <row r="629" spans="1:34" x14ac:dyDescent="0.3">
      <c r="A629" s="4">
        <v>46296</v>
      </c>
      <c r="B629" s="4">
        <v>46296</v>
      </c>
      <c r="C629" s="7" t="s">
        <v>35</v>
      </c>
      <c r="D629" s="7" t="s">
        <v>36</v>
      </c>
      <c r="E629" s="7" t="s">
        <v>36</v>
      </c>
      <c r="F629" s="7" t="s">
        <v>36</v>
      </c>
      <c r="G629" s="7" t="s">
        <v>37</v>
      </c>
      <c r="K629" s="7" t="s">
        <v>38</v>
      </c>
      <c r="L629" s="7" t="s">
        <v>39</v>
      </c>
      <c r="M629" s="7" t="s">
        <v>40</v>
      </c>
      <c r="N629" s="7" t="s">
        <v>41</v>
      </c>
      <c r="R629" s="7" t="s">
        <v>45</v>
      </c>
      <c r="T629" s="8">
        <v>148266.85999999999</v>
      </c>
      <c r="U629" s="8">
        <v>-148266.85999999999</v>
      </c>
      <c r="V629" s="7" t="s">
        <v>56</v>
      </c>
      <c r="W629" s="7" t="s">
        <v>2620</v>
      </c>
      <c r="X629" s="7" t="s">
        <v>2618</v>
      </c>
      <c r="Y629" s="7" t="s">
        <v>1691</v>
      </c>
      <c r="AA629" s="7" t="s">
        <v>2617</v>
      </c>
      <c r="AB629" s="7">
        <v>11</v>
      </c>
      <c r="AC629" s="7" t="s">
        <v>55</v>
      </c>
      <c r="AD629" s="7" t="s">
        <v>1152</v>
      </c>
      <c r="AF629" s="7" t="s">
        <v>44</v>
      </c>
      <c r="AH629" s="4">
        <v>46326.999988425923</v>
      </c>
    </row>
    <row r="630" spans="1:34" x14ac:dyDescent="0.3">
      <c r="A630" s="4">
        <v>46296</v>
      </c>
      <c r="B630" s="4">
        <v>46326</v>
      </c>
      <c r="C630" s="7" t="s">
        <v>46</v>
      </c>
      <c r="D630" s="7" t="s">
        <v>36</v>
      </c>
      <c r="E630" s="7" t="s">
        <v>36</v>
      </c>
      <c r="F630" s="7" t="s">
        <v>36</v>
      </c>
      <c r="G630" s="7" t="s">
        <v>37</v>
      </c>
      <c r="K630" s="7" t="s">
        <v>38</v>
      </c>
      <c r="L630" s="7" t="s">
        <v>39</v>
      </c>
      <c r="M630" s="7" t="s">
        <v>38</v>
      </c>
      <c r="N630" s="7" t="s">
        <v>41</v>
      </c>
      <c r="R630" s="7" t="s">
        <v>49</v>
      </c>
      <c r="S630" s="8">
        <v>864.89005299999997</v>
      </c>
      <c r="U630" s="8">
        <v>864.89005299999997</v>
      </c>
      <c r="V630" s="7" t="s">
        <v>56</v>
      </c>
      <c r="W630" s="7" t="s">
        <v>57</v>
      </c>
      <c r="X630" s="7" t="s">
        <v>2618</v>
      </c>
      <c r="Y630" s="7" t="s">
        <v>1691</v>
      </c>
      <c r="AA630" s="7" t="s">
        <v>2617</v>
      </c>
      <c r="AB630" s="7">
        <v>12</v>
      </c>
      <c r="AC630" s="7" t="s">
        <v>57</v>
      </c>
      <c r="AD630" s="7" t="s">
        <v>1153</v>
      </c>
      <c r="AF630" s="7" t="s">
        <v>44</v>
      </c>
      <c r="AH630" s="4">
        <v>46326.999988425923</v>
      </c>
    </row>
    <row r="631" spans="1:34" x14ac:dyDescent="0.3">
      <c r="A631" s="4">
        <v>46296</v>
      </c>
      <c r="B631" s="4">
        <v>46326</v>
      </c>
      <c r="C631" s="7" t="s">
        <v>46</v>
      </c>
      <c r="D631" s="7" t="s">
        <v>36</v>
      </c>
      <c r="E631" s="7" t="s">
        <v>36</v>
      </c>
      <c r="F631" s="7" t="s">
        <v>36</v>
      </c>
      <c r="G631" s="7" t="s">
        <v>37</v>
      </c>
      <c r="K631" s="7" t="s">
        <v>38</v>
      </c>
      <c r="L631" s="7" t="s">
        <v>39</v>
      </c>
      <c r="M631" s="7" t="s">
        <v>40</v>
      </c>
      <c r="N631" s="7" t="s">
        <v>41</v>
      </c>
      <c r="R631" s="7" t="s">
        <v>45</v>
      </c>
      <c r="S631" s="8">
        <v>49135.109946999997</v>
      </c>
      <c r="U631" s="8">
        <v>49135.109946999997</v>
      </c>
      <c r="V631" s="7" t="s">
        <v>56</v>
      </c>
      <c r="W631" s="7" t="s">
        <v>57</v>
      </c>
      <c r="X631" s="7" t="s">
        <v>2618</v>
      </c>
      <c r="Y631" s="7" t="s">
        <v>1691</v>
      </c>
      <c r="AA631" s="7" t="s">
        <v>2617</v>
      </c>
      <c r="AB631" s="7">
        <v>12</v>
      </c>
      <c r="AC631" s="7" t="s">
        <v>57</v>
      </c>
      <c r="AD631" s="7" t="s">
        <v>1155</v>
      </c>
      <c r="AF631" s="7" t="s">
        <v>44</v>
      </c>
      <c r="AH631" s="4">
        <v>46326.999988425923</v>
      </c>
    </row>
    <row r="632" spans="1:34" x14ac:dyDescent="0.3">
      <c r="A632" s="4">
        <v>46296</v>
      </c>
      <c r="B632" s="4">
        <v>46326</v>
      </c>
      <c r="C632" s="7" t="s">
        <v>46</v>
      </c>
      <c r="D632" s="7" t="s">
        <v>36</v>
      </c>
      <c r="E632" s="7" t="s">
        <v>36</v>
      </c>
      <c r="F632" s="7" t="s">
        <v>36</v>
      </c>
      <c r="G632" s="7" t="s">
        <v>37</v>
      </c>
      <c r="K632" s="7" t="s">
        <v>38</v>
      </c>
      <c r="L632" s="7" t="s">
        <v>39</v>
      </c>
      <c r="M632" s="7" t="s">
        <v>40</v>
      </c>
      <c r="N632" s="7" t="s">
        <v>41</v>
      </c>
      <c r="R632" s="7" t="s">
        <v>58</v>
      </c>
      <c r="T632" s="8">
        <v>50000</v>
      </c>
      <c r="U632" s="8">
        <v>-50000</v>
      </c>
      <c r="V632" s="7" t="s">
        <v>56</v>
      </c>
      <c r="W632" s="7" t="s">
        <v>57</v>
      </c>
      <c r="X632" s="7" t="s">
        <v>2618</v>
      </c>
      <c r="Y632" s="7" t="s">
        <v>1691</v>
      </c>
      <c r="AA632" s="7" t="s">
        <v>2617</v>
      </c>
      <c r="AB632" s="7">
        <v>12</v>
      </c>
      <c r="AC632" s="7" t="s">
        <v>57</v>
      </c>
      <c r="AD632" s="7" t="s">
        <v>1156</v>
      </c>
      <c r="AF632" s="7" t="s">
        <v>44</v>
      </c>
      <c r="AH632" s="4">
        <v>46326.999988425923</v>
      </c>
    </row>
    <row r="633" spans="1:34" x14ac:dyDescent="0.3">
      <c r="A633" s="4">
        <v>46326</v>
      </c>
      <c r="B633" s="4">
        <v>46326</v>
      </c>
      <c r="C633" s="7" t="s">
        <v>46</v>
      </c>
      <c r="D633" s="7" t="s">
        <v>36</v>
      </c>
      <c r="E633" s="7" t="s">
        <v>36</v>
      </c>
      <c r="F633" s="7" t="s">
        <v>36</v>
      </c>
      <c r="G633" s="7" t="s">
        <v>37</v>
      </c>
      <c r="K633" s="7" t="s">
        <v>38</v>
      </c>
      <c r="L633" s="7" t="s">
        <v>39</v>
      </c>
      <c r="M633" s="7" t="s">
        <v>40</v>
      </c>
      <c r="N633" s="7" t="s">
        <v>41</v>
      </c>
      <c r="R633" s="7" t="s">
        <v>47</v>
      </c>
      <c r="S633" s="8">
        <v>578.26857800000005</v>
      </c>
      <c r="U633" s="8">
        <v>578.26857800000005</v>
      </c>
      <c r="V633" s="7" t="s">
        <v>56</v>
      </c>
      <c r="W633" s="7" t="s">
        <v>2621</v>
      </c>
      <c r="X633" s="7" t="s">
        <v>2618</v>
      </c>
      <c r="Y633" s="7" t="s">
        <v>1691</v>
      </c>
      <c r="AA633" s="7" t="s">
        <v>2617</v>
      </c>
      <c r="AB633" s="7">
        <v>8</v>
      </c>
      <c r="AC633" s="7" t="s">
        <v>48</v>
      </c>
      <c r="AD633" s="7" t="s">
        <v>1157</v>
      </c>
      <c r="AF633" s="7" t="s">
        <v>44</v>
      </c>
      <c r="AH633" s="4">
        <v>46326.999988425923</v>
      </c>
    </row>
    <row r="634" spans="1:34" x14ac:dyDescent="0.3">
      <c r="A634" s="4">
        <v>46326</v>
      </c>
      <c r="B634" s="4">
        <v>46326</v>
      </c>
      <c r="C634" s="7" t="s">
        <v>46</v>
      </c>
      <c r="D634" s="7" t="s">
        <v>36</v>
      </c>
      <c r="E634" s="7" t="s">
        <v>36</v>
      </c>
      <c r="F634" s="7" t="s">
        <v>36</v>
      </c>
      <c r="G634" s="7" t="s">
        <v>37</v>
      </c>
      <c r="K634" s="7" t="s">
        <v>38</v>
      </c>
      <c r="L634" s="7" t="s">
        <v>39</v>
      </c>
      <c r="M634" s="7" t="s">
        <v>38</v>
      </c>
      <c r="N634" s="7" t="s">
        <v>41</v>
      </c>
      <c r="R634" s="7" t="s">
        <v>49</v>
      </c>
      <c r="T634" s="8">
        <v>578.26857800000005</v>
      </c>
      <c r="U634" s="8">
        <v>-578.26857800000005</v>
      </c>
      <c r="V634" s="7" t="s">
        <v>56</v>
      </c>
      <c r="W634" s="7" t="s">
        <v>2621</v>
      </c>
      <c r="X634" s="7" t="s">
        <v>2618</v>
      </c>
      <c r="Y634" s="7" t="s">
        <v>1691</v>
      </c>
      <c r="AA634" s="7" t="s">
        <v>2617</v>
      </c>
      <c r="AB634" s="7">
        <v>8</v>
      </c>
      <c r="AC634" s="7" t="s">
        <v>48</v>
      </c>
      <c r="AD634" s="7" t="s">
        <v>1159</v>
      </c>
      <c r="AF634" s="7" t="s">
        <v>44</v>
      </c>
      <c r="AH634" s="4">
        <v>46326.999988425923</v>
      </c>
    </row>
    <row r="635" spans="1:34" x14ac:dyDescent="0.3">
      <c r="A635" s="4">
        <v>46326</v>
      </c>
      <c r="B635" s="4">
        <v>44562</v>
      </c>
      <c r="C635" s="7" t="s">
        <v>35</v>
      </c>
      <c r="D635" s="7" t="s">
        <v>36</v>
      </c>
      <c r="E635" s="7" t="s">
        <v>36</v>
      </c>
      <c r="F635" s="7" t="s">
        <v>36</v>
      </c>
      <c r="G635" s="7" t="s">
        <v>37</v>
      </c>
      <c r="K635" s="7" t="s">
        <v>38</v>
      </c>
      <c r="L635" s="7" t="s">
        <v>39</v>
      </c>
      <c r="M635" s="7" t="s">
        <v>40</v>
      </c>
      <c r="N635" s="7" t="s">
        <v>41</v>
      </c>
      <c r="R635" s="7" t="s">
        <v>50</v>
      </c>
      <c r="S635" s="8">
        <v>42330.49</v>
      </c>
      <c r="U635" s="8">
        <v>42330.49</v>
      </c>
      <c r="V635" s="7" t="s">
        <v>56</v>
      </c>
      <c r="W635" s="7" t="s">
        <v>2619</v>
      </c>
      <c r="X635" s="7" t="s">
        <v>2618</v>
      </c>
      <c r="Y635" s="7" t="s">
        <v>1691</v>
      </c>
      <c r="AA635" s="7" t="s">
        <v>2617</v>
      </c>
      <c r="AB635" s="7">
        <v>10</v>
      </c>
      <c r="AC635" s="7" t="s">
        <v>51</v>
      </c>
      <c r="AD635" s="7" t="s">
        <v>1160</v>
      </c>
      <c r="AF635" s="7" t="s">
        <v>44</v>
      </c>
      <c r="AH635" s="4">
        <v>46326.999988425923</v>
      </c>
    </row>
    <row r="636" spans="1:34" x14ac:dyDescent="0.3">
      <c r="A636" s="4">
        <v>46326</v>
      </c>
      <c r="B636" s="4">
        <v>44562</v>
      </c>
      <c r="C636" s="7" t="s">
        <v>35</v>
      </c>
      <c r="D636" s="7" t="s">
        <v>36</v>
      </c>
      <c r="E636" s="7" t="s">
        <v>36</v>
      </c>
      <c r="F636" s="7" t="s">
        <v>36</v>
      </c>
      <c r="G636" s="7" t="s">
        <v>37</v>
      </c>
      <c r="K636" s="7" t="s">
        <v>38</v>
      </c>
      <c r="L636" s="7" t="s">
        <v>39</v>
      </c>
      <c r="M636" s="7" t="s">
        <v>40</v>
      </c>
      <c r="N636" s="7" t="s">
        <v>41</v>
      </c>
      <c r="R636" s="7" t="s">
        <v>52</v>
      </c>
      <c r="T636" s="8">
        <v>42330.49</v>
      </c>
      <c r="U636" s="8">
        <v>-42330.49</v>
      </c>
      <c r="V636" s="7" t="s">
        <v>56</v>
      </c>
      <c r="W636" s="7" t="s">
        <v>2619</v>
      </c>
      <c r="X636" s="7" t="s">
        <v>2618</v>
      </c>
      <c r="Y636" s="7" t="s">
        <v>1691</v>
      </c>
      <c r="AA636" s="7" t="s">
        <v>2617</v>
      </c>
      <c r="AB636" s="7">
        <v>10</v>
      </c>
      <c r="AC636" s="7" t="s">
        <v>51</v>
      </c>
      <c r="AD636" s="7" t="s">
        <v>1162</v>
      </c>
      <c r="AF636" s="7" t="s">
        <v>44</v>
      </c>
      <c r="AH636" s="4">
        <v>46326.999988425923</v>
      </c>
    </row>
    <row r="637" spans="1:34" x14ac:dyDescent="0.3">
      <c r="A637" s="4">
        <v>46326</v>
      </c>
      <c r="B637" s="4">
        <v>46326</v>
      </c>
      <c r="C637" s="7" t="s">
        <v>35</v>
      </c>
      <c r="D637" s="7" t="s">
        <v>36</v>
      </c>
      <c r="E637" s="7" t="s">
        <v>36</v>
      </c>
      <c r="F637" s="7" t="s">
        <v>36</v>
      </c>
      <c r="G637" s="7" t="s">
        <v>37</v>
      </c>
      <c r="K637" s="7" t="s">
        <v>38</v>
      </c>
      <c r="L637" s="7" t="s">
        <v>39</v>
      </c>
      <c r="M637" s="7" t="s">
        <v>40</v>
      </c>
      <c r="N637" s="7" t="s">
        <v>41</v>
      </c>
      <c r="R637" s="7" t="s">
        <v>45</v>
      </c>
      <c r="S637" s="8">
        <v>99131.750052999996</v>
      </c>
      <c r="U637" s="8">
        <v>99131.750052999996</v>
      </c>
      <c r="V637" s="7" t="s">
        <v>56</v>
      </c>
      <c r="W637" s="7" t="s">
        <v>2620</v>
      </c>
      <c r="X637" s="7" t="s">
        <v>2618</v>
      </c>
      <c r="Y637" s="7" t="s">
        <v>1691</v>
      </c>
      <c r="AA637" s="7" t="s">
        <v>2617</v>
      </c>
      <c r="AB637" s="7">
        <v>11</v>
      </c>
      <c r="AC637" s="7" t="s">
        <v>53</v>
      </c>
      <c r="AD637" s="7" t="s">
        <v>1163</v>
      </c>
      <c r="AF637" s="7" t="s">
        <v>44</v>
      </c>
      <c r="AH637" s="4">
        <v>46326.999988425923</v>
      </c>
    </row>
    <row r="638" spans="1:34" x14ac:dyDescent="0.3">
      <c r="A638" s="4">
        <v>46326</v>
      </c>
      <c r="B638" s="4">
        <v>46326</v>
      </c>
      <c r="C638" s="7" t="s">
        <v>35</v>
      </c>
      <c r="D638" s="7" t="s">
        <v>36</v>
      </c>
      <c r="E638" s="7" t="s">
        <v>36</v>
      </c>
      <c r="F638" s="7" t="s">
        <v>36</v>
      </c>
      <c r="G638" s="7" t="s">
        <v>37</v>
      </c>
      <c r="K638" s="7" t="s">
        <v>38</v>
      </c>
      <c r="L638" s="7" t="s">
        <v>39</v>
      </c>
      <c r="M638" s="7" t="s">
        <v>40</v>
      </c>
      <c r="N638" s="7" t="s">
        <v>41</v>
      </c>
      <c r="R638" s="7" t="s">
        <v>54</v>
      </c>
      <c r="T638" s="8">
        <v>99131.750052999996</v>
      </c>
      <c r="U638" s="8">
        <v>-99131.750052999996</v>
      </c>
      <c r="V638" s="7" t="s">
        <v>56</v>
      </c>
      <c r="W638" s="7" t="s">
        <v>2620</v>
      </c>
      <c r="X638" s="7" t="s">
        <v>2618</v>
      </c>
      <c r="Y638" s="7" t="s">
        <v>1691</v>
      </c>
      <c r="AA638" s="7" t="s">
        <v>2617</v>
      </c>
      <c r="AB638" s="7">
        <v>11</v>
      </c>
      <c r="AC638" s="7" t="s">
        <v>53</v>
      </c>
      <c r="AD638" s="7" t="s">
        <v>1165</v>
      </c>
      <c r="AF638" s="7" t="s">
        <v>44</v>
      </c>
      <c r="AH638" s="4">
        <v>46326.999988425923</v>
      </c>
    </row>
    <row r="639" spans="1:34" x14ac:dyDescent="0.3">
      <c r="A639" s="4">
        <v>46327</v>
      </c>
      <c r="B639" s="4">
        <v>46327</v>
      </c>
      <c r="C639" s="7" t="s">
        <v>35</v>
      </c>
      <c r="D639" s="7" t="s">
        <v>36</v>
      </c>
      <c r="E639" s="7" t="s">
        <v>36</v>
      </c>
      <c r="F639" s="7" t="s">
        <v>36</v>
      </c>
      <c r="G639" s="7" t="s">
        <v>37</v>
      </c>
      <c r="K639" s="7" t="s">
        <v>38</v>
      </c>
      <c r="L639" s="7" t="s">
        <v>39</v>
      </c>
      <c r="M639" s="7" t="s">
        <v>40</v>
      </c>
      <c r="N639" s="7" t="s">
        <v>41</v>
      </c>
      <c r="R639" s="7" t="s">
        <v>54</v>
      </c>
      <c r="S639" s="8">
        <v>99131.76</v>
      </c>
      <c r="U639" s="8">
        <v>99131.76</v>
      </c>
      <c r="V639" s="7" t="s">
        <v>56</v>
      </c>
      <c r="W639" s="7" t="s">
        <v>2620</v>
      </c>
      <c r="X639" s="7" t="s">
        <v>2618</v>
      </c>
      <c r="Y639" s="7" t="s">
        <v>1691</v>
      </c>
      <c r="AA639" s="7" t="s">
        <v>2617</v>
      </c>
      <c r="AB639" s="7">
        <v>11</v>
      </c>
      <c r="AC639" s="7" t="s">
        <v>55</v>
      </c>
      <c r="AD639" s="7" t="s">
        <v>1166</v>
      </c>
      <c r="AF639" s="7" t="s">
        <v>44</v>
      </c>
      <c r="AH639" s="4">
        <v>46356.999988425923</v>
      </c>
    </row>
    <row r="640" spans="1:34" x14ac:dyDescent="0.3">
      <c r="A640" s="4">
        <v>46327</v>
      </c>
      <c r="B640" s="4">
        <v>46327</v>
      </c>
      <c r="C640" s="7" t="s">
        <v>35</v>
      </c>
      <c r="D640" s="7" t="s">
        <v>36</v>
      </c>
      <c r="E640" s="7" t="s">
        <v>36</v>
      </c>
      <c r="F640" s="7" t="s">
        <v>36</v>
      </c>
      <c r="G640" s="7" t="s">
        <v>37</v>
      </c>
      <c r="K640" s="7" t="s">
        <v>38</v>
      </c>
      <c r="L640" s="7" t="s">
        <v>39</v>
      </c>
      <c r="M640" s="7" t="s">
        <v>40</v>
      </c>
      <c r="N640" s="7" t="s">
        <v>41</v>
      </c>
      <c r="R640" s="7" t="s">
        <v>45</v>
      </c>
      <c r="T640" s="8">
        <v>99131.76</v>
      </c>
      <c r="U640" s="8">
        <v>-99131.76</v>
      </c>
      <c r="V640" s="7" t="s">
        <v>56</v>
      </c>
      <c r="W640" s="7" t="s">
        <v>2620</v>
      </c>
      <c r="X640" s="7" t="s">
        <v>2618</v>
      </c>
      <c r="Y640" s="7" t="s">
        <v>1691</v>
      </c>
      <c r="AA640" s="7" t="s">
        <v>2617</v>
      </c>
      <c r="AB640" s="7">
        <v>11</v>
      </c>
      <c r="AC640" s="7" t="s">
        <v>55</v>
      </c>
      <c r="AD640" s="7" t="s">
        <v>1168</v>
      </c>
      <c r="AF640" s="7" t="s">
        <v>44</v>
      </c>
      <c r="AH640" s="4">
        <v>46356.999988425923</v>
      </c>
    </row>
    <row r="641" spans="1:34" x14ac:dyDescent="0.3">
      <c r="A641" s="4">
        <v>46327</v>
      </c>
      <c r="B641" s="4">
        <v>46356</v>
      </c>
      <c r="C641" s="7" t="s">
        <v>46</v>
      </c>
      <c r="D641" s="7" t="s">
        <v>36</v>
      </c>
      <c r="E641" s="7" t="s">
        <v>36</v>
      </c>
      <c r="F641" s="7" t="s">
        <v>36</v>
      </c>
      <c r="G641" s="7" t="s">
        <v>37</v>
      </c>
      <c r="K641" s="7" t="s">
        <v>38</v>
      </c>
      <c r="L641" s="7" t="s">
        <v>39</v>
      </c>
      <c r="M641" s="7" t="s">
        <v>38</v>
      </c>
      <c r="N641" s="7" t="s">
        <v>41</v>
      </c>
      <c r="R641" s="7" t="s">
        <v>49</v>
      </c>
      <c r="S641" s="8">
        <v>578.26857800000005</v>
      </c>
      <c r="U641" s="8">
        <v>578.26857800000005</v>
      </c>
      <c r="V641" s="7" t="s">
        <v>56</v>
      </c>
      <c r="W641" s="7" t="s">
        <v>57</v>
      </c>
      <c r="X641" s="7" t="s">
        <v>2618</v>
      </c>
      <c r="Y641" s="7" t="s">
        <v>1691</v>
      </c>
      <c r="AA641" s="7" t="s">
        <v>2617</v>
      </c>
      <c r="AB641" s="7">
        <v>12</v>
      </c>
      <c r="AC641" s="7" t="s">
        <v>57</v>
      </c>
      <c r="AD641" s="7" t="s">
        <v>1169</v>
      </c>
      <c r="AF641" s="7" t="s">
        <v>44</v>
      </c>
      <c r="AH641" s="4">
        <v>46356.999988425923</v>
      </c>
    </row>
    <row r="642" spans="1:34" x14ac:dyDescent="0.3">
      <c r="A642" s="4">
        <v>46327</v>
      </c>
      <c r="B642" s="4">
        <v>46356</v>
      </c>
      <c r="C642" s="7" t="s">
        <v>46</v>
      </c>
      <c r="D642" s="7" t="s">
        <v>36</v>
      </c>
      <c r="E642" s="7" t="s">
        <v>36</v>
      </c>
      <c r="F642" s="7" t="s">
        <v>36</v>
      </c>
      <c r="G642" s="7" t="s">
        <v>37</v>
      </c>
      <c r="K642" s="7" t="s">
        <v>38</v>
      </c>
      <c r="L642" s="7" t="s">
        <v>39</v>
      </c>
      <c r="M642" s="7" t="s">
        <v>40</v>
      </c>
      <c r="N642" s="7" t="s">
        <v>41</v>
      </c>
      <c r="R642" s="7" t="s">
        <v>45</v>
      </c>
      <c r="S642" s="8">
        <v>49421.731421999997</v>
      </c>
      <c r="U642" s="8">
        <v>49421.731421999997</v>
      </c>
      <c r="V642" s="7" t="s">
        <v>56</v>
      </c>
      <c r="W642" s="7" t="s">
        <v>57</v>
      </c>
      <c r="X642" s="7" t="s">
        <v>2618</v>
      </c>
      <c r="Y642" s="7" t="s">
        <v>1691</v>
      </c>
      <c r="AA642" s="7" t="s">
        <v>2617</v>
      </c>
      <c r="AB642" s="7">
        <v>12</v>
      </c>
      <c r="AC642" s="7" t="s">
        <v>57</v>
      </c>
      <c r="AD642" s="7" t="s">
        <v>1171</v>
      </c>
      <c r="AF642" s="7" t="s">
        <v>44</v>
      </c>
      <c r="AH642" s="4">
        <v>46356.999988425923</v>
      </c>
    </row>
    <row r="643" spans="1:34" x14ac:dyDescent="0.3">
      <c r="A643" s="4">
        <v>46327</v>
      </c>
      <c r="B643" s="4">
        <v>46356</v>
      </c>
      <c r="C643" s="7" t="s">
        <v>46</v>
      </c>
      <c r="D643" s="7" t="s">
        <v>36</v>
      </c>
      <c r="E643" s="7" t="s">
        <v>36</v>
      </c>
      <c r="F643" s="7" t="s">
        <v>36</v>
      </c>
      <c r="G643" s="7" t="s">
        <v>37</v>
      </c>
      <c r="K643" s="7" t="s">
        <v>38</v>
      </c>
      <c r="L643" s="7" t="s">
        <v>39</v>
      </c>
      <c r="M643" s="7" t="s">
        <v>40</v>
      </c>
      <c r="N643" s="7" t="s">
        <v>41</v>
      </c>
      <c r="R643" s="7" t="s">
        <v>58</v>
      </c>
      <c r="T643" s="8">
        <v>50000</v>
      </c>
      <c r="U643" s="8">
        <v>-50000</v>
      </c>
      <c r="V643" s="7" t="s">
        <v>56</v>
      </c>
      <c r="W643" s="7" t="s">
        <v>57</v>
      </c>
      <c r="X643" s="7" t="s">
        <v>2618</v>
      </c>
      <c r="Y643" s="7" t="s">
        <v>1691</v>
      </c>
      <c r="AA643" s="7" t="s">
        <v>2617</v>
      </c>
      <c r="AB643" s="7">
        <v>12</v>
      </c>
      <c r="AC643" s="7" t="s">
        <v>57</v>
      </c>
      <c r="AD643" s="7" t="s">
        <v>1172</v>
      </c>
      <c r="AF643" s="7" t="s">
        <v>44</v>
      </c>
      <c r="AH643" s="4">
        <v>46356.999988425923</v>
      </c>
    </row>
    <row r="644" spans="1:34" x14ac:dyDescent="0.3">
      <c r="A644" s="4">
        <v>46356</v>
      </c>
      <c r="B644" s="4">
        <v>46356</v>
      </c>
      <c r="C644" s="7" t="s">
        <v>46</v>
      </c>
      <c r="D644" s="7" t="s">
        <v>36</v>
      </c>
      <c r="E644" s="7" t="s">
        <v>36</v>
      </c>
      <c r="F644" s="7" t="s">
        <v>36</v>
      </c>
      <c r="G644" s="7" t="s">
        <v>37</v>
      </c>
      <c r="K644" s="7" t="s">
        <v>38</v>
      </c>
      <c r="L644" s="7" t="s">
        <v>39</v>
      </c>
      <c r="M644" s="7" t="s">
        <v>40</v>
      </c>
      <c r="N644" s="7" t="s">
        <v>41</v>
      </c>
      <c r="R644" s="7" t="s">
        <v>47</v>
      </c>
      <c r="S644" s="8">
        <v>289.975145</v>
      </c>
      <c r="U644" s="8">
        <v>289.975145</v>
      </c>
      <c r="V644" s="7" t="s">
        <v>56</v>
      </c>
      <c r="W644" s="7" t="s">
        <v>2621</v>
      </c>
      <c r="X644" s="7" t="s">
        <v>2618</v>
      </c>
      <c r="Y644" s="7" t="s">
        <v>1691</v>
      </c>
      <c r="AA644" s="7" t="s">
        <v>2617</v>
      </c>
      <c r="AB644" s="7">
        <v>8</v>
      </c>
      <c r="AC644" s="7" t="s">
        <v>48</v>
      </c>
      <c r="AD644" s="7" t="s">
        <v>1173</v>
      </c>
      <c r="AF644" s="7" t="s">
        <v>44</v>
      </c>
      <c r="AH644" s="4">
        <v>46356.999988425923</v>
      </c>
    </row>
    <row r="645" spans="1:34" x14ac:dyDescent="0.3">
      <c r="A645" s="4">
        <v>46356</v>
      </c>
      <c r="B645" s="4">
        <v>46356</v>
      </c>
      <c r="C645" s="7" t="s">
        <v>46</v>
      </c>
      <c r="D645" s="7" t="s">
        <v>36</v>
      </c>
      <c r="E645" s="7" t="s">
        <v>36</v>
      </c>
      <c r="F645" s="7" t="s">
        <v>36</v>
      </c>
      <c r="G645" s="7" t="s">
        <v>37</v>
      </c>
      <c r="K645" s="7" t="s">
        <v>38</v>
      </c>
      <c r="L645" s="7" t="s">
        <v>39</v>
      </c>
      <c r="M645" s="7" t="s">
        <v>38</v>
      </c>
      <c r="N645" s="7" t="s">
        <v>41</v>
      </c>
      <c r="R645" s="7" t="s">
        <v>49</v>
      </c>
      <c r="T645" s="8">
        <v>289.975145</v>
      </c>
      <c r="U645" s="8">
        <v>-289.975145</v>
      </c>
      <c r="V645" s="7" t="s">
        <v>56</v>
      </c>
      <c r="W645" s="7" t="s">
        <v>2621</v>
      </c>
      <c r="X645" s="7" t="s">
        <v>2618</v>
      </c>
      <c r="Y645" s="7" t="s">
        <v>1691</v>
      </c>
      <c r="AA645" s="7" t="s">
        <v>2617</v>
      </c>
      <c r="AB645" s="7">
        <v>8</v>
      </c>
      <c r="AC645" s="7" t="s">
        <v>48</v>
      </c>
      <c r="AD645" s="7" t="s">
        <v>1175</v>
      </c>
      <c r="AF645" s="7" t="s">
        <v>44</v>
      </c>
      <c r="AH645" s="4">
        <v>46356.999988425923</v>
      </c>
    </row>
    <row r="646" spans="1:34" x14ac:dyDescent="0.3">
      <c r="A646" s="4">
        <v>46356</v>
      </c>
      <c r="B646" s="4">
        <v>44562</v>
      </c>
      <c r="C646" s="7" t="s">
        <v>35</v>
      </c>
      <c r="D646" s="7" t="s">
        <v>36</v>
      </c>
      <c r="E646" s="7" t="s">
        <v>36</v>
      </c>
      <c r="F646" s="7" t="s">
        <v>36</v>
      </c>
      <c r="G646" s="7" t="s">
        <v>37</v>
      </c>
      <c r="K646" s="7" t="s">
        <v>38</v>
      </c>
      <c r="L646" s="7" t="s">
        <v>39</v>
      </c>
      <c r="M646" s="7" t="s">
        <v>40</v>
      </c>
      <c r="N646" s="7" t="s">
        <v>41</v>
      </c>
      <c r="R646" s="7" t="s">
        <v>50</v>
      </c>
      <c r="S646" s="8">
        <v>42330.49</v>
      </c>
      <c r="U646" s="8">
        <v>42330.49</v>
      </c>
      <c r="V646" s="7" t="s">
        <v>56</v>
      </c>
      <c r="W646" s="7" t="s">
        <v>2619</v>
      </c>
      <c r="X646" s="7" t="s">
        <v>2618</v>
      </c>
      <c r="Y646" s="7" t="s">
        <v>1691</v>
      </c>
      <c r="AA646" s="7" t="s">
        <v>2617</v>
      </c>
      <c r="AB646" s="7">
        <v>10</v>
      </c>
      <c r="AC646" s="7" t="s">
        <v>51</v>
      </c>
      <c r="AD646" s="7" t="s">
        <v>1176</v>
      </c>
      <c r="AF646" s="7" t="s">
        <v>44</v>
      </c>
      <c r="AH646" s="4">
        <v>46356.999988425923</v>
      </c>
    </row>
    <row r="647" spans="1:34" x14ac:dyDescent="0.3">
      <c r="A647" s="4">
        <v>46356</v>
      </c>
      <c r="B647" s="4">
        <v>44562</v>
      </c>
      <c r="C647" s="7" t="s">
        <v>35</v>
      </c>
      <c r="D647" s="7" t="s">
        <v>36</v>
      </c>
      <c r="E647" s="7" t="s">
        <v>36</v>
      </c>
      <c r="F647" s="7" t="s">
        <v>36</v>
      </c>
      <c r="G647" s="7" t="s">
        <v>37</v>
      </c>
      <c r="K647" s="7" t="s">
        <v>38</v>
      </c>
      <c r="L647" s="7" t="s">
        <v>39</v>
      </c>
      <c r="M647" s="7" t="s">
        <v>40</v>
      </c>
      <c r="N647" s="7" t="s">
        <v>41</v>
      </c>
      <c r="R647" s="7" t="s">
        <v>52</v>
      </c>
      <c r="T647" s="8">
        <v>42330.49</v>
      </c>
      <c r="U647" s="8">
        <v>-42330.49</v>
      </c>
      <c r="V647" s="7" t="s">
        <v>56</v>
      </c>
      <c r="W647" s="7" t="s">
        <v>2619</v>
      </c>
      <c r="X647" s="7" t="s">
        <v>2618</v>
      </c>
      <c r="Y647" s="7" t="s">
        <v>1691</v>
      </c>
      <c r="AA647" s="7" t="s">
        <v>2617</v>
      </c>
      <c r="AB647" s="7">
        <v>10</v>
      </c>
      <c r="AC647" s="7" t="s">
        <v>51</v>
      </c>
      <c r="AD647" s="7" t="s">
        <v>1178</v>
      </c>
      <c r="AF647" s="7" t="s">
        <v>44</v>
      </c>
      <c r="AH647" s="4">
        <v>46356.999988425923</v>
      </c>
    </row>
    <row r="648" spans="1:34" x14ac:dyDescent="0.3">
      <c r="A648" s="4">
        <v>46356</v>
      </c>
      <c r="B648" s="4">
        <v>46356</v>
      </c>
      <c r="C648" s="7" t="s">
        <v>35</v>
      </c>
      <c r="D648" s="7" t="s">
        <v>36</v>
      </c>
      <c r="E648" s="7" t="s">
        <v>36</v>
      </c>
      <c r="F648" s="7" t="s">
        <v>36</v>
      </c>
      <c r="G648" s="7" t="s">
        <v>37</v>
      </c>
      <c r="K648" s="7" t="s">
        <v>38</v>
      </c>
      <c r="L648" s="7" t="s">
        <v>39</v>
      </c>
      <c r="M648" s="7" t="s">
        <v>40</v>
      </c>
      <c r="N648" s="7" t="s">
        <v>41</v>
      </c>
      <c r="R648" s="7" t="s">
        <v>45</v>
      </c>
      <c r="S648" s="8">
        <v>49710.028577999998</v>
      </c>
      <c r="U648" s="8">
        <v>49710.028577999998</v>
      </c>
      <c r="V648" s="7" t="s">
        <v>56</v>
      </c>
      <c r="W648" s="7" t="s">
        <v>2620</v>
      </c>
      <c r="X648" s="7" t="s">
        <v>2618</v>
      </c>
      <c r="Y648" s="7" t="s">
        <v>1691</v>
      </c>
      <c r="AA648" s="7" t="s">
        <v>2617</v>
      </c>
      <c r="AB648" s="7">
        <v>11</v>
      </c>
      <c r="AC648" s="7" t="s">
        <v>53</v>
      </c>
      <c r="AD648" s="7" t="s">
        <v>1179</v>
      </c>
      <c r="AF648" s="7" t="s">
        <v>44</v>
      </c>
      <c r="AH648" s="4">
        <v>46356.999988425923</v>
      </c>
    </row>
    <row r="649" spans="1:34" x14ac:dyDescent="0.3">
      <c r="A649" s="4">
        <v>46356</v>
      </c>
      <c r="B649" s="4">
        <v>46356</v>
      </c>
      <c r="C649" s="7" t="s">
        <v>35</v>
      </c>
      <c r="D649" s="7" t="s">
        <v>36</v>
      </c>
      <c r="E649" s="7" t="s">
        <v>36</v>
      </c>
      <c r="F649" s="7" t="s">
        <v>36</v>
      </c>
      <c r="G649" s="7" t="s">
        <v>37</v>
      </c>
      <c r="K649" s="7" t="s">
        <v>38</v>
      </c>
      <c r="L649" s="7" t="s">
        <v>39</v>
      </c>
      <c r="M649" s="7" t="s">
        <v>40</v>
      </c>
      <c r="N649" s="7" t="s">
        <v>41</v>
      </c>
      <c r="R649" s="7" t="s">
        <v>54</v>
      </c>
      <c r="T649" s="8">
        <v>49710.028577999998</v>
      </c>
      <c r="U649" s="8">
        <v>-49710.028577999998</v>
      </c>
      <c r="V649" s="7" t="s">
        <v>56</v>
      </c>
      <c r="W649" s="7" t="s">
        <v>2620</v>
      </c>
      <c r="X649" s="7" t="s">
        <v>2618</v>
      </c>
      <c r="Y649" s="7" t="s">
        <v>1691</v>
      </c>
      <c r="AA649" s="7" t="s">
        <v>2617</v>
      </c>
      <c r="AB649" s="7">
        <v>11</v>
      </c>
      <c r="AC649" s="7" t="s">
        <v>53</v>
      </c>
      <c r="AD649" s="7" t="s">
        <v>1181</v>
      </c>
      <c r="AF649" s="7" t="s">
        <v>44</v>
      </c>
      <c r="AH649" s="4">
        <v>46356.999988425923</v>
      </c>
    </row>
    <row r="650" spans="1:34" x14ac:dyDescent="0.3">
      <c r="A650" s="4">
        <v>46357</v>
      </c>
      <c r="B650" s="4">
        <v>46357</v>
      </c>
      <c r="C650" s="7" t="s">
        <v>35</v>
      </c>
      <c r="D650" s="7" t="s">
        <v>36</v>
      </c>
      <c r="E650" s="7" t="s">
        <v>36</v>
      </c>
      <c r="F650" s="7" t="s">
        <v>36</v>
      </c>
      <c r="G650" s="7" t="s">
        <v>37</v>
      </c>
      <c r="K650" s="7" t="s">
        <v>38</v>
      </c>
      <c r="L650" s="7" t="s">
        <v>39</v>
      </c>
      <c r="M650" s="7" t="s">
        <v>40</v>
      </c>
      <c r="N650" s="7" t="s">
        <v>41</v>
      </c>
      <c r="R650" s="7" t="s">
        <v>54</v>
      </c>
      <c r="S650" s="8">
        <v>49710.024855000003</v>
      </c>
      <c r="U650" s="8">
        <v>49710.024855000003</v>
      </c>
      <c r="V650" s="7" t="s">
        <v>56</v>
      </c>
      <c r="W650" s="7" t="s">
        <v>2620</v>
      </c>
      <c r="X650" s="7" t="s">
        <v>2618</v>
      </c>
      <c r="Y650" s="7" t="s">
        <v>1691</v>
      </c>
      <c r="AA650" s="7" t="s">
        <v>2617</v>
      </c>
      <c r="AB650" s="7">
        <v>11</v>
      </c>
      <c r="AC650" s="7" t="s">
        <v>55</v>
      </c>
      <c r="AD650" s="7" t="s">
        <v>1182</v>
      </c>
      <c r="AF650" s="7" t="s">
        <v>44</v>
      </c>
      <c r="AH650" s="4">
        <v>46387.999988425923</v>
      </c>
    </row>
    <row r="651" spans="1:34" x14ac:dyDescent="0.3">
      <c r="A651" s="4">
        <v>46357</v>
      </c>
      <c r="B651" s="4">
        <v>46357</v>
      </c>
      <c r="C651" s="7" t="s">
        <v>35</v>
      </c>
      <c r="D651" s="7" t="s">
        <v>36</v>
      </c>
      <c r="E651" s="7" t="s">
        <v>36</v>
      </c>
      <c r="F651" s="7" t="s">
        <v>36</v>
      </c>
      <c r="G651" s="7" t="s">
        <v>37</v>
      </c>
      <c r="K651" s="7" t="s">
        <v>38</v>
      </c>
      <c r="L651" s="7" t="s">
        <v>39</v>
      </c>
      <c r="M651" s="7" t="s">
        <v>40</v>
      </c>
      <c r="N651" s="7" t="s">
        <v>41</v>
      </c>
      <c r="R651" s="7" t="s">
        <v>45</v>
      </c>
      <c r="T651" s="8">
        <v>49710.024855000003</v>
      </c>
      <c r="U651" s="8">
        <v>-49710.024855000003</v>
      </c>
      <c r="V651" s="7" t="s">
        <v>56</v>
      </c>
      <c r="W651" s="7" t="s">
        <v>2620</v>
      </c>
      <c r="X651" s="7" t="s">
        <v>2618</v>
      </c>
      <c r="Y651" s="7" t="s">
        <v>1691</v>
      </c>
      <c r="AA651" s="7" t="s">
        <v>2617</v>
      </c>
      <c r="AB651" s="7">
        <v>11</v>
      </c>
      <c r="AC651" s="7" t="s">
        <v>55</v>
      </c>
      <c r="AD651" s="7" t="s">
        <v>1184</v>
      </c>
      <c r="AF651" s="7" t="s">
        <v>44</v>
      </c>
      <c r="AH651" s="4">
        <v>46387.999988425923</v>
      </c>
    </row>
    <row r="652" spans="1:34" x14ac:dyDescent="0.3">
      <c r="A652" s="4">
        <v>46357</v>
      </c>
      <c r="B652" s="4">
        <v>46387</v>
      </c>
      <c r="C652" s="7" t="s">
        <v>46</v>
      </c>
      <c r="D652" s="7" t="s">
        <v>36</v>
      </c>
      <c r="E652" s="7" t="s">
        <v>36</v>
      </c>
      <c r="F652" s="7" t="s">
        <v>36</v>
      </c>
      <c r="G652" s="7" t="s">
        <v>37</v>
      </c>
      <c r="K652" s="7" t="s">
        <v>38</v>
      </c>
      <c r="L652" s="7" t="s">
        <v>39</v>
      </c>
      <c r="M652" s="7" t="s">
        <v>38</v>
      </c>
      <c r="N652" s="7" t="s">
        <v>41</v>
      </c>
      <c r="R652" s="7" t="s">
        <v>49</v>
      </c>
      <c r="S652" s="8">
        <v>289.975145</v>
      </c>
      <c r="U652" s="8">
        <v>289.975145</v>
      </c>
      <c r="V652" s="7" t="s">
        <v>56</v>
      </c>
      <c r="W652" s="7" t="s">
        <v>57</v>
      </c>
      <c r="X652" s="7" t="s">
        <v>2618</v>
      </c>
      <c r="Y652" s="7" t="s">
        <v>1691</v>
      </c>
      <c r="AA652" s="7" t="s">
        <v>2617</v>
      </c>
      <c r="AB652" s="7">
        <v>12</v>
      </c>
      <c r="AC652" s="7" t="s">
        <v>57</v>
      </c>
      <c r="AD652" s="7" t="s">
        <v>1185</v>
      </c>
      <c r="AF652" s="7" t="s">
        <v>44</v>
      </c>
      <c r="AH652" s="4">
        <v>46387.999988425923</v>
      </c>
    </row>
    <row r="653" spans="1:34" x14ac:dyDescent="0.3">
      <c r="A653" s="4">
        <v>46357</v>
      </c>
      <c r="B653" s="4">
        <v>46387</v>
      </c>
      <c r="C653" s="7" t="s">
        <v>46</v>
      </c>
      <c r="D653" s="7" t="s">
        <v>36</v>
      </c>
      <c r="E653" s="7" t="s">
        <v>36</v>
      </c>
      <c r="F653" s="7" t="s">
        <v>36</v>
      </c>
      <c r="G653" s="7" t="s">
        <v>37</v>
      </c>
      <c r="K653" s="7" t="s">
        <v>38</v>
      </c>
      <c r="L653" s="7" t="s">
        <v>39</v>
      </c>
      <c r="M653" s="7" t="s">
        <v>40</v>
      </c>
      <c r="N653" s="7" t="s">
        <v>41</v>
      </c>
      <c r="R653" s="7" t="s">
        <v>45</v>
      </c>
      <c r="S653" s="8">
        <v>49710.024855000003</v>
      </c>
      <c r="U653" s="8">
        <v>49710.024855000003</v>
      </c>
      <c r="V653" s="7" t="s">
        <v>56</v>
      </c>
      <c r="W653" s="7" t="s">
        <v>57</v>
      </c>
      <c r="X653" s="7" t="s">
        <v>2618</v>
      </c>
      <c r="Y653" s="7" t="s">
        <v>1691</v>
      </c>
      <c r="AA653" s="7" t="s">
        <v>2617</v>
      </c>
      <c r="AB653" s="7">
        <v>12</v>
      </c>
      <c r="AC653" s="7" t="s">
        <v>57</v>
      </c>
      <c r="AD653" s="7" t="s">
        <v>1187</v>
      </c>
      <c r="AF653" s="7" t="s">
        <v>44</v>
      </c>
      <c r="AH653" s="4">
        <v>46387.999988425923</v>
      </c>
    </row>
    <row r="654" spans="1:34" x14ac:dyDescent="0.3">
      <c r="A654" s="4">
        <v>46357</v>
      </c>
      <c r="B654" s="4">
        <v>46387</v>
      </c>
      <c r="C654" s="7" t="s">
        <v>46</v>
      </c>
      <c r="D654" s="7" t="s">
        <v>36</v>
      </c>
      <c r="E654" s="7" t="s">
        <v>36</v>
      </c>
      <c r="F654" s="7" t="s">
        <v>36</v>
      </c>
      <c r="G654" s="7" t="s">
        <v>37</v>
      </c>
      <c r="K654" s="7" t="s">
        <v>38</v>
      </c>
      <c r="L654" s="7" t="s">
        <v>39</v>
      </c>
      <c r="M654" s="7" t="s">
        <v>40</v>
      </c>
      <c r="N654" s="7" t="s">
        <v>41</v>
      </c>
      <c r="R654" s="7" t="s">
        <v>58</v>
      </c>
      <c r="T654" s="8">
        <v>50000</v>
      </c>
      <c r="U654" s="8">
        <v>-50000</v>
      </c>
      <c r="V654" s="7" t="s">
        <v>56</v>
      </c>
      <c r="W654" s="7" t="s">
        <v>57</v>
      </c>
      <c r="X654" s="7" t="s">
        <v>2618</v>
      </c>
      <c r="Y654" s="7" t="s">
        <v>1691</v>
      </c>
      <c r="AA654" s="7" t="s">
        <v>2617</v>
      </c>
      <c r="AB654" s="7">
        <v>12</v>
      </c>
      <c r="AC654" s="7" t="s">
        <v>57</v>
      </c>
      <c r="AD654" s="7" t="s">
        <v>1188</v>
      </c>
      <c r="AF654" s="7" t="s">
        <v>44</v>
      </c>
      <c r="AH654" s="4">
        <v>46387.999988425923</v>
      </c>
    </row>
    <row r="655" spans="1:34" x14ac:dyDescent="0.3">
      <c r="A655" s="4">
        <v>46387</v>
      </c>
      <c r="B655" s="4">
        <v>44562</v>
      </c>
      <c r="C655" s="7" t="s">
        <v>35</v>
      </c>
      <c r="D655" s="7" t="s">
        <v>36</v>
      </c>
      <c r="E655" s="7" t="s">
        <v>36</v>
      </c>
      <c r="F655" s="7" t="s">
        <v>36</v>
      </c>
      <c r="G655" s="7" t="s">
        <v>37</v>
      </c>
      <c r="K655" s="7" t="s">
        <v>38</v>
      </c>
      <c r="L655" s="7" t="s">
        <v>39</v>
      </c>
      <c r="M655" s="7" t="s">
        <v>40</v>
      </c>
      <c r="N655" s="7" t="s">
        <v>41</v>
      </c>
      <c r="R655" s="7" t="s">
        <v>50</v>
      </c>
      <c r="S655" s="8">
        <v>42330.49</v>
      </c>
      <c r="U655" s="8">
        <v>42330.49</v>
      </c>
      <c r="V655" s="7" t="s">
        <v>56</v>
      </c>
      <c r="W655" s="7" t="s">
        <v>2619</v>
      </c>
      <c r="X655" s="7" t="s">
        <v>2618</v>
      </c>
      <c r="Y655" s="7" t="s">
        <v>1691</v>
      </c>
      <c r="AA655" s="7" t="s">
        <v>2617</v>
      </c>
      <c r="AB655" s="7">
        <v>10</v>
      </c>
      <c r="AC655" s="7" t="s">
        <v>51</v>
      </c>
      <c r="AD655" s="7" t="s">
        <v>1189</v>
      </c>
      <c r="AF655" s="7" t="s">
        <v>44</v>
      </c>
      <c r="AH655" s="4">
        <v>46387.999988425923</v>
      </c>
    </row>
    <row r="656" spans="1:34" x14ac:dyDescent="0.3">
      <c r="A656" s="4">
        <v>46387</v>
      </c>
      <c r="B656" s="4">
        <v>44562</v>
      </c>
      <c r="C656" s="7" t="s">
        <v>35</v>
      </c>
      <c r="D656" s="7" t="s">
        <v>36</v>
      </c>
      <c r="E656" s="7" t="s">
        <v>36</v>
      </c>
      <c r="F656" s="7" t="s">
        <v>36</v>
      </c>
      <c r="G656" s="7" t="s">
        <v>37</v>
      </c>
      <c r="K656" s="7" t="s">
        <v>38</v>
      </c>
      <c r="L656" s="7" t="s">
        <v>39</v>
      </c>
      <c r="M656" s="7" t="s">
        <v>40</v>
      </c>
      <c r="N656" s="7" t="s">
        <v>41</v>
      </c>
      <c r="R656" s="7" t="s">
        <v>52</v>
      </c>
      <c r="T656" s="8">
        <v>42330.49</v>
      </c>
      <c r="U656" s="8">
        <v>-42330.49</v>
      </c>
      <c r="V656" s="7" t="s">
        <v>56</v>
      </c>
      <c r="W656" s="7" t="s">
        <v>2619</v>
      </c>
      <c r="X656" s="7" t="s">
        <v>2618</v>
      </c>
      <c r="Y656" s="7" t="s">
        <v>1691</v>
      </c>
      <c r="AA656" s="7" t="s">
        <v>2617</v>
      </c>
      <c r="AB656" s="7">
        <v>10</v>
      </c>
      <c r="AC656" s="7" t="s">
        <v>51</v>
      </c>
      <c r="AD656" s="7" t="s">
        <v>1191</v>
      </c>
      <c r="AF656" s="7" t="s">
        <v>44</v>
      </c>
      <c r="AH656" s="4">
        <v>46387.999988425923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0D8E-9992-4C8F-B981-F416A9AAAEEB}">
  <sheetPr>
    <tabColor rgb="FFFFC000"/>
  </sheetPr>
  <dimension ref="A2:E23"/>
  <sheetViews>
    <sheetView workbookViewId="0">
      <selection activeCell="D16" sqref="D16"/>
    </sheetView>
  </sheetViews>
  <sheetFormatPr defaultRowHeight="14.4" x14ac:dyDescent="0.3"/>
  <cols>
    <col min="1" max="1" width="46" style="7" customWidth="1"/>
    <col min="2" max="2" width="22.5546875" style="7" bestFit="1" customWidth="1"/>
    <col min="3" max="3" width="43.33203125" style="7" customWidth="1"/>
    <col min="4" max="4" width="13.33203125" style="7" customWidth="1"/>
    <col min="5" max="5" width="43" style="7" customWidth="1"/>
    <col min="6" max="16384" width="8.88671875" style="7"/>
  </cols>
  <sheetData>
    <row r="2" spans="1:5" ht="15" customHeight="1" x14ac:dyDescent="0.3">
      <c r="A2" s="129" t="s">
        <v>2650</v>
      </c>
      <c r="B2" s="7" t="s">
        <v>6</v>
      </c>
      <c r="D2" s="179"/>
    </row>
    <row r="3" spans="1:5" ht="15" customHeight="1" x14ac:dyDescent="0.3">
      <c r="A3" s="129" t="s">
        <v>2649</v>
      </c>
      <c r="B3" s="7" t="s">
        <v>1323</v>
      </c>
    </row>
    <row r="4" spans="1:5" ht="15" customHeight="1" x14ac:dyDescent="0.3">
      <c r="A4" s="129" t="s">
        <v>2648</v>
      </c>
      <c r="B4" s="36">
        <v>44562</v>
      </c>
      <c r="C4" s="7" t="s">
        <v>2647</v>
      </c>
    </row>
    <row r="5" spans="1:5" ht="15" customHeight="1" x14ac:dyDescent="0.3">
      <c r="A5" s="129" t="s">
        <v>2646</v>
      </c>
      <c r="B5" s="134" t="s">
        <v>36</v>
      </c>
    </row>
    <row r="6" spans="1:5" ht="15" customHeight="1" x14ac:dyDescent="0.3">
      <c r="A6" s="129" t="s">
        <v>2645</v>
      </c>
      <c r="B6" s="133" t="s">
        <v>1218</v>
      </c>
    </row>
    <row r="7" spans="1:5" ht="15" customHeight="1" x14ac:dyDescent="0.3">
      <c r="A7" s="129" t="s">
        <v>2644</v>
      </c>
      <c r="B7" s="7">
        <v>60</v>
      </c>
    </row>
    <row r="8" spans="1:5" ht="15" customHeight="1" x14ac:dyDescent="0.3">
      <c r="A8" s="129" t="str">
        <f>IF($B$17="Yes","Reasonably Certain Holding Period (RCHP):","")</f>
        <v>Reasonably Certain Holding Period (RCHP):</v>
      </c>
      <c r="B8" s="7">
        <v>60</v>
      </c>
    </row>
    <row r="9" spans="1:5" ht="15" customHeight="1" x14ac:dyDescent="0.3">
      <c r="A9" s="129" t="s">
        <v>2643</v>
      </c>
      <c r="B9" s="7" t="s">
        <v>2642</v>
      </c>
    </row>
    <row r="10" spans="1:5" ht="15" customHeight="1" x14ac:dyDescent="0.3">
      <c r="A10" s="129" t="s">
        <v>2641</v>
      </c>
      <c r="B10" s="7">
        <v>1</v>
      </c>
    </row>
    <row r="11" spans="1:5" ht="15" customHeight="1" x14ac:dyDescent="0.3">
      <c r="A11" s="129" t="s">
        <v>2640</v>
      </c>
      <c r="B11" s="8">
        <v>1600000</v>
      </c>
    </row>
    <row r="12" spans="1:5" ht="15" customHeight="1" x14ac:dyDescent="0.3">
      <c r="A12" s="129" t="str">
        <f>IF(ISBLANK(B12),"",IF(B9="Buyout","Reasonably Certain Purchase Price:",IF(B9="Return","Estimated Guaranteed Residual Value:","")))</f>
        <v/>
      </c>
      <c r="B12" s="132"/>
      <c r="D12" s="131"/>
      <c r="E12" s="129"/>
    </row>
    <row r="13" spans="1:5" ht="15" customHeight="1" x14ac:dyDescent="0.3">
      <c r="A13" s="129"/>
    </row>
    <row r="14" spans="1:5" ht="15" customHeight="1" x14ac:dyDescent="0.3">
      <c r="A14" s="129" t="s">
        <v>2639</v>
      </c>
      <c r="B14" s="36">
        <v>44562</v>
      </c>
      <c r="C14" s="131" t="s">
        <v>1226</v>
      </c>
    </row>
    <row r="15" spans="1:5" ht="15" customHeight="1" x14ac:dyDescent="0.3">
      <c r="A15" s="129" t="s">
        <v>2638</v>
      </c>
      <c r="B15" s="7" t="s">
        <v>194</v>
      </c>
    </row>
    <row r="16" spans="1:5" ht="15" customHeight="1" x14ac:dyDescent="0.3">
      <c r="A16" s="129" t="s">
        <v>2637</v>
      </c>
      <c r="B16" s="7" t="s">
        <v>1241</v>
      </c>
    </row>
    <row r="17" spans="1:5" ht="15" customHeight="1" x14ac:dyDescent="0.3">
      <c r="A17" s="129" t="s">
        <v>2636</v>
      </c>
      <c r="B17" s="7" t="s">
        <v>2635</v>
      </c>
    </row>
    <row r="18" spans="1:5" ht="15" customHeight="1" x14ac:dyDescent="0.3">
      <c r="A18" s="129" t="s">
        <v>2634</v>
      </c>
      <c r="B18" s="7">
        <v>60</v>
      </c>
      <c r="D18" s="130"/>
    </row>
    <row r="19" spans="1:5" ht="15" customHeight="1" x14ac:dyDescent="0.3">
      <c r="A19" s="129" t="s">
        <v>2633</v>
      </c>
      <c r="B19" s="8">
        <v>1600000</v>
      </c>
    </row>
    <row r="20" spans="1:5" ht="15" customHeight="1" x14ac:dyDescent="0.3">
      <c r="A20" s="129" t="s">
        <v>2632</v>
      </c>
      <c r="B20" s="3">
        <v>7.0000000000000007E-2</v>
      </c>
      <c r="C20" s="128" t="s">
        <v>2631</v>
      </c>
    </row>
    <row r="22" spans="1:5" ht="31.5" customHeight="1" x14ac:dyDescent="0.3">
      <c r="A22" s="127" t="str">
        <f ca="1">IF(LEN(A23)&gt;3,"Caveats","")</f>
        <v/>
      </c>
      <c r="B22" s="126"/>
      <c r="C22" s="126"/>
    </row>
    <row r="23" spans="1:5" ht="15" customHeight="1" x14ac:dyDescent="0.3">
      <c r="A23" s="125" t="str">
        <f ca="1">IF(AND(ISNUMBER('Analysis (Deal Analysis)'!B25),COUNTIFS('Related Expenses (Deal Analysis'!A:A,"ARO*",'Related Expenses (Deal Analysis'!H:H,"No")&gt;0,SUM('Amortization Schedule (Payment)'!U:U)&gt;0),"Because the ARO is accounted for as a separate asset, the ARO accretion is not subject to straight-line expense treatment.  As such, the Calculated SLE and the System-Generated SLE may not match exactly."&amp;CHAR(13)&amp;CHAR(10),"") &amp;IF(AND(ISNUMBER('Analysis (Deal Analysis)'!B25),'Analysis (Deal Analysis)'!F7&gt;0,'Analysis (Deal Analysis)'!E7="Guaranteed Residual Liability:",'Amortization Schedule (Payment)'!AE3="Capitalized-Operating"),"This report does not currently support straight-line expense reconciliation for Capitalized-Operating leases that include accretion of a Guaranteed Residual Liability."&amp;CHAR(13)&amp;CHAR(10),"") &amp;IF(AND(ISNUMBER('Analysis (Deal Analysis)'!B25),'Analysis (Deal Analysis)'!B19&lt;=2),"The amortization period is not long enough to ensure that the second period includes a full month of expense.  The System-Generated SLE may be understated and will not match the Calculated SLE if it represents a prorated period."&amp;CHAR(13)&amp;CHAR(10),"") &amp;IF(AND(B6="Advance", ISNUMBER('Analysis (Deal Analysis)'!B25), COUNTIFS('Related Expenses (Deal Analysis'!A:A,"ARO*",'Related Expenses (Deal Analysis'!H:H,"No")&gt;0,SUM('Amortization Schedule (Payment)'!U:U)&gt;0),"Because ARO accretes in arrears but the deal is payable in advance, the Amortization Schedule tabs are not reflecting the true liability, nor the proper accretion schedule, "&amp;"which should be split between advance and arrears.  As such, the calculated amounts on the Analysis tab may be incorrect."&amp;CHAR(13)&amp;CHAR(10),"") &amp;IF(AND(COUNTIF('Ledger Entries (Deal Analysis)'!X:X,"Impairment")&gt;0,'Amortization Schedule (Payment)'!AE3="Capitalized-Operating"),"Because one or more of the assets is impaired, depreciation is straight-lined and the lease is no longer subject to straight-line expense treatment.  As such, the Calculated SLE and the System-Generated SLE may not match exactly."&amp;CHAR(13)&amp;CHAR(10),"") &amp;""</f>
        <v/>
      </c>
      <c r="B23" s="125"/>
      <c r="C23" s="125"/>
      <c r="D23" s="125"/>
      <c r="E23" s="12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F35E-0AF5-4412-B99E-63911FEF1CA2}">
  <sheetPr>
    <tabColor rgb="FFFFC000"/>
  </sheetPr>
  <dimension ref="A1:AE62"/>
  <sheetViews>
    <sheetView workbookViewId="0">
      <pane ySplit="1" topLeftCell="A2" activePane="bottomLeft" state="frozen"/>
      <selection activeCell="H13" sqref="H13"/>
      <selection pane="bottomLeft" activeCell="H18" sqref="H18"/>
    </sheetView>
  </sheetViews>
  <sheetFormatPr defaultRowHeight="14.4" x14ac:dyDescent="0.3"/>
  <cols>
    <col min="1" max="1" width="14.5546875" style="7" bestFit="1" customWidth="1"/>
    <col min="2" max="2" width="7.88671875" style="7" bestFit="1" customWidth="1"/>
    <col min="3" max="3" width="14.5546875" style="7" bestFit="1" customWidth="1"/>
    <col min="4" max="4" width="17.21875" style="7" bestFit="1" customWidth="1"/>
    <col min="5" max="5" width="16.33203125" style="123" bestFit="1" customWidth="1"/>
    <col min="6" max="6" width="8.77734375" style="123" bestFit="1" customWidth="1"/>
    <col min="7" max="7" width="16.88671875" style="7" bestFit="1" customWidth="1"/>
    <col min="8" max="8" width="15.33203125" style="7" bestFit="1" customWidth="1"/>
    <col min="9" max="9" width="30.33203125" style="7" bestFit="1" customWidth="1"/>
    <col min="10" max="10" width="11.33203125" style="7" bestFit="1" customWidth="1"/>
    <col min="11" max="11" width="26.77734375" style="7" bestFit="1" customWidth="1"/>
    <col min="12" max="12" width="13.77734375" style="7" bestFit="1" customWidth="1"/>
    <col min="13" max="13" width="16.33203125" style="123" bestFit="1" customWidth="1"/>
    <col min="14" max="14" width="8.77734375" style="123" bestFit="1" customWidth="1"/>
    <col min="15" max="15" width="12" style="7" bestFit="1" customWidth="1"/>
    <col min="16" max="16" width="16.33203125" style="123" bestFit="1" customWidth="1"/>
    <col min="17" max="17" width="8.77734375" style="123" bestFit="1" customWidth="1"/>
    <col min="18" max="18" width="17.88671875" style="7" bestFit="1" customWidth="1"/>
    <col min="19" max="19" width="16.33203125" style="123" bestFit="1" customWidth="1"/>
    <col min="20" max="20" width="8.77734375" style="123" bestFit="1" customWidth="1"/>
    <col min="21" max="21" width="9.21875" style="7" bestFit="1" customWidth="1"/>
    <col min="22" max="22" width="28.109375" style="7" bestFit="1" customWidth="1"/>
    <col min="23" max="23" width="16.33203125" style="123" bestFit="1" customWidth="1"/>
    <col min="24" max="24" width="8.77734375" style="123" bestFit="1" customWidth="1"/>
    <col min="25" max="25" width="29.109375" style="7" bestFit="1" customWidth="1"/>
    <col min="26" max="26" width="38.6640625" style="7" bestFit="1" customWidth="1"/>
    <col min="27" max="27" width="21.6640625" style="7" bestFit="1" customWidth="1"/>
    <col min="28" max="28" width="20" style="123" bestFit="1" customWidth="1"/>
    <col min="29" max="29" width="8.77734375" style="123" bestFit="1" customWidth="1"/>
    <col min="30" max="30" width="14.109375" style="7" bestFit="1" customWidth="1"/>
    <col min="31" max="31" width="20" style="7" bestFit="1" customWidth="1"/>
    <col min="32" max="16384" width="8.88671875" style="7"/>
  </cols>
  <sheetData>
    <row r="1" spans="1:31" ht="45" customHeight="1" x14ac:dyDescent="0.3">
      <c r="A1" s="135" t="s">
        <v>2668</v>
      </c>
      <c r="B1" s="135" t="s">
        <v>2667</v>
      </c>
      <c r="C1" s="136" t="s">
        <v>2666</v>
      </c>
      <c r="D1" s="136" t="s">
        <v>2665</v>
      </c>
      <c r="E1" s="198" t="s">
        <v>2785</v>
      </c>
      <c r="F1" s="198" t="s">
        <v>1594</v>
      </c>
      <c r="G1" s="136" t="s">
        <v>2664</v>
      </c>
      <c r="H1" s="136" t="s">
        <v>2663</v>
      </c>
      <c r="I1" s="138" t="s">
        <v>2662</v>
      </c>
      <c r="J1" s="138" t="s">
        <v>2661</v>
      </c>
      <c r="K1" s="138" t="s">
        <v>2660</v>
      </c>
      <c r="L1" s="136" t="s">
        <v>1681</v>
      </c>
      <c r="M1" s="198" t="s">
        <v>2785</v>
      </c>
      <c r="N1" s="198" t="s">
        <v>1594</v>
      </c>
      <c r="O1" s="138" t="s">
        <v>2659</v>
      </c>
      <c r="P1" s="198" t="s">
        <v>2785</v>
      </c>
      <c r="Q1" s="198" t="s">
        <v>1594</v>
      </c>
      <c r="R1" s="136" t="s">
        <v>2658</v>
      </c>
      <c r="S1" s="198" t="s">
        <v>2785</v>
      </c>
      <c r="T1" s="198" t="s">
        <v>1594</v>
      </c>
      <c r="U1" s="136" t="s">
        <v>2657</v>
      </c>
      <c r="V1" s="138" t="s">
        <v>2656</v>
      </c>
      <c r="W1" s="198" t="s">
        <v>2785</v>
      </c>
      <c r="X1" s="198" t="s">
        <v>1594</v>
      </c>
      <c r="Y1" s="138" t="s">
        <v>2655</v>
      </c>
      <c r="Z1" s="136" t="s">
        <v>2654</v>
      </c>
      <c r="AA1" s="137" t="s">
        <v>2653</v>
      </c>
      <c r="AB1" s="198" t="s">
        <v>2786</v>
      </c>
      <c r="AC1" s="198" t="s">
        <v>1594</v>
      </c>
      <c r="AD1" s="136" t="s">
        <v>2652</v>
      </c>
      <c r="AE1" s="135" t="s">
        <v>2651</v>
      </c>
    </row>
    <row r="2" spans="1:31" x14ac:dyDescent="0.3">
      <c r="A2" s="36">
        <v>44592</v>
      </c>
      <c r="B2" s="7">
        <v>1</v>
      </c>
      <c r="C2" s="8">
        <v>0</v>
      </c>
      <c r="D2" s="8">
        <v>-2539829.423163</v>
      </c>
      <c r="E2" s="196">
        <f>'Ledger Entries-schedule'!T3</f>
        <v>2539829.423163</v>
      </c>
      <c r="F2" s="196">
        <f>D2+E2</f>
        <v>0</v>
      </c>
      <c r="I2" s="8">
        <v>0</v>
      </c>
      <c r="L2" s="8">
        <v>50000</v>
      </c>
      <c r="M2" s="196">
        <f>'Ledger Entries-schedule'!T6</f>
        <v>50000</v>
      </c>
      <c r="N2" s="196">
        <f>L2-M2</f>
        <v>0</v>
      </c>
      <c r="R2" s="8">
        <v>50000</v>
      </c>
      <c r="S2" s="196"/>
      <c r="T2" s="196"/>
      <c r="V2" s="8">
        <v>-14524.004968450834</v>
      </c>
      <c r="W2" s="196">
        <f>'Ledger Entries-schedule'!T9</f>
        <v>14524.004967999999</v>
      </c>
      <c r="X2" s="196">
        <f>V2+W2</f>
        <v>-4.5083470467943698E-7</v>
      </c>
      <c r="Y2" s="8">
        <v>-14524.004968450834</v>
      </c>
      <c r="AA2" s="8">
        <v>-2504353.4281314509</v>
      </c>
      <c r="AB2" s="196">
        <f>'Schedule Acct Balance Trend'!D14+'Schedule Acct Balance Trend'!D15+'Schedule Acct Balance Trend'!D19</f>
        <v>-2504353.4281310001</v>
      </c>
      <c r="AC2" s="196">
        <f>AA2-AB2</f>
        <v>-4.507601261138916E-7</v>
      </c>
      <c r="AD2" s="8">
        <v>50000</v>
      </c>
      <c r="AE2" s="7" t="s">
        <v>1470</v>
      </c>
    </row>
    <row r="3" spans="1:31" x14ac:dyDescent="0.3">
      <c r="A3" s="36">
        <v>44620</v>
      </c>
      <c r="B3" s="7">
        <v>2</v>
      </c>
      <c r="C3" s="8">
        <v>-2504353.4281314509</v>
      </c>
      <c r="I3" s="8">
        <v>-14524.004968450834</v>
      </c>
      <c r="L3" s="8">
        <v>50000</v>
      </c>
      <c r="M3" s="196">
        <f>'Ledger Entries-schedule'!T24</f>
        <v>50000</v>
      </c>
      <c r="N3" s="196">
        <f>L3-M3</f>
        <v>0</v>
      </c>
      <c r="O3" s="8">
        <v>14524.004967999999</v>
      </c>
      <c r="P3" s="196">
        <f>'Ledger Entries-schedule'!S22</f>
        <v>14524.004967999999</v>
      </c>
      <c r="Q3" s="196">
        <f>O3-P3</f>
        <v>0</v>
      </c>
      <c r="R3" s="8">
        <v>35475.995031999999</v>
      </c>
      <c r="S3" s="196">
        <f>'Ledger Entries-schedule'!S23</f>
        <v>35475.995031999999</v>
      </c>
      <c r="T3" s="196">
        <f>R3-S3</f>
        <v>0</v>
      </c>
      <c r="V3" s="8">
        <v>-14317.061664100131</v>
      </c>
      <c r="W3" s="196">
        <f>'Ledger Entries-schedule'!T27</f>
        <v>14317.061664000001</v>
      </c>
      <c r="X3" s="196">
        <f>V3+W3</f>
        <v>-1.0012990969698876E-7</v>
      </c>
      <c r="Y3" s="8">
        <v>-14317.061664550965</v>
      </c>
      <c r="AA3" s="8">
        <v>-2468670.4897955512</v>
      </c>
      <c r="AB3" s="196">
        <f>'Schedule Acct Balance Trend'!G14+'Schedule Acct Balance Trend'!G15+'Schedule Acct Balance Trend'!G19</f>
        <v>-2468670.4897950003</v>
      </c>
      <c r="AC3" s="196">
        <f>AA3-AB3</f>
        <v>-5.5087730288505554E-7</v>
      </c>
      <c r="AD3" s="8">
        <v>49710.024855012423</v>
      </c>
      <c r="AE3" s="7" t="s">
        <v>1470</v>
      </c>
    </row>
    <row r="4" spans="1:31" x14ac:dyDescent="0.3">
      <c r="A4" s="36">
        <v>44651</v>
      </c>
      <c r="B4" s="7">
        <v>3</v>
      </c>
      <c r="C4" s="8">
        <v>-2468670.4897955512</v>
      </c>
      <c r="I4" s="8">
        <v>-14317.061664550965</v>
      </c>
      <c r="L4" s="8">
        <v>50000</v>
      </c>
      <c r="O4" s="8">
        <v>14317.061664000001</v>
      </c>
      <c r="R4" s="8">
        <v>35682.938335999999</v>
      </c>
      <c r="V4" s="8">
        <v>-14108.911190474049</v>
      </c>
      <c r="Y4" s="8">
        <v>-14108.911191025014</v>
      </c>
      <c r="AA4" s="8">
        <v>-2432779.4009860251</v>
      </c>
      <c r="AD4" s="8">
        <v>49421.731421719065</v>
      </c>
      <c r="AE4" s="7" t="s">
        <v>1470</v>
      </c>
    </row>
    <row r="5" spans="1:31" x14ac:dyDescent="0.3">
      <c r="A5" s="36">
        <v>44681</v>
      </c>
      <c r="B5" s="7">
        <v>4</v>
      </c>
      <c r="C5" s="8">
        <v>-2432779.4009860251</v>
      </c>
      <c r="I5" s="8">
        <v>-14108.911191025014</v>
      </c>
      <c r="L5" s="8">
        <v>50000</v>
      </c>
      <c r="O5" s="8">
        <v>14108.911190000001</v>
      </c>
      <c r="R5" s="8">
        <v>35891.088810000001</v>
      </c>
      <c r="V5" s="8">
        <v>-13899.546505751814</v>
      </c>
      <c r="Y5" s="8">
        <v>-13899.546506776827</v>
      </c>
      <c r="AA5" s="8">
        <v>-2396678.9474917771</v>
      </c>
      <c r="AD5" s="8">
        <v>49135.109947028061</v>
      </c>
      <c r="AE5" s="7" t="s">
        <v>1470</v>
      </c>
    </row>
    <row r="6" spans="1:31" x14ac:dyDescent="0.3">
      <c r="A6" s="36">
        <v>44712</v>
      </c>
      <c r="B6" s="7">
        <v>5</v>
      </c>
      <c r="C6" s="8">
        <v>-2396678.9474917771</v>
      </c>
      <c r="I6" s="8">
        <v>-13899.546506776827</v>
      </c>
      <c r="L6" s="8">
        <v>50000</v>
      </c>
      <c r="O6" s="8">
        <v>13899.546506000001</v>
      </c>
      <c r="R6" s="8">
        <v>36100.453494000001</v>
      </c>
      <c r="V6" s="8">
        <v>-13688.960527035368</v>
      </c>
      <c r="Y6" s="8">
        <v>-13688.960527812194</v>
      </c>
      <c r="AA6" s="8">
        <v>-2360367.9080188125</v>
      </c>
      <c r="AD6" s="8">
        <v>48850.150734410672</v>
      </c>
      <c r="AE6" s="7" t="s">
        <v>1470</v>
      </c>
    </row>
    <row r="7" spans="1:31" x14ac:dyDescent="0.3">
      <c r="A7" s="36">
        <v>44742</v>
      </c>
      <c r="B7" s="7">
        <v>6</v>
      </c>
      <c r="C7" s="8">
        <v>-2360367.9080188125</v>
      </c>
      <c r="I7" s="8">
        <v>-13688.960527812194</v>
      </c>
      <c r="L7" s="8">
        <v>50000</v>
      </c>
      <c r="O7" s="8">
        <v>13688.960526999999</v>
      </c>
      <c r="R7" s="8">
        <v>36311.039472999997</v>
      </c>
      <c r="V7" s="8">
        <v>-13477.146130109741</v>
      </c>
      <c r="Y7" s="8">
        <v>-13477.146130921936</v>
      </c>
      <c r="AA7" s="8">
        <v>-2323845.0541489222</v>
      </c>
      <c r="AD7" s="8">
        <v>48566.844143573158</v>
      </c>
      <c r="AE7" s="7" t="s">
        <v>1470</v>
      </c>
    </row>
    <row r="8" spans="1:31" x14ac:dyDescent="0.3">
      <c r="A8" s="36">
        <v>44773</v>
      </c>
      <c r="B8" s="7">
        <v>7</v>
      </c>
      <c r="C8" s="8">
        <v>-2323845.0541489222</v>
      </c>
      <c r="I8" s="8">
        <v>-13477.146130921936</v>
      </c>
      <c r="L8" s="8">
        <v>50000</v>
      </c>
      <c r="O8" s="8">
        <v>13477.146129999999</v>
      </c>
      <c r="R8" s="8">
        <v>36522.853869999999</v>
      </c>
      <c r="V8" s="8">
        <v>-13264.096149202047</v>
      </c>
      <c r="Y8" s="8">
        <v>-13264.096150123984</v>
      </c>
      <c r="AA8" s="8">
        <v>-2287109.1502981242</v>
      </c>
      <c r="AD8" s="8">
        <v>48285.180590130731</v>
      </c>
      <c r="AE8" s="7" t="s">
        <v>1470</v>
      </c>
    </row>
    <row r="9" spans="1:31" x14ac:dyDescent="0.3">
      <c r="A9" s="36">
        <v>44804</v>
      </c>
      <c r="B9" s="7">
        <v>8</v>
      </c>
      <c r="C9" s="8">
        <v>-2287109.1502981242</v>
      </c>
      <c r="I9" s="8">
        <v>-13264.096150123984</v>
      </c>
      <c r="L9" s="8">
        <v>50000</v>
      </c>
      <c r="O9" s="8">
        <v>13264.096149000001</v>
      </c>
      <c r="R9" s="8">
        <v>36735.903850999995</v>
      </c>
      <c r="V9" s="8">
        <v>-13049.803376739059</v>
      </c>
      <c r="Y9" s="8">
        <v>-13049.803377863042</v>
      </c>
      <c r="AA9" s="8">
        <v>-2250158.9536748631</v>
      </c>
      <c r="AD9" s="8">
        <v>48005.150545283243</v>
      </c>
      <c r="AE9" s="7" t="s">
        <v>1470</v>
      </c>
    </row>
    <row r="10" spans="1:31" x14ac:dyDescent="0.3">
      <c r="A10" s="36">
        <v>44834</v>
      </c>
      <c r="B10" s="7">
        <v>9</v>
      </c>
      <c r="C10" s="8">
        <v>-2250158.9536748631</v>
      </c>
      <c r="I10" s="8">
        <v>-13049.803377863042</v>
      </c>
      <c r="L10" s="8">
        <v>50000</v>
      </c>
      <c r="O10" s="8">
        <v>13049.803377</v>
      </c>
      <c r="R10" s="8">
        <v>36950.196622999996</v>
      </c>
      <c r="V10" s="8">
        <v>-12834.260563103369</v>
      </c>
      <c r="Y10" s="8">
        <v>-12834.260563966411</v>
      </c>
      <c r="AA10" s="8">
        <v>-2212993.2142379666</v>
      </c>
      <c r="AD10" s="8">
        <v>47726.744535492864</v>
      </c>
      <c r="AE10" s="7" t="s">
        <v>1470</v>
      </c>
    </row>
    <row r="11" spans="1:31" x14ac:dyDescent="0.3">
      <c r="A11" s="36">
        <v>44865</v>
      </c>
      <c r="B11" s="7">
        <v>10</v>
      </c>
      <c r="C11" s="8">
        <v>-2212993.2142379666</v>
      </c>
      <c r="I11" s="8">
        <v>-12834.260563966411</v>
      </c>
      <c r="L11" s="8">
        <v>50000</v>
      </c>
      <c r="O11" s="8">
        <v>12834.260563</v>
      </c>
      <c r="R11" s="8">
        <v>37165.739436999997</v>
      </c>
      <c r="V11" s="8">
        <v>-12617.460416388139</v>
      </c>
      <c r="Y11" s="8">
        <v>-12617.46041735455</v>
      </c>
      <c r="AA11" s="8">
        <v>-2175610.6746543548</v>
      </c>
      <c r="AD11" s="8">
        <v>47449.953142163577</v>
      </c>
      <c r="AE11" s="7" t="s">
        <v>1470</v>
      </c>
    </row>
    <row r="12" spans="1:31" x14ac:dyDescent="0.3">
      <c r="A12" s="36">
        <v>44895</v>
      </c>
      <c r="B12" s="7">
        <v>11</v>
      </c>
      <c r="C12" s="8">
        <v>-2175610.6746543548</v>
      </c>
      <c r="I12" s="8">
        <v>-12617.46041735455</v>
      </c>
      <c r="L12" s="8">
        <v>50000</v>
      </c>
      <c r="O12" s="8">
        <v>12617.460416</v>
      </c>
      <c r="R12" s="8">
        <v>37382.539583999998</v>
      </c>
      <c r="V12" s="8">
        <v>-12399.395602150404</v>
      </c>
      <c r="Y12" s="8">
        <v>-12399.395603504954</v>
      </c>
      <c r="AA12" s="8">
        <v>-2138010.0702565052</v>
      </c>
      <c r="AD12" s="8">
        <v>47174.767001322529</v>
      </c>
      <c r="AE12" s="7" t="s">
        <v>1470</v>
      </c>
    </row>
    <row r="13" spans="1:31" x14ac:dyDescent="0.3">
      <c r="A13" s="36">
        <v>44926</v>
      </c>
      <c r="B13" s="7">
        <v>12</v>
      </c>
      <c r="C13" s="8">
        <v>-2138010.0702565052</v>
      </c>
      <c r="I13" s="8">
        <v>-12399.395603504954</v>
      </c>
      <c r="L13" s="8">
        <v>50000</v>
      </c>
      <c r="O13" s="8">
        <v>12399.395602000001</v>
      </c>
      <c r="R13" s="8">
        <v>37600.604397999996</v>
      </c>
      <c r="V13" s="8">
        <v>-12180.058743162946</v>
      </c>
      <c r="Y13" s="8">
        <v>-12180.0587446679</v>
      </c>
      <c r="AA13" s="8">
        <v>-2100190.1289996682</v>
      </c>
      <c r="AD13" s="8">
        <v>46901.176803303257</v>
      </c>
      <c r="AE13" s="7" t="s">
        <v>1470</v>
      </c>
    </row>
    <row r="14" spans="1:31" x14ac:dyDescent="0.3">
      <c r="A14" s="36">
        <v>44957</v>
      </c>
      <c r="B14" s="7">
        <v>13</v>
      </c>
      <c r="C14" s="8">
        <v>-2100190.1289996682</v>
      </c>
      <c r="I14" s="8">
        <v>-12180.0587446679</v>
      </c>
      <c r="L14" s="8">
        <v>50000</v>
      </c>
      <c r="O14" s="8">
        <v>12180.058743</v>
      </c>
      <c r="R14" s="8">
        <v>37819.941256999999</v>
      </c>
      <c r="V14" s="8">
        <v>-11959.442419164732</v>
      </c>
      <c r="Y14" s="8">
        <v>-11959.442420832633</v>
      </c>
      <c r="AA14" s="8">
        <v>-2062149.571418833</v>
      </c>
      <c r="AD14" s="8">
        <v>46629.173292430743</v>
      </c>
      <c r="AE14" s="7" t="s">
        <v>1470</v>
      </c>
    </row>
    <row r="15" spans="1:31" x14ac:dyDescent="0.3">
      <c r="A15" s="36">
        <v>44985</v>
      </c>
      <c r="B15" s="7">
        <v>14</v>
      </c>
      <c r="C15" s="8">
        <v>-2062149.571418833</v>
      </c>
      <c r="I15" s="8">
        <v>-11959.442420832633</v>
      </c>
      <c r="L15" s="8">
        <v>50000</v>
      </c>
      <c r="O15" s="8">
        <v>11959.442419000001</v>
      </c>
      <c r="R15" s="8">
        <v>38040.557581000001</v>
      </c>
      <c r="V15" s="8">
        <v>-11737.53916660986</v>
      </c>
      <c r="Y15" s="8">
        <v>-11737.539168442492</v>
      </c>
      <c r="AA15" s="8">
        <v>-2023887.1105854427</v>
      </c>
      <c r="AD15" s="8">
        <v>46358.747266708269</v>
      </c>
      <c r="AE15" s="7" t="s">
        <v>1470</v>
      </c>
    </row>
    <row r="16" spans="1:31" x14ac:dyDescent="0.3">
      <c r="A16" s="36">
        <v>45016</v>
      </c>
      <c r="B16" s="7">
        <v>15</v>
      </c>
      <c r="C16" s="8">
        <v>-2023887.1105854427</v>
      </c>
      <c r="I16" s="8">
        <v>-11737.539168442492</v>
      </c>
      <c r="L16" s="8">
        <v>50000</v>
      </c>
      <c r="O16" s="8">
        <v>11737.539167000001</v>
      </c>
      <c r="R16" s="8">
        <v>38262.460832999997</v>
      </c>
      <c r="V16" s="8">
        <v>-11514.341478415083</v>
      </c>
      <c r="Y16" s="8">
        <v>-11514.341479857574</v>
      </c>
      <c r="AA16" s="8">
        <v>-1985401.4520638578</v>
      </c>
      <c r="AD16" s="8">
        <v>46089.889577506154</v>
      </c>
      <c r="AE16" s="7" t="s">
        <v>1470</v>
      </c>
    </row>
    <row r="17" spans="1:31" x14ac:dyDescent="0.3">
      <c r="A17" s="36">
        <v>45046</v>
      </c>
      <c r="B17" s="7">
        <v>16</v>
      </c>
      <c r="C17" s="8">
        <v>-1985401.4520638578</v>
      </c>
      <c r="I17" s="8">
        <v>-11514.341479857574</v>
      </c>
      <c r="L17" s="8">
        <v>50000</v>
      </c>
      <c r="O17" s="8">
        <v>11514.341478</v>
      </c>
      <c r="R17" s="8">
        <v>38485.658521999998</v>
      </c>
      <c r="V17" s="8">
        <v>-11289.841803705838</v>
      </c>
      <c r="Y17" s="8">
        <v>-11289.841805563412</v>
      </c>
      <c r="AA17" s="8">
        <v>-1946691.2938675636</v>
      </c>
      <c r="AD17" s="8">
        <v>45822.591129252192</v>
      </c>
      <c r="AE17" s="7" t="s">
        <v>1470</v>
      </c>
    </row>
    <row r="18" spans="1:31" x14ac:dyDescent="0.3">
      <c r="A18" s="36">
        <v>45077</v>
      </c>
      <c r="B18" s="7">
        <v>17</v>
      </c>
      <c r="C18" s="8">
        <v>-1946691.2938675636</v>
      </c>
      <c r="I18" s="8">
        <v>-11289.841805563412</v>
      </c>
      <c r="L18" s="8">
        <v>50000</v>
      </c>
      <c r="O18" s="8">
        <v>11289.841804</v>
      </c>
      <c r="R18" s="8">
        <v>38710.158196000004</v>
      </c>
      <c r="V18" s="8">
        <v>-11064.032547560788</v>
      </c>
      <c r="Y18" s="8">
        <v>-11064.0325491242</v>
      </c>
      <c r="AA18" s="8">
        <v>-1907755.3264151243</v>
      </c>
      <c r="AD18" s="8">
        <v>45556.842879123964</v>
      </c>
      <c r="AE18" s="7" t="s">
        <v>1470</v>
      </c>
    </row>
    <row r="19" spans="1:31" x14ac:dyDescent="0.3">
      <c r="A19" s="36">
        <v>45107</v>
      </c>
      <c r="B19" s="7">
        <v>18</v>
      </c>
      <c r="C19" s="8">
        <v>-1907755.3264151243</v>
      </c>
      <c r="I19" s="8">
        <v>-11064.0325491242</v>
      </c>
      <c r="L19" s="8">
        <v>50000</v>
      </c>
      <c r="O19" s="8">
        <v>11064.032547999999</v>
      </c>
      <c r="R19" s="8">
        <v>38935.967451999997</v>
      </c>
      <c r="V19" s="8">
        <v>-10836.906070754892</v>
      </c>
      <c r="Y19" s="8">
        <v>-10836.906071879093</v>
      </c>
      <c r="AA19" s="8">
        <v>-1868592.2324858792</v>
      </c>
      <c r="AD19" s="8">
        <v>45292.635836742957</v>
      </c>
      <c r="AE19" s="7" t="s">
        <v>1470</v>
      </c>
    </row>
    <row r="20" spans="1:31" x14ac:dyDescent="0.3">
      <c r="A20" s="36">
        <v>45138</v>
      </c>
      <c r="B20" s="7">
        <v>19</v>
      </c>
      <c r="C20" s="8">
        <v>-1868592.2324858792</v>
      </c>
      <c r="I20" s="8">
        <v>-10836.906071879093</v>
      </c>
      <c r="L20" s="8">
        <v>50000</v>
      </c>
      <c r="O20" s="8">
        <v>10836.906070999999</v>
      </c>
      <c r="R20" s="8">
        <v>39163.093929000002</v>
      </c>
      <c r="V20" s="8">
        <v>-10608.454689500963</v>
      </c>
      <c r="Y20" s="8">
        <v>-10608.454690380056</v>
      </c>
      <c r="AA20" s="8">
        <v>-1829200.6871753801</v>
      </c>
      <c r="AD20" s="8">
        <v>45029.961063870382</v>
      </c>
      <c r="AE20" s="7" t="s">
        <v>1470</v>
      </c>
    </row>
    <row r="21" spans="1:31" x14ac:dyDescent="0.3">
      <c r="A21" s="36">
        <v>45169</v>
      </c>
      <c r="B21" s="7">
        <v>20</v>
      </c>
      <c r="C21" s="8">
        <v>-1829200.6871753801</v>
      </c>
      <c r="I21" s="8">
        <v>-10608.454690380056</v>
      </c>
      <c r="L21" s="8">
        <v>50000</v>
      </c>
      <c r="O21" s="8">
        <v>10608.454689</v>
      </c>
      <c r="R21" s="8">
        <v>39391.545311000002</v>
      </c>
      <c r="V21" s="8">
        <v>-10378.670675189718</v>
      </c>
      <c r="Y21" s="8">
        <v>-10378.670676569775</v>
      </c>
      <c r="AA21" s="8">
        <v>-1789579.3578505698</v>
      </c>
      <c r="AD21" s="8">
        <v>44768.809674104763</v>
      </c>
      <c r="AE21" s="7" t="s">
        <v>1470</v>
      </c>
    </row>
    <row r="22" spans="1:31" x14ac:dyDescent="0.3">
      <c r="A22" s="36">
        <v>45199</v>
      </c>
      <c r="B22" s="7">
        <v>21</v>
      </c>
      <c r="C22" s="8">
        <v>-1789579.3578505698</v>
      </c>
      <c r="I22" s="8">
        <v>-10378.670676569775</v>
      </c>
      <c r="L22" s="8">
        <v>50000</v>
      </c>
      <c r="O22" s="8">
        <v>10378.670674999999</v>
      </c>
      <c r="R22" s="8">
        <v>39621.329324999999</v>
      </c>
      <c r="V22" s="8">
        <v>-10147.546254128323</v>
      </c>
      <c r="Y22" s="8">
        <v>-10147.546255698098</v>
      </c>
      <c r="AA22" s="8">
        <v>-1749726.904104698</v>
      </c>
      <c r="AD22" s="8">
        <v>44509.172832581382</v>
      </c>
      <c r="AE22" s="7" t="s">
        <v>1470</v>
      </c>
    </row>
    <row r="23" spans="1:31" x14ac:dyDescent="0.3">
      <c r="A23" s="36">
        <v>45230</v>
      </c>
      <c r="B23" s="7">
        <v>22</v>
      </c>
      <c r="C23" s="8">
        <v>-1749726.904104698</v>
      </c>
      <c r="I23" s="8">
        <v>-10147.546255698098</v>
      </c>
      <c r="L23" s="8">
        <v>50000</v>
      </c>
      <c r="O23" s="8">
        <v>10147.546254000001</v>
      </c>
      <c r="R23" s="8">
        <v>39852.453745999999</v>
      </c>
      <c r="V23" s="8">
        <v>-9915.0736072774052</v>
      </c>
      <c r="Y23" s="8">
        <v>-9915.0736089755028</v>
      </c>
      <c r="AA23" s="8">
        <v>-1709641.9777119753</v>
      </c>
      <c r="AD23" s="8">
        <v>44251.041755673279</v>
      </c>
      <c r="AE23" s="7" t="s">
        <v>1470</v>
      </c>
    </row>
    <row r="24" spans="1:31" x14ac:dyDescent="0.3">
      <c r="A24" s="36">
        <v>45260</v>
      </c>
      <c r="B24" s="7">
        <v>23</v>
      </c>
      <c r="C24" s="8">
        <v>-1709641.9777119753</v>
      </c>
      <c r="I24" s="8">
        <v>-9915.0736089755028</v>
      </c>
      <c r="L24" s="8">
        <v>50000</v>
      </c>
      <c r="O24" s="8">
        <v>9915.0736070000003</v>
      </c>
      <c r="R24" s="8">
        <v>40084.926393000002</v>
      </c>
      <c r="V24" s="8">
        <v>-9681.2448699865236</v>
      </c>
      <c r="Y24" s="8">
        <v>-9681.2448719620261</v>
      </c>
      <c r="AA24" s="8">
        <v>-1669323.2225819619</v>
      </c>
      <c r="AD24" s="8">
        <v>43994.407710694228</v>
      </c>
      <c r="AE24" s="7" t="s">
        <v>1470</v>
      </c>
    </row>
    <row r="25" spans="1:31" x14ac:dyDescent="0.3">
      <c r="A25" s="36">
        <v>45291</v>
      </c>
      <c r="B25" s="7">
        <v>24</v>
      </c>
      <c r="C25" s="8">
        <v>-1669323.2225819619</v>
      </c>
      <c r="I25" s="8">
        <v>-9681.2448719620261</v>
      </c>
      <c r="L25" s="8">
        <v>50000</v>
      </c>
      <c r="O25" s="8">
        <v>9681.2448700000004</v>
      </c>
      <c r="R25" s="8">
        <v>40318.755129999998</v>
      </c>
      <c r="V25" s="8">
        <v>-9446.0521317281109</v>
      </c>
      <c r="Y25" s="8">
        <v>-9446.0521336901365</v>
      </c>
      <c r="AA25" s="8">
        <v>-1628769.2747136899</v>
      </c>
      <c r="AD25" s="8">
        <v>43739.262015603214</v>
      </c>
      <c r="AE25" s="7" t="s">
        <v>1470</v>
      </c>
    </row>
    <row r="26" spans="1:31" x14ac:dyDescent="0.3">
      <c r="A26" s="36">
        <v>45322</v>
      </c>
      <c r="B26" s="7">
        <v>25</v>
      </c>
      <c r="C26" s="8">
        <v>-1628769.2747136899</v>
      </c>
      <c r="I26" s="8">
        <v>-9446.0521336901365</v>
      </c>
      <c r="L26" s="8">
        <v>50000</v>
      </c>
      <c r="O26" s="8">
        <v>9446.0521320000007</v>
      </c>
      <c r="R26" s="8">
        <v>40553.947868000003</v>
      </c>
      <c r="V26" s="8">
        <v>-9209.4874358298584</v>
      </c>
      <c r="Y26" s="8">
        <v>-9209.4874375199943</v>
      </c>
      <c r="AA26" s="8">
        <v>-1587978.7621495198</v>
      </c>
      <c r="AD26" s="8">
        <v>43485.596038710733</v>
      </c>
      <c r="AE26" s="7" t="s">
        <v>1470</v>
      </c>
    </row>
    <row r="27" spans="1:31" x14ac:dyDescent="0.3">
      <c r="A27" s="36">
        <v>45351</v>
      </c>
      <c r="B27" s="7">
        <v>26</v>
      </c>
      <c r="C27" s="8">
        <v>-1587978.7621495198</v>
      </c>
      <c r="I27" s="8">
        <v>-9209.4874375199943</v>
      </c>
      <c r="L27" s="8">
        <v>50000</v>
      </c>
      <c r="O27" s="8">
        <v>9209.4874359999994</v>
      </c>
      <c r="R27" s="8">
        <v>40790.512564000004</v>
      </c>
      <c r="V27" s="8">
        <v>-8971.5427792055325</v>
      </c>
      <c r="Y27" s="8">
        <v>-8971.5427807255273</v>
      </c>
      <c r="AA27" s="8">
        <v>-1546950.3049287254</v>
      </c>
      <c r="AD27" s="8">
        <v>43233.401198386804</v>
      </c>
      <c r="AE27" s="7" t="s">
        <v>1470</v>
      </c>
    </row>
    <row r="28" spans="1:31" x14ac:dyDescent="0.3">
      <c r="A28" s="36">
        <v>45382</v>
      </c>
      <c r="B28" s="7">
        <v>27</v>
      </c>
      <c r="C28" s="8">
        <v>-1546950.3049287254</v>
      </c>
      <c r="I28" s="8">
        <v>-8971.5427807255273</v>
      </c>
      <c r="L28" s="8">
        <v>50000</v>
      </c>
      <c r="O28" s="8">
        <v>8971.5427789999994</v>
      </c>
      <c r="R28" s="8">
        <v>41028.457221000004</v>
      </c>
      <c r="V28" s="8">
        <v>-8732.2101120842308</v>
      </c>
      <c r="Y28" s="8">
        <v>-8732.2101138097587</v>
      </c>
      <c r="AA28" s="8">
        <v>-1505682.5150408095</v>
      </c>
      <c r="AD28" s="8">
        <v>42982.668962770644</v>
      </c>
      <c r="AE28" s="7" t="s">
        <v>1470</v>
      </c>
    </row>
    <row r="29" spans="1:31" x14ac:dyDescent="0.3">
      <c r="A29" s="36">
        <v>45412</v>
      </c>
      <c r="B29" s="7">
        <v>28</v>
      </c>
      <c r="C29" s="8">
        <v>-1505682.5150408095</v>
      </c>
      <c r="I29" s="8">
        <v>-8732.2101138097587</v>
      </c>
      <c r="L29" s="8">
        <v>50000</v>
      </c>
      <c r="O29" s="8">
        <v>8732.2101120000007</v>
      </c>
      <c r="R29" s="8">
        <v>41267.789887999999</v>
      </c>
      <c r="V29" s="8">
        <v>-8491.481337738056</v>
      </c>
      <c r="Y29" s="8">
        <v>-8491.4813395478141</v>
      </c>
      <c r="AA29" s="8">
        <v>-1464173.9963785475</v>
      </c>
      <c r="AD29" s="8">
        <v>42733.390849481999</v>
      </c>
      <c r="AE29" s="7" t="s">
        <v>1470</v>
      </c>
    </row>
    <row r="30" spans="1:31" x14ac:dyDescent="0.3">
      <c r="A30" s="36">
        <v>45443</v>
      </c>
      <c r="B30" s="7">
        <v>29</v>
      </c>
      <c r="C30" s="8">
        <v>-1464173.9963785475</v>
      </c>
      <c r="I30" s="8">
        <v>-8491.4813395478141</v>
      </c>
      <c r="L30" s="8">
        <v>50000</v>
      </c>
      <c r="O30" s="8">
        <v>8491.4813379999996</v>
      </c>
      <c r="R30" s="8">
        <v>41508.518662000002</v>
      </c>
      <c r="V30" s="8">
        <v>-8249.3483122081943</v>
      </c>
      <c r="Y30" s="8">
        <v>-8249.3483137560088</v>
      </c>
      <c r="AA30" s="8">
        <v>-1422423.3446907557</v>
      </c>
      <c r="AD30" s="8">
        <v>42485.558425334217</v>
      </c>
      <c r="AE30" s="7" t="s">
        <v>1470</v>
      </c>
    </row>
    <row r="31" spans="1:31" x14ac:dyDescent="0.3">
      <c r="A31" s="36">
        <v>45473</v>
      </c>
      <c r="B31" s="7">
        <v>30</v>
      </c>
      <c r="C31" s="8">
        <v>-1422423.3446907557</v>
      </c>
      <c r="I31" s="8">
        <v>-8249.3483137560088</v>
      </c>
      <c r="L31" s="8">
        <v>50000</v>
      </c>
      <c r="O31" s="8">
        <v>8249.3483120000001</v>
      </c>
      <c r="R31" s="8">
        <v>41750.651687999998</v>
      </c>
      <c r="V31" s="8">
        <v>-8005.8028440294083</v>
      </c>
      <c r="Y31" s="8">
        <v>-8005.802845785417</v>
      </c>
      <c r="AA31" s="8">
        <v>-1380429.1475347851</v>
      </c>
      <c r="AD31" s="8">
        <v>42239.163306048926</v>
      </c>
      <c r="AE31" s="7" t="s">
        <v>1470</v>
      </c>
    </row>
    <row r="32" spans="1:31" x14ac:dyDescent="0.3">
      <c r="A32" s="36">
        <v>45504</v>
      </c>
      <c r="B32" s="7">
        <v>31</v>
      </c>
      <c r="C32" s="8">
        <v>-1380429.1475347851</v>
      </c>
      <c r="I32" s="8">
        <v>-8005.802845785417</v>
      </c>
      <c r="L32" s="8">
        <v>50000</v>
      </c>
      <c r="O32" s="8">
        <v>8005.8028439999998</v>
      </c>
      <c r="R32" s="8">
        <v>41994.197156000002</v>
      </c>
      <c r="V32" s="8">
        <v>-7760.8366939529133</v>
      </c>
      <c r="Y32" s="8">
        <v>-7760.8366957383305</v>
      </c>
      <c r="AA32" s="8">
        <v>-1338189.9842287381</v>
      </c>
      <c r="AD32" s="8">
        <v>41994.197155972419</v>
      </c>
      <c r="AE32" s="7" t="s">
        <v>1470</v>
      </c>
    </row>
    <row r="33" spans="1:31" x14ac:dyDescent="0.3">
      <c r="A33" s="36">
        <v>45535</v>
      </c>
      <c r="B33" s="7">
        <v>32</v>
      </c>
      <c r="C33" s="8">
        <v>-1338189.9842287381</v>
      </c>
      <c r="I33" s="8">
        <v>-7760.8366957383305</v>
      </c>
      <c r="L33" s="8">
        <v>50000</v>
      </c>
      <c r="O33" s="8">
        <v>7760.8366939999996</v>
      </c>
      <c r="R33" s="8">
        <v>42239.163306000002</v>
      </c>
      <c r="V33" s="8">
        <v>-7514.4415746676395</v>
      </c>
      <c r="Y33" s="8">
        <v>-7514.4415764059704</v>
      </c>
      <c r="AA33" s="8">
        <v>-1295704.4258034057</v>
      </c>
      <c r="AD33" s="8">
        <v>41750.65168779363</v>
      </c>
      <c r="AE33" s="7" t="s">
        <v>1470</v>
      </c>
    </row>
    <row r="34" spans="1:31" x14ac:dyDescent="0.3">
      <c r="A34" s="36">
        <v>45565</v>
      </c>
      <c r="B34" s="7">
        <v>33</v>
      </c>
      <c r="C34" s="8">
        <v>-1295704.4258034057</v>
      </c>
      <c r="I34" s="8">
        <v>-7514.4415764059704</v>
      </c>
      <c r="L34" s="8">
        <v>50000</v>
      </c>
      <c r="O34" s="8">
        <v>7514.4415749999998</v>
      </c>
      <c r="R34" s="8">
        <v>42485.558425000003</v>
      </c>
      <c r="V34" s="8">
        <v>-7266.6091505198665</v>
      </c>
      <c r="Y34" s="8">
        <v>-7266.6091519258371</v>
      </c>
      <c r="AA34" s="8">
        <v>-1252971.0349539255</v>
      </c>
      <c r="AD34" s="8">
        <v>41508.518662263756</v>
      </c>
      <c r="AE34" s="7" t="s">
        <v>1470</v>
      </c>
    </row>
    <row r="35" spans="1:31" x14ac:dyDescent="0.3">
      <c r="A35" s="36">
        <v>45596</v>
      </c>
      <c r="B35" s="7">
        <v>34</v>
      </c>
      <c r="C35" s="8">
        <v>-1252971.0349539255</v>
      </c>
      <c r="I35" s="8">
        <v>-7266.6091519258371</v>
      </c>
      <c r="L35" s="8">
        <v>50000</v>
      </c>
      <c r="O35" s="8">
        <v>7266.6091509999997</v>
      </c>
      <c r="R35" s="8">
        <v>42733.390849000003</v>
      </c>
      <c r="V35" s="8">
        <v>-7017.3310372312326</v>
      </c>
      <c r="Y35" s="8">
        <v>-7017.33103815707</v>
      </c>
      <c r="AA35" s="8">
        <v>-1209988.3659911568</v>
      </c>
      <c r="AD35" s="8">
        <v>41267.78988791757</v>
      </c>
      <c r="AE35" s="7" t="s">
        <v>1470</v>
      </c>
    </row>
    <row r="36" spans="1:31" x14ac:dyDescent="0.3">
      <c r="A36" s="36">
        <v>45626</v>
      </c>
      <c r="B36" s="7">
        <v>35</v>
      </c>
      <c r="C36" s="8">
        <v>-1209988.3659911568</v>
      </c>
      <c r="I36" s="8">
        <v>-7017.33103815707</v>
      </c>
      <c r="L36" s="8">
        <v>50000</v>
      </c>
      <c r="O36" s="8">
        <v>7017.3310369999999</v>
      </c>
      <c r="R36" s="8">
        <v>42982.668963000004</v>
      </c>
      <c r="V36" s="8">
        <v>-6766.5988016150814</v>
      </c>
      <c r="Y36" s="8">
        <v>-6766.5988027721514</v>
      </c>
      <c r="AA36" s="8">
        <v>-1166754.964792772</v>
      </c>
      <c r="AD36" s="8">
        <v>41028.457220796256</v>
      </c>
      <c r="AE36" s="7" t="s">
        <v>1470</v>
      </c>
    </row>
    <row r="37" spans="1:31" x14ac:dyDescent="0.3">
      <c r="A37" s="36">
        <v>45657</v>
      </c>
      <c r="B37" s="7">
        <v>36</v>
      </c>
      <c r="C37" s="8">
        <v>-1166754.964792772</v>
      </c>
      <c r="I37" s="8">
        <v>-6766.5988027721514</v>
      </c>
      <c r="L37" s="8">
        <v>50000</v>
      </c>
      <c r="O37" s="8">
        <v>6766.5988020000004</v>
      </c>
      <c r="R37" s="8">
        <v>43233.401198</v>
      </c>
      <c r="V37" s="8">
        <v>-6514.4039612911702</v>
      </c>
      <c r="Y37" s="8">
        <v>-6514.4039620633212</v>
      </c>
      <c r="AA37" s="8">
        <v>-1123269.368754063</v>
      </c>
      <c r="AD37" s="8">
        <v>40790.512564171921</v>
      </c>
      <c r="AE37" s="7" t="s">
        <v>1470</v>
      </c>
    </row>
    <row r="38" spans="1:31" x14ac:dyDescent="0.3">
      <c r="A38" s="36">
        <v>45688</v>
      </c>
      <c r="B38" s="7">
        <v>37</v>
      </c>
      <c r="C38" s="8">
        <v>-1123269.368754063</v>
      </c>
      <c r="I38" s="8">
        <v>-6514.4039620633212</v>
      </c>
      <c r="L38" s="8">
        <v>50000</v>
      </c>
      <c r="O38" s="8">
        <v>6514.403961</v>
      </c>
      <c r="R38" s="8">
        <v>43485.596038999996</v>
      </c>
      <c r="V38" s="8">
        <v>-6260.737984398701</v>
      </c>
      <c r="Y38" s="8">
        <v>-6260.7379854620222</v>
      </c>
      <c r="AA38" s="8">
        <v>-1079530.1067384616</v>
      </c>
      <c r="AD38" s="8">
        <v>40553.947868273652</v>
      </c>
      <c r="AE38" s="7" t="s">
        <v>1470</v>
      </c>
    </row>
    <row r="39" spans="1:31" x14ac:dyDescent="0.3">
      <c r="A39" s="36">
        <v>45716</v>
      </c>
      <c r="B39" s="7">
        <v>38</v>
      </c>
      <c r="C39" s="8">
        <v>-1079530.1067384616</v>
      </c>
      <c r="I39" s="8">
        <v>-6260.7379854620222</v>
      </c>
      <c r="L39" s="8">
        <v>50000</v>
      </c>
      <c r="O39" s="8">
        <v>6260.7379840000003</v>
      </c>
      <c r="R39" s="8">
        <v>43739.262016000001</v>
      </c>
      <c r="V39" s="8">
        <v>-6005.5922893076931</v>
      </c>
      <c r="Y39" s="8">
        <v>-6005.592290769715</v>
      </c>
      <c r="AA39" s="8">
        <v>-1035535.6990277694</v>
      </c>
      <c r="AD39" s="8">
        <v>40318.755130015234</v>
      </c>
      <c r="AE39" s="7" t="s">
        <v>1470</v>
      </c>
    </row>
    <row r="40" spans="1:31" x14ac:dyDescent="0.3">
      <c r="A40" s="36">
        <v>45747</v>
      </c>
      <c r="B40" s="7">
        <v>39</v>
      </c>
      <c r="C40" s="8">
        <v>-1035535.6990277694</v>
      </c>
      <c r="I40" s="8">
        <v>-6005.592290769715</v>
      </c>
      <c r="L40" s="8">
        <v>50000</v>
      </c>
      <c r="O40" s="8">
        <v>6005.5922890000002</v>
      </c>
      <c r="R40" s="8">
        <v>43994.407711</v>
      </c>
      <c r="V40" s="8">
        <v>-5748.9582443286554</v>
      </c>
      <c r="Y40" s="8">
        <v>-5748.9582460983702</v>
      </c>
      <c r="AA40" s="8">
        <v>-991284.657272098</v>
      </c>
      <c r="AD40" s="8">
        <v>40084.926392724337</v>
      </c>
      <c r="AE40" s="7" t="s">
        <v>1470</v>
      </c>
    </row>
    <row r="41" spans="1:31" x14ac:dyDescent="0.3">
      <c r="A41" s="36">
        <v>45777</v>
      </c>
      <c r="B41" s="7">
        <v>40</v>
      </c>
      <c r="C41" s="8">
        <v>-991284.657272098</v>
      </c>
      <c r="I41" s="8">
        <v>-5748.9582460983702</v>
      </c>
      <c r="L41" s="8">
        <v>50000</v>
      </c>
      <c r="O41" s="8">
        <v>5748.9582440000004</v>
      </c>
      <c r="R41" s="8">
        <v>44251.041755999999</v>
      </c>
      <c r="V41" s="8">
        <v>-5490.8271674205716</v>
      </c>
      <c r="Y41" s="8">
        <v>-5490.8271695189414</v>
      </c>
      <c r="AA41" s="8">
        <v>-946775.48443951854</v>
      </c>
      <c r="AD41" s="8">
        <v>39852.453745873412</v>
      </c>
      <c r="AE41" s="7" t="s">
        <v>1470</v>
      </c>
    </row>
    <row r="42" spans="1:31" x14ac:dyDescent="0.3">
      <c r="A42" s="36">
        <v>45808</v>
      </c>
      <c r="B42" s="7">
        <v>41</v>
      </c>
      <c r="C42" s="8">
        <v>-946775.48443951854</v>
      </c>
      <c r="I42" s="8">
        <v>-5490.8271695189414</v>
      </c>
      <c r="L42" s="8">
        <v>50000</v>
      </c>
      <c r="O42" s="8">
        <v>5490.8271670000004</v>
      </c>
      <c r="R42" s="8">
        <v>44509.172832999997</v>
      </c>
      <c r="V42" s="8">
        <v>-5231.1903258971915</v>
      </c>
      <c r="Y42" s="8">
        <v>-5231.1903284161326</v>
      </c>
      <c r="AA42" s="8">
        <v>-902006.67476541572</v>
      </c>
      <c r="AD42" s="8">
        <v>39621.329324812003</v>
      </c>
      <c r="AE42" s="7" t="s">
        <v>1470</v>
      </c>
    </row>
    <row r="43" spans="1:31" x14ac:dyDescent="0.3">
      <c r="A43" s="36">
        <v>45838</v>
      </c>
      <c r="B43" s="7">
        <v>42</v>
      </c>
      <c r="C43" s="8">
        <v>-902006.67476541572</v>
      </c>
      <c r="I43" s="8">
        <v>-5231.1903284161326</v>
      </c>
      <c r="L43" s="8">
        <v>50000</v>
      </c>
      <c r="O43" s="8">
        <v>5231.1903259999999</v>
      </c>
      <c r="R43" s="8">
        <v>44768.809674000004</v>
      </c>
      <c r="V43" s="8">
        <v>-4970.038936131592</v>
      </c>
      <c r="Y43" s="8">
        <v>-4970.0389385477247</v>
      </c>
      <c r="AA43" s="8">
        <v>-856976.71370154736</v>
      </c>
      <c r="AD43" s="8">
        <v>39391.545310500747</v>
      </c>
      <c r="AE43" s="7" t="s">
        <v>1470</v>
      </c>
    </row>
    <row r="44" spans="1:31" x14ac:dyDescent="0.3">
      <c r="A44" s="36">
        <v>45869</v>
      </c>
      <c r="B44" s="7">
        <v>43</v>
      </c>
      <c r="C44" s="8">
        <v>-856976.71370154736</v>
      </c>
      <c r="I44" s="8">
        <v>-4970.0389385477247</v>
      </c>
      <c r="L44" s="8">
        <v>50000</v>
      </c>
      <c r="O44" s="8">
        <v>4970.0389359999999</v>
      </c>
      <c r="R44" s="8">
        <v>45029.961064000003</v>
      </c>
      <c r="V44" s="8">
        <v>-4707.3641632590261</v>
      </c>
      <c r="Y44" s="8">
        <v>-4707.3641658067509</v>
      </c>
      <c r="AA44" s="8">
        <v>-811684.0778648064</v>
      </c>
      <c r="AD44" s="8">
        <v>39163.09392924681</v>
      </c>
      <c r="AE44" s="7" t="s">
        <v>1470</v>
      </c>
    </row>
    <row r="45" spans="1:31" x14ac:dyDescent="0.3">
      <c r="A45" s="36">
        <v>45900</v>
      </c>
      <c r="B45" s="7">
        <v>44</v>
      </c>
      <c r="C45" s="8">
        <v>-811684.0778648064</v>
      </c>
      <c r="I45" s="8">
        <v>-4707.3641658067509</v>
      </c>
      <c r="L45" s="8">
        <v>50000</v>
      </c>
      <c r="O45" s="8">
        <v>4707.3641630000002</v>
      </c>
      <c r="R45" s="8">
        <v>45292.635837000002</v>
      </c>
      <c r="V45" s="8">
        <v>-4443.1571208780379</v>
      </c>
      <c r="Y45" s="8">
        <v>-4443.1571236847885</v>
      </c>
      <c r="AA45" s="8">
        <v>-766127.23498568439</v>
      </c>
      <c r="AD45" s="8">
        <v>38935.967452440906</v>
      </c>
      <c r="AE45" s="7" t="s">
        <v>1470</v>
      </c>
    </row>
    <row r="46" spans="1:31" x14ac:dyDescent="0.3">
      <c r="A46" s="36">
        <v>45930</v>
      </c>
      <c r="B46" s="7">
        <v>45</v>
      </c>
      <c r="C46" s="8">
        <v>-766127.23498568439</v>
      </c>
      <c r="I46" s="8">
        <v>-4443.1571236847885</v>
      </c>
      <c r="L46" s="8">
        <v>50000</v>
      </c>
      <c r="O46" s="8">
        <v>4443.1571210000002</v>
      </c>
      <c r="R46" s="8">
        <v>45556.842879000003</v>
      </c>
      <c r="V46" s="8">
        <v>-4177.4088707498258</v>
      </c>
      <c r="Y46" s="8">
        <v>-4177.4088734346142</v>
      </c>
      <c r="AA46" s="8">
        <v>-720304.64385643427</v>
      </c>
      <c r="AD46" s="8">
        <v>38710.158196295844</v>
      </c>
      <c r="AE46" s="7" t="s">
        <v>1470</v>
      </c>
    </row>
    <row r="47" spans="1:31" x14ac:dyDescent="0.3">
      <c r="A47" s="36">
        <v>45961</v>
      </c>
      <c r="B47" s="7">
        <v>46</v>
      </c>
      <c r="C47" s="8">
        <v>-720304.64385643427</v>
      </c>
      <c r="I47" s="8">
        <v>-4177.4088734346142</v>
      </c>
      <c r="L47" s="8">
        <v>50000</v>
      </c>
      <c r="O47" s="8">
        <v>4177.4088709999996</v>
      </c>
      <c r="R47" s="8">
        <v>45822.591129</v>
      </c>
      <c r="V47" s="8">
        <v>-3910.1104224958667</v>
      </c>
      <c r="Y47" s="8">
        <v>-3910.1104249304813</v>
      </c>
      <c r="AA47" s="8">
        <v>-674214.75427893014</v>
      </c>
      <c r="AD47" s="8">
        <v>38485.658521586585</v>
      </c>
      <c r="AE47" s="7" t="s">
        <v>1470</v>
      </c>
    </row>
    <row r="48" spans="1:31" x14ac:dyDescent="0.3">
      <c r="A48" s="36">
        <v>45991</v>
      </c>
      <c r="B48" s="7">
        <v>47</v>
      </c>
      <c r="C48" s="8">
        <v>-674214.75427893014</v>
      </c>
      <c r="I48" s="8">
        <v>-3910.1104249304813</v>
      </c>
      <c r="L48" s="8">
        <v>50000</v>
      </c>
      <c r="O48" s="8">
        <v>3910.1104220000002</v>
      </c>
      <c r="R48" s="8">
        <v>46089.889578000002</v>
      </c>
      <c r="V48" s="8">
        <v>-3641.2527332937593</v>
      </c>
      <c r="Y48" s="8">
        <v>-3641.2527362242404</v>
      </c>
      <c r="AA48" s="8">
        <v>-627856.00701222394</v>
      </c>
      <c r="AD48" s="8">
        <v>38262.4608333918</v>
      </c>
      <c r="AE48" s="7" t="s">
        <v>1470</v>
      </c>
    </row>
    <row r="49" spans="1:31" x14ac:dyDescent="0.3">
      <c r="A49" s="36">
        <v>46022</v>
      </c>
      <c r="B49" s="7">
        <v>48</v>
      </c>
      <c r="C49" s="8">
        <v>-627856.00701222394</v>
      </c>
      <c r="I49" s="8">
        <v>-3641.2527362242404</v>
      </c>
      <c r="L49" s="8">
        <v>50000</v>
      </c>
      <c r="O49" s="8">
        <v>3641.2527329999998</v>
      </c>
      <c r="R49" s="8">
        <v>46358.747266999999</v>
      </c>
      <c r="V49" s="8">
        <v>-3370.8267075713065</v>
      </c>
      <c r="Y49" s="8">
        <v>-3370.8267107955471</v>
      </c>
      <c r="AA49" s="8">
        <v>-581226.83371979522</v>
      </c>
      <c r="AD49" s="8">
        <v>38040.557580836925</v>
      </c>
      <c r="AE49" s="7" t="s">
        <v>1470</v>
      </c>
    </row>
    <row r="50" spans="1:31" x14ac:dyDescent="0.3">
      <c r="A50" s="36">
        <v>46053</v>
      </c>
      <c r="B50" s="7">
        <v>49</v>
      </c>
      <c r="C50" s="8">
        <v>-581226.83371979522</v>
      </c>
      <c r="I50" s="8">
        <v>-3370.8267107955471</v>
      </c>
      <c r="L50" s="8">
        <v>50000</v>
      </c>
      <c r="O50" s="8">
        <v>3370.8267080000001</v>
      </c>
      <c r="R50" s="8">
        <v>46629.173291999999</v>
      </c>
      <c r="V50" s="8">
        <v>-3098.8231966988055</v>
      </c>
      <c r="Y50" s="8">
        <v>-3098.8231994943526</v>
      </c>
      <c r="AA50" s="8">
        <v>-534325.65691649402</v>
      </c>
      <c r="AD50" s="8">
        <v>37819.941256838698</v>
      </c>
      <c r="AE50" s="7" t="s">
        <v>1470</v>
      </c>
    </row>
    <row r="51" spans="1:31" x14ac:dyDescent="0.3">
      <c r="A51" s="36">
        <v>46081</v>
      </c>
      <c r="B51" s="7">
        <v>50</v>
      </c>
      <c r="C51" s="8">
        <v>-534325.65691649402</v>
      </c>
      <c r="I51" s="8">
        <v>-3098.8231994943526</v>
      </c>
      <c r="L51" s="8">
        <v>50000</v>
      </c>
      <c r="O51" s="8">
        <v>3098.8231970000002</v>
      </c>
      <c r="R51" s="8">
        <v>46901.176803000002</v>
      </c>
      <c r="V51" s="8">
        <v>-2825.2329986795485</v>
      </c>
      <c r="Y51" s="8">
        <v>-2825.2330011739009</v>
      </c>
      <c r="AA51" s="8">
        <v>-487150.88991517358</v>
      </c>
      <c r="AD51" s="8">
        <v>37600.604397851224</v>
      </c>
      <c r="AE51" s="7" t="s">
        <v>1470</v>
      </c>
    </row>
    <row r="52" spans="1:31" x14ac:dyDescent="0.3">
      <c r="A52" s="36">
        <v>46112</v>
      </c>
      <c r="B52" s="7">
        <v>51</v>
      </c>
      <c r="C52" s="8">
        <v>-487150.88991517358</v>
      </c>
      <c r="I52" s="8">
        <v>-2825.2330011739009</v>
      </c>
      <c r="L52" s="8">
        <v>50000</v>
      </c>
      <c r="O52" s="8">
        <v>2825.2329989999998</v>
      </c>
      <c r="R52" s="8">
        <v>47174.767001</v>
      </c>
      <c r="V52" s="8">
        <v>-2550.0468578385126</v>
      </c>
      <c r="Y52" s="8">
        <v>-2550.0468600124136</v>
      </c>
      <c r="AA52" s="8">
        <v>-439700.9367730121</v>
      </c>
      <c r="AD52" s="8">
        <v>37382.539583613478</v>
      </c>
      <c r="AE52" s="7" t="s">
        <v>1470</v>
      </c>
    </row>
    <row r="53" spans="1:31" x14ac:dyDescent="0.3">
      <c r="A53" s="36">
        <v>46142</v>
      </c>
      <c r="B53" s="7">
        <v>52</v>
      </c>
      <c r="C53" s="8">
        <v>-439700.9367730121</v>
      </c>
      <c r="I53" s="8">
        <v>-2550.0468600124136</v>
      </c>
      <c r="L53" s="8">
        <v>50000</v>
      </c>
      <c r="O53" s="8">
        <v>2550.0468580000002</v>
      </c>
      <c r="R53" s="8">
        <v>47449.953141999998</v>
      </c>
      <c r="V53" s="8">
        <v>-2273.2554645092373</v>
      </c>
      <c r="Y53" s="8">
        <v>-2273.2554665216508</v>
      </c>
      <c r="AA53" s="8">
        <v>-391974.19223752135</v>
      </c>
      <c r="AD53" s="8">
        <v>37165.739436898242</v>
      </c>
      <c r="AE53" s="7" t="s">
        <v>1470</v>
      </c>
    </row>
    <row r="54" spans="1:31" x14ac:dyDescent="0.3">
      <c r="A54" s="36">
        <v>46173</v>
      </c>
      <c r="B54" s="7">
        <v>53</v>
      </c>
      <c r="C54" s="8">
        <v>-391974.19223752135</v>
      </c>
      <c r="I54" s="8">
        <v>-2273.2554665216508</v>
      </c>
      <c r="L54" s="8">
        <v>50000</v>
      </c>
      <c r="O54" s="8">
        <v>2273.2554639999998</v>
      </c>
      <c r="R54" s="8">
        <v>47726.744535999998</v>
      </c>
      <c r="V54" s="8">
        <v>-1994.8494547188745</v>
      </c>
      <c r="Y54" s="8">
        <v>-1994.8494572405255</v>
      </c>
      <c r="AA54" s="8">
        <v>-343969.04169224022</v>
      </c>
      <c r="AD54" s="8">
        <v>36950.196623262542</v>
      </c>
      <c r="AE54" s="7" t="s">
        <v>1470</v>
      </c>
    </row>
    <row r="55" spans="1:31" x14ac:dyDescent="0.3">
      <c r="A55" s="36">
        <v>46203</v>
      </c>
      <c r="B55" s="7">
        <v>54</v>
      </c>
      <c r="C55" s="8">
        <v>-343969.04169224022</v>
      </c>
      <c r="I55" s="8">
        <v>-1994.8494572405255</v>
      </c>
      <c r="L55" s="8">
        <v>50000</v>
      </c>
      <c r="O55" s="8">
        <v>1994.849455</v>
      </c>
      <c r="R55" s="8">
        <v>48005.150544999997</v>
      </c>
      <c r="V55" s="8">
        <v>-1714.8194098714014</v>
      </c>
      <c r="Y55" s="8">
        <v>-1714.8194121119268</v>
      </c>
      <c r="AA55" s="8">
        <v>-295683.86110211164</v>
      </c>
      <c r="AD55" s="8">
        <v>36735.903850799543</v>
      </c>
      <c r="AE55" s="7" t="s">
        <v>1470</v>
      </c>
    </row>
    <row r="56" spans="1:31" x14ac:dyDescent="0.3">
      <c r="A56" s="36">
        <v>46234</v>
      </c>
      <c r="B56" s="7">
        <v>55</v>
      </c>
      <c r="C56" s="8">
        <v>-295683.86110211164</v>
      </c>
      <c r="I56" s="8">
        <v>-1714.8194121119268</v>
      </c>
      <c r="L56" s="8">
        <v>50000</v>
      </c>
      <c r="O56" s="8">
        <v>1714.8194100000001</v>
      </c>
      <c r="R56" s="8">
        <v>48285.180590000004</v>
      </c>
      <c r="V56" s="8">
        <v>-1433.1558564289846</v>
      </c>
      <c r="Y56" s="8">
        <v>-1433.1558585409114</v>
      </c>
      <c r="AA56" s="8">
        <v>-247117.01695854063</v>
      </c>
      <c r="AD56" s="8">
        <v>36522.853869891835</v>
      </c>
      <c r="AE56" s="7" t="s">
        <v>1470</v>
      </c>
    </row>
    <row r="57" spans="1:31" x14ac:dyDescent="0.3">
      <c r="A57" s="36">
        <v>46265</v>
      </c>
      <c r="B57" s="7">
        <v>56</v>
      </c>
      <c r="C57" s="8">
        <v>-247117.01695854063</v>
      </c>
      <c r="I57" s="8">
        <v>-1433.1558585409114</v>
      </c>
      <c r="L57" s="8">
        <v>50000</v>
      </c>
      <c r="O57" s="8">
        <v>1433.1558560000001</v>
      </c>
      <c r="R57" s="8">
        <v>48566.844144000002</v>
      </c>
      <c r="V57" s="8">
        <v>-1149.849265591487</v>
      </c>
      <c r="Y57" s="8">
        <v>-1149.8492681323983</v>
      </c>
      <c r="AA57" s="8">
        <v>-198266.8662241321</v>
      </c>
      <c r="AD57" s="8">
        <v>36311.039472966208</v>
      </c>
      <c r="AE57" s="7" t="s">
        <v>1470</v>
      </c>
    </row>
    <row r="58" spans="1:31" x14ac:dyDescent="0.3">
      <c r="A58" s="36">
        <v>46295</v>
      </c>
      <c r="B58" s="7">
        <v>57</v>
      </c>
      <c r="C58" s="8">
        <v>-198266.8662241321</v>
      </c>
      <c r="I58" s="8">
        <v>-1149.8492681323983</v>
      </c>
      <c r="L58" s="8">
        <v>50000</v>
      </c>
      <c r="O58" s="8">
        <v>1149.8492659999999</v>
      </c>
      <c r="R58" s="8">
        <v>48850.150734000003</v>
      </c>
      <c r="V58" s="8">
        <v>-864.89005297410392</v>
      </c>
      <c r="Y58" s="8">
        <v>-864.89005510650225</v>
      </c>
      <c r="AA58" s="8">
        <v>-149131.75627710621</v>
      </c>
      <c r="AD58" s="8">
        <v>36100.453494249748</v>
      </c>
      <c r="AE58" s="7" t="s">
        <v>1470</v>
      </c>
    </row>
    <row r="59" spans="1:31" x14ac:dyDescent="0.3">
      <c r="A59" s="36">
        <v>46326</v>
      </c>
      <c r="B59" s="7">
        <v>58</v>
      </c>
      <c r="C59" s="8">
        <v>-149131.75627710621</v>
      </c>
      <c r="I59" s="8">
        <v>-864.89005510650225</v>
      </c>
      <c r="L59" s="8">
        <v>50000</v>
      </c>
      <c r="O59" s="8">
        <v>864.89005299999997</v>
      </c>
      <c r="R59" s="8">
        <v>49135.109946999997</v>
      </c>
      <c r="V59" s="8">
        <v>-578.26857828311961</v>
      </c>
      <c r="Y59" s="8">
        <v>-578.26858038962189</v>
      </c>
      <c r="AA59" s="8">
        <v>-99710.024855389333</v>
      </c>
      <c r="AD59" s="8">
        <v>35891.088809527493</v>
      </c>
      <c r="AE59" s="7" t="s">
        <v>1470</v>
      </c>
    </row>
    <row r="60" spans="1:31" x14ac:dyDescent="0.3">
      <c r="A60" s="36">
        <v>46356</v>
      </c>
      <c r="B60" s="7">
        <v>59</v>
      </c>
      <c r="C60" s="8">
        <v>-99710.024855389333</v>
      </c>
      <c r="I60" s="8">
        <v>-578.26858038962189</v>
      </c>
      <c r="L60" s="8">
        <v>50000</v>
      </c>
      <c r="O60" s="8">
        <v>578.26857800000005</v>
      </c>
      <c r="R60" s="8">
        <v>49421.731421999997</v>
      </c>
      <c r="V60" s="8">
        <v>-289.97514498977114</v>
      </c>
      <c r="Y60" s="8">
        <v>-289.97514737939298</v>
      </c>
      <c r="AA60" s="8">
        <v>-50000.000000379106</v>
      </c>
      <c r="AD60" s="8">
        <v>35682.93833590141</v>
      </c>
      <c r="AE60" s="7" t="s">
        <v>1470</v>
      </c>
    </row>
    <row r="61" spans="1:31" x14ac:dyDescent="0.3">
      <c r="A61" s="36">
        <v>46387</v>
      </c>
      <c r="B61" s="7">
        <v>60</v>
      </c>
      <c r="C61" s="8">
        <v>-50000.000000379106</v>
      </c>
      <c r="I61" s="8">
        <v>-289.97514737939298</v>
      </c>
      <c r="L61" s="8">
        <v>50000</v>
      </c>
      <c r="O61" s="8">
        <v>289.975145</v>
      </c>
      <c r="R61" s="8">
        <v>49710.024855000003</v>
      </c>
      <c r="V61" s="8">
        <v>-2.2114545572549105E-9</v>
      </c>
      <c r="Y61" s="8">
        <v>-2.381604435868212E-6</v>
      </c>
      <c r="AA61" s="8">
        <v>-3.8131795008666815E-7</v>
      </c>
      <c r="AD61" s="8">
        <v>35475.995031550694</v>
      </c>
      <c r="AE61" s="7" t="s">
        <v>1470</v>
      </c>
    </row>
    <row r="62" spans="1:31" x14ac:dyDescent="0.3">
      <c r="D62" s="8">
        <v>-2539829.423163</v>
      </c>
      <c r="E62" s="196"/>
      <c r="F62" s="196"/>
      <c r="G62" s="8">
        <v>0</v>
      </c>
      <c r="H62" s="8">
        <v>0</v>
      </c>
      <c r="J62" s="8">
        <v>0</v>
      </c>
      <c r="K62" s="8">
        <v>0</v>
      </c>
      <c r="L62" s="8">
        <v>3000000</v>
      </c>
      <c r="M62" s="196"/>
      <c r="N62" s="196"/>
      <c r="O62" s="8">
        <v>460170.57683499984</v>
      </c>
      <c r="P62" s="196"/>
      <c r="Q62" s="196"/>
      <c r="R62" s="8">
        <v>2539829.4231649996</v>
      </c>
      <c r="S62" s="196"/>
      <c r="T62" s="196"/>
      <c r="U62" s="8">
        <v>0</v>
      </c>
      <c r="V62" s="8">
        <v>-460170.57683738176</v>
      </c>
      <c r="W62" s="196"/>
      <c r="X62" s="196"/>
      <c r="Z62" s="8">
        <v>0</v>
      </c>
      <c r="AB62" s="196"/>
      <c r="AC62" s="196"/>
      <c r="AD62" s="8">
        <v>2539829.4231627295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1DA1-7851-4404-A9BB-67CB636D2E2F}">
  <sheetPr>
    <tabColor rgb="FF00B0F0"/>
  </sheetPr>
  <dimension ref="A1:F13"/>
  <sheetViews>
    <sheetView workbookViewId="0">
      <selection activeCell="B4" sqref="B4"/>
    </sheetView>
  </sheetViews>
  <sheetFormatPr defaultRowHeight="12" x14ac:dyDescent="0.25"/>
  <cols>
    <col min="1" max="1" width="40.77734375" style="23" customWidth="1"/>
    <col min="2" max="3" width="11.77734375" style="23" customWidth="1"/>
    <col min="4" max="6" width="15.77734375" style="23" customWidth="1"/>
    <col min="7" max="16384" width="8.88671875" style="23"/>
  </cols>
  <sheetData>
    <row r="1" spans="1:6" x14ac:dyDescent="0.25">
      <c r="A1" s="22" t="s">
        <v>211</v>
      </c>
      <c r="B1" s="23" t="s">
        <v>217</v>
      </c>
    </row>
    <row r="3" spans="1:6" x14ac:dyDescent="0.25">
      <c r="A3" s="22" t="s">
        <v>212</v>
      </c>
      <c r="B3" s="23" t="s">
        <v>215</v>
      </c>
      <c r="C3" s="23" t="s">
        <v>216</v>
      </c>
      <c r="D3" s="25" t="s">
        <v>218</v>
      </c>
      <c r="E3" s="25" t="s">
        <v>219</v>
      </c>
      <c r="F3" s="25" t="s">
        <v>220</v>
      </c>
    </row>
    <row r="4" spans="1:6" s="27" customFormat="1" x14ac:dyDescent="0.25">
      <c r="A4" s="26" t="s">
        <v>58</v>
      </c>
      <c r="C4" s="27">
        <v>3000000</v>
      </c>
      <c r="D4" s="27">
        <f t="shared" ref="D4:D12" si="0">ROUND(B4-C4, 2)</f>
        <v>-3000000</v>
      </c>
      <c r="F4" s="27">
        <f>D4</f>
        <v>-3000000</v>
      </c>
    </row>
    <row r="5" spans="1:6" s="29" customFormat="1" x14ac:dyDescent="0.25">
      <c r="A5" s="28" t="s">
        <v>52</v>
      </c>
      <c r="C5" s="29">
        <v>2539829.4200000018</v>
      </c>
      <c r="D5" s="29">
        <f t="shared" si="0"/>
        <v>-2539829.42</v>
      </c>
      <c r="E5" s="29">
        <f>D5</f>
        <v>-2539829.42</v>
      </c>
    </row>
    <row r="6" spans="1:6" s="27" customFormat="1" x14ac:dyDescent="0.25">
      <c r="A6" s="26" t="s">
        <v>50</v>
      </c>
      <c r="B6" s="27">
        <v>2539829.4200000018</v>
      </c>
      <c r="D6" s="27">
        <f t="shared" si="0"/>
        <v>2539829.42</v>
      </c>
      <c r="F6" s="27">
        <f>D6</f>
        <v>2539829.42</v>
      </c>
    </row>
    <row r="7" spans="1:6" s="29" customFormat="1" x14ac:dyDescent="0.25">
      <c r="A7" s="28" t="s">
        <v>42</v>
      </c>
      <c r="B7" s="29">
        <v>2539829.423163</v>
      </c>
      <c r="D7" s="29">
        <f t="shared" si="0"/>
        <v>2539829.42</v>
      </c>
      <c r="E7" s="29">
        <f>D7</f>
        <v>2539829.42</v>
      </c>
    </row>
    <row r="8" spans="1:6" x14ac:dyDescent="0.25">
      <c r="A8" s="24" t="s">
        <v>45</v>
      </c>
      <c r="B8" s="23">
        <v>30030236.138019998</v>
      </c>
      <c r="C8" s="23">
        <v>30030236.138017997</v>
      </c>
      <c r="D8" s="23">
        <f t="shared" si="0"/>
        <v>0</v>
      </c>
    </row>
    <row r="9" spans="1:6" x14ac:dyDescent="0.25">
      <c r="A9" s="24" t="s">
        <v>54</v>
      </c>
      <c r="B9" s="23">
        <v>27490406.714854993</v>
      </c>
      <c r="C9" s="23">
        <v>27490406.714854993</v>
      </c>
      <c r="D9" s="23">
        <f t="shared" si="0"/>
        <v>0</v>
      </c>
    </row>
    <row r="10" spans="1:6" x14ac:dyDescent="0.25">
      <c r="A10" s="24" t="s">
        <v>49</v>
      </c>
      <c r="B10" s="23">
        <v>460170.57683499984</v>
      </c>
      <c r="C10" s="23">
        <v>460170.57683499984</v>
      </c>
      <c r="D10" s="23">
        <f t="shared" si="0"/>
        <v>0</v>
      </c>
    </row>
    <row r="11" spans="1:6" s="27" customFormat="1" x14ac:dyDescent="0.25">
      <c r="A11" s="26" t="s">
        <v>47</v>
      </c>
      <c r="B11" s="27">
        <v>460170.57683499984</v>
      </c>
      <c r="D11" s="27">
        <f t="shared" si="0"/>
        <v>460170.58</v>
      </c>
      <c r="F11" s="27">
        <f>D11</f>
        <v>460170.58</v>
      </c>
    </row>
    <row r="12" spans="1:6" x14ac:dyDescent="0.25">
      <c r="A12" s="24" t="s">
        <v>213</v>
      </c>
      <c r="D12" s="23">
        <f t="shared" si="0"/>
        <v>0</v>
      </c>
    </row>
    <row r="13" spans="1:6" x14ac:dyDescent="0.25">
      <c r="A13" s="24" t="s">
        <v>214</v>
      </c>
      <c r="B13" s="23">
        <v>63520642.849707991</v>
      </c>
      <c r="C13" s="23">
        <v>63520642.849707991</v>
      </c>
      <c r="D13" s="23">
        <f>ROUND(SUM(D4:D12),2)</f>
        <v>0</v>
      </c>
      <c r="E13" s="23">
        <f>ROUND(SUM(E4:E12),2)</f>
        <v>0</v>
      </c>
      <c r="F13" s="23">
        <f>ROUND(SUM(F4:F12),2)</f>
        <v>0</v>
      </c>
    </row>
  </sheetData>
  <conditionalFormatting sqref="A1:XFD1048576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9392-3728-4609-A333-B805C88FB14D}">
  <sheetPr>
    <tabColor rgb="FFFFC000"/>
  </sheetPr>
  <dimension ref="A1:AG62"/>
  <sheetViews>
    <sheetView workbookViewId="0">
      <pane ySplit="1" topLeftCell="A2" activePane="bottomLeft" state="frozen"/>
      <selection activeCell="H13" sqref="H13"/>
      <selection pane="bottomLeft" activeCell="I16" sqref="I16"/>
    </sheetView>
  </sheetViews>
  <sheetFormatPr defaultRowHeight="14.4" x14ac:dyDescent="0.3"/>
  <cols>
    <col min="1" max="1" width="17.77734375" style="7" bestFit="1" customWidth="1"/>
    <col min="2" max="2" width="7.88671875" style="7" bestFit="1" customWidth="1"/>
    <col min="3" max="3" width="14.5546875" style="7" bestFit="1" customWidth="1"/>
    <col min="4" max="4" width="13.6640625" style="7" bestFit="1" customWidth="1"/>
    <col min="5" max="5" width="16.33203125" style="123" bestFit="1" customWidth="1"/>
    <col min="6" max="6" width="8.77734375" style="123" bestFit="1" customWidth="1"/>
    <col min="7" max="7" width="16.88671875" style="7" bestFit="1" customWidth="1"/>
    <col min="8" max="8" width="15.33203125" style="7" bestFit="1" customWidth="1"/>
    <col min="9" max="9" width="11.33203125" style="7" bestFit="1" customWidth="1"/>
    <col min="10" max="10" width="12.109375" style="7" bestFit="1" customWidth="1"/>
    <col min="11" max="11" width="16.33203125" style="123" bestFit="1" customWidth="1"/>
    <col min="12" max="12" width="8.77734375" style="123" bestFit="1" customWidth="1"/>
    <col min="13" max="13" width="15.88671875" style="7" bestFit="1" customWidth="1"/>
    <col min="14" max="14" width="16.33203125" style="123" bestFit="1" customWidth="1"/>
    <col min="15" max="15" width="8.77734375" style="123" bestFit="1" customWidth="1"/>
    <col min="16" max="16" width="12" style="7" bestFit="1" customWidth="1"/>
    <col min="17" max="17" width="16.33203125" style="123" bestFit="1" customWidth="1"/>
    <col min="18" max="18" width="8.77734375" style="123" bestFit="1" customWidth="1"/>
    <col min="19" max="19" width="17.88671875" style="7" bestFit="1" customWidth="1"/>
    <col min="20" max="20" width="16.33203125" style="123" bestFit="1" customWidth="1"/>
    <col min="21" max="21" width="8.77734375" style="123" bestFit="1" customWidth="1"/>
    <col min="22" max="22" width="9.21875" style="7" bestFit="1" customWidth="1"/>
    <col min="23" max="23" width="38.6640625" style="7" bestFit="1" customWidth="1"/>
    <col min="24" max="24" width="21.88671875" style="7" bestFit="1" customWidth="1"/>
    <col min="25" max="25" width="20" style="123" bestFit="1" customWidth="1"/>
    <col min="26" max="26" width="8.77734375" style="123" bestFit="1" customWidth="1"/>
    <col min="27" max="27" width="17.88671875" style="7" bestFit="1" customWidth="1"/>
    <col min="28" max="28" width="20" style="123" bestFit="1" customWidth="1"/>
    <col min="29" max="29" width="8.77734375" style="123" bestFit="1" customWidth="1"/>
    <col min="30" max="30" width="17.44140625" style="7" bestFit="1" customWidth="1"/>
    <col min="31" max="31" width="20" style="123" bestFit="1" customWidth="1"/>
    <col min="32" max="32" width="8.77734375" style="123" bestFit="1" customWidth="1"/>
    <col min="33" max="33" width="20" style="7" bestFit="1" customWidth="1"/>
    <col min="34" max="16384" width="8.88671875" style="7"/>
  </cols>
  <sheetData>
    <row r="1" spans="1:33" ht="45" customHeight="1" x14ac:dyDescent="0.3">
      <c r="A1" s="135" t="s">
        <v>2673</v>
      </c>
      <c r="B1" s="135" t="s">
        <v>2667</v>
      </c>
      <c r="C1" s="136" t="s">
        <v>2666</v>
      </c>
      <c r="D1" s="136" t="s">
        <v>2665</v>
      </c>
      <c r="E1" s="198" t="s">
        <v>2785</v>
      </c>
      <c r="F1" s="198" t="s">
        <v>1594</v>
      </c>
      <c r="G1" s="136" t="s">
        <v>2664</v>
      </c>
      <c r="H1" s="136" t="s">
        <v>2663</v>
      </c>
      <c r="I1" s="136" t="s">
        <v>2661</v>
      </c>
      <c r="J1" s="136" t="s">
        <v>2621</v>
      </c>
      <c r="K1" s="198" t="s">
        <v>2785</v>
      </c>
      <c r="L1" s="198" t="s">
        <v>1594</v>
      </c>
      <c r="M1" s="136" t="s">
        <v>2672</v>
      </c>
      <c r="N1" s="198" t="s">
        <v>2785</v>
      </c>
      <c r="O1" s="198" t="s">
        <v>1594</v>
      </c>
      <c r="P1" s="136" t="s">
        <v>2659</v>
      </c>
      <c r="Q1" s="198" t="s">
        <v>2785</v>
      </c>
      <c r="R1" s="198" t="s">
        <v>1594</v>
      </c>
      <c r="S1" s="136" t="s">
        <v>2658</v>
      </c>
      <c r="T1" s="198" t="s">
        <v>2785</v>
      </c>
      <c r="U1" s="198" t="s">
        <v>1594</v>
      </c>
      <c r="V1" s="136" t="s">
        <v>2657</v>
      </c>
      <c r="W1" s="136" t="s">
        <v>2654</v>
      </c>
      <c r="X1" s="137" t="s">
        <v>2671</v>
      </c>
      <c r="Y1" s="198" t="s">
        <v>2786</v>
      </c>
      <c r="Z1" s="198" t="s">
        <v>1594</v>
      </c>
      <c r="AA1" s="136" t="s">
        <v>2670</v>
      </c>
      <c r="AB1" s="198" t="s">
        <v>2786</v>
      </c>
      <c r="AC1" s="198" t="s">
        <v>1594</v>
      </c>
      <c r="AD1" s="136" t="s">
        <v>2669</v>
      </c>
      <c r="AE1" s="198" t="s">
        <v>2786</v>
      </c>
      <c r="AF1" s="198" t="s">
        <v>1594</v>
      </c>
      <c r="AG1" s="135" t="s">
        <v>2651</v>
      </c>
    </row>
    <row r="2" spans="1:33" x14ac:dyDescent="0.3">
      <c r="A2" s="36">
        <v>44592</v>
      </c>
      <c r="B2" s="7">
        <v>1</v>
      </c>
      <c r="C2" s="8">
        <v>0</v>
      </c>
      <c r="D2" s="8">
        <v>-2539829.423163</v>
      </c>
      <c r="E2" s="196">
        <f>'Ledger Entries-schedule'!T3</f>
        <v>2539829.423163</v>
      </c>
      <c r="F2" s="196">
        <f>D2+E2</f>
        <v>0</v>
      </c>
      <c r="J2" s="8">
        <v>-14524.004967999999</v>
      </c>
      <c r="K2" s="196">
        <f>'Ledger Entries-schedule'!T9</f>
        <v>14524.004967999999</v>
      </c>
      <c r="L2" s="196">
        <f>J2+K2</f>
        <v>0</v>
      </c>
      <c r="M2" s="8">
        <v>50000</v>
      </c>
      <c r="N2" s="196">
        <f>'Ledger Entries-schedule'!T6</f>
        <v>50000</v>
      </c>
      <c r="O2" s="196">
        <f>M2-N2</f>
        <v>0</v>
      </c>
      <c r="S2" s="8">
        <v>50000</v>
      </c>
      <c r="T2" s="196"/>
      <c r="U2" s="196"/>
      <c r="X2" s="8">
        <v>-2489829.423163</v>
      </c>
      <c r="Y2" s="196">
        <f>'Schedule Acct Balance Trend'!D14+'Schedule Acct Balance Trend'!D15</f>
        <v>-2489829.423163</v>
      </c>
      <c r="Z2" s="196">
        <f>X2-Y2</f>
        <v>0</v>
      </c>
      <c r="AA2" s="8">
        <v>-439639.29</v>
      </c>
      <c r="AB2" s="196">
        <f>'Schedule Acct Balance Trend'!D15</f>
        <v>-439639.29</v>
      </c>
      <c r="AC2" s="196">
        <f>AA2-AB2</f>
        <v>0</v>
      </c>
      <c r="AD2" s="8">
        <v>-2050190.133163</v>
      </c>
      <c r="AE2" s="196">
        <f>'Schedule Acct Balance Trend'!D14</f>
        <v>-2050190.133163</v>
      </c>
      <c r="AF2" s="196">
        <f>AD2-AE2</f>
        <v>0</v>
      </c>
      <c r="AG2" s="7" t="s">
        <v>1470</v>
      </c>
    </row>
    <row r="3" spans="1:33" x14ac:dyDescent="0.3">
      <c r="A3" s="36">
        <v>44620</v>
      </c>
      <c r="B3" s="7">
        <v>2</v>
      </c>
      <c r="C3" s="8">
        <v>-2489829.423163</v>
      </c>
      <c r="J3" s="8">
        <v>-14317.061664000001</v>
      </c>
      <c r="K3" s="196">
        <f>'Ledger Entries-schedule'!T27</f>
        <v>14317.061664000001</v>
      </c>
      <c r="L3" s="196">
        <f>J3+K3</f>
        <v>0</v>
      </c>
      <c r="M3" s="8">
        <v>50000</v>
      </c>
      <c r="N3" s="196">
        <f>'Ledger Entries-schedule'!T24</f>
        <v>50000</v>
      </c>
      <c r="O3" s="196">
        <f>M3-N3</f>
        <v>0</v>
      </c>
      <c r="P3" s="8">
        <v>14524.004967999999</v>
      </c>
      <c r="Q3" s="196">
        <f>'Ledger Entries-schedule'!S22</f>
        <v>14524.004967999999</v>
      </c>
      <c r="R3" s="196">
        <f>P3-Q3</f>
        <v>0</v>
      </c>
      <c r="S3" s="8">
        <v>35475.995031999999</v>
      </c>
      <c r="T3" s="196">
        <f>'Ledger Entries-schedule'!S23</f>
        <v>35475.995031999999</v>
      </c>
      <c r="U3" s="196">
        <f>S3-T3</f>
        <v>0</v>
      </c>
      <c r="X3" s="8">
        <v>-2454353.4281310001</v>
      </c>
      <c r="Y3" s="196">
        <f>'Schedule Acct Balance Trend'!G14+'Schedule Acct Balance Trend'!G15</f>
        <v>-2454353.4281310001</v>
      </c>
      <c r="Z3" s="196">
        <f>X3-Y3</f>
        <v>0</v>
      </c>
      <c r="AA3" s="8">
        <v>-442203.86</v>
      </c>
      <c r="AB3" s="196">
        <f>'Schedule Acct Balance Trend'!G15</f>
        <v>-442203.86</v>
      </c>
      <c r="AC3" s="196">
        <f>AA3-AB3</f>
        <v>0</v>
      </c>
      <c r="AD3" s="8">
        <v>-2012149.5681310003</v>
      </c>
      <c r="AE3" s="196">
        <f>'Schedule Acct Balance Trend'!G14</f>
        <v>-2012149.568131</v>
      </c>
      <c r="AF3" s="196">
        <f>AD3-AE3</f>
        <v>0</v>
      </c>
      <c r="AG3" s="7" t="s">
        <v>1470</v>
      </c>
    </row>
    <row r="4" spans="1:33" x14ac:dyDescent="0.3">
      <c r="A4" s="36">
        <v>44651</v>
      </c>
      <c r="B4" s="7">
        <v>3</v>
      </c>
      <c r="C4" s="8">
        <v>-2454353.4281310001</v>
      </c>
      <c r="J4" s="8">
        <v>-14108.911190000001</v>
      </c>
      <c r="M4" s="8">
        <v>50000</v>
      </c>
      <c r="P4" s="8">
        <v>14317.061664000001</v>
      </c>
      <c r="S4" s="8">
        <v>35682.938335999999</v>
      </c>
      <c r="X4" s="8">
        <v>-2418670.4897950003</v>
      </c>
      <c r="AA4" s="8">
        <v>-444783.38</v>
      </c>
      <c r="AD4" s="8">
        <v>-1973887.1097950004</v>
      </c>
      <c r="AG4" s="7" t="s">
        <v>1470</v>
      </c>
    </row>
    <row r="5" spans="1:33" x14ac:dyDescent="0.3">
      <c r="A5" s="36">
        <v>44681</v>
      </c>
      <c r="B5" s="7">
        <v>4</v>
      </c>
      <c r="C5" s="8">
        <v>-2418670.4897950003</v>
      </c>
      <c r="J5" s="8">
        <v>-13899.546506000001</v>
      </c>
      <c r="M5" s="8">
        <v>50000</v>
      </c>
      <c r="P5" s="8">
        <v>14108.911190000001</v>
      </c>
      <c r="S5" s="8">
        <v>35891.088810000001</v>
      </c>
      <c r="X5" s="8">
        <v>-2382779.4009850002</v>
      </c>
      <c r="Y5" s="196"/>
      <c r="Z5" s="196"/>
      <c r="AA5" s="8">
        <v>-447377.95</v>
      </c>
      <c r="AB5" s="196"/>
      <c r="AC5" s="196"/>
      <c r="AD5" s="8">
        <v>-1935401.4509850002</v>
      </c>
      <c r="AE5" s="196"/>
      <c r="AF5" s="196"/>
      <c r="AG5" s="7" t="s">
        <v>1470</v>
      </c>
    </row>
    <row r="6" spans="1:33" x14ac:dyDescent="0.3">
      <c r="A6" s="36">
        <v>44712</v>
      </c>
      <c r="B6" s="7">
        <v>5</v>
      </c>
      <c r="C6" s="8">
        <v>-2382779.4009850002</v>
      </c>
      <c r="J6" s="8">
        <v>-13688.960526999999</v>
      </c>
      <c r="M6" s="8">
        <v>50000</v>
      </c>
      <c r="P6" s="8">
        <v>13899.546506000001</v>
      </c>
      <c r="S6" s="8">
        <v>36100.453494000001</v>
      </c>
      <c r="X6" s="8">
        <v>-2346678.9474910004</v>
      </c>
      <c r="Y6" s="196"/>
      <c r="Z6" s="196"/>
      <c r="AA6" s="8">
        <v>-449987.65</v>
      </c>
      <c r="AB6" s="196"/>
      <c r="AC6" s="196"/>
      <c r="AD6" s="8">
        <v>-1896691.2974910005</v>
      </c>
      <c r="AE6" s="196"/>
      <c r="AF6" s="196"/>
      <c r="AG6" s="7" t="s">
        <v>1470</v>
      </c>
    </row>
    <row r="7" spans="1:33" x14ac:dyDescent="0.3">
      <c r="A7" s="36">
        <v>44742</v>
      </c>
      <c r="B7" s="7">
        <v>6</v>
      </c>
      <c r="C7" s="8">
        <v>-2346678.9474910004</v>
      </c>
      <c r="J7" s="8">
        <v>-13477.146129999999</v>
      </c>
      <c r="M7" s="8">
        <v>50000</v>
      </c>
      <c r="P7" s="8">
        <v>13688.960526999999</v>
      </c>
      <c r="S7" s="8">
        <v>36311.039472999997</v>
      </c>
      <c r="X7" s="8">
        <v>-2310367.9080180004</v>
      </c>
      <c r="Y7" s="196"/>
      <c r="Z7" s="196"/>
      <c r="AA7" s="8">
        <v>-452612.58</v>
      </c>
      <c r="AB7" s="196"/>
      <c r="AC7" s="196"/>
      <c r="AD7" s="8">
        <v>-1857755.3280180003</v>
      </c>
      <c r="AE7" s="196"/>
      <c r="AF7" s="196"/>
      <c r="AG7" s="7" t="s">
        <v>1470</v>
      </c>
    </row>
    <row r="8" spans="1:33" x14ac:dyDescent="0.3">
      <c r="A8" s="36">
        <v>44773</v>
      </c>
      <c r="B8" s="7">
        <v>7</v>
      </c>
      <c r="C8" s="8">
        <v>-2310367.9080180004</v>
      </c>
      <c r="J8" s="8">
        <v>-13264.096149000001</v>
      </c>
      <c r="M8" s="8">
        <v>50000</v>
      </c>
      <c r="P8" s="8">
        <v>13477.146129999999</v>
      </c>
      <c r="S8" s="8">
        <v>36522.853869999999</v>
      </c>
      <c r="X8" s="8">
        <v>-2273845.0541480002</v>
      </c>
      <c r="Y8" s="196"/>
      <c r="Z8" s="196"/>
      <c r="AA8" s="8">
        <v>-455252.83</v>
      </c>
      <c r="AB8" s="196"/>
      <c r="AC8" s="196"/>
      <c r="AD8" s="8">
        <v>-1818592.2241480001</v>
      </c>
      <c r="AE8" s="196"/>
      <c r="AF8" s="196"/>
      <c r="AG8" s="7" t="s">
        <v>1470</v>
      </c>
    </row>
    <row r="9" spans="1:33" x14ac:dyDescent="0.3">
      <c r="A9" s="36">
        <v>44804</v>
      </c>
      <c r="B9" s="7">
        <v>8</v>
      </c>
      <c r="C9" s="8">
        <v>-2273845.0541480002</v>
      </c>
      <c r="J9" s="8">
        <v>-13049.803377</v>
      </c>
      <c r="M9" s="8">
        <v>50000</v>
      </c>
      <c r="P9" s="8">
        <v>13264.096149000001</v>
      </c>
      <c r="S9" s="8">
        <v>36735.903850999995</v>
      </c>
      <c r="X9" s="8">
        <v>-2237109.1502970001</v>
      </c>
      <c r="Y9" s="196"/>
      <c r="Z9" s="196"/>
      <c r="AA9" s="8">
        <v>-457908.46</v>
      </c>
      <c r="AB9" s="196"/>
      <c r="AC9" s="196"/>
      <c r="AD9" s="8">
        <v>-1779200.6902970001</v>
      </c>
      <c r="AE9" s="196"/>
      <c r="AF9" s="196"/>
      <c r="AG9" s="7" t="s">
        <v>1470</v>
      </c>
    </row>
    <row r="10" spans="1:33" x14ac:dyDescent="0.3">
      <c r="A10" s="36">
        <v>44834</v>
      </c>
      <c r="B10" s="7">
        <v>9</v>
      </c>
      <c r="C10" s="8">
        <v>-2237109.1502970001</v>
      </c>
      <c r="J10" s="8">
        <v>-12834.260563</v>
      </c>
      <c r="M10" s="8">
        <v>50000</v>
      </c>
      <c r="P10" s="8">
        <v>13049.803377</v>
      </c>
      <c r="S10" s="8">
        <v>36950.196622999996</v>
      </c>
      <c r="X10" s="8">
        <v>-2200158.9536740002</v>
      </c>
      <c r="Y10" s="196"/>
      <c r="Z10" s="196"/>
      <c r="AA10" s="8">
        <v>-460579.59</v>
      </c>
      <c r="AB10" s="196"/>
      <c r="AC10" s="196"/>
      <c r="AD10" s="8">
        <v>-1739579.3636740001</v>
      </c>
      <c r="AE10" s="196"/>
      <c r="AF10" s="196"/>
      <c r="AG10" s="7" t="s">
        <v>1470</v>
      </c>
    </row>
    <row r="11" spans="1:33" x14ac:dyDescent="0.3">
      <c r="A11" s="36">
        <v>44865</v>
      </c>
      <c r="B11" s="7">
        <v>10</v>
      </c>
      <c r="C11" s="8">
        <v>-2200158.9536740002</v>
      </c>
      <c r="J11" s="8">
        <v>-12617.460416</v>
      </c>
      <c r="M11" s="8">
        <v>50000</v>
      </c>
      <c r="P11" s="8">
        <v>12834.260563</v>
      </c>
      <c r="S11" s="8">
        <v>37165.739436999997</v>
      </c>
      <c r="X11" s="8">
        <v>-2162993.2142370003</v>
      </c>
      <c r="Y11" s="196"/>
      <c r="Z11" s="196"/>
      <c r="AA11" s="8">
        <v>-463266.31</v>
      </c>
      <c r="AB11" s="196"/>
      <c r="AC11" s="196"/>
      <c r="AD11" s="8">
        <v>-1699726.9042370003</v>
      </c>
      <c r="AE11" s="196"/>
      <c r="AF11" s="196"/>
      <c r="AG11" s="7" t="s">
        <v>1470</v>
      </c>
    </row>
    <row r="12" spans="1:33" x14ac:dyDescent="0.3">
      <c r="A12" s="36">
        <v>44895</v>
      </c>
      <c r="B12" s="7">
        <v>11</v>
      </c>
      <c r="C12" s="8">
        <v>-2162993.2142370003</v>
      </c>
      <c r="J12" s="8">
        <v>-12399.395602000001</v>
      </c>
      <c r="M12" s="8">
        <v>50000</v>
      </c>
      <c r="P12" s="8">
        <v>12617.460416</v>
      </c>
      <c r="S12" s="8">
        <v>37382.539583999998</v>
      </c>
      <c r="X12" s="8">
        <v>-2125610.6746530002</v>
      </c>
      <c r="Y12" s="196"/>
      <c r="Z12" s="196"/>
      <c r="AA12" s="8">
        <v>-465968.7</v>
      </c>
      <c r="AB12" s="196"/>
      <c r="AC12" s="196"/>
      <c r="AD12" s="8">
        <v>-1659641.9746530002</v>
      </c>
      <c r="AE12" s="196"/>
      <c r="AF12" s="196"/>
      <c r="AG12" s="7" t="s">
        <v>1470</v>
      </c>
    </row>
    <row r="13" spans="1:33" x14ac:dyDescent="0.3">
      <c r="A13" s="36">
        <v>44926</v>
      </c>
      <c r="B13" s="7">
        <v>12</v>
      </c>
      <c r="C13" s="8">
        <v>-2125610.6746530002</v>
      </c>
      <c r="J13" s="8">
        <v>-12180.058743</v>
      </c>
      <c r="M13" s="8">
        <v>50000</v>
      </c>
      <c r="P13" s="8">
        <v>12399.395602000001</v>
      </c>
      <c r="S13" s="8">
        <v>37600.604397999996</v>
      </c>
      <c r="X13" s="8">
        <v>-2088010.0702550001</v>
      </c>
      <c r="Y13" s="196"/>
      <c r="Z13" s="196"/>
      <c r="AA13" s="8">
        <v>-468686.85</v>
      </c>
      <c r="AB13" s="196"/>
      <c r="AC13" s="196"/>
      <c r="AD13" s="8">
        <v>-1619323.2202550001</v>
      </c>
      <c r="AE13" s="196"/>
      <c r="AF13" s="196"/>
      <c r="AG13" s="7" t="s">
        <v>1470</v>
      </c>
    </row>
    <row r="14" spans="1:33" x14ac:dyDescent="0.3">
      <c r="A14" s="36">
        <v>44957</v>
      </c>
      <c r="B14" s="7">
        <v>13</v>
      </c>
      <c r="C14" s="8">
        <v>-2088010.0702550001</v>
      </c>
      <c r="J14" s="8">
        <v>-11959.442419000001</v>
      </c>
      <c r="M14" s="8">
        <v>50000</v>
      </c>
      <c r="P14" s="8">
        <v>12180.058743</v>
      </c>
      <c r="S14" s="8">
        <v>37819.941256999999</v>
      </c>
      <c r="X14" s="8">
        <v>-2050190.1289980002</v>
      </c>
      <c r="Y14" s="196"/>
      <c r="Z14" s="196"/>
      <c r="AA14" s="8">
        <v>-471420.85</v>
      </c>
      <c r="AB14" s="196"/>
      <c r="AC14" s="196"/>
      <c r="AD14" s="8">
        <v>-1578769.2789980001</v>
      </c>
      <c r="AE14" s="196"/>
      <c r="AF14" s="196"/>
      <c r="AG14" s="7" t="s">
        <v>1470</v>
      </c>
    </row>
    <row r="15" spans="1:33" x14ac:dyDescent="0.3">
      <c r="A15" s="36">
        <v>44985</v>
      </c>
      <c r="B15" s="7">
        <v>14</v>
      </c>
      <c r="C15" s="8">
        <v>-2050190.1289980002</v>
      </c>
      <c r="J15" s="8">
        <v>-11737.539167000001</v>
      </c>
      <c r="M15" s="8">
        <v>50000</v>
      </c>
      <c r="P15" s="8">
        <v>11959.442419000001</v>
      </c>
      <c r="S15" s="8">
        <v>38040.557581000001</v>
      </c>
      <c r="X15" s="8">
        <v>-2012149.5714170001</v>
      </c>
      <c r="Y15" s="196"/>
      <c r="Z15" s="196"/>
      <c r="AA15" s="8">
        <v>-474170.81</v>
      </c>
      <c r="AB15" s="196"/>
      <c r="AC15" s="196"/>
      <c r="AD15" s="8">
        <v>-1537978.7614170001</v>
      </c>
      <c r="AE15" s="196"/>
      <c r="AF15" s="196"/>
      <c r="AG15" s="7" t="s">
        <v>1470</v>
      </c>
    </row>
    <row r="16" spans="1:33" x14ac:dyDescent="0.3">
      <c r="A16" s="36">
        <v>45016</v>
      </c>
      <c r="B16" s="7">
        <v>15</v>
      </c>
      <c r="C16" s="8">
        <v>-2012149.5714170001</v>
      </c>
      <c r="J16" s="8">
        <v>-11514.341478</v>
      </c>
      <c r="M16" s="8">
        <v>50000</v>
      </c>
      <c r="P16" s="8">
        <v>11737.539167000001</v>
      </c>
      <c r="S16" s="8">
        <v>38262.460832999997</v>
      </c>
      <c r="X16" s="8">
        <v>-1973887.1105840001</v>
      </c>
      <c r="Y16" s="196"/>
      <c r="Z16" s="196"/>
      <c r="AA16" s="8">
        <v>-476936.81</v>
      </c>
      <c r="AB16" s="196"/>
      <c r="AC16" s="196"/>
      <c r="AD16" s="8">
        <v>-1496950.3005840001</v>
      </c>
      <c r="AE16" s="196"/>
      <c r="AF16" s="196"/>
      <c r="AG16" s="7" t="s">
        <v>1470</v>
      </c>
    </row>
    <row r="17" spans="1:33" x14ac:dyDescent="0.3">
      <c r="A17" s="36">
        <v>45046</v>
      </c>
      <c r="B17" s="7">
        <v>16</v>
      </c>
      <c r="C17" s="8">
        <v>-1973887.1105840001</v>
      </c>
      <c r="J17" s="8">
        <v>-11289.841804</v>
      </c>
      <c r="M17" s="8">
        <v>50000</v>
      </c>
      <c r="P17" s="8">
        <v>11514.341478</v>
      </c>
      <c r="S17" s="8">
        <v>38485.658521999998</v>
      </c>
      <c r="X17" s="8">
        <v>-1935401.4520620001</v>
      </c>
      <c r="Y17" s="196"/>
      <c r="Z17" s="196"/>
      <c r="AA17" s="8">
        <v>-479718.94</v>
      </c>
      <c r="AB17" s="196"/>
      <c r="AC17" s="196"/>
      <c r="AD17" s="8">
        <v>-1455682.5120620001</v>
      </c>
      <c r="AE17" s="196"/>
      <c r="AF17" s="196"/>
      <c r="AG17" s="7" t="s">
        <v>1470</v>
      </c>
    </row>
    <row r="18" spans="1:33" x14ac:dyDescent="0.3">
      <c r="A18" s="36">
        <v>45077</v>
      </c>
      <c r="B18" s="7">
        <v>17</v>
      </c>
      <c r="C18" s="8">
        <v>-1935401.4520620001</v>
      </c>
      <c r="J18" s="8">
        <v>-11064.032547999999</v>
      </c>
      <c r="M18" s="8">
        <v>50000</v>
      </c>
      <c r="P18" s="8">
        <v>11289.841804</v>
      </c>
      <c r="S18" s="8">
        <v>38710.158196000004</v>
      </c>
      <c r="X18" s="8">
        <v>-1896691.2938660001</v>
      </c>
      <c r="Y18" s="196"/>
      <c r="Z18" s="196"/>
      <c r="AA18" s="8">
        <v>-482517.29</v>
      </c>
      <c r="AB18" s="196"/>
      <c r="AC18" s="196"/>
      <c r="AD18" s="8">
        <v>-1414174.0038660001</v>
      </c>
      <c r="AE18" s="196"/>
      <c r="AF18" s="196"/>
      <c r="AG18" s="7" t="s">
        <v>1470</v>
      </c>
    </row>
    <row r="19" spans="1:33" x14ac:dyDescent="0.3">
      <c r="A19" s="36">
        <v>45107</v>
      </c>
      <c r="B19" s="7">
        <v>18</v>
      </c>
      <c r="C19" s="8">
        <v>-1896691.2938660001</v>
      </c>
      <c r="J19" s="8">
        <v>-10836.906070999999</v>
      </c>
      <c r="M19" s="8">
        <v>50000</v>
      </c>
      <c r="P19" s="8">
        <v>11064.032547999999</v>
      </c>
      <c r="S19" s="8">
        <v>38935.967451999997</v>
      </c>
      <c r="X19" s="8">
        <v>-1857755.3264140002</v>
      </c>
      <c r="Y19" s="196"/>
      <c r="Z19" s="196"/>
      <c r="AA19" s="8">
        <v>-485331.99</v>
      </c>
      <c r="AB19" s="196"/>
      <c r="AC19" s="196"/>
      <c r="AD19" s="8">
        <v>-1372423.3364140003</v>
      </c>
      <c r="AE19" s="196"/>
      <c r="AF19" s="196"/>
      <c r="AG19" s="7" t="s">
        <v>1470</v>
      </c>
    </row>
    <row r="20" spans="1:33" x14ac:dyDescent="0.3">
      <c r="A20" s="36">
        <v>45138</v>
      </c>
      <c r="B20" s="7">
        <v>19</v>
      </c>
      <c r="C20" s="8">
        <v>-1857755.3264140002</v>
      </c>
      <c r="J20" s="8">
        <v>-10608.454689</v>
      </c>
      <c r="M20" s="8">
        <v>50000</v>
      </c>
      <c r="P20" s="8">
        <v>10836.906070999999</v>
      </c>
      <c r="S20" s="8">
        <v>39163.093929000002</v>
      </c>
      <c r="X20" s="8">
        <v>-1818592.2324850003</v>
      </c>
      <c r="Y20" s="196"/>
      <c r="Z20" s="196"/>
      <c r="AA20" s="8">
        <v>-488163.08</v>
      </c>
      <c r="AB20" s="196"/>
      <c r="AC20" s="196"/>
      <c r="AD20" s="8">
        <v>-1330429.1524850002</v>
      </c>
      <c r="AE20" s="196"/>
      <c r="AF20" s="196"/>
      <c r="AG20" s="7" t="s">
        <v>1470</v>
      </c>
    </row>
    <row r="21" spans="1:33" x14ac:dyDescent="0.3">
      <c r="A21" s="36">
        <v>45169</v>
      </c>
      <c r="B21" s="7">
        <v>20</v>
      </c>
      <c r="C21" s="8">
        <v>-1818592.2324850003</v>
      </c>
      <c r="J21" s="8">
        <v>-10378.670674999999</v>
      </c>
      <c r="M21" s="8">
        <v>50000</v>
      </c>
      <c r="P21" s="8">
        <v>10608.454689</v>
      </c>
      <c r="S21" s="8">
        <v>39391.545311000002</v>
      </c>
      <c r="X21" s="8">
        <v>-1779200.6871740003</v>
      </c>
      <c r="Y21" s="196"/>
      <c r="Z21" s="196"/>
      <c r="AA21" s="8">
        <v>-491010.7</v>
      </c>
      <c r="AB21" s="196"/>
      <c r="AC21" s="196"/>
      <c r="AD21" s="8">
        <v>-1288189.9871740004</v>
      </c>
      <c r="AE21" s="196"/>
      <c r="AF21" s="196"/>
      <c r="AG21" s="7" t="s">
        <v>1470</v>
      </c>
    </row>
    <row r="22" spans="1:33" x14ac:dyDescent="0.3">
      <c r="A22" s="36">
        <v>45199</v>
      </c>
      <c r="B22" s="7">
        <v>21</v>
      </c>
      <c r="C22" s="8">
        <v>-1779200.6871740003</v>
      </c>
      <c r="J22" s="8">
        <v>-10147.546254000001</v>
      </c>
      <c r="M22" s="8">
        <v>50000</v>
      </c>
      <c r="P22" s="8">
        <v>10378.670674999999</v>
      </c>
      <c r="S22" s="8">
        <v>39621.329324999999</v>
      </c>
      <c r="X22" s="8">
        <v>-1739579.3578490003</v>
      </c>
      <c r="Y22" s="196"/>
      <c r="Z22" s="196"/>
      <c r="AA22" s="8">
        <v>-493874.94</v>
      </c>
      <c r="AB22" s="196"/>
      <c r="AC22" s="196"/>
      <c r="AD22" s="8">
        <v>-1245704.4178490003</v>
      </c>
      <c r="AE22" s="196"/>
      <c r="AF22" s="196"/>
      <c r="AG22" s="7" t="s">
        <v>1470</v>
      </c>
    </row>
    <row r="23" spans="1:33" x14ac:dyDescent="0.3">
      <c r="A23" s="36">
        <v>45230</v>
      </c>
      <c r="B23" s="7">
        <v>22</v>
      </c>
      <c r="C23" s="8">
        <v>-1739579.3578490003</v>
      </c>
      <c r="J23" s="8">
        <v>-9915.0736070000003</v>
      </c>
      <c r="M23" s="8">
        <v>50000</v>
      </c>
      <c r="P23" s="8">
        <v>10147.546254000001</v>
      </c>
      <c r="S23" s="8">
        <v>39852.453745999999</v>
      </c>
      <c r="X23" s="8">
        <v>-1699726.9041030002</v>
      </c>
      <c r="Y23" s="196"/>
      <c r="Z23" s="196"/>
      <c r="AA23" s="8">
        <v>-496755.86</v>
      </c>
      <c r="AB23" s="196"/>
      <c r="AC23" s="196"/>
      <c r="AD23" s="8">
        <v>-1202971.0441030003</v>
      </c>
      <c r="AE23" s="196"/>
      <c r="AF23" s="196"/>
      <c r="AG23" s="7" t="s">
        <v>1470</v>
      </c>
    </row>
    <row r="24" spans="1:33" x14ac:dyDescent="0.3">
      <c r="A24" s="36">
        <v>45260</v>
      </c>
      <c r="B24" s="7">
        <v>23</v>
      </c>
      <c r="C24" s="8">
        <v>-1699726.9041030002</v>
      </c>
      <c r="J24" s="8">
        <v>-9681.2448700000004</v>
      </c>
      <c r="M24" s="8">
        <v>50000</v>
      </c>
      <c r="P24" s="8">
        <v>9915.0736070000003</v>
      </c>
      <c r="S24" s="8">
        <v>40084.926393000002</v>
      </c>
      <c r="X24" s="8">
        <v>-1659641.9777100002</v>
      </c>
      <c r="Y24" s="196"/>
      <c r="Z24" s="196"/>
      <c r="AA24" s="8">
        <v>-499653.62</v>
      </c>
      <c r="AB24" s="196"/>
      <c r="AC24" s="196"/>
      <c r="AD24" s="8">
        <v>-1159988.3577100001</v>
      </c>
      <c r="AE24" s="196"/>
      <c r="AF24" s="196"/>
      <c r="AG24" s="7" t="s">
        <v>1470</v>
      </c>
    </row>
    <row r="25" spans="1:33" x14ac:dyDescent="0.3">
      <c r="A25" s="36">
        <v>45291</v>
      </c>
      <c r="B25" s="7">
        <v>24</v>
      </c>
      <c r="C25" s="8">
        <v>-1659641.9777100002</v>
      </c>
      <c r="J25" s="8">
        <v>-9446.0521320000007</v>
      </c>
      <c r="M25" s="8">
        <v>50000</v>
      </c>
      <c r="P25" s="8">
        <v>9681.2448700000004</v>
      </c>
      <c r="S25" s="8">
        <v>40318.755129999998</v>
      </c>
      <c r="X25" s="8">
        <v>-1619323.2225800003</v>
      </c>
      <c r="Y25" s="196"/>
      <c r="Z25" s="196"/>
      <c r="AA25" s="8">
        <v>-502568.25</v>
      </c>
      <c r="AB25" s="196"/>
      <c r="AC25" s="196"/>
      <c r="AD25" s="8">
        <v>-1116754.9725800003</v>
      </c>
      <c r="AE25" s="196"/>
      <c r="AF25" s="196"/>
      <c r="AG25" s="7" t="s">
        <v>1470</v>
      </c>
    </row>
    <row r="26" spans="1:33" x14ac:dyDescent="0.3">
      <c r="A26" s="36">
        <v>45322</v>
      </c>
      <c r="B26" s="7">
        <v>25</v>
      </c>
      <c r="C26" s="8">
        <v>-1619323.2225800003</v>
      </c>
      <c r="J26" s="8">
        <v>-9209.4874359999994</v>
      </c>
      <c r="M26" s="8">
        <v>50000</v>
      </c>
      <c r="P26" s="8">
        <v>9446.0521320000007</v>
      </c>
      <c r="S26" s="8">
        <v>40553.947868000003</v>
      </c>
      <c r="X26" s="8">
        <v>-1578769.2747120003</v>
      </c>
      <c r="Y26" s="196"/>
      <c r="Z26" s="196"/>
      <c r="AA26" s="8">
        <v>-505499.91</v>
      </c>
      <c r="AB26" s="196"/>
      <c r="AC26" s="196"/>
      <c r="AD26" s="8">
        <v>-1073269.3647120004</v>
      </c>
      <c r="AE26" s="196"/>
      <c r="AF26" s="196"/>
      <c r="AG26" s="7" t="s">
        <v>1470</v>
      </c>
    </row>
    <row r="27" spans="1:33" x14ac:dyDescent="0.3">
      <c r="A27" s="36">
        <v>45351</v>
      </c>
      <c r="B27" s="7">
        <v>26</v>
      </c>
      <c r="C27" s="8">
        <v>-1578769.2747120003</v>
      </c>
      <c r="J27" s="8">
        <v>-8971.5427789999994</v>
      </c>
      <c r="M27" s="8">
        <v>50000</v>
      </c>
      <c r="P27" s="8">
        <v>9209.4874359999994</v>
      </c>
      <c r="S27" s="8">
        <v>40790.512564000004</v>
      </c>
      <c r="X27" s="8">
        <v>-1537978.7621480003</v>
      </c>
      <c r="Y27" s="196"/>
      <c r="Z27" s="196"/>
      <c r="AA27" s="8">
        <v>-508448.66</v>
      </c>
      <c r="AB27" s="196"/>
      <c r="AC27" s="196"/>
      <c r="AD27" s="8">
        <v>-1029530.1021480004</v>
      </c>
      <c r="AE27" s="196"/>
      <c r="AF27" s="196"/>
      <c r="AG27" s="7" t="s">
        <v>1470</v>
      </c>
    </row>
    <row r="28" spans="1:33" x14ac:dyDescent="0.3">
      <c r="A28" s="36">
        <v>45382</v>
      </c>
      <c r="B28" s="7">
        <v>27</v>
      </c>
      <c r="C28" s="8">
        <v>-1537978.7621480003</v>
      </c>
      <c r="J28" s="8">
        <v>-8732.2101120000007</v>
      </c>
      <c r="M28" s="8">
        <v>50000</v>
      </c>
      <c r="P28" s="8">
        <v>8971.5427789999994</v>
      </c>
      <c r="S28" s="8">
        <v>41028.457221000004</v>
      </c>
      <c r="X28" s="8">
        <v>-1496950.3049270003</v>
      </c>
      <c r="Y28" s="196"/>
      <c r="Z28" s="196"/>
      <c r="AA28" s="8">
        <v>-511414.6</v>
      </c>
      <c r="AB28" s="196"/>
      <c r="AC28" s="196"/>
      <c r="AD28" s="8">
        <v>-985535.70492700033</v>
      </c>
      <c r="AE28" s="196"/>
      <c r="AF28" s="196"/>
      <c r="AG28" s="7" t="s">
        <v>1470</v>
      </c>
    </row>
    <row r="29" spans="1:33" x14ac:dyDescent="0.3">
      <c r="A29" s="36">
        <v>45412</v>
      </c>
      <c r="B29" s="7">
        <v>28</v>
      </c>
      <c r="C29" s="8">
        <v>-1496950.3049270003</v>
      </c>
      <c r="J29" s="8">
        <v>-8491.4813379999996</v>
      </c>
      <c r="M29" s="8">
        <v>50000</v>
      </c>
      <c r="P29" s="8">
        <v>8732.2101120000007</v>
      </c>
      <c r="S29" s="8">
        <v>41267.789887999999</v>
      </c>
      <c r="X29" s="8">
        <v>-1455682.5150390002</v>
      </c>
      <c r="Y29" s="196"/>
      <c r="Z29" s="196"/>
      <c r="AA29" s="8">
        <v>-514397.86</v>
      </c>
      <c r="AB29" s="196"/>
      <c r="AC29" s="196"/>
      <c r="AD29" s="8">
        <v>-941284.65503900021</v>
      </c>
      <c r="AE29" s="196"/>
      <c r="AF29" s="196"/>
      <c r="AG29" s="7" t="s">
        <v>1470</v>
      </c>
    </row>
    <row r="30" spans="1:33" x14ac:dyDescent="0.3">
      <c r="A30" s="36">
        <v>45443</v>
      </c>
      <c r="B30" s="7">
        <v>29</v>
      </c>
      <c r="C30" s="8">
        <v>-1455682.5150390002</v>
      </c>
      <c r="J30" s="8">
        <v>-8249.3483120000001</v>
      </c>
      <c r="M30" s="8">
        <v>50000</v>
      </c>
      <c r="P30" s="8">
        <v>8491.4813379999996</v>
      </c>
      <c r="S30" s="8">
        <v>41508.518662000002</v>
      </c>
      <c r="X30" s="8">
        <v>-1414173.9963770001</v>
      </c>
      <c r="Y30" s="196"/>
      <c r="Z30" s="196"/>
      <c r="AA30" s="8">
        <v>-517398.51</v>
      </c>
      <c r="AB30" s="196"/>
      <c r="AC30" s="196"/>
      <c r="AD30" s="8">
        <v>-896775.48637700011</v>
      </c>
      <c r="AE30" s="196"/>
      <c r="AF30" s="196"/>
      <c r="AG30" s="7" t="s">
        <v>1470</v>
      </c>
    </row>
    <row r="31" spans="1:33" x14ac:dyDescent="0.3">
      <c r="A31" s="36">
        <v>45473</v>
      </c>
      <c r="B31" s="7">
        <v>30</v>
      </c>
      <c r="C31" s="8">
        <v>-1414173.9963770001</v>
      </c>
      <c r="J31" s="8">
        <v>-8005.8028439999998</v>
      </c>
      <c r="M31" s="8">
        <v>50000</v>
      </c>
      <c r="P31" s="8">
        <v>8249.3483120000001</v>
      </c>
      <c r="S31" s="8">
        <v>41750.651687999998</v>
      </c>
      <c r="X31" s="8">
        <v>-1372423.3446890002</v>
      </c>
      <c r="Y31" s="196"/>
      <c r="Z31" s="196"/>
      <c r="AA31" s="8">
        <v>-520416.67</v>
      </c>
      <c r="AB31" s="196"/>
      <c r="AC31" s="196"/>
      <c r="AD31" s="8">
        <v>-852006.67468900024</v>
      </c>
      <c r="AE31" s="196"/>
      <c r="AF31" s="196"/>
      <c r="AG31" s="7" t="s">
        <v>1470</v>
      </c>
    </row>
    <row r="32" spans="1:33" x14ac:dyDescent="0.3">
      <c r="A32" s="36">
        <v>45504</v>
      </c>
      <c r="B32" s="7">
        <v>31</v>
      </c>
      <c r="C32" s="8">
        <v>-1372423.3446890002</v>
      </c>
      <c r="J32" s="8">
        <v>-7760.8366939999996</v>
      </c>
      <c r="M32" s="8">
        <v>50000</v>
      </c>
      <c r="P32" s="8">
        <v>8005.8028439999998</v>
      </c>
      <c r="S32" s="8">
        <v>41994.197156000002</v>
      </c>
      <c r="X32" s="8">
        <v>-1330429.1475330002</v>
      </c>
      <c r="Y32" s="196"/>
      <c r="Z32" s="196"/>
      <c r="AA32" s="8">
        <v>-523452.43</v>
      </c>
      <c r="AB32" s="196"/>
      <c r="AC32" s="196"/>
      <c r="AD32" s="8">
        <v>-806976.71753300028</v>
      </c>
      <c r="AE32" s="196"/>
      <c r="AF32" s="196"/>
      <c r="AG32" s="7" t="s">
        <v>1470</v>
      </c>
    </row>
    <row r="33" spans="1:33" x14ac:dyDescent="0.3">
      <c r="A33" s="36">
        <v>45535</v>
      </c>
      <c r="B33" s="7">
        <v>32</v>
      </c>
      <c r="C33" s="8">
        <v>-1330429.1475330002</v>
      </c>
      <c r="J33" s="8">
        <v>-7514.4415749999998</v>
      </c>
      <c r="M33" s="8">
        <v>50000</v>
      </c>
      <c r="P33" s="8">
        <v>7760.8366939999996</v>
      </c>
      <c r="S33" s="8">
        <v>42239.163306000002</v>
      </c>
      <c r="X33" s="8">
        <v>-1288189.9842270003</v>
      </c>
      <c r="Y33" s="196"/>
      <c r="Z33" s="196"/>
      <c r="AA33" s="8">
        <v>-526505.91</v>
      </c>
      <c r="AB33" s="196"/>
      <c r="AC33" s="196"/>
      <c r="AD33" s="8">
        <v>-761684.07422700024</v>
      </c>
      <c r="AE33" s="196"/>
      <c r="AF33" s="196"/>
      <c r="AG33" s="7" t="s">
        <v>1470</v>
      </c>
    </row>
    <row r="34" spans="1:33" x14ac:dyDescent="0.3">
      <c r="A34" s="36">
        <v>45565</v>
      </c>
      <c r="B34" s="7">
        <v>33</v>
      </c>
      <c r="C34" s="8">
        <v>-1288189.9842270003</v>
      </c>
      <c r="J34" s="8">
        <v>-7266.6091509999997</v>
      </c>
      <c r="M34" s="8">
        <v>50000</v>
      </c>
      <c r="P34" s="8">
        <v>7514.4415749999998</v>
      </c>
      <c r="S34" s="8">
        <v>42485.558425000003</v>
      </c>
      <c r="X34" s="8">
        <v>-1245704.4258020003</v>
      </c>
      <c r="Y34" s="196"/>
      <c r="Z34" s="196"/>
      <c r="AA34" s="8">
        <v>-529577.18999999994</v>
      </c>
      <c r="AB34" s="196"/>
      <c r="AC34" s="196"/>
      <c r="AD34" s="8">
        <v>-716127.23580200039</v>
      </c>
      <c r="AE34" s="196"/>
      <c r="AF34" s="196"/>
      <c r="AG34" s="7" t="s">
        <v>1470</v>
      </c>
    </row>
    <row r="35" spans="1:33" x14ac:dyDescent="0.3">
      <c r="A35" s="36">
        <v>45596</v>
      </c>
      <c r="B35" s="7">
        <v>34</v>
      </c>
      <c r="C35" s="8">
        <v>-1245704.4258020003</v>
      </c>
      <c r="J35" s="8">
        <v>-7017.3310369999999</v>
      </c>
      <c r="M35" s="8">
        <v>50000</v>
      </c>
      <c r="P35" s="8">
        <v>7266.6091509999997</v>
      </c>
      <c r="S35" s="8">
        <v>42733.390849000003</v>
      </c>
      <c r="X35" s="8">
        <v>-1202971.0349530003</v>
      </c>
      <c r="Y35" s="196"/>
      <c r="Z35" s="196"/>
      <c r="AA35" s="8">
        <v>-532666.39</v>
      </c>
      <c r="AB35" s="196"/>
      <c r="AC35" s="196"/>
      <c r="AD35" s="8">
        <v>-670304.64495300024</v>
      </c>
      <c r="AE35" s="196"/>
      <c r="AF35" s="196"/>
      <c r="AG35" s="7" t="s">
        <v>1470</v>
      </c>
    </row>
    <row r="36" spans="1:33" x14ac:dyDescent="0.3">
      <c r="A36" s="36">
        <v>45626</v>
      </c>
      <c r="B36" s="7">
        <v>35</v>
      </c>
      <c r="C36" s="8">
        <v>-1202971.0349530003</v>
      </c>
      <c r="J36" s="8">
        <v>-6766.5988020000004</v>
      </c>
      <c r="M36" s="8">
        <v>50000</v>
      </c>
      <c r="P36" s="8">
        <v>7017.3310369999999</v>
      </c>
      <c r="S36" s="8">
        <v>42982.668963000004</v>
      </c>
      <c r="X36" s="8">
        <v>-1159988.3659900003</v>
      </c>
      <c r="Y36" s="196"/>
      <c r="Z36" s="196"/>
      <c r="AA36" s="8">
        <v>-535773.61</v>
      </c>
      <c r="AB36" s="196"/>
      <c r="AC36" s="196"/>
      <c r="AD36" s="8">
        <v>-624214.75599000033</v>
      </c>
      <c r="AE36" s="196"/>
      <c r="AF36" s="196"/>
      <c r="AG36" s="7" t="s">
        <v>1470</v>
      </c>
    </row>
    <row r="37" spans="1:33" x14ac:dyDescent="0.3">
      <c r="A37" s="36">
        <v>45657</v>
      </c>
      <c r="B37" s="7">
        <v>36</v>
      </c>
      <c r="C37" s="8">
        <v>-1159988.3659900003</v>
      </c>
      <c r="J37" s="8">
        <v>-6514.403961</v>
      </c>
      <c r="M37" s="8">
        <v>50000</v>
      </c>
      <c r="P37" s="8">
        <v>6766.5988020000004</v>
      </c>
      <c r="S37" s="8">
        <v>43233.401198</v>
      </c>
      <c r="X37" s="8">
        <v>-1116754.9647920004</v>
      </c>
      <c r="Y37" s="196"/>
      <c r="Z37" s="196"/>
      <c r="AA37" s="8">
        <v>-538898.96</v>
      </c>
      <c r="AB37" s="196"/>
      <c r="AC37" s="196"/>
      <c r="AD37" s="8">
        <v>-577856.0047920004</v>
      </c>
      <c r="AE37" s="196"/>
      <c r="AF37" s="196"/>
      <c r="AG37" s="7" t="s">
        <v>1470</v>
      </c>
    </row>
    <row r="38" spans="1:33" x14ac:dyDescent="0.3">
      <c r="A38" s="36">
        <v>45688</v>
      </c>
      <c r="B38" s="7">
        <v>37</v>
      </c>
      <c r="C38" s="8">
        <v>-1116754.9647920004</v>
      </c>
      <c r="J38" s="8">
        <v>-6260.7379840000003</v>
      </c>
      <c r="M38" s="8">
        <v>50000</v>
      </c>
      <c r="P38" s="8">
        <v>6514.403961</v>
      </c>
      <c r="S38" s="8">
        <v>43485.596038999996</v>
      </c>
      <c r="X38" s="8">
        <v>-1073269.3687530004</v>
      </c>
      <c r="Y38" s="196"/>
      <c r="Z38" s="196"/>
      <c r="AA38" s="8">
        <v>-542042.54</v>
      </c>
      <c r="AB38" s="196"/>
      <c r="AC38" s="196"/>
      <c r="AD38" s="8">
        <v>-531226.82875300036</v>
      </c>
      <c r="AE38" s="196"/>
      <c r="AF38" s="196"/>
      <c r="AG38" s="7" t="s">
        <v>1470</v>
      </c>
    </row>
    <row r="39" spans="1:33" x14ac:dyDescent="0.3">
      <c r="A39" s="36">
        <v>45716</v>
      </c>
      <c r="B39" s="7">
        <v>38</v>
      </c>
      <c r="C39" s="8">
        <v>-1073269.3687530004</v>
      </c>
      <c r="J39" s="8">
        <v>-6005.5922890000002</v>
      </c>
      <c r="M39" s="8">
        <v>50000</v>
      </c>
      <c r="P39" s="8">
        <v>6260.7379840000003</v>
      </c>
      <c r="S39" s="8">
        <v>43739.262016000001</v>
      </c>
      <c r="X39" s="8">
        <v>-1029530.1067370004</v>
      </c>
      <c r="Y39" s="196"/>
      <c r="Z39" s="196"/>
      <c r="AA39" s="8">
        <v>-545204.44999999995</v>
      </c>
      <c r="AB39" s="196"/>
      <c r="AC39" s="196"/>
      <c r="AD39" s="8">
        <v>-484325.65673700045</v>
      </c>
      <c r="AE39" s="196"/>
      <c r="AF39" s="196"/>
      <c r="AG39" s="7" t="s">
        <v>1470</v>
      </c>
    </row>
    <row r="40" spans="1:33" x14ac:dyDescent="0.3">
      <c r="A40" s="36">
        <v>45747</v>
      </c>
      <c r="B40" s="7">
        <v>39</v>
      </c>
      <c r="C40" s="8">
        <v>-1029530.1067370004</v>
      </c>
      <c r="J40" s="8">
        <v>-5748.9582440000004</v>
      </c>
      <c r="M40" s="8">
        <v>50000</v>
      </c>
      <c r="P40" s="8">
        <v>6005.5922890000002</v>
      </c>
      <c r="S40" s="8">
        <v>43994.407711</v>
      </c>
      <c r="X40" s="8">
        <v>-985535.69902600045</v>
      </c>
      <c r="Y40" s="196"/>
      <c r="Z40" s="196"/>
      <c r="AA40" s="8">
        <v>-548384.81000000006</v>
      </c>
      <c r="AB40" s="196"/>
      <c r="AC40" s="196"/>
      <c r="AD40" s="8">
        <v>-437150.8890260004</v>
      </c>
      <c r="AE40" s="196"/>
      <c r="AF40" s="196"/>
      <c r="AG40" s="7" t="s">
        <v>1470</v>
      </c>
    </row>
    <row r="41" spans="1:33" x14ac:dyDescent="0.3">
      <c r="A41" s="36">
        <v>45777</v>
      </c>
      <c r="B41" s="7">
        <v>40</v>
      </c>
      <c r="C41" s="8">
        <v>-985535.69902600045</v>
      </c>
      <c r="J41" s="8">
        <v>-5490.8271670000004</v>
      </c>
      <c r="M41" s="8">
        <v>50000</v>
      </c>
      <c r="P41" s="8">
        <v>5748.9582440000004</v>
      </c>
      <c r="S41" s="8">
        <v>44251.041755999999</v>
      </c>
      <c r="X41" s="8">
        <v>-941284.65727000043</v>
      </c>
      <c r="Y41" s="196"/>
      <c r="Z41" s="196"/>
      <c r="AA41" s="8">
        <v>-551583.72</v>
      </c>
      <c r="AB41" s="196"/>
      <c r="AC41" s="196"/>
      <c r="AD41" s="8">
        <v>-389700.93727000046</v>
      </c>
      <c r="AE41" s="196"/>
      <c r="AF41" s="196"/>
      <c r="AG41" s="7" t="s">
        <v>1470</v>
      </c>
    </row>
    <row r="42" spans="1:33" x14ac:dyDescent="0.3">
      <c r="A42" s="36">
        <v>45808</v>
      </c>
      <c r="B42" s="7">
        <v>41</v>
      </c>
      <c r="C42" s="8">
        <v>-941284.65727000043</v>
      </c>
      <c r="J42" s="8">
        <v>-5231.1903259999999</v>
      </c>
      <c r="M42" s="8">
        <v>50000</v>
      </c>
      <c r="P42" s="8">
        <v>5490.8271670000004</v>
      </c>
      <c r="S42" s="8">
        <v>44509.172832999997</v>
      </c>
      <c r="X42" s="8">
        <v>-896775.48443700047</v>
      </c>
      <c r="Y42" s="196"/>
      <c r="Z42" s="196"/>
      <c r="AA42" s="8">
        <v>-554801.29</v>
      </c>
      <c r="AB42" s="196"/>
      <c r="AC42" s="196"/>
      <c r="AD42" s="8">
        <v>-341974.19443700043</v>
      </c>
      <c r="AE42" s="196"/>
      <c r="AF42" s="196"/>
      <c r="AG42" s="7" t="s">
        <v>1470</v>
      </c>
    </row>
    <row r="43" spans="1:33" x14ac:dyDescent="0.3">
      <c r="A43" s="36">
        <v>45838</v>
      </c>
      <c r="B43" s="7">
        <v>42</v>
      </c>
      <c r="C43" s="8">
        <v>-896775.48443700047</v>
      </c>
      <c r="J43" s="8">
        <v>-4970.0389359999999</v>
      </c>
      <c r="M43" s="8">
        <v>50000</v>
      </c>
      <c r="P43" s="8">
        <v>5231.1903259999999</v>
      </c>
      <c r="S43" s="8">
        <v>44768.809674000004</v>
      </c>
      <c r="X43" s="8">
        <v>-852006.67476300045</v>
      </c>
      <c r="Y43" s="196"/>
      <c r="Z43" s="196"/>
      <c r="AA43" s="8">
        <v>-558037.63</v>
      </c>
      <c r="AB43" s="196"/>
      <c r="AC43" s="196"/>
      <c r="AD43" s="8">
        <v>-293969.04476300045</v>
      </c>
      <c r="AE43" s="196"/>
      <c r="AF43" s="196"/>
      <c r="AG43" s="7" t="s">
        <v>1470</v>
      </c>
    </row>
    <row r="44" spans="1:33" x14ac:dyDescent="0.3">
      <c r="A44" s="36">
        <v>45869</v>
      </c>
      <c r="B44" s="7">
        <v>43</v>
      </c>
      <c r="C44" s="8">
        <v>-852006.67476300045</v>
      </c>
      <c r="J44" s="8">
        <v>-4707.3641630000002</v>
      </c>
      <c r="M44" s="8">
        <v>50000</v>
      </c>
      <c r="P44" s="8">
        <v>4970.0389359999999</v>
      </c>
      <c r="S44" s="8">
        <v>45029.961064000003</v>
      </c>
      <c r="X44" s="8">
        <v>-806976.71369900042</v>
      </c>
      <c r="Y44" s="196"/>
      <c r="Z44" s="196"/>
      <c r="AA44" s="8">
        <v>-561292.85</v>
      </c>
      <c r="AB44" s="196"/>
      <c r="AC44" s="196"/>
      <c r="AD44" s="8">
        <v>-245683.86369900045</v>
      </c>
      <c r="AE44" s="196"/>
      <c r="AF44" s="196"/>
      <c r="AG44" s="7" t="s">
        <v>1470</v>
      </c>
    </row>
    <row r="45" spans="1:33" x14ac:dyDescent="0.3">
      <c r="A45" s="36">
        <v>45900</v>
      </c>
      <c r="B45" s="7">
        <v>44</v>
      </c>
      <c r="C45" s="8">
        <v>-806976.71369900042</v>
      </c>
      <c r="J45" s="8">
        <v>-4443.1571210000002</v>
      </c>
      <c r="M45" s="8">
        <v>50000</v>
      </c>
      <c r="P45" s="8">
        <v>4707.3641630000002</v>
      </c>
      <c r="S45" s="8">
        <v>45292.635837000002</v>
      </c>
      <c r="X45" s="8">
        <v>-761684.07786200044</v>
      </c>
      <c r="Y45" s="196"/>
      <c r="Z45" s="196"/>
      <c r="AA45" s="8">
        <v>-564567.06999999995</v>
      </c>
      <c r="AB45" s="196"/>
      <c r="AC45" s="196"/>
      <c r="AD45" s="8">
        <v>-197117.00786200049</v>
      </c>
      <c r="AE45" s="196"/>
      <c r="AF45" s="196"/>
      <c r="AG45" s="7" t="s">
        <v>1470</v>
      </c>
    </row>
    <row r="46" spans="1:33" x14ac:dyDescent="0.3">
      <c r="A46" s="36">
        <v>45930</v>
      </c>
      <c r="B46" s="7">
        <v>45</v>
      </c>
      <c r="C46" s="8">
        <v>-761684.07786200044</v>
      </c>
      <c r="J46" s="8">
        <v>-4177.4088709999996</v>
      </c>
      <c r="M46" s="8">
        <v>50000</v>
      </c>
      <c r="P46" s="8">
        <v>4443.1571210000002</v>
      </c>
      <c r="S46" s="8">
        <v>45556.842879000003</v>
      </c>
      <c r="X46" s="8">
        <v>-716127.23498300044</v>
      </c>
      <c r="Y46" s="196"/>
      <c r="Z46" s="196"/>
      <c r="AA46" s="8">
        <v>-567860.36</v>
      </c>
      <c r="AB46" s="196"/>
      <c r="AC46" s="196"/>
      <c r="AD46" s="8">
        <v>-148266.87498300045</v>
      </c>
      <c r="AE46" s="196"/>
      <c r="AF46" s="196"/>
      <c r="AG46" s="7" t="s">
        <v>1470</v>
      </c>
    </row>
    <row r="47" spans="1:33" x14ac:dyDescent="0.3">
      <c r="A47" s="36">
        <v>45961</v>
      </c>
      <c r="B47" s="7">
        <v>46</v>
      </c>
      <c r="C47" s="8">
        <v>-716127.23498300044</v>
      </c>
      <c r="J47" s="8">
        <v>-3910.1104220000002</v>
      </c>
      <c r="M47" s="8">
        <v>50000</v>
      </c>
      <c r="P47" s="8">
        <v>4177.4088709999996</v>
      </c>
      <c r="S47" s="8">
        <v>45822.591129</v>
      </c>
      <c r="X47" s="8">
        <v>-670304.64385400049</v>
      </c>
      <c r="Y47" s="196"/>
      <c r="Z47" s="196"/>
      <c r="AA47" s="8">
        <v>-571172.89</v>
      </c>
      <c r="AB47" s="196"/>
      <c r="AC47" s="196"/>
      <c r="AD47" s="8">
        <v>-99131.753854000475</v>
      </c>
      <c r="AE47" s="196"/>
      <c r="AF47" s="196"/>
      <c r="AG47" s="7" t="s">
        <v>1470</v>
      </c>
    </row>
    <row r="48" spans="1:33" x14ac:dyDescent="0.3">
      <c r="A48" s="36">
        <v>45991</v>
      </c>
      <c r="B48" s="7">
        <v>47</v>
      </c>
      <c r="C48" s="8">
        <v>-670304.64385400049</v>
      </c>
      <c r="J48" s="8">
        <v>-3641.2527329999998</v>
      </c>
      <c r="M48" s="8">
        <v>50000</v>
      </c>
      <c r="P48" s="8">
        <v>3910.1104220000002</v>
      </c>
      <c r="S48" s="8">
        <v>46089.889578000002</v>
      </c>
      <c r="X48" s="8">
        <v>-624214.75427600055</v>
      </c>
      <c r="Y48" s="196"/>
      <c r="Z48" s="196"/>
      <c r="AA48" s="8">
        <v>-574504.73</v>
      </c>
      <c r="AB48" s="196"/>
      <c r="AC48" s="196"/>
      <c r="AD48" s="8">
        <v>-49710.024276000564</v>
      </c>
      <c r="AE48" s="196"/>
      <c r="AF48" s="196"/>
      <c r="AG48" s="7" t="s">
        <v>1470</v>
      </c>
    </row>
    <row r="49" spans="1:33" x14ac:dyDescent="0.3">
      <c r="A49" s="36">
        <v>46022</v>
      </c>
      <c r="B49" s="7">
        <v>48</v>
      </c>
      <c r="C49" s="8">
        <v>-624214.75427600055</v>
      </c>
      <c r="J49" s="8">
        <v>-3370.8267080000001</v>
      </c>
      <c r="M49" s="8">
        <v>50000</v>
      </c>
      <c r="P49" s="8">
        <v>3641.2527329999998</v>
      </c>
      <c r="S49" s="8">
        <v>46358.747266999999</v>
      </c>
      <c r="X49" s="8">
        <v>-577856.00700900052</v>
      </c>
      <c r="Y49" s="196"/>
      <c r="Z49" s="196"/>
      <c r="AA49" s="8">
        <v>-577856.01</v>
      </c>
      <c r="AB49" s="196"/>
      <c r="AC49" s="196"/>
      <c r="AD49" s="8">
        <v>2.9909994918853045E-3</v>
      </c>
      <c r="AE49" s="196"/>
      <c r="AF49" s="196"/>
      <c r="AG49" s="7" t="s">
        <v>1470</v>
      </c>
    </row>
    <row r="50" spans="1:33" x14ac:dyDescent="0.3">
      <c r="A50" s="36">
        <v>46053</v>
      </c>
      <c r="B50" s="7">
        <v>49</v>
      </c>
      <c r="C50" s="8">
        <v>-577856.00700900052</v>
      </c>
      <c r="J50" s="8">
        <v>-3098.8231970000002</v>
      </c>
      <c r="M50" s="8">
        <v>50000</v>
      </c>
      <c r="P50" s="8">
        <v>3370.8267080000001</v>
      </c>
      <c r="S50" s="8">
        <v>46629.173291999999</v>
      </c>
      <c r="X50" s="8">
        <v>-531226.83371700055</v>
      </c>
      <c r="Y50" s="196"/>
      <c r="Z50" s="196"/>
      <c r="AA50" s="8">
        <v>-531226.82999999996</v>
      </c>
      <c r="AB50" s="196"/>
      <c r="AC50" s="196"/>
      <c r="AD50" s="8">
        <v>-3.7170005962252617E-3</v>
      </c>
      <c r="AE50" s="196"/>
      <c r="AF50" s="196"/>
      <c r="AG50" s="7" t="s">
        <v>1470</v>
      </c>
    </row>
    <row r="51" spans="1:33" x14ac:dyDescent="0.3">
      <c r="A51" s="36">
        <v>46081</v>
      </c>
      <c r="B51" s="7">
        <v>50</v>
      </c>
      <c r="C51" s="8">
        <v>-531226.83371700055</v>
      </c>
      <c r="J51" s="8">
        <v>-2825.2329989999998</v>
      </c>
      <c r="M51" s="8">
        <v>50000</v>
      </c>
      <c r="P51" s="8">
        <v>3098.8231970000002</v>
      </c>
      <c r="S51" s="8">
        <v>46901.176803000002</v>
      </c>
      <c r="X51" s="8">
        <v>-484325.65691400057</v>
      </c>
      <c r="Y51" s="196"/>
      <c r="Z51" s="196"/>
      <c r="AA51" s="8">
        <v>-484325.66</v>
      </c>
      <c r="AB51" s="196"/>
      <c r="AC51" s="196"/>
      <c r="AD51" s="8">
        <v>3.0859994003549218E-3</v>
      </c>
      <c r="AE51" s="196"/>
      <c r="AF51" s="196"/>
      <c r="AG51" s="7" t="s">
        <v>1470</v>
      </c>
    </row>
    <row r="52" spans="1:33" x14ac:dyDescent="0.3">
      <c r="A52" s="36">
        <v>46112</v>
      </c>
      <c r="B52" s="7">
        <v>51</v>
      </c>
      <c r="C52" s="8">
        <v>-484325.65691400057</v>
      </c>
      <c r="J52" s="8">
        <v>-2550.0468580000002</v>
      </c>
      <c r="M52" s="8">
        <v>50000</v>
      </c>
      <c r="P52" s="8">
        <v>2825.2329989999998</v>
      </c>
      <c r="S52" s="8">
        <v>47174.767001</v>
      </c>
      <c r="X52" s="8">
        <v>-437150.88991300057</v>
      </c>
      <c r="Y52" s="196"/>
      <c r="Z52" s="196"/>
      <c r="AA52" s="8">
        <v>-437150.89</v>
      </c>
      <c r="AB52" s="196"/>
      <c r="AC52" s="196"/>
      <c r="AD52" s="8">
        <v>8.6999440100044012E-5</v>
      </c>
      <c r="AE52" s="196"/>
      <c r="AF52" s="196"/>
      <c r="AG52" s="7" t="s">
        <v>1470</v>
      </c>
    </row>
    <row r="53" spans="1:33" x14ac:dyDescent="0.3">
      <c r="A53" s="36">
        <v>46142</v>
      </c>
      <c r="B53" s="7">
        <v>52</v>
      </c>
      <c r="C53" s="8">
        <v>-437150.88991300057</v>
      </c>
      <c r="J53" s="8">
        <v>-2273.2554639999998</v>
      </c>
      <c r="M53" s="8">
        <v>50000</v>
      </c>
      <c r="P53" s="8">
        <v>2550.0468580000002</v>
      </c>
      <c r="S53" s="8">
        <v>47449.953141999998</v>
      </c>
      <c r="X53" s="8">
        <v>-389700.93677100056</v>
      </c>
      <c r="Y53" s="196"/>
      <c r="Z53" s="196"/>
      <c r="AA53" s="8">
        <v>-389700.94</v>
      </c>
      <c r="AB53" s="196"/>
      <c r="AC53" s="196"/>
      <c r="AD53" s="8">
        <v>3.2289994414895773E-3</v>
      </c>
      <c r="AE53" s="196"/>
      <c r="AF53" s="196"/>
      <c r="AG53" s="7" t="s">
        <v>1470</v>
      </c>
    </row>
    <row r="54" spans="1:33" x14ac:dyDescent="0.3">
      <c r="A54" s="36">
        <v>46173</v>
      </c>
      <c r="B54" s="7">
        <v>53</v>
      </c>
      <c r="C54" s="8">
        <v>-389700.93677100056</v>
      </c>
      <c r="J54" s="8">
        <v>-1994.849455</v>
      </c>
      <c r="M54" s="8">
        <v>50000</v>
      </c>
      <c r="P54" s="8">
        <v>2273.2554639999998</v>
      </c>
      <c r="S54" s="8">
        <v>47726.744535999998</v>
      </c>
      <c r="X54" s="8">
        <v>-341974.19223500055</v>
      </c>
      <c r="Y54" s="196"/>
      <c r="Z54" s="196"/>
      <c r="AA54" s="8">
        <v>-341974.19</v>
      </c>
      <c r="AB54" s="196"/>
      <c r="AC54" s="196"/>
      <c r="AD54" s="8">
        <v>-2.2350005456246436E-3</v>
      </c>
      <c r="AE54" s="196"/>
      <c r="AF54" s="196"/>
      <c r="AG54" s="7" t="s">
        <v>1470</v>
      </c>
    </row>
    <row r="55" spans="1:33" x14ac:dyDescent="0.3">
      <c r="A55" s="36">
        <v>46203</v>
      </c>
      <c r="B55" s="7">
        <v>54</v>
      </c>
      <c r="C55" s="8">
        <v>-341974.19223500055</v>
      </c>
      <c r="J55" s="8">
        <v>-1714.8194100000001</v>
      </c>
      <c r="M55" s="8">
        <v>50000</v>
      </c>
      <c r="P55" s="8">
        <v>1994.849455</v>
      </c>
      <c r="S55" s="8">
        <v>48005.150544999997</v>
      </c>
      <c r="X55" s="8">
        <v>-293969.04169000057</v>
      </c>
      <c r="Y55" s="196"/>
      <c r="Z55" s="196"/>
      <c r="AA55" s="8">
        <v>-293969.03999999998</v>
      </c>
      <c r="AB55" s="196"/>
      <c r="AC55" s="196"/>
      <c r="AD55" s="8">
        <v>-1.6900005866773427E-3</v>
      </c>
      <c r="AE55" s="196"/>
      <c r="AF55" s="196"/>
      <c r="AG55" s="7" t="s">
        <v>1470</v>
      </c>
    </row>
    <row r="56" spans="1:33" x14ac:dyDescent="0.3">
      <c r="A56" s="36">
        <v>46234</v>
      </c>
      <c r="B56" s="7">
        <v>55</v>
      </c>
      <c r="C56" s="8">
        <v>-293969.04169000057</v>
      </c>
      <c r="J56" s="8">
        <v>-1433.1558560000001</v>
      </c>
      <c r="M56" s="8">
        <v>50000</v>
      </c>
      <c r="P56" s="8">
        <v>1714.8194100000001</v>
      </c>
      <c r="S56" s="8">
        <v>48285.180590000004</v>
      </c>
      <c r="X56" s="8">
        <v>-245683.86110000056</v>
      </c>
      <c r="Y56" s="196"/>
      <c r="Z56" s="196"/>
      <c r="AA56" s="8">
        <v>-245683.86</v>
      </c>
      <c r="AB56" s="196"/>
      <c r="AC56" s="196"/>
      <c r="AD56" s="8">
        <v>-1.1000005761161447E-3</v>
      </c>
      <c r="AE56" s="196"/>
      <c r="AF56" s="196"/>
      <c r="AG56" s="7" t="s">
        <v>1470</v>
      </c>
    </row>
    <row r="57" spans="1:33" x14ac:dyDescent="0.3">
      <c r="A57" s="36">
        <v>46265</v>
      </c>
      <c r="B57" s="7">
        <v>56</v>
      </c>
      <c r="C57" s="8">
        <v>-245683.86110000056</v>
      </c>
      <c r="J57" s="8">
        <v>-1149.8492659999999</v>
      </c>
      <c r="M57" s="8">
        <v>50000</v>
      </c>
      <c r="P57" s="8">
        <v>1433.1558560000001</v>
      </c>
      <c r="S57" s="8">
        <v>48566.844144000002</v>
      </c>
      <c r="X57" s="8">
        <v>-197117.01695600056</v>
      </c>
      <c r="Y57" s="196"/>
      <c r="Z57" s="196"/>
      <c r="AA57" s="8">
        <v>-197117.02</v>
      </c>
      <c r="AB57" s="196"/>
      <c r="AC57" s="196"/>
      <c r="AD57" s="8">
        <v>3.0439994297921658E-3</v>
      </c>
      <c r="AE57" s="196"/>
      <c r="AF57" s="196"/>
      <c r="AG57" s="7" t="s">
        <v>1470</v>
      </c>
    </row>
    <row r="58" spans="1:33" x14ac:dyDescent="0.3">
      <c r="A58" s="36">
        <v>46295</v>
      </c>
      <c r="B58" s="7">
        <v>57</v>
      </c>
      <c r="C58" s="8">
        <v>-197117.01695600056</v>
      </c>
      <c r="J58" s="8">
        <v>-864.89005299999997</v>
      </c>
      <c r="M58" s="8">
        <v>50000</v>
      </c>
      <c r="P58" s="8">
        <v>1149.8492659999999</v>
      </c>
      <c r="S58" s="8">
        <v>48850.150734000003</v>
      </c>
      <c r="X58" s="8">
        <v>-148266.86622200056</v>
      </c>
      <c r="Y58" s="196"/>
      <c r="Z58" s="196"/>
      <c r="AA58" s="8">
        <v>-148266.85999999999</v>
      </c>
      <c r="AB58" s="196"/>
      <c r="AC58" s="196"/>
      <c r="AD58" s="8">
        <v>-6.2220005784183741E-3</v>
      </c>
      <c r="AE58" s="196"/>
      <c r="AF58" s="196"/>
      <c r="AG58" s="7" t="s">
        <v>1470</v>
      </c>
    </row>
    <row r="59" spans="1:33" x14ac:dyDescent="0.3">
      <c r="A59" s="36">
        <v>46326</v>
      </c>
      <c r="B59" s="7">
        <v>58</v>
      </c>
      <c r="C59" s="8">
        <v>-148266.86622200056</v>
      </c>
      <c r="J59" s="8">
        <v>-578.26857800000005</v>
      </c>
      <c r="M59" s="8">
        <v>50000</v>
      </c>
      <c r="P59" s="8">
        <v>864.89005299999997</v>
      </c>
      <c r="S59" s="8">
        <v>49135.109946999997</v>
      </c>
      <c r="X59" s="8">
        <v>-99131.75627500056</v>
      </c>
      <c r="Y59" s="196"/>
      <c r="Z59" s="196"/>
      <c r="AA59" s="8">
        <v>-99131.76</v>
      </c>
      <c r="AB59" s="196"/>
      <c r="AC59" s="196"/>
      <c r="AD59" s="8">
        <v>3.7249994347803295E-3</v>
      </c>
      <c r="AE59" s="196"/>
      <c r="AF59" s="196"/>
      <c r="AG59" s="7" t="s">
        <v>1470</v>
      </c>
    </row>
    <row r="60" spans="1:33" x14ac:dyDescent="0.3">
      <c r="A60" s="36">
        <v>46356</v>
      </c>
      <c r="B60" s="7">
        <v>59</v>
      </c>
      <c r="C60" s="8">
        <v>-99131.75627500056</v>
      </c>
      <c r="J60" s="8">
        <v>-289.975145</v>
      </c>
      <c r="M60" s="8">
        <v>50000</v>
      </c>
      <c r="P60" s="8">
        <v>578.26857800000005</v>
      </c>
      <c r="S60" s="8">
        <v>49421.731421999997</v>
      </c>
      <c r="X60" s="8">
        <v>-49710.024853000563</v>
      </c>
      <c r="Y60" s="196"/>
      <c r="Z60" s="196"/>
      <c r="AA60" s="8">
        <v>-49710.024855000003</v>
      </c>
      <c r="AB60" s="196"/>
      <c r="AC60" s="196"/>
      <c r="AD60" s="8">
        <v>1.9994404283352196E-6</v>
      </c>
      <c r="AE60" s="196"/>
      <c r="AF60" s="196"/>
      <c r="AG60" s="7" t="s">
        <v>1470</v>
      </c>
    </row>
    <row r="61" spans="1:33" x14ac:dyDescent="0.3">
      <c r="A61" s="36">
        <v>46387</v>
      </c>
      <c r="B61" s="7">
        <v>60</v>
      </c>
      <c r="C61" s="8">
        <v>-49710.024853000563</v>
      </c>
      <c r="J61" s="8">
        <v>0</v>
      </c>
      <c r="M61" s="8">
        <v>50000</v>
      </c>
      <c r="P61" s="8">
        <v>289.975145</v>
      </c>
      <c r="S61" s="8">
        <v>49710.024855000003</v>
      </c>
      <c r="X61" s="8">
        <v>1.9994371314169257E-6</v>
      </c>
      <c r="Y61" s="196"/>
      <c r="Z61" s="196"/>
      <c r="AA61" s="8">
        <v>0</v>
      </c>
      <c r="AB61" s="196"/>
      <c r="AC61" s="196"/>
      <c r="AD61" s="8">
        <v>1.9994371314169257E-6</v>
      </c>
      <c r="AE61" s="196"/>
      <c r="AF61" s="196"/>
      <c r="AG61" s="7" t="s">
        <v>1470</v>
      </c>
    </row>
    <row r="62" spans="1:33" x14ac:dyDescent="0.3">
      <c r="D62" s="8">
        <v>-2539829.423163</v>
      </c>
      <c r="E62" s="196"/>
      <c r="F62" s="196"/>
      <c r="G62" s="8">
        <v>0</v>
      </c>
      <c r="H62" s="8">
        <v>0</v>
      </c>
      <c r="I62" s="8">
        <v>0</v>
      </c>
      <c r="J62" s="8">
        <v>-460170.57683499984</v>
      </c>
      <c r="K62" s="196"/>
      <c r="L62" s="196"/>
      <c r="M62" s="8">
        <v>3000000</v>
      </c>
      <c r="N62" s="196"/>
      <c r="O62" s="196"/>
      <c r="P62" s="8">
        <v>460170.57683499984</v>
      </c>
      <c r="Q62" s="196"/>
      <c r="R62" s="196"/>
      <c r="S62" s="8">
        <v>2539829.4231649996</v>
      </c>
      <c r="T62" s="196"/>
      <c r="U62" s="196"/>
      <c r="V62" s="8">
        <v>0</v>
      </c>
      <c r="W62" s="8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FCDA-406B-47D9-9FB1-C4B25D1BA69C}">
  <sheetPr>
    <tabColor rgb="FFFFC000"/>
  </sheetPr>
  <dimension ref="A1:H3"/>
  <sheetViews>
    <sheetView workbookViewId="0">
      <selection activeCell="A8" sqref="A8"/>
    </sheetView>
  </sheetViews>
  <sheetFormatPr defaultRowHeight="14.4" x14ac:dyDescent="0.3"/>
  <cols>
    <col min="1" max="1" width="24.6640625" style="7" bestFit="1" customWidth="1"/>
    <col min="2" max="2" width="12.44140625" style="7" bestFit="1" customWidth="1"/>
    <col min="3" max="3" width="15.33203125" style="7" bestFit="1" customWidth="1"/>
    <col min="4" max="4" width="17" style="7" customWidth="1"/>
    <col min="5" max="5" width="18.5546875" style="7" bestFit="1" customWidth="1"/>
    <col min="6" max="6" width="14.88671875" style="7" bestFit="1" customWidth="1"/>
    <col min="7" max="7" width="12.109375" style="7" bestFit="1" customWidth="1"/>
    <col min="8" max="8" width="19.88671875" style="7" bestFit="1" customWidth="1"/>
    <col min="9" max="16384" width="8.88671875" style="7"/>
  </cols>
  <sheetData>
    <row r="1" spans="1:8" ht="15" customHeight="1" x14ac:dyDescent="0.3">
      <c r="A1" s="142" t="s">
        <v>2681</v>
      </c>
      <c r="B1" s="142"/>
      <c r="C1" s="142"/>
      <c r="D1" s="142"/>
      <c r="E1" s="142"/>
      <c r="F1" s="142"/>
      <c r="G1" s="142"/>
      <c r="H1" s="141"/>
    </row>
    <row r="2" spans="1:8" ht="15" customHeight="1" x14ac:dyDescent="0.3">
      <c r="B2" s="140" t="s">
        <v>2680</v>
      </c>
      <c r="C2" s="140" t="s">
        <v>2679</v>
      </c>
      <c r="E2" s="140" t="s">
        <v>2678</v>
      </c>
      <c r="F2" s="140" t="s">
        <v>2677</v>
      </c>
      <c r="G2" s="140" t="s">
        <v>2676</v>
      </c>
      <c r="H2" s="139" t="s">
        <v>2675</v>
      </c>
    </row>
    <row r="3" spans="1:8" x14ac:dyDescent="0.3">
      <c r="A3" s="7" t="s">
        <v>2674</v>
      </c>
      <c r="F3" s="7">
        <v>0</v>
      </c>
      <c r="G3" s="7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9E2F-77A3-4543-AF58-0659DA55863B}">
  <sheetPr>
    <tabColor rgb="FFFFC000"/>
  </sheetPr>
  <dimension ref="A1:I25"/>
  <sheetViews>
    <sheetView workbookViewId="0">
      <selection activeCell="A14" sqref="A14"/>
    </sheetView>
  </sheetViews>
  <sheetFormatPr defaultRowHeight="14.4" x14ac:dyDescent="0.3"/>
  <cols>
    <col min="1" max="1" width="55" style="7" customWidth="1"/>
    <col min="2" max="2" width="19.5546875" style="7" customWidth="1"/>
    <col min="3" max="3" width="43.33203125" style="7" customWidth="1"/>
    <col min="4" max="4" width="13.33203125" style="7" customWidth="1"/>
    <col min="5" max="5" width="54.88671875" style="7" customWidth="1"/>
    <col min="6" max="6" width="16.33203125" style="7" customWidth="1"/>
    <col min="7" max="7" width="13.5546875" style="7" customWidth="1"/>
    <col min="8" max="8" width="72.33203125" style="7" customWidth="1"/>
    <col min="9" max="9" width="16.5546875" style="7" customWidth="1"/>
    <col min="10" max="16384" width="8.88671875" style="7"/>
  </cols>
  <sheetData>
    <row r="1" spans="1:9" ht="15" customHeight="1" x14ac:dyDescent="0.3">
      <c r="A1" s="142" t="s">
        <v>2731</v>
      </c>
      <c r="B1" s="138"/>
      <c r="C1" s="138"/>
      <c r="D1" s="138"/>
      <c r="E1" s="138"/>
      <c r="F1" s="138"/>
      <c r="G1" s="138"/>
      <c r="H1" s="138"/>
      <c r="I1" s="138"/>
    </row>
    <row r="2" spans="1:9" ht="15" customHeight="1" x14ac:dyDescent="0.3">
      <c r="A2" s="151"/>
    </row>
    <row r="3" spans="1:9" ht="15" customHeight="1" x14ac:dyDescent="0.3">
      <c r="A3" s="129" t="s">
        <v>2641</v>
      </c>
      <c r="B3" s="150">
        <v>1</v>
      </c>
      <c r="D3" s="131"/>
      <c r="E3" s="142" t="s">
        <v>2730</v>
      </c>
      <c r="F3" s="142"/>
      <c r="H3" s="142" t="s">
        <v>2729</v>
      </c>
      <c r="I3" s="142"/>
    </row>
    <row r="4" spans="1:9" ht="15" customHeight="1" x14ac:dyDescent="0.3">
      <c r="A4" s="129" t="s">
        <v>2640</v>
      </c>
      <c r="B4" s="8">
        <v>1600000</v>
      </c>
      <c r="E4" s="129" t="s">
        <v>2728</v>
      </c>
      <c r="F4" s="8">
        <f>SUMIFS('Ledger Entries (Deal Analysis)'!U:U,'Ledger Entries (Deal Analysis)'!R:R,"Prepaid rent",'Ledger Entries (Deal Analysis)'!W:W,"Additions")+SUMIFS('Ledger Entries (Deal Analysis)'!U:U,'Ledger Entries (Deal Analysis)'!R:R,"Prepaid rent",'Ledger Entries (Deal Analysis)'!W:W,"Takedown adjustment")+SUMIFS('Ledger Entries (Deal Analysis)'!U:U,'Ledger Entries (Deal Analysis)'!R:R,"Prepaid rent",'Ledger Entries (Deal Analysis)'!Y:Y,"Additions")+SUMIFS('Ledger Entries (Deal Analysis)'!U:U,'Ledger Entries (Deal Analysis)'!R:R,"Prepaid rent",'Ledger Entries (Deal Analysis)'!Y:Y,"Takedown adjustment")</f>
        <v>0</v>
      </c>
      <c r="H4" s="129" t="s">
        <v>52</v>
      </c>
      <c r="I4" s="8">
        <f>SUMIFS('Ledger Entries (Deal Analysis)'!U:U,'Ledger Entries (Deal Analysis)'!R:R,"Accumulated depreciation - Finance Lease",'Ledger Entries (Deal Analysis)'!W:W,"Writeoff",'Ledger Entries (Deal Analysis)'!A:A,'Overview (Deal Analysis)'!B14)+SUMIFS('Ledger Entries (Deal Analysis)'!U:U,'Ledger Entries (Deal Analysis)'!R:R,"Accumulated depreciation - Finance Lease",'Ledger Entries (Deal Analysis)'!Y:Y,"Writeoff",'Ledger Entries (Deal Analysis)'!A:A,'Overview (Deal Analysis)'!B14)</f>
        <v>0</v>
      </c>
    </row>
    <row r="5" spans="1:9" ht="15" customHeight="1" x14ac:dyDescent="0.3">
      <c r="A5" s="129" t="s">
        <v>2727</v>
      </c>
      <c r="B5" s="150"/>
      <c r="C5" s="131"/>
      <c r="E5" s="129" t="s">
        <v>2726</v>
      </c>
      <c r="F5" s="8">
        <f>SUMIFS('Ledger Entries (Deal Analysis)'!U:U,'Ledger Entries (Deal Analysis)'!R:R,"*Lease asset",'Ledger Entries (Deal Analysis)'!X:X,"Interim rent")</f>
        <v>0</v>
      </c>
      <c r="H5" s="129" t="s">
        <v>2725</v>
      </c>
      <c r="I5" s="8">
        <f>SUMIFS('Ledger Entries (Deal Analysis)'!U:U,'Ledger Entries (Deal Analysis)'!R:R,"Accumulated depreciation - Operating Lease",'Ledger Entries (Deal Analysis)'!W:W,"Writeoff",'Ledger Entries (Deal Analysis)'!A:A,'Overview (Deal Analysis)'!B14)+SUMIFS('Ledger Entries (Deal Analysis)'!U:U,'Ledger Entries (Deal Analysis)'!R:R,"Accumulated depreciation - Operating Lease",'Ledger Entries (Deal Analysis)'!Y:Y,"Writeoff",'Ledger Entries (Deal Analysis)'!A:A,'Overview (Deal Analysis)'!B14)</f>
        <v>0</v>
      </c>
    </row>
    <row r="6" spans="1:9" ht="15" customHeight="1" x14ac:dyDescent="0.3">
      <c r="E6" s="129" t="s">
        <v>2724</v>
      </c>
      <c r="F6" s="8">
        <f ca="1">-OFFSET(F6,4,-4,1,1)</f>
        <v>2539829.4231627295</v>
      </c>
      <c r="H6" s="129" t="s">
        <v>2723</v>
      </c>
      <c r="I6" s="8">
        <f>SUMIFS('Ledger Entries (Deal Analysis)'!U:U,'Ledger Entries (Deal Analysis)'!R:R,"Accumulated depreciation: Step payment timing adjustment - Operating Lease",'Ledger Entries (Deal Analysis)'!W:W,"Writeoff",'Ledger Entries (Deal Analysis)'!A:A,'Overview (Deal Analysis)'!B14)+SUMIFS('Ledger Entries (Deal Analysis)'!U:U,'Ledger Entries (Deal Analysis)'!R:R,"Accumulated depreciation: Step payment timing adjustment - Operating Lease",'Ledger Entries (Deal Analysis)'!Y:Y,"Writeoff",'Ledger Entries (Deal Analysis)'!A:A,'Overview (Deal Analysis)'!B14)</f>
        <v>0</v>
      </c>
    </row>
    <row r="7" spans="1:9" ht="15" customHeight="1" x14ac:dyDescent="0.3">
      <c r="A7" s="142" t="s">
        <v>2722</v>
      </c>
      <c r="B7" s="142"/>
      <c r="E7" s="129" t="str">
        <f ca="1">IF(ISBLANK(F7),"",IF('Overview (Deal Analysis)'!B9="Buyout","Purchase Option Liability:",IF('Overview (Deal Analysis)'!B9="Return","Guaranteed Residual Liability:","")))</f>
        <v>Guaranteed Residual Liability:</v>
      </c>
      <c r="F7" s="8">
        <f ca="1">1*'Overview (Deal Analysis)'!$B$12/(POWER(1+('Overview (Deal Analysis)'!$B$20/12),'Overview (Deal Analysis)'!$B$18)*(1+(OFFSET(F7,-2,-4,1,1)*'Overview (Deal Analysis)'!$B$20/12)))</f>
        <v>0</v>
      </c>
      <c r="H7" s="129" t="s">
        <v>2721</v>
      </c>
      <c r="I7" s="8">
        <f>SUMIFS('Ledger Entries (Deal Analysis)'!U:U,'Ledger Entries (Deal Analysis)'!R:R,"Deferred lease incentive",'Ledger Entries (Deal Analysis)'!W:W,"Writeoff",'Ledger Entries (Deal Analysis)'!A:A,'Overview (Deal Analysis)'!B14)+SUMIFS('Ledger Entries (Deal Analysis)'!U:U,'Ledger Entries (Deal Analysis)'!R:R,"Deferred lease incentive",'Ledger Entries (Deal Analysis)'!Y:Y,"Writeoff",'Ledger Entries (Deal Analysis)'!A:A,'Overview (Deal Analysis)'!B14)</f>
        <v>0</v>
      </c>
    </row>
    <row r="8" spans="1:9" ht="15" customHeight="1" x14ac:dyDescent="0.3">
      <c r="A8" s="129" t="s">
        <v>2720</v>
      </c>
      <c r="B8" s="8">
        <f>-CalculatedPV</f>
        <v>-2539829.4231627295</v>
      </c>
      <c r="E8" s="129" t="s">
        <v>2719</v>
      </c>
      <c r="F8" s="8">
        <f>SUMIFS('Ledger Entries (Deal Analysis)'!U:U,'Ledger Entries (Deal Analysis)'!R:R,"*Lease asset",'Ledger Entries (Deal Analysis)'!X:X,"IDC")</f>
        <v>0</v>
      </c>
      <c r="H8" s="129" t="s">
        <v>2718</v>
      </c>
      <c r="I8" s="8">
        <f>SUMIFS('Ledger Entries (Deal Analysis)'!U:U,'Ledger Entries (Deal Analysis)'!R:R,"Deferred rent",'Ledger Entries (Deal Analysis)'!W:W,"Writeoff",'Ledger Entries (Deal Analysis)'!A:A,'Overview (Deal Analysis)'!B14)+SUMIFS('Ledger Entries (Deal Analysis)'!U:U,'Ledger Entries (Deal Analysis)'!R:R,"Deferred rent",'Ledger Entries (Deal Analysis)'!Y:Y,"Writeoff",'Ledger Entries (Deal Analysis)'!A:A,'Overview (Deal Analysis)'!B14)</f>
        <v>0</v>
      </c>
    </row>
    <row r="9" spans="1:9" ht="15" customHeight="1" x14ac:dyDescent="0.3">
      <c r="A9" s="129" t="s">
        <v>2717</v>
      </c>
      <c r="B9" s="8">
        <f>SUMIFS('Ledger Entries (Deal Analysis)'!U:U,'Ledger Entries (Deal Analysis)'!R:R,"*Lease obligation - LT",'Ledger Entries (Deal Analysis)'!W:W,"Takedown adjustment")+SUMIFS('Ledger Entries (Deal Analysis)'!U:U,'Ledger Entries (Deal Analysis)'!R:R,"*Lease obligation - LT",'Ledger Entries (Deal Analysis)'!Y:Y,"Takedown adjustment")-SUMIFS('Ledger Entries (Deal Analysis)'!U:U,'Ledger Entries (Deal Analysis)'!R:R,"Interest accrued",'Ledger Entries (Deal Analysis)'!W:W,"Takedown adjustment")-SUMIFS('Ledger Entries (Deal Analysis)'!U:U,'Ledger Entries (Deal Analysis)'!R:R,"Interest accrued",'Ledger Entries (Deal Analysis)'!Y:Y,"Takedown adjustment")</f>
        <v>0</v>
      </c>
      <c r="C9" s="199" t="s">
        <v>2785</v>
      </c>
      <c r="D9" s="199" t="s">
        <v>1594</v>
      </c>
      <c r="E9" s="129" t="s">
        <v>2716</v>
      </c>
      <c r="F9" s="8">
        <f ca="1">-SUMIFS('Related Expenses (Deal Analysis'!G:G,'Related Expenses (Deal Analysis'!A:A,"LeaseIncentive*",'Related Expenses (Deal Analysis'!E:E,SUBSTITUTE(OFFSET(F9,-8,-5,1,1),"Asset-Level Analysis: ",""),'Related Expenses (Deal Analysis'!H:H,"Yes")</f>
        <v>0</v>
      </c>
      <c r="H9" s="129" t="s">
        <v>42</v>
      </c>
      <c r="I9" s="8">
        <f>SUMIFS('Ledger Entries (Deal Analysis)'!U:U,'Ledger Entries (Deal Analysis)'!R:R,"Finance Lease asset",'Ledger Entries (Deal Analysis)'!W:W,"Writeoff",'Ledger Entries (Deal Analysis)'!A:A,'Overview (Deal Analysis)'!B14)+SUMIFS('Ledger Entries (Deal Analysis)'!U:U,'Ledger Entries (Deal Analysis)'!R:R,"Finance Lease asset",'Ledger Entries (Deal Analysis)'!Y:Y,"Writeoff",'Ledger Entries (Deal Analysis)'!A:A,'Overview (Deal Analysis)'!B14)</f>
        <v>0</v>
      </c>
    </row>
    <row r="10" spans="1:9" ht="15" customHeight="1" x14ac:dyDescent="0.3">
      <c r="A10" s="145" t="s">
        <v>2715</v>
      </c>
      <c r="B10" s="8">
        <f ca="1">SUM(OFFSET(B10,-2,0,2,1))</f>
        <v>-2539829.4231627295</v>
      </c>
      <c r="C10" s="196">
        <f>'Ledger Entries-schedule'!T3</f>
        <v>2539829.423163</v>
      </c>
      <c r="D10" s="196">
        <f ca="1">B10+C10</f>
        <v>2.7054920792579651E-7</v>
      </c>
      <c r="E10" s="129" t="s">
        <v>2714</v>
      </c>
      <c r="F10" s="8">
        <f ca="1">SUMIFS('Related Expenses (Deal Analysis'!G:G,'Related Expenses (Deal Analysis'!A:A,"ARO*",'Related Expenses (Deal Analysis'!E:E,SUBSTITUTE(OFFSET(F10,-9,-5,1,1),"Asset-Level Analysis: ",""),'Related Expenses (Deal Analysis'!H:H,"Yes")-IF(COUNTIFS('Related Expenses (Deal Analysis'!A:A,"ARO*",'Related Expenses (Deal Analysis'!E:E,SUBSTITUTE(OFFSET(F10,-9,-5,1,1),"Asset-Level Analysis: ",""),'Related Expenses (Deal Analysis'!H:H,"Yes")&gt;0,SUMIFS('Ledger Entries (Deal Analysis)'!U:U,'Ledger Entries (Deal Analysis)'!R:R,"Gain (Loss) on ARO",'Ledger Entries (Deal Analysis)'!Y:Y,"Takedown adjustment"),0)</f>
        <v>0</v>
      </c>
      <c r="H10" s="129" t="s">
        <v>45</v>
      </c>
      <c r="I10" s="8">
        <f>SUMIFS('Ledger Entries (Deal Analysis)'!U:U,'Ledger Entries (Deal Analysis)'!R:R,"Finance Lease obligation - LT",'Ledger Entries (Deal Analysis)'!W:W,"Writeoff",'Ledger Entries (Deal Analysis)'!A:A,'Overview (Deal Analysis)'!B14)+SUMIFS('Ledger Entries (Deal Analysis)'!U:U,'Ledger Entries (Deal Analysis)'!R:R,"Finance Lease obligation - LT",'Ledger Entries (Deal Analysis)'!Y:Y,"Writeoff",'Ledger Entries (Deal Analysis)'!A:A,'Overview (Deal Analysis)'!B14)</f>
        <v>0</v>
      </c>
    </row>
    <row r="11" spans="1:9" ht="15.75" customHeight="1" thickBot="1" x14ac:dyDescent="0.35">
      <c r="A11" s="143" t="str">
        <f>IF(ISBLANK(B11),"(Lease is off balance sheet)","System-Generated Liability:")</f>
        <v>System-Generated Liability:</v>
      </c>
      <c r="B11" s="8">
        <f>SUMIFS('Ledger Entries (Deal Analysis)'!U:U,'Ledger Entries (Deal Analysis)'!R:R,"*Lease obligation - LT",'Ledger Entries (Deal Analysis)'!W:W,"Additions")+SUMIFS('Ledger Entries (Deal Analysis)'!U:U,'Ledger Entries (Deal Analysis)'!R:R,"*Lease obligation - LT",'Ledger Entries (Deal Analysis)'!Y:Y,"Additions")+SUMIFS('Ledger Entries (Deal Analysis)'!U:U,'Ledger Entries (Deal Analysis)'!R:R,"*Lease obligation - LT",'Ledger Entries (Deal Analysis)'!W:W,"Takedown adjustment")+SUMIFS('Ledger Entries (Deal Analysis)'!U:U,'Ledger Entries (Deal Analysis)'!R:R,"*Lease obligation - LT",'Ledger Entries (Deal Analysis)'!Y:Y,"Takedown adjustment")</f>
        <v>-2539829.423163</v>
      </c>
      <c r="E11" s="129" t="s">
        <v>2713</v>
      </c>
      <c r="F11" s="8">
        <f>SUMIFS('Ledger Entries (Deal Analysis)'!U:U,'Ledger Entries (Deal Analysis)'!R:R,"*Lease asset",'Ledger Entries (Deal Analysis)'!Y:Y,"Externally-Applied Balance Adjustment")</f>
        <v>0</v>
      </c>
      <c r="H11" s="129" t="s">
        <v>2712</v>
      </c>
      <c r="I11" s="8">
        <f>SUMIFS('Ledger Entries (Deal Analysis)'!U:U,'Ledger Entries (Deal Analysis)'!R:R,"Guaranteed residual liability",'Ledger Entries (Deal Analysis)'!W:W,"Writeoff",'Ledger Entries (Deal Analysis)'!A:A,'Overview (Deal Analysis)'!B14)+SUMIFS('Ledger Entries (Deal Analysis)'!U:U,'Ledger Entries (Deal Analysis)'!R:R,"Guaranteed residual liability",'Ledger Entries (Deal Analysis)'!Y:Y,"Writeoff",'Ledger Entries (Deal Analysis)'!A:A,'Overview (Deal Analysis)'!B14)</f>
        <v>0</v>
      </c>
    </row>
    <row r="12" spans="1:9" ht="15" customHeight="1" x14ac:dyDescent="0.3">
      <c r="E12" s="129" t="s">
        <v>2711</v>
      </c>
      <c r="F12" s="8">
        <f ca="1">-OFFSET(F12,7,3,1,1)</f>
        <v>0</v>
      </c>
      <c r="H12" s="129" t="s">
        <v>2710</v>
      </c>
      <c r="I12" s="8">
        <f>SUMIFS('Ledger Entries (Deal Analysis)'!U:U,'Ledger Entries (Deal Analysis)'!R:R,"Lease Incentive Receivable",'Ledger Entries (Deal Analysis)'!W:W,"Writeoff",'Ledger Entries (Deal Analysis)'!A:A,'Overview (Deal Analysis)'!B14)+SUMIFS('Ledger Entries (Deal Analysis)'!U:U,'Ledger Entries (Deal Analysis)'!R:R,"Lease Incentive Receivable",'Ledger Entries (Deal Analysis)'!Y:Y,"Writeoff",'Ledger Entries (Deal Analysis)'!A:A,'Overview (Deal Analysis)'!B14)</f>
        <v>0</v>
      </c>
    </row>
    <row r="13" spans="1:9" ht="15" customHeight="1" x14ac:dyDescent="0.3">
      <c r="A13" s="142" t="s">
        <v>2709</v>
      </c>
      <c r="B13" s="142"/>
      <c r="C13" s="142"/>
      <c r="E13" s="129" t="str">
        <f>IF(AND('Overview (Deal Analysis)'!$B$16="IFRS 16",LEFT('Overview (Deal Analysis)'!$B$14,10)="Transition"),"IFRS 16 Transition Asset Valuation Election:",IF('Overview (Deal Analysis)'!$B$16="ASC 842","Less Initial SPTA Balance (Capitalized-Operating Lease):",""))</f>
        <v>Less Initial SPTA Balance (Capitalized-Operating Lease):</v>
      </c>
      <c r="F13" s="8">
        <f>(-1)*(SUMIFS('Ledger Entries (Deal Analysis)'!U:U,'Ledger Entries (Deal Analysis)'!R:R,"Accumulated depreciation: Step payment timing adjustment - Operating Lease",'Ledger Entries (Deal Analysis)'!W:W,"Takedown adjustment")+SUMIFS('Ledger Entries (Deal Analysis)'!U:U,'Ledger Entries (Deal Analysis)'!R:R,"Accumulated depreciation: Step payment timing adjustment - Operating Lease",'Ledger Entries (Deal Analysis)'!Y:Y,"Takedown adjustment"))</f>
        <v>0</v>
      </c>
      <c r="H13" s="129" t="s">
        <v>2708</v>
      </c>
      <c r="I13" s="8">
        <f>SUMIFS('Ledger Entries (Deal Analysis)'!U:U,'Ledger Entries (Deal Analysis)'!R:R,"Operating Lease asset",'Ledger Entries (Deal Analysis)'!W:W,"Writeoff",'Ledger Entries (Deal Analysis)'!A:A,'Overview (Deal Analysis)'!B14)+SUMIFS('Ledger Entries (Deal Analysis)'!U:U,'Ledger Entries (Deal Analysis)'!R:R,"Operating Lease asset",'Ledger Entries (Deal Analysis)'!Y:Y,"Writeoff",'Ledger Entries (Deal Analysis)'!A:A,'Overview (Deal Analysis)'!B14)</f>
        <v>0</v>
      </c>
    </row>
    <row r="14" spans="1:9" ht="15" customHeight="1" x14ac:dyDescent="0.3">
      <c r="A14" s="129" t="s">
        <v>2707</v>
      </c>
      <c r="B14" s="8">
        <f>TotalPayments</f>
        <v>3000000</v>
      </c>
      <c r="E14" s="129" t="s">
        <v>2706</v>
      </c>
      <c r="F14" s="8">
        <f ca="1">SUM(OFFSET(F14,-10,3,2,1))</f>
        <v>0</v>
      </c>
      <c r="H14" s="129" t="s">
        <v>2705</v>
      </c>
      <c r="I14" s="8">
        <f>SUMIFS('Ledger Entries (Deal Analysis)'!U:U,'Ledger Entries (Deal Analysis)'!R:R,"Operating Lease obligation - LT",'Ledger Entries (Deal Analysis)'!W:W,"Writeoff",'Ledger Entries (Deal Analysis)'!A:A,'Overview (Deal Analysis)'!B14)+SUMIFS('Ledger Entries (Deal Analysis)'!U:U,'Ledger Entries (Deal Analysis)'!R:R,"Operating Lease obligation - LT",'Ledger Entries (Deal Analysis)'!Y:Y,"Writeoff",'Ledger Entries (Deal Analysis)'!A:A,'Overview (Deal Analysis)'!B14)</f>
        <v>0</v>
      </c>
    </row>
    <row r="15" spans="1:9" ht="15" customHeight="1" x14ac:dyDescent="0.3">
      <c r="A15" s="126" t="str">
        <f>IF(NOT(ISBLANK(B15)),"External Balance Adjustments (Capitalized-Operating Lease):","")</f>
        <v/>
      </c>
      <c r="D15" s="149"/>
      <c r="E15" s="145" t="s">
        <v>2704</v>
      </c>
      <c r="F15" s="8">
        <f ca="1">SUM(OFFSET(F15,-11,0,11,1))</f>
        <v>2539829.4231627295</v>
      </c>
      <c r="H15" s="129" t="s">
        <v>2703</v>
      </c>
      <c r="I15" s="8">
        <f>SUMIFS('Ledger Entries (Deal Analysis)'!U:U,'Ledger Entries (Deal Analysis)'!R:R,"Prepaid IDC",'Ledger Entries (Deal Analysis)'!W:W,"Writeoff",'Ledger Entries (Deal Analysis)'!A:A,'Overview (Deal Analysis)'!B14)+SUMIFS('Ledger Entries (Deal Analysis)'!U:U,'Ledger Entries (Deal Analysis)'!R:R,"Prepaid IDC",'Ledger Entries (Deal Analysis)'!Y:Y,"Writeoff",'Ledger Entries (Deal Analysis)'!A:A,'Overview (Deal Analysis)'!B14)</f>
        <v>0</v>
      </c>
    </row>
    <row r="16" spans="1:9" ht="15.75" customHeight="1" thickBot="1" x14ac:dyDescent="0.35">
      <c r="A16" s="129" t="str">
        <f>IF(OR(COUNTA('Amortization Schedule (Payment)'!AE:AE)=1,COUNTIF('Amortization Schedule (Payment)'!AE:AE,"=Finance")&gt;0),"",IF(COUNTIF('Amortization Schedule (Payment)'!AE:AE,"=Capitalized-Operating")&gt;0,"Less Initial SPTA Balance (Capitalized-Operating Lease):","Less Initial Deferred Rent Balance (Off-Balance Sheet Lease):"))</f>
        <v/>
      </c>
      <c r="B16" s="8" t="str">
        <f ca="1">IF(OFFSET(B16,0,-1)="","",(-1)*(OFFSET(B16,-10,7)+OFFSET(B16,-8,7))+SUMIFS('Ledger Entries (Deal Analysis)'!U:U,'Ledger Entries (Deal Analysis)'!R:R,"Accumulated depreciation: Step payment timing adjustment - Operating Lease",'Ledger Entries (Deal Analysis)'!Y:Y,"Externally-Applied Balance Adjustment",'Ledger Entries (Deal Analysis)'!A:A,'Overview (Deal Analysis)'!B14))</f>
        <v/>
      </c>
      <c r="E16" s="143" t="str">
        <f>IF(ISBLANK(F16),"(Lease is off balance sheet)","System-Generated Asset:")</f>
        <v>System-Generated Asset:</v>
      </c>
      <c r="F16" s="8">
        <f>SUMIFS('Ledger Entries (Deal Analysis)'!U:U,'Ledger Entries (Deal Analysis)'!R:R,"*Lease asset",'Ledger Entries (Deal Analysis)'!W:W,"&lt;&gt;Reallocation",'Ledger Entries (Deal Analysis)'!W:W,"&lt;&gt;Writeoff",'Ledger Entries (Deal Analysis)'!Y:Y,"&lt;&gt;Writeoff")</f>
        <v>2539829.423163</v>
      </c>
      <c r="H16" s="129" t="s">
        <v>2702</v>
      </c>
      <c r="I16" s="8">
        <f>SUMIFS('Ledger Entries (Deal Analysis)'!U:U,'Ledger Entries (Deal Analysis)'!R:R,"Purchase option liability",'Ledger Entries (Deal Analysis)'!W:W,"Writeoff",'Ledger Entries (Deal Analysis)'!A:A,'Overview (Deal Analysis)'!B14)+SUMIFS('Ledger Entries (Deal Analysis)'!U:U,'Ledger Entries (Deal Analysis)'!R:R,"Purchase option liability",'Ledger Entries (Deal Analysis)'!Y:Y,"Writeoff",'Ledger Entries (Deal Analysis)'!A:A,'Overview (Deal Analysis)'!B14)</f>
        <v>0</v>
      </c>
    </row>
    <row r="17" spans="1:9" ht="15.75" customHeight="1" thickBot="1" x14ac:dyDescent="0.35">
      <c r="A17" s="148" t="s">
        <v>2701</v>
      </c>
      <c r="B17" s="8">
        <f ca="1">SUM(OFFSET(B17,-3,0,3,1))</f>
        <v>3000000</v>
      </c>
      <c r="E17" s="143" t="s">
        <v>2700</v>
      </c>
      <c r="F17" s="8">
        <f ca="1">-(OFFSET(F17,-8,3,1)+OFFSET(F17,-4,3,1))+(OFFSET(F17,-11,0,1)-(OFFSET(F17,-7,3,1)+OFFSET(F17,-3,3,1)))</f>
        <v>2539829.4231627295</v>
      </c>
      <c r="H17" s="147"/>
      <c r="I17" s="8">
        <f ca="1">SUM(OFFSET(I17,-13,0,13,1))</f>
        <v>0</v>
      </c>
    </row>
    <row r="18" spans="1:9" ht="15" customHeight="1" x14ac:dyDescent="0.3">
      <c r="A18" s="129" t="s">
        <v>2699</v>
      </c>
      <c r="B18" s="126">
        <v>60</v>
      </c>
      <c r="C18" s="7" t="s">
        <v>2696</v>
      </c>
      <c r="H18" s="129" t="s">
        <v>2698</v>
      </c>
      <c r="I18" s="8">
        <f>SUMIFS('Ledger Entries (Deal Analysis)'!U:U,'Ledger Entries (Deal Analysis)'!R:R,"*Lease asset",'Ledger Entries (Deal Analysis)'!X:X,"Reduction in scope")</f>
        <v>0</v>
      </c>
    </row>
    <row r="19" spans="1:9" ht="15.75" customHeight="1" thickBot="1" x14ac:dyDescent="0.35">
      <c r="A19" s="129" t="s">
        <v>2697</v>
      </c>
      <c r="B19" s="126">
        <v>60</v>
      </c>
      <c r="C19" s="7" t="s">
        <v>2696</v>
      </c>
      <c r="E19" s="142" t="s">
        <v>2695</v>
      </c>
      <c r="F19" s="142"/>
      <c r="H19" s="146" t="s">
        <v>2694</v>
      </c>
      <c r="I19" s="8">
        <f ca="1">OFFSET(I19,-2,0,1,1)-OFFSET(I19,-1,0,1,1)</f>
        <v>0</v>
      </c>
    </row>
    <row r="20" spans="1:9" ht="15" customHeight="1" x14ac:dyDescent="0.3">
      <c r="A20" s="129" t="s">
        <v>2693</v>
      </c>
      <c r="B20" s="126" t="s">
        <v>2692</v>
      </c>
      <c r="C20" s="128" t="s">
        <v>2691</v>
      </c>
      <c r="E20" s="129" t="s">
        <v>2690</v>
      </c>
      <c r="F20" s="8">
        <f ca="1">SUM(OFFSET(F20,-16,3,2,1))</f>
        <v>0</v>
      </c>
    </row>
    <row r="21" spans="1:9" ht="15" customHeight="1" x14ac:dyDescent="0.3">
      <c r="A21" s="129" t="s">
        <v>2689</v>
      </c>
      <c r="B21" s="126">
        <v>1</v>
      </c>
      <c r="D21" s="130"/>
      <c r="E21" s="129" t="s">
        <v>2688</v>
      </c>
      <c r="F21" s="8">
        <f>-SUMIFS('Ledger Entries (Deal Analysis)'!U:U,'Ledger Entries (Deal Analysis)'!R:R,"Allowance for Leased Asset Impairment*",'Ledger Entries (Deal Analysis)'!X:X,"Reinstated impairment")-SUMIFS('Ledger Entries (Deal Analysis)'!U:U,'Ledger Entries (Deal Analysis)'!R:R,"Allowance for Leased Asset Impairment*",'Ledger Entries (Deal Analysis)'!X:X,"Base lease",'Ledger Entries (Deal Analysis)'!A:A,'Ledger Entries (Deal Analysis)'!A2)</f>
        <v>0</v>
      </c>
    </row>
    <row r="22" spans="1:9" ht="15" customHeight="1" x14ac:dyDescent="0.3">
      <c r="A22" s="129" t="s">
        <v>2687</v>
      </c>
      <c r="B22" s="126">
        <v>1</v>
      </c>
      <c r="E22" s="129" t="s">
        <v>2686</v>
      </c>
      <c r="F22" s="8">
        <f ca="1">OFFSET(F22,-7,0,1,1)-SUM(OFFSET(F22,-2,0,2,1))</f>
        <v>2539829.4231627295</v>
      </c>
    </row>
    <row r="23" spans="1:9" ht="15" customHeight="1" x14ac:dyDescent="0.3">
      <c r="A23" s="129" t="s">
        <v>2685</v>
      </c>
      <c r="B23" s="126">
        <v>60</v>
      </c>
      <c r="C23" s="123" t="s">
        <v>2787</v>
      </c>
      <c r="D23" s="123" t="s">
        <v>1594</v>
      </c>
      <c r="E23" s="129" t="s">
        <v>2684</v>
      </c>
      <c r="F23" s="7">
        <v>60</v>
      </c>
    </row>
    <row r="24" spans="1:9" ht="15" customHeight="1" x14ac:dyDescent="0.3">
      <c r="A24" s="145" t="s">
        <v>2683</v>
      </c>
      <c r="B24" s="8">
        <f ca="1">OFFSET(B24,-7,0,1,1)/OFFSET(B24,-1,0,1,1)</f>
        <v>50000</v>
      </c>
      <c r="C24" s="200">
        <f>'Accounting (Accounting Wb)'!W3</f>
        <v>-50000</v>
      </c>
      <c r="D24" s="200">
        <f ca="1">B24+C24</f>
        <v>0</v>
      </c>
      <c r="E24" s="145" t="s">
        <v>2682</v>
      </c>
      <c r="F24" s="8">
        <f ca="1">OFFSET(F24,-2,0,1,1)/OFFSET(F24,-1,0,1,1)</f>
        <v>42330.490386045494</v>
      </c>
    </row>
    <row r="25" spans="1:9" ht="15.75" customHeight="1" thickBot="1" x14ac:dyDescent="0.35">
      <c r="A25" s="143" t="str">
        <f>IF(ISBLANK(B25),"(Applicable only for Capitalized-Operating Leases)","System-Generated Expense per Full Fiscal Period:")</f>
        <v>(Applicable only for Capitalized-Operating Leases)</v>
      </c>
      <c r="B25" s="144"/>
      <c r="E25" s="143" t="str">
        <f>IF(ISBLANK(F25),"(Applicable only for Finance Leases)","System-Generated Straight-Line Depreciation:")</f>
        <v>System-Generated Straight-Line Depreciation:</v>
      </c>
      <c r="F25" s="8">
        <f>SUMIFS('Ledger Entries (Deal Analysis)'!U:U,'Ledger Entries (Deal Analysis)'!R:R,"=Depreciation expense",'Ledger Entries (Deal Analysis)'!A:A,"&gt;="&amp;DATE(2022,2,1),'Ledger Entries (Deal Analysis)'!A:A,"&lt;="&amp;DATE(2022,2,28))</f>
        <v>42330.49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8A68-5CA0-4B5E-9756-AA5E339D7F93}">
  <sheetPr>
    <tabColor rgb="FFFFC000"/>
  </sheetPr>
  <dimension ref="A1:D9"/>
  <sheetViews>
    <sheetView workbookViewId="0">
      <selection activeCell="D17" sqref="D17"/>
    </sheetView>
  </sheetViews>
  <sheetFormatPr defaultRowHeight="14.4" x14ac:dyDescent="0.3"/>
  <cols>
    <col min="1" max="1" width="24.109375" style="7" bestFit="1" customWidth="1"/>
    <col min="2" max="2" width="22.5546875" style="7" bestFit="1" customWidth="1"/>
    <col min="3" max="3" width="13.77734375" style="7" bestFit="1" customWidth="1"/>
    <col min="4" max="4" width="16.109375" style="7" bestFit="1" customWidth="1"/>
    <col min="5" max="16384" width="8.88671875" style="7"/>
  </cols>
  <sheetData>
    <row r="1" spans="1:4" ht="23.4" customHeight="1" x14ac:dyDescent="0.35">
      <c r="A1" s="153" t="s">
        <v>2736</v>
      </c>
      <c r="D1" s="179" t="s">
        <v>2781</v>
      </c>
    </row>
    <row r="2" spans="1:4" ht="14.4" customHeight="1" x14ac:dyDescent="0.3">
      <c r="A2" s="152" t="s">
        <v>166</v>
      </c>
      <c r="B2" s="7" t="s">
        <v>2735</v>
      </c>
    </row>
    <row r="3" spans="1:4" ht="14.4" customHeight="1" x14ac:dyDescent="0.3">
      <c r="A3" s="152" t="s">
        <v>168</v>
      </c>
      <c r="B3" s="15" t="s">
        <v>2734</v>
      </c>
    </row>
    <row r="5" spans="1:4" ht="14.4" customHeight="1" x14ac:dyDescent="0.3">
      <c r="A5" s="151" t="s">
        <v>169</v>
      </c>
      <c r="B5" s="151" t="s">
        <v>170</v>
      </c>
      <c r="C5" s="151" t="s">
        <v>171</v>
      </c>
    </row>
    <row r="7" spans="1:4" x14ac:dyDescent="0.3">
      <c r="A7" s="7" t="s">
        <v>0</v>
      </c>
      <c r="B7" s="7" t="s">
        <v>6</v>
      </c>
    </row>
    <row r="8" spans="1:4" x14ac:dyDescent="0.3">
      <c r="A8" s="7" t="s">
        <v>192</v>
      </c>
      <c r="B8" s="7" t="s">
        <v>193</v>
      </c>
      <c r="C8" s="7" t="s">
        <v>194</v>
      </c>
    </row>
    <row r="9" spans="1:4" x14ac:dyDescent="0.3">
      <c r="A9" s="7" t="s">
        <v>2733</v>
      </c>
      <c r="B9" s="7" t="s">
        <v>2732</v>
      </c>
      <c r="C9" s="7" t="s">
        <v>1226</v>
      </c>
    </row>
  </sheetData>
  <hyperlinks>
    <hyperlink ref="D1" location="'Comparison-Sheet'!A1" display="'Comparison-Sheet'!A1" xr:uid="{A3190B71-C206-4EDA-9CD2-1B5889C01882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B231-591F-4C5F-9C28-0ED9D99D2A48}">
  <sheetPr>
    <tabColor theme="6"/>
  </sheetPr>
  <dimension ref="A1:AS148"/>
  <sheetViews>
    <sheetView workbookViewId="0">
      <selection activeCell="A4" sqref="A4"/>
    </sheetView>
  </sheetViews>
  <sheetFormatPr defaultRowHeight="14.4" x14ac:dyDescent="0.3"/>
  <cols>
    <col min="1" max="1" width="12" style="155" customWidth="1"/>
    <col min="2" max="2" width="14" style="155" customWidth="1" collapsed="1"/>
    <col min="3" max="3" width="20" style="7" customWidth="1"/>
    <col min="4" max="12" width="12" style="7" customWidth="1"/>
    <col min="13" max="14" width="13" style="7" customWidth="1"/>
    <col min="15" max="15" width="48" style="7" customWidth="1"/>
    <col min="16" max="16" width="18" style="7" customWidth="1"/>
    <col min="17" max="17" width="18" style="154" customWidth="1"/>
    <col min="18" max="19" width="18" style="154" customWidth="1" collapsed="1"/>
    <col min="20" max="20" width="14" style="7" customWidth="1"/>
    <col min="21" max="21" width="14" style="154" customWidth="1"/>
    <col min="22" max="23" width="14" style="154" customWidth="1" collapsed="1"/>
    <col min="24" max="24" width="13" style="7" customWidth="1"/>
    <col min="25" max="25" width="13" style="154" customWidth="1"/>
    <col min="26" max="26" width="13" style="154" customWidth="1" collapsed="1"/>
    <col min="27" max="27" width="14" style="154" customWidth="1" collapsed="1"/>
    <col min="28" max="28" width="8.88671875" style="154" collapsed="1"/>
    <col min="29" max="29" width="12" style="154" customWidth="1" collapsed="1"/>
    <col min="30" max="30" width="8.88671875" style="154" collapsed="1"/>
    <col min="31" max="31" width="31" style="154" customWidth="1" collapsed="1"/>
    <col min="32" max="32" width="42" style="7" customWidth="1"/>
    <col min="33" max="33" width="36" style="7" customWidth="1"/>
    <col min="34" max="34" width="13" style="7" customWidth="1"/>
    <col min="35" max="35" width="26" style="7" customWidth="1"/>
    <col min="36" max="36" width="20" style="7" customWidth="1"/>
    <col min="37" max="37" width="8.88671875" style="7"/>
    <col min="38" max="38" width="11" style="7" customWidth="1"/>
    <col min="39" max="39" width="55" style="7" customWidth="1"/>
    <col min="40" max="40" width="30" style="7" customWidth="1"/>
    <col min="41" max="41" width="18" style="7" customWidth="1"/>
    <col min="42" max="42" width="10" style="7" customWidth="1"/>
    <col min="43" max="43" width="24" style="7" customWidth="1"/>
    <col min="44" max="44" width="10" style="7" customWidth="1"/>
    <col min="45" max="45" width="8.88671875" style="7"/>
    <col min="46" max="46" width="17.109375" style="7" customWidth="1"/>
    <col min="47" max="16384" width="8.88671875" style="7"/>
  </cols>
  <sheetData>
    <row r="1" spans="1:45" ht="28.8" x14ac:dyDescent="0.3">
      <c r="A1" s="124" t="s">
        <v>7</v>
      </c>
      <c r="B1" s="124" t="s">
        <v>8</v>
      </c>
      <c r="C1" s="124" t="s">
        <v>9</v>
      </c>
      <c r="D1" s="124" t="s">
        <v>13</v>
      </c>
      <c r="E1" s="124" t="s">
        <v>14</v>
      </c>
      <c r="F1" s="124" t="s">
        <v>15</v>
      </c>
      <c r="G1" s="124" t="s">
        <v>16</v>
      </c>
      <c r="H1" s="124" t="s">
        <v>17</v>
      </c>
      <c r="I1" s="124" t="s">
        <v>18</v>
      </c>
      <c r="J1" s="124" t="s">
        <v>19</v>
      </c>
      <c r="K1" s="124" t="s">
        <v>20</v>
      </c>
      <c r="L1" s="124" t="s">
        <v>21</v>
      </c>
      <c r="M1" s="124" t="s">
        <v>22</v>
      </c>
      <c r="N1" s="124" t="s">
        <v>23</v>
      </c>
      <c r="O1" s="124" t="s">
        <v>24</v>
      </c>
      <c r="P1" s="124" t="s">
        <v>10</v>
      </c>
      <c r="Q1" s="124" t="s">
        <v>2763</v>
      </c>
      <c r="R1" s="124" t="s">
        <v>2762</v>
      </c>
      <c r="S1" s="124" t="s">
        <v>2761</v>
      </c>
      <c r="T1" s="124" t="s">
        <v>11</v>
      </c>
      <c r="U1" s="124" t="s">
        <v>2760</v>
      </c>
      <c r="V1" s="124" t="s">
        <v>2759</v>
      </c>
      <c r="W1" s="124" t="s">
        <v>2758</v>
      </c>
      <c r="X1" s="124" t="s">
        <v>12</v>
      </c>
      <c r="Y1" s="124" t="s">
        <v>2757</v>
      </c>
      <c r="Z1" s="124" t="s">
        <v>2756</v>
      </c>
      <c r="AA1" s="124" t="s">
        <v>2755</v>
      </c>
      <c r="AB1" s="124" t="s">
        <v>2754</v>
      </c>
      <c r="AC1" s="124" t="s">
        <v>2753</v>
      </c>
      <c r="AD1" s="124" t="s">
        <v>2752</v>
      </c>
      <c r="AE1" s="124" t="s">
        <v>1414</v>
      </c>
      <c r="AF1" s="124" t="s">
        <v>27</v>
      </c>
      <c r="AG1" s="124" t="s">
        <v>2629</v>
      </c>
      <c r="AH1" s="124" t="s">
        <v>2628</v>
      </c>
      <c r="AI1" s="124" t="s">
        <v>2627</v>
      </c>
      <c r="AJ1" s="124" t="s">
        <v>2626</v>
      </c>
      <c r="AK1" s="124" t="s">
        <v>2625</v>
      </c>
      <c r="AL1" s="124" t="s">
        <v>28</v>
      </c>
      <c r="AM1" s="124" t="s">
        <v>29</v>
      </c>
      <c r="AN1" s="124" t="s">
        <v>30</v>
      </c>
      <c r="AO1" s="124" t="s">
        <v>31</v>
      </c>
      <c r="AP1" s="124" t="s">
        <v>32</v>
      </c>
      <c r="AQ1" s="124" t="s">
        <v>33</v>
      </c>
      <c r="AR1" s="124" t="s">
        <v>2751</v>
      </c>
      <c r="AS1" s="124" t="s">
        <v>2750</v>
      </c>
    </row>
    <row r="2" spans="1:45" x14ac:dyDescent="0.3">
      <c r="A2" s="7" t="s">
        <v>221</v>
      </c>
      <c r="B2" s="4">
        <v>44562</v>
      </c>
      <c r="C2" s="7" t="s">
        <v>35</v>
      </c>
      <c r="D2" s="7" t="s">
        <v>37</v>
      </c>
      <c r="H2" s="7" t="s">
        <v>38</v>
      </c>
      <c r="I2" s="7" t="s">
        <v>39</v>
      </c>
      <c r="J2" s="7" t="s">
        <v>40</v>
      </c>
      <c r="K2" s="7" t="s">
        <v>41</v>
      </c>
      <c r="O2" s="7" t="s">
        <v>42</v>
      </c>
      <c r="P2" s="7" t="s">
        <v>36</v>
      </c>
      <c r="Q2" s="7">
        <v>2539829.423163</v>
      </c>
      <c r="S2" s="7">
        <v>2539829.423163</v>
      </c>
      <c r="T2" s="7" t="s">
        <v>36</v>
      </c>
      <c r="U2" s="7">
        <v>2539829.423163</v>
      </c>
      <c r="W2" s="7">
        <v>2539829.423163</v>
      </c>
      <c r="X2" s="7" t="s">
        <v>36</v>
      </c>
      <c r="Y2" s="7">
        <v>2539829.423163</v>
      </c>
      <c r="AA2" s="7">
        <v>2539829.423163</v>
      </c>
      <c r="AB2" s="7" t="str">
        <f>INDEX(Parameters!B:B,MATCH("Report Using",Parameters!A:A,0))</f>
        <v>Reporting</v>
      </c>
      <c r="AC2" s="7" t="str">
        <f t="shared" ref="AC2:AC33" si="0">IF(AB:AB="Transactional",P:P,IF(AB:AB="Functional",T:T,X:X))</f>
        <v>USD</v>
      </c>
      <c r="AD2" s="8">
        <f t="shared" ref="AD2:AD33" si="1">IF(AB:AB="Transactional",S:S,IF(AB:AB="Functional",W:W,AA:AA))</f>
        <v>2539829.423163</v>
      </c>
      <c r="AE2" s="7" t="s">
        <v>6</v>
      </c>
      <c r="AF2" s="7" t="s">
        <v>56</v>
      </c>
      <c r="AG2" s="7" t="s">
        <v>2749</v>
      </c>
      <c r="AH2" s="7" t="s">
        <v>2618</v>
      </c>
      <c r="AI2" s="7" t="s">
        <v>2622</v>
      </c>
      <c r="AK2" s="7" t="s">
        <v>2617</v>
      </c>
      <c r="AL2" s="7">
        <v>6</v>
      </c>
      <c r="AM2" s="7" t="s">
        <v>43</v>
      </c>
      <c r="AN2" s="7" t="s">
        <v>222</v>
      </c>
      <c r="AP2" s="7" t="s">
        <v>44</v>
      </c>
      <c r="AR2" s="7" t="s">
        <v>37</v>
      </c>
      <c r="AS2" s="7" t="s">
        <v>37</v>
      </c>
    </row>
    <row r="3" spans="1:45" x14ac:dyDescent="0.3">
      <c r="A3" s="7" t="s">
        <v>221</v>
      </c>
      <c r="B3" s="4">
        <v>44562</v>
      </c>
      <c r="C3" s="7" t="s">
        <v>35</v>
      </c>
      <c r="D3" s="7" t="s">
        <v>37</v>
      </c>
      <c r="H3" s="7" t="s">
        <v>38</v>
      </c>
      <c r="I3" s="7" t="s">
        <v>39</v>
      </c>
      <c r="J3" s="7" t="s">
        <v>40</v>
      </c>
      <c r="K3" s="7" t="s">
        <v>41</v>
      </c>
      <c r="O3" s="7" t="s">
        <v>45</v>
      </c>
      <c r="P3" s="7" t="s">
        <v>36</v>
      </c>
      <c r="R3" s="7">
        <v>2539829.423163</v>
      </c>
      <c r="S3" s="7">
        <v>-2539829.423163</v>
      </c>
      <c r="T3" s="7" t="s">
        <v>36</v>
      </c>
      <c r="V3" s="7">
        <v>2539829.423163</v>
      </c>
      <c r="W3" s="7">
        <v>-2539829.423163</v>
      </c>
      <c r="X3" s="7" t="s">
        <v>36</v>
      </c>
      <c r="Z3" s="7">
        <v>2539829.423163</v>
      </c>
      <c r="AA3" s="7">
        <v>-2539829.423163</v>
      </c>
      <c r="AB3" s="7" t="str">
        <f>INDEX(Parameters!B:B,MATCH("Report Using",Parameters!A:A,0))</f>
        <v>Reporting</v>
      </c>
      <c r="AC3" s="7" t="str">
        <f t="shared" si="0"/>
        <v>USD</v>
      </c>
      <c r="AD3" s="8">
        <f t="shared" si="1"/>
        <v>-2539829.423163</v>
      </c>
      <c r="AE3" s="7" t="s">
        <v>6</v>
      </c>
      <c r="AF3" s="7" t="s">
        <v>56</v>
      </c>
      <c r="AG3" s="7" t="s">
        <v>2749</v>
      </c>
      <c r="AH3" s="7" t="s">
        <v>2618</v>
      </c>
      <c r="AI3" s="7" t="s">
        <v>2622</v>
      </c>
      <c r="AK3" s="7" t="s">
        <v>2617</v>
      </c>
      <c r="AL3" s="7">
        <v>6</v>
      </c>
      <c r="AM3" s="7" t="s">
        <v>43</v>
      </c>
      <c r="AN3" s="7" t="s">
        <v>224</v>
      </c>
      <c r="AP3" s="7" t="s">
        <v>44</v>
      </c>
      <c r="AR3" s="7" t="s">
        <v>37</v>
      </c>
      <c r="AS3" s="7" t="s">
        <v>37</v>
      </c>
    </row>
    <row r="4" spans="1:45" x14ac:dyDescent="0.3">
      <c r="A4" s="7" t="s">
        <v>221</v>
      </c>
      <c r="B4" s="4">
        <v>44592</v>
      </c>
      <c r="C4" s="7" t="s">
        <v>46</v>
      </c>
      <c r="D4" s="7" t="s">
        <v>37</v>
      </c>
      <c r="H4" s="7" t="s">
        <v>38</v>
      </c>
      <c r="I4" s="7" t="s">
        <v>39</v>
      </c>
      <c r="J4" s="7" t="s">
        <v>40</v>
      </c>
      <c r="K4" s="7" t="s">
        <v>41</v>
      </c>
      <c r="O4" s="7" t="s">
        <v>45</v>
      </c>
      <c r="P4" s="7" t="s">
        <v>36</v>
      </c>
      <c r="Q4" s="7">
        <v>50000</v>
      </c>
      <c r="S4" s="7">
        <v>50000</v>
      </c>
      <c r="T4" s="7" t="s">
        <v>36</v>
      </c>
      <c r="U4" s="7">
        <v>50000</v>
      </c>
      <c r="W4" s="7">
        <v>50000</v>
      </c>
      <c r="X4" s="7" t="s">
        <v>36</v>
      </c>
      <c r="Y4" s="7">
        <v>50000</v>
      </c>
      <c r="AA4" s="7">
        <v>50000</v>
      </c>
      <c r="AB4" s="7" t="str">
        <f>INDEX(Parameters!B:B,MATCH("Report Using",Parameters!A:A,0))</f>
        <v>Reporting</v>
      </c>
      <c r="AC4" s="7" t="str">
        <f t="shared" si="0"/>
        <v>USD</v>
      </c>
      <c r="AD4" s="8">
        <f t="shared" si="1"/>
        <v>50000</v>
      </c>
      <c r="AE4" s="7" t="s">
        <v>6</v>
      </c>
      <c r="AF4" s="7" t="s">
        <v>56</v>
      </c>
      <c r="AG4" s="7" t="s">
        <v>2748</v>
      </c>
      <c r="AH4" s="7" t="s">
        <v>2618</v>
      </c>
      <c r="AI4" s="7" t="s">
        <v>1691</v>
      </c>
      <c r="AK4" s="7" t="s">
        <v>2617</v>
      </c>
      <c r="AL4" s="7">
        <v>12</v>
      </c>
      <c r="AM4" s="7" t="s">
        <v>57</v>
      </c>
      <c r="AN4" s="7" t="s">
        <v>225</v>
      </c>
      <c r="AP4" s="7" t="s">
        <v>44</v>
      </c>
      <c r="AR4" s="7" t="s">
        <v>37</v>
      </c>
      <c r="AS4" s="7" t="s">
        <v>37</v>
      </c>
    </row>
    <row r="5" spans="1:45" x14ac:dyDescent="0.3">
      <c r="A5" s="7" t="s">
        <v>221</v>
      </c>
      <c r="B5" s="4">
        <v>44592</v>
      </c>
      <c r="C5" s="7" t="s">
        <v>46</v>
      </c>
      <c r="D5" s="7" t="s">
        <v>37</v>
      </c>
      <c r="H5" s="7" t="s">
        <v>38</v>
      </c>
      <c r="I5" s="7" t="s">
        <v>39</v>
      </c>
      <c r="J5" s="7" t="s">
        <v>40</v>
      </c>
      <c r="K5" s="7" t="s">
        <v>41</v>
      </c>
      <c r="O5" s="7" t="s">
        <v>58</v>
      </c>
      <c r="P5" s="7" t="s">
        <v>36</v>
      </c>
      <c r="R5" s="7">
        <v>50000</v>
      </c>
      <c r="S5" s="7">
        <v>-50000</v>
      </c>
      <c r="T5" s="7" t="s">
        <v>36</v>
      </c>
      <c r="V5" s="7">
        <v>50000</v>
      </c>
      <c r="W5" s="7">
        <v>-50000</v>
      </c>
      <c r="X5" s="7" t="s">
        <v>36</v>
      </c>
      <c r="Z5" s="7">
        <v>50000</v>
      </c>
      <c r="AA5" s="7">
        <v>-50000</v>
      </c>
      <c r="AB5" s="7" t="str">
        <f>INDEX(Parameters!B:B,MATCH("Report Using",Parameters!A:A,0))</f>
        <v>Reporting</v>
      </c>
      <c r="AC5" s="7" t="str">
        <f t="shared" si="0"/>
        <v>USD</v>
      </c>
      <c r="AD5" s="8">
        <f t="shared" si="1"/>
        <v>-50000</v>
      </c>
      <c r="AE5" s="7" t="s">
        <v>6</v>
      </c>
      <c r="AF5" s="7" t="s">
        <v>56</v>
      </c>
      <c r="AG5" s="7" t="s">
        <v>2748</v>
      </c>
      <c r="AH5" s="7" t="s">
        <v>2618</v>
      </c>
      <c r="AI5" s="7" t="s">
        <v>1691</v>
      </c>
      <c r="AK5" s="7" t="s">
        <v>2617</v>
      </c>
      <c r="AL5" s="7">
        <v>12</v>
      </c>
      <c r="AM5" s="7" t="s">
        <v>57</v>
      </c>
      <c r="AN5" s="7" t="s">
        <v>227</v>
      </c>
      <c r="AP5" s="7" t="s">
        <v>44</v>
      </c>
      <c r="AR5" s="7" t="s">
        <v>37</v>
      </c>
      <c r="AS5" s="7" t="s">
        <v>37</v>
      </c>
    </row>
    <row r="6" spans="1:45" x14ac:dyDescent="0.3">
      <c r="A6" s="7" t="s">
        <v>228</v>
      </c>
      <c r="B6" s="4">
        <v>44592</v>
      </c>
      <c r="C6" s="7" t="s">
        <v>46</v>
      </c>
      <c r="D6" s="7" t="s">
        <v>37</v>
      </c>
      <c r="H6" s="7" t="s">
        <v>38</v>
      </c>
      <c r="I6" s="7" t="s">
        <v>39</v>
      </c>
      <c r="J6" s="7" t="s">
        <v>40</v>
      </c>
      <c r="K6" s="7" t="s">
        <v>41</v>
      </c>
      <c r="O6" s="7" t="s">
        <v>47</v>
      </c>
      <c r="P6" s="7" t="s">
        <v>36</v>
      </c>
      <c r="Q6" s="7">
        <v>14524.004967999999</v>
      </c>
      <c r="S6" s="7">
        <v>14524.004967999999</v>
      </c>
      <c r="T6" s="7" t="s">
        <v>36</v>
      </c>
      <c r="U6" s="7">
        <v>14524.004967999999</v>
      </c>
      <c r="W6" s="7">
        <v>14524.004967999999</v>
      </c>
      <c r="X6" s="7" t="s">
        <v>36</v>
      </c>
      <c r="Y6" s="7">
        <v>14524.004967999999</v>
      </c>
      <c r="AA6" s="7">
        <v>14524.004967999999</v>
      </c>
      <c r="AB6" s="7" t="str">
        <f>INDEX(Parameters!B:B,MATCH("Report Using",Parameters!A:A,0))</f>
        <v>Reporting</v>
      </c>
      <c r="AC6" s="7" t="str">
        <f t="shared" si="0"/>
        <v>USD</v>
      </c>
      <c r="AD6" s="8">
        <f t="shared" si="1"/>
        <v>14524.004967999999</v>
      </c>
      <c r="AE6" s="7" t="s">
        <v>6</v>
      </c>
      <c r="AF6" s="7" t="s">
        <v>56</v>
      </c>
      <c r="AG6" s="7" t="s">
        <v>2747</v>
      </c>
      <c r="AH6" s="7" t="s">
        <v>2618</v>
      </c>
      <c r="AI6" s="7" t="s">
        <v>1691</v>
      </c>
      <c r="AK6" s="7" t="s">
        <v>2617</v>
      </c>
      <c r="AL6" s="7">
        <v>8</v>
      </c>
      <c r="AM6" s="7" t="s">
        <v>48</v>
      </c>
      <c r="AN6" s="7" t="s">
        <v>229</v>
      </c>
      <c r="AP6" s="7" t="s">
        <v>44</v>
      </c>
      <c r="AR6" s="7" t="s">
        <v>37</v>
      </c>
      <c r="AS6" s="7" t="s">
        <v>37</v>
      </c>
    </row>
    <row r="7" spans="1:45" x14ac:dyDescent="0.3">
      <c r="A7" s="7" t="s">
        <v>228</v>
      </c>
      <c r="B7" s="4">
        <v>44592</v>
      </c>
      <c r="C7" s="7" t="s">
        <v>46</v>
      </c>
      <c r="D7" s="7" t="s">
        <v>37</v>
      </c>
      <c r="H7" s="7" t="s">
        <v>38</v>
      </c>
      <c r="I7" s="7" t="s">
        <v>39</v>
      </c>
      <c r="J7" s="7" t="s">
        <v>38</v>
      </c>
      <c r="K7" s="7" t="s">
        <v>41</v>
      </c>
      <c r="O7" s="7" t="s">
        <v>49</v>
      </c>
      <c r="P7" s="7" t="s">
        <v>36</v>
      </c>
      <c r="R7" s="7">
        <v>14524.004967999999</v>
      </c>
      <c r="S7" s="7">
        <v>-14524.004967999999</v>
      </c>
      <c r="T7" s="7" t="s">
        <v>36</v>
      </c>
      <c r="V7" s="7">
        <v>14524.004967999999</v>
      </c>
      <c r="W7" s="7">
        <v>-14524.004967999999</v>
      </c>
      <c r="X7" s="7" t="s">
        <v>36</v>
      </c>
      <c r="Z7" s="7">
        <v>14524.004967999999</v>
      </c>
      <c r="AA7" s="7">
        <v>-14524.004967999999</v>
      </c>
      <c r="AB7" s="7" t="str">
        <f>INDEX(Parameters!B:B,MATCH("Report Using",Parameters!A:A,0))</f>
        <v>Reporting</v>
      </c>
      <c r="AC7" s="7" t="str">
        <f t="shared" si="0"/>
        <v>USD</v>
      </c>
      <c r="AD7" s="8">
        <f t="shared" si="1"/>
        <v>-14524.004967999999</v>
      </c>
      <c r="AE7" s="7" t="s">
        <v>6</v>
      </c>
      <c r="AF7" s="7" t="s">
        <v>56</v>
      </c>
      <c r="AG7" s="7" t="s">
        <v>2747</v>
      </c>
      <c r="AH7" s="7" t="s">
        <v>2618</v>
      </c>
      <c r="AI7" s="7" t="s">
        <v>1691</v>
      </c>
      <c r="AK7" s="7" t="s">
        <v>2617</v>
      </c>
      <c r="AL7" s="7">
        <v>8</v>
      </c>
      <c r="AM7" s="7" t="s">
        <v>48</v>
      </c>
      <c r="AN7" s="7" t="s">
        <v>231</v>
      </c>
      <c r="AP7" s="7" t="s">
        <v>44</v>
      </c>
      <c r="AR7" s="7" t="s">
        <v>37</v>
      </c>
      <c r="AS7" s="7" t="s">
        <v>37</v>
      </c>
    </row>
    <row r="8" spans="1:45" x14ac:dyDescent="0.3">
      <c r="A8" s="7" t="s">
        <v>228</v>
      </c>
      <c r="B8" s="4">
        <v>44562</v>
      </c>
      <c r="C8" s="7" t="s">
        <v>35</v>
      </c>
      <c r="D8" s="7" t="s">
        <v>37</v>
      </c>
      <c r="H8" s="7" t="s">
        <v>38</v>
      </c>
      <c r="I8" s="7" t="s">
        <v>39</v>
      </c>
      <c r="J8" s="7" t="s">
        <v>40</v>
      </c>
      <c r="K8" s="7" t="s">
        <v>41</v>
      </c>
      <c r="O8" s="7" t="s">
        <v>50</v>
      </c>
      <c r="P8" s="7" t="s">
        <v>36</v>
      </c>
      <c r="Q8" s="7">
        <v>42330.49</v>
      </c>
      <c r="S8" s="7">
        <v>42330.49</v>
      </c>
      <c r="T8" s="7" t="s">
        <v>36</v>
      </c>
      <c r="U8" s="7">
        <v>42330.49</v>
      </c>
      <c r="W8" s="7">
        <v>42330.49</v>
      </c>
      <c r="X8" s="7" t="s">
        <v>36</v>
      </c>
      <c r="Y8" s="7">
        <v>42330.49</v>
      </c>
      <c r="AA8" s="7">
        <v>42330.49</v>
      </c>
      <c r="AB8" s="7" t="str">
        <f>INDEX(Parameters!B:B,MATCH("Report Using",Parameters!A:A,0))</f>
        <v>Reporting</v>
      </c>
      <c r="AC8" s="7" t="str">
        <f t="shared" si="0"/>
        <v>USD</v>
      </c>
      <c r="AD8" s="8">
        <f t="shared" si="1"/>
        <v>42330.49</v>
      </c>
      <c r="AE8" s="7" t="s">
        <v>6</v>
      </c>
      <c r="AF8" s="7" t="s">
        <v>56</v>
      </c>
      <c r="AG8" s="7" t="s">
        <v>2746</v>
      </c>
      <c r="AH8" s="7" t="s">
        <v>2618</v>
      </c>
      <c r="AI8" s="7" t="s">
        <v>1691</v>
      </c>
      <c r="AK8" s="7" t="s">
        <v>2617</v>
      </c>
      <c r="AL8" s="7">
        <v>10</v>
      </c>
      <c r="AM8" s="7" t="s">
        <v>51</v>
      </c>
      <c r="AN8" s="7" t="s">
        <v>232</v>
      </c>
      <c r="AP8" s="7" t="s">
        <v>44</v>
      </c>
      <c r="AR8" s="7" t="s">
        <v>37</v>
      </c>
      <c r="AS8" s="7" t="s">
        <v>37</v>
      </c>
    </row>
    <row r="9" spans="1:45" x14ac:dyDescent="0.3">
      <c r="A9" s="7" t="s">
        <v>228</v>
      </c>
      <c r="B9" s="4">
        <v>44562</v>
      </c>
      <c r="C9" s="7" t="s">
        <v>35</v>
      </c>
      <c r="D9" s="7" t="s">
        <v>37</v>
      </c>
      <c r="H9" s="7" t="s">
        <v>38</v>
      </c>
      <c r="I9" s="7" t="s">
        <v>39</v>
      </c>
      <c r="J9" s="7" t="s">
        <v>40</v>
      </c>
      <c r="K9" s="7" t="s">
        <v>41</v>
      </c>
      <c r="O9" s="7" t="s">
        <v>52</v>
      </c>
      <c r="P9" s="7" t="s">
        <v>36</v>
      </c>
      <c r="R9" s="7">
        <v>42330.49</v>
      </c>
      <c r="S9" s="7">
        <v>-42330.49</v>
      </c>
      <c r="T9" s="7" t="s">
        <v>36</v>
      </c>
      <c r="V9" s="7">
        <v>42330.49</v>
      </c>
      <c r="W9" s="7">
        <v>-42330.49</v>
      </c>
      <c r="X9" s="7" t="s">
        <v>36</v>
      </c>
      <c r="Z9" s="7">
        <v>42330.49</v>
      </c>
      <c r="AA9" s="7">
        <v>-42330.49</v>
      </c>
      <c r="AB9" s="7" t="str">
        <f>INDEX(Parameters!B:B,MATCH("Report Using",Parameters!A:A,0))</f>
        <v>Reporting</v>
      </c>
      <c r="AC9" s="7" t="str">
        <f t="shared" si="0"/>
        <v>USD</v>
      </c>
      <c r="AD9" s="8">
        <f t="shared" si="1"/>
        <v>-42330.49</v>
      </c>
      <c r="AE9" s="7" t="s">
        <v>6</v>
      </c>
      <c r="AF9" s="7" t="s">
        <v>56</v>
      </c>
      <c r="AG9" s="7" t="s">
        <v>2746</v>
      </c>
      <c r="AH9" s="7" t="s">
        <v>2618</v>
      </c>
      <c r="AI9" s="7" t="s">
        <v>1691</v>
      </c>
      <c r="AK9" s="7" t="s">
        <v>2617</v>
      </c>
      <c r="AL9" s="7">
        <v>10</v>
      </c>
      <c r="AM9" s="7" t="s">
        <v>51</v>
      </c>
      <c r="AN9" s="7" t="s">
        <v>234</v>
      </c>
      <c r="AP9" s="7" t="s">
        <v>44</v>
      </c>
      <c r="AR9" s="7" t="s">
        <v>37</v>
      </c>
      <c r="AS9" s="7" t="s">
        <v>37</v>
      </c>
    </row>
    <row r="10" spans="1:45" x14ac:dyDescent="0.3">
      <c r="A10" s="7" t="s">
        <v>228</v>
      </c>
      <c r="B10" s="4">
        <v>44592</v>
      </c>
      <c r="C10" s="7" t="s">
        <v>35</v>
      </c>
      <c r="D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O10" s="7" t="s">
        <v>45</v>
      </c>
      <c r="P10" s="7" t="s">
        <v>36</v>
      </c>
      <c r="Q10" s="7">
        <v>439639.29</v>
      </c>
      <c r="S10" s="7">
        <v>439639.29</v>
      </c>
      <c r="T10" s="7" t="s">
        <v>36</v>
      </c>
      <c r="U10" s="7">
        <v>439639.29</v>
      </c>
      <c r="W10" s="7">
        <v>439639.29</v>
      </c>
      <c r="X10" s="7" t="s">
        <v>36</v>
      </c>
      <c r="Y10" s="7">
        <v>439639.29</v>
      </c>
      <c r="AA10" s="7">
        <v>439639.29</v>
      </c>
      <c r="AB10" s="7" t="str">
        <f>INDEX(Parameters!B:B,MATCH("Report Using",Parameters!A:A,0))</f>
        <v>Reporting</v>
      </c>
      <c r="AC10" s="7" t="str">
        <f t="shared" si="0"/>
        <v>USD</v>
      </c>
      <c r="AD10" s="8">
        <f t="shared" si="1"/>
        <v>439639.29</v>
      </c>
      <c r="AE10" s="7" t="s">
        <v>6</v>
      </c>
      <c r="AF10" s="7" t="s">
        <v>56</v>
      </c>
      <c r="AG10" s="7" t="s">
        <v>2745</v>
      </c>
      <c r="AH10" s="7" t="s">
        <v>2618</v>
      </c>
      <c r="AI10" s="7" t="s">
        <v>1691</v>
      </c>
      <c r="AK10" s="7" t="s">
        <v>2617</v>
      </c>
      <c r="AL10" s="7">
        <v>11</v>
      </c>
      <c r="AM10" s="7" t="s">
        <v>53</v>
      </c>
      <c r="AN10" s="7" t="s">
        <v>235</v>
      </c>
      <c r="AP10" s="7" t="s">
        <v>44</v>
      </c>
      <c r="AR10" s="7" t="s">
        <v>37</v>
      </c>
      <c r="AS10" s="7" t="s">
        <v>37</v>
      </c>
    </row>
    <row r="11" spans="1:45" x14ac:dyDescent="0.3">
      <c r="A11" s="7" t="s">
        <v>228</v>
      </c>
      <c r="B11" s="4">
        <v>44592</v>
      </c>
      <c r="C11" s="7" t="s">
        <v>35</v>
      </c>
      <c r="D11" s="7" t="s">
        <v>37</v>
      </c>
      <c r="H11" s="7" t="s">
        <v>38</v>
      </c>
      <c r="I11" s="7" t="s">
        <v>39</v>
      </c>
      <c r="J11" s="7" t="s">
        <v>40</v>
      </c>
      <c r="K11" s="7" t="s">
        <v>41</v>
      </c>
      <c r="O11" s="7" t="s">
        <v>54</v>
      </c>
      <c r="P11" s="7" t="s">
        <v>36</v>
      </c>
      <c r="R11" s="7">
        <v>439639.29</v>
      </c>
      <c r="S11" s="7">
        <v>-439639.29</v>
      </c>
      <c r="T11" s="7" t="s">
        <v>36</v>
      </c>
      <c r="V11" s="7">
        <v>439639.29</v>
      </c>
      <c r="W11" s="7">
        <v>-439639.29</v>
      </c>
      <c r="X11" s="7" t="s">
        <v>36</v>
      </c>
      <c r="Z11" s="7">
        <v>439639.29</v>
      </c>
      <c r="AA11" s="7">
        <v>-439639.29</v>
      </c>
      <c r="AB11" s="7" t="str">
        <f>INDEX(Parameters!B:B,MATCH("Report Using",Parameters!A:A,0))</f>
        <v>Reporting</v>
      </c>
      <c r="AC11" s="7" t="str">
        <f t="shared" si="0"/>
        <v>USD</v>
      </c>
      <c r="AD11" s="8">
        <f t="shared" si="1"/>
        <v>-439639.29</v>
      </c>
      <c r="AE11" s="7" t="s">
        <v>6</v>
      </c>
      <c r="AF11" s="7" t="s">
        <v>56</v>
      </c>
      <c r="AG11" s="7" t="s">
        <v>2745</v>
      </c>
      <c r="AH11" s="7" t="s">
        <v>2618</v>
      </c>
      <c r="AI11" s="7" t="s">
        <v>1691</v>
      </c>
      <c r="AK11" s="7" t="s">
        <v>2617</v>
      </c>
      <c r="AL11" s="7">
        <v>11</v>
      </c>
      <c r="AM11" s="7" t="s">
        <v>53</v>
      </c>
      <c r="AN11" s="7" t="s">
        <v>237</v>
      </c>
      <c r="AP11" s="7" t="s">
        <v>44</v>
      </c>
      <c r="AR11" s="7" t="s">
        <v>37</v>
      </c>
      <c r="AS11" s="7" t="s">
        <v>37</v>
      </c>
    </row>
    <row r="12" spans="1:45" x14ac:dyDescent="0.3">
      <c r="A12" s="7" t="s">
        <v>238</v>
      </c>
      <c r="B12" s="4">
        <v>44593</v>
      </c>
      <c r="C12" s="7" t="s">
        <v>35</v>
      </c>
      <c r="D12" s="7" t="s">
        <v>37</v>
      </c>
      <c r="H12" s="7" t="s">
        <v>38</v>
      </c>
      <c r="I12" s="7" t="s">
        <v>39</v>
      </c>
      <c r="J12" s="7" t="s">
        <v>40</v>
      </c>
      <c r="K12" s="7" t="s">
        <v>41</v>
      </c>
      <c r="O12" s="7" t="s">
        <v>54</v>
      </c>
      <c r="P12" s="7" t="s">
        <v>36</v>
      </c>
      <c r="Q12" s="7">
        <v>439639.29</v>
      </c>
      <c r="S12" s="7">
        <v>439639.29</v>
      </c>
      <c r="T12" s="7" t="s">
        <v>36</v>
      </c>
      <c r="U12" s="7">
        <v>439639.29</v>
      </c>
      <c r="W12" s="7">
        <v>439639.29</v>
      </c>
      <c r="X12" s="7" t="s">
        <v>36</v>
      </c>
      <c r="Y12" s="7">
        <v>439639.29</v>
      </c>
      <c r="AA12" s="7">
        <v>439639.29</v>
      </c>
      <c r="AB12" s="7" t="str">
        <f>INDEX(Parameters!B:B,MATCH("Report Using",Parameters!A:A,0))</f>
        <v>Reporting</v>
      </c>
      <c r="AC12" s="7" t="str">
        <f t="shared" si="0"/>
        <v>USD</v>
      </c>
      <c r="AD12" s="8">
        <f t="shared" si="1"/>
        <v>439639.29</v>
      </c>
      <c r="AE12" s="7" t="s">
        <v>6</v>
      </c>
      <c r="AF12" s="7" t="s">
        <v>56</v>
      </c>
      <c r="AG12" s="7" t="s">
        <v>2745</v>
      </c>
      <c r="AH12" s="7" t="s">
        <v>2618</v>
      </c>
      <c r="AI12" s="7" t="s">
        <v>1691</v>
      </c>
      <c r="AK12" s="7" t="s">
        <v>2617</v>
      </c>
      <c r="AL12" s="7">
        <v>11</v>
      </c>
      <c r="AM12" s="7" t="s">
        <v>55</v>
      </c>
      <c r="AN12" s="7" t="s">
        <v>239</v>
      </c>
      <c r="AP12" s="7" t="s">
        <v>44</v>
      </c>
      <c r="AR12" s="7" t="s">
        <v>37</v>
      </c>
      <c r="AS12" s="7" t="s">
        <v>37</v>
      </c>
    </row>
    <row r="13" spans="1:45" x14ac:dyDescent="0.3">
      <c r="A13" s="7" t="s">
        <v>238</v>
      </c>
      <c r="B13" s="4">
        <v>44593</v>
      </c>
      <c r="C13" s="7" t="s">
        <v>35</v>
      </c>
      <c r="D13" s="7" t="s">
        <v>37</v>
      </c>
      <c r="H13" s="7" t="s">
        <v>38</v>
      </c>
      <c r="I13" s="7" t="s">
        <v>39</v>
      </c>
      <c r="J13" s="7" t="s">
        <v>40</v>
      </c>
      <c r="K13" s="7" t="s">
        <v>41</v>
      </c>
      <c r="O13" s="7" t="s">
        <v>45</v>
      </c>
      <c r="P13" s="7" t="s">
        <v>36</v>
      </c>
      <c r="R13" s="7">
        <v>439639.29</v>
      </c>
      <c r="S13" s="7">
        <v>-439639.29</v>
      </c>
      <c r="T13" s="7" t="s">
        <v>36</v>
      </c>
      <c r="V13" s="7">
        <v>439639.29</v>
      </c>
      <c r="W13" s="7">
        <v>-439639.29</v>
      </c>
      <c r="X13" s="7" t="s">
        <v>36</v>
      </c>
      <c r="Z13" s="7">
        <v>439639.29</v>
      </c>
      <c r="AA13" s="7">
        <v>-439639.29</v>
      </c>
      <c r="AB13" s="7" t="str">
        <f>INDEX(Parameters!B:B,MATCH("Report Using",Parameters!A:A,0))</f>
        <v>Reporting</v>
      </c>
      <c r="AC13" s="7" t="str">
        <f t="shared" si="0"/>
        <v>USD</v>
      </c>
      <c r="AD13" s="8">
        <f t="shared" si="1"/>
        <v>-439639.29</v>
      </c>
      <c r="AE13" s="7" t="s">
        <v>6</v>
      </c>
      <c r="AF13" s="7" t="s">
        <v>56</v>
      </c>
      <c r="AG13" s="7" t="s">
        <v>2745</v>
      </c>
      <c r="AH13" s="7" t="s">
        <v>2618</v>
      </c>
      <c r="AI13" s="7" t="s">
        <v>1691</v>
      </c>
      <c r="AK13" s="7" t="s">
        <v>2617</v>
      </c>
      <c r="AL13" s="7">
        <v>11</v>
      </c>
      <c r="AM13" s="7" t="s">
        <v>55</v>
      </c>
      <c r="AN13" s="7" t="s">
        <v>241</v>
      </c>
      <c r="AP13" s="7" t="s">
        <v>44</v>
      </c>
      <c r="AR13" s="7" t="s">
        <v>37</v>
      </c>
      <c r="AS13" s="7" t="s">
        <v>37</v>
      </c>
    </row>
    <row r="14" spans="1:45" x14ac:dyDescent="0.3">
      <c r="A14" s="7" t="s">
        <v>238</v>
      </c>
      <c r="B14" s="4">
        <v>44620</v>
      </c>
      <c r="C14" s="7" t="s">
        <v>46</v>
      </c>
      <c r="D14" s="7" t="s">
        <v>37</v>
      </c>
      <c r="H14" s="7" t="s">
        <v>38</v>
      </c>
      <c r="I14" s="7" t="s">
        <v>39</v>
      </c>
      <c r="J14" s="7" t="s">
        <v>38</v>
      </c>
      <c r="K14" s="7" t="s">
        <v>41</v>
      </c>
      <c r="O14" s="7" t="s">
        <v>49</v>
      </c>
      <c r="P14" s="7" t="s">
        <v>36</v>
      </c>
      <c r="Q14" s="7">
        <v>14524.004967999999</v>
      </c>
      <c r="S14" s="7">
        <v>14524.004967999999</v>
      </c>
      <c r="T14" s="7" t="s">
        <v>36</v>
      </c>
      <c r="U14" s="7">
        <v>14524.004967999999</v>
      </c>
      <c r="W14" s="7">
        <v>14524.004967999999</v>
      </c>
      <c r="X14" s="7" t="s">
        <v>36</v>
      </c>
      <c r="Y14" s="7">
        <v>14524.004967999999</v>
      </c>
      <c r="AA14" s="7">
        <v>14524.004967999999</v>
      </c>
      <c r="AB14" s="7" t="str">
        <f>INDEX(Parameters!B:B,MATCH("Report Using",Parameters!A:A,0))</f>
        <v>Reporting</v>
      </c>
      <c r="AC14" s="7" t="str">
        <f t="shared" si="0"/>
        <v>USD</v>
      </c>
      <c r="AD14" s="8">
        <f t="shared" si="1"/>
        <v>14524.004967999999</v>
      </c>
      <c r="AE14" s="7" t="s">
        <v>6</v>
      </c>
      <c r="AF14" s="7" t="s">
        <v>56</v>
      </c>
      <c r="AG14" s="7" t="s">
        <v>2748</v>
      </c>
      <c r="AH14" s="7" t="s">
        <v>2618</v>
      </c>
      <c r="AI14" s="7" t="s">
        <v>1691</v>
      </c>
      <c r="AK14" s="7" t="s">
        <v>2617</v>
      </c>
      <c r="AL14" s="7">
        <v>12</v>
      </c>
      <c r="AM14" s="7" t="s">
        <v>57</v>
      </c>
      <c r="AN14" s="7" t="s">
        <v>242</v>
      </c>
      <c r="AP14" s="7" t="s">
        <v>44</v>
      </c>
      <c r="AR14" s="7" t="s">
        <v>37</v>
      </c>
      <c r="AS14" s="7" t="s">
        <v>37</v>
      </c>
    </row>
    <row r="15" spans="1:45" x14ac:dyDescent="0.3">
      <c r="A15" s="7" t="s">
        <v>238</v>
      </c>
      <c r="B15" s="4">
        <v>44620</v>
      </c>
      <c r="C15" s="7" t="s">
        <v>46</v>
      </c>
      <c r="D15" s="7" t="s">
        <v>37</v>
      </c>
      <c r="H15" s="7" t="s">
        <v>38</v>
      </c>
      <c r="I15" s="7" t="s">
        <v>39</v>
      </c>
      <c r="J15" s="7" t="s">
        <v>40</v>
      </c>
      <c r="K15" s="7" t="s">
        <v>41</v>
      </c>
      <c r="O15" s="7" t="s">
        <v>45</v>
      </c>
      <c r="P15" s="7" t="s">
        <v>36</v>
      </c>
      <c r="Q15" s="7">
        <v>35475.995031999999</v>
      </c>
      <c r="S15" s="7">
        <v>35475.995031999999</v>
      </c>
      <c r="T15" s="7" t="s">
        <v>36</v>
      </c>
      <c r="U15" s="7">
        <v>35475.995031999999</v>
      </c>
      <c r="W15" s="7">
        <v>35475.995031999999</v>
      </c>
      <c r="X15" s="7" t="s">
        <v>36</v>
      </c>
      <c r="Y15" s="7">
        <v>35475.995031999999</v>
      </c>
      <c r="AA15" s="7">
        <v>35475.995031999999</v>
      </c>
      <c r="AB15" s="7" t="str">
        <f>INDEX(Parameters!B:B,MATCH("Report Using",Parameters!A:A,0))</f>
        <v>Reporting</v>
      </c>
      <c r="AC15" s="7" t="str">
        <f t="shared" si="0"/>
        <v>USD</v>
      </c>
      <c r="AD15" s="8">
        <f t="shared" si="1"/>
        <v>35475.995031999999</v>
      </c>
      <c r="AE15" s="7" t="s">
        <v>6</v>
      </c>
      <c r="AF15" s="7" t="s">
        <v>56</v>
      </c>
      <c r="AG15" s="7" t="s">
        <v>2748</v>
      </c>
      <c r="AH15" s="7" t="s">
        <v>2618</v>
      </c>
      <c r="AI15" s="7" t="s">
        <v>1691</v>
      </c>
      <c r="AK15" s="7" t="s">
        <v>2617</v>
      </c>
      <c r="AL15" s="7">
        <v>12</v>
      </c>
      <c r="AM15" s="7" t="s">
        <v>57</v>
      </c>
      <c r="AN15" s="7" t="s">
        <v>244</v>
      </c>
      <c r="AP15" s="7" t="s">
        <v>44</v>
      </c>
      <c r="AR15" s="7" t="s">
        <v>37</v>
      </c>
      <c r="AS15" s="7" t="s">
        <v>37</v>
      </c>
    </row>
    <row r="16" spans="1:45" x14ac:dyDescent="0.3">
      <c r="A16" s="7" t="s">
        <v>238</v>
      </c>
      <c r="B16" s="4">
        <v>44620</v>
      </c>
      <c r="C16" s="7" t="s">
        <v>46</v>
      </c>
      <c r="D16" s="7" t="s">
        <v>37</v>
      </c>
      <c r="H16" s="7" t="s">
        <v>38</v>
      </c>
      <c r="I16" s="7" t="s">
        <v>39</v>
      </c>
      <c r="J16" s="7" t="s">
        <v>40</v>
      </c>
      <c r="K16" s="7" t="s">
        <v>41</v>
      </c>
      <c r="O16" s="7" t="s">
        <v>58</v>
      </c>
      <c r="P16" s="7" t="s">
        <v>36</v>
      </c>
      <c r="R16" s="7">
        <v>50000</v>
      </c>
      <c r="S16" s="7">
        <v>-50000</v>
      </c>
      <c r="T16" s="7" t="s">
        <v>36</v>
      </c>
      <c r="V16" s="7">
        <v>50000</v>
      </c>
      <c r="W16" s="7">
        <v>-50000</v>
      </c>
      <c r="X16" s="7" t="s">
        <v>36</v>
      </c>
      <c r="Z16" s="7">
        <v>50000</v>
      </c>
      <c r="AA16" s="7">
        <v>-50000</v>
      </c>
      <c r="AB16" s="7" t="str">
        <f>INDEX(Parameters!B:B,MATCH("Report Using",Parameters!A:A,0))</f>
        <v>Reporting</v>
      </c>
      <c r="AC16" s="7" t="str">
        <f t="shared" si="0"/>
        <v>USD</v>
      </c>
      <c r="AD16" s="8">
        <f t="shared" si="1"/>
        <v>-50000</v>
      </c>
      <c r="AE16" s="7" t="s">
        <v>6</v>
      </c>
      <c r="AF16" s="7" t="s">
        <v>56</v>
      </c>
      <c r="AG16" s="7" t="s">
        <v>2748</v>
      </c>
      <c r="AH16" s="7" t="s">
        <v>2618</v>
      </c>
      <c r="AI16" s="7" t="s">
        <v>1691</v>
      </c>
      <c r="AK16" s="7" t="s">
        <v>2617</v>
      </c>
      <c r="AL16" s="7">
        <v>12</v>
      </c>
      <c r="AM16" s="7" t="s">
        <v>57</v>
      </c>
      <c r="AN16" s="7" t="s">
        <v>245</v>
      </c>
      <c r="AP16" s="7" t="s">
        <v>44</v>
      </c>
      <c r="AR16" s="7" t="s">
        <v>37</v>
      </c>
      <c r="AS16" s="7" t="s">
        <v>37</v>
      </c>
    </row>
    <row r="17" spans="1:45" x14ac:dyDescent="0.3">
      <c r="A17" s="7" t="s">
        <v>246</v>
      </c>
      <c r="B17" s="4">
        <v>44620</v>
      </c>
      <c r="C17" s="7" t="s">
        <v>46</v>
      </c>
      <c r="D17" s="7" t="s">
        <v>37</v>
      </c>
      <c r="H17" s="7" t="s">
        <v>38</v>
      </c>
      <c r="I17" s="7" t="s">
        <v>39</v>
      </c>
      <c r="J17" s="7" t="s">
        <v>40</v>
      </c>
      <c r="K17" s="7" t="s">
        <v>41</v>
      </c>
      <c r="O17" s="7" t="s">
        <v>47</v>
      </c>
      <c r="P17" s="7" t="s">
        <v>36</v>
      </c>
      <c r="Q17" s="7">
        <v>14317.061664000001</v>
      </c>
      <c r="S17" s="7">
        <v>14317.061664000001</v>
      </c>
      <c r="T17" s="7" t="s">
        <v>36</v>
      </c>
      <c r="U17" s="7">
        <v>14317.061664000001</v>
      </c>
      <c r="W17" s="7">
        <v>14317.061664000001</v>
      </c>
      <c r="X17" s="7" t="s">
        <v>36</v>
      </c>
      <c r="Y17" s="7">
        <v>14317.061664000001</v>
      </c>
      <c r="AA17" s="7">
        <v>14317.061664000001</v>
      </c>
      <c r="AB17" s="7" t="str">
        <f>INDEX(Parameters!B:B,MATCH("Report Using",Parameters!A:A,0))</f>
        <v>Reporting</v>
      </c>
      <c r="AC17" s="7" t="str">
        <f t="shared" si="0"/>
        <v>USD</v>
      </c>
      <c r="AD17" s="8">
        <f t="shared" si="1"/>
        <v>14317.061664000001</v>
      </c>
      <c r="AE17" s="7" t="s">
        <v>6</v>
      </c>
      <c r="AF17" s="7" t="s">
        <v>56</v>
      </c>
      <c r="AG17" s="7" t="s">
        <v>2747</v>
      </c>
      <c r="AH17" s="7" t="s">
        <v>2618</v>
      </c>
      <c r="AI17" s="7" t="s">
        <v>1691</v>
      </c>
      <c r="AK17" s="7" t="s">
        <v>2617</v>
      </c>
      <c r="AL17" s="7">
        <v>8</v>
      </c>
      <c r="AM17" s="7" t="s">
        <v>48</v>
      </c>
      <c r="AN17" s="7" t="s">
        <v>247</v>
      </c>
      <c r="AP17" s="7" t="s">
        <v>44</v>
      </c>
      <c r="AR17" s="7" t="s">
        <v>37</v>
      </c>
      <c r="AS17" s="7" t="s">
        <v>37</v>
      </c>
    </row>
    <row r="18" spans="1:45" x14ac:dyDescent="0.3">
      <c r="A18" s="7" t="s">
        <v>246</v>
      </c>
      <c r="B18" s="4">
        <v>44620</v>
      </c>
      <c r="C18" s="7" t="s">
        <v>46</v>
      </c>
      <c r="D18" s="7" t="s">
        <v>37</v>
      </c>
      <c r="H18" s="7" t="s">
        <v>38</v>
      </c>
      <c r="I18" s="7" t="s">
        <v>39</v>
      </c>
      <c r="J18" s="7" t="s">
        <v>38</v>
      </c>
      <c r="K18" s="7" t="s">
        <v>41</v>
      </c>
      <c r="O18" s="7" t="s">
        <v>49</v>
      </c>
      <c r="P18" s="7" t="s">
        <v>36</v>
      </c>
      <c r="R18" s="7">
        <v>14317.061664000001</v>
      </c>
      <c r="S18" s="7">
        <v>-14317.061664000001</v>
      </c>
      <c r="T18" s="7" t="s">
        <v>36</v>
      </c>
      <c r="V18" s="7">
        <v>14317.061664000001</v>
      </c>
      <c r="W18" s="7">
        <v>-14317.061664000001</v>
      </c>
      <c r="X18" s="7" t="s">
        <v>36</v>
      </c>
      <c r="Z18" s="7">
        <v>14317.061664000001</v>
      </c>
      <c r="AA18" s="7">
        <v>-14317.061664000001</v>
      </c>
      <c r="AB18" s="7" t="str">
        <f>INDEX(Parameters!B:B,MATCH("Report Using",Parameters!A:A,0))</f>
        <v>Reporting</v>
      </c>
      <c r="AC18" s="7" t="str">
        <f t="shared" si="0"/>
        <v>USD</v>
      </c>
      <c r="AD18" s="8">
        <f t="shared" si="1"/>
        <v>-14317.061664000001</v>
      </c>
      <c r="AE18" s="7" t="s">
        <v>6</v>
      </c>
      <c r="AF18" s="7" t="s">
        <v>56</v>
      </c>
      <c r="AG18" s="7" t="s">
        <v>2747</v>
      </c>
      <c r="AH18" s="7" t="s">
        <v>2618</v>
      </c>
      <c r="AI18" s="7" t="s">
        <v>1691</v>
      </c>
      <c r="AK18" s="7" t="s">
        <v>2617</v>
      </c>
      <c r="AL18" s="7">
        <v>8</v>
      </c>
      <c r="AM18" s="7" t="s">
        <v>48</v>
      </c>
      <c r="AN18" s="7" t="s">
        <v>249</v>
      </c>
      <c r="AP18" s="7" t="s">
        <v>44</v>
      </c>
      <c r="AR18" s="7" t="s">
        <v>37</v>
      </c>
      <c r="AS18" s="7" t="s">
        <v>37</v>
      </c>
    </row>
    <row r="19" spans="1:45" x14ac:dyDescent="0.3">
      <c r="A19" s="7" t="s">
        <v>246</v>
      </c>
      <c r="B19" s="4">
        <v>44562</v>
      </c>
      <c r="C19" s="7" t="s">
        <v>35</v>
      </c>
      <c r="D19" s="7" t="s">
        <v>37</v>
      </c>
      <c r="H19" s="7" t="s">
        <v>38</v>
      </c>
      <c r="I19" s="7" t="s">
        <v>39</v>
      </c>
      <c r="J19" s="7" t="s">
        <v>40</v>
      </c>
      <c r="K19" s="7" t="s">
        <v>41</v>
      </c>
      <c r="O19" s="7" t="s">
        <v>50</v>
      </c>
      <c r="P19" s="7" t="s">
        <v>36</v>
      </c>
      <c r="Q19" s="7">
        <v>42330.49</v>
      </c>
      <c r="S19" s="7">
        <v>42330.49</v>
      </c>
      <c r="T19" s="7" t="s">
        <v>36</v>
      </c>
      <c r="U19" s="7">
        <v>42330.49</v>
      </c>
      <c r="W19" s="7">
        <v>42330.49</v>
      </c>
      <c r="X19" s="7" t="s">
        <v>36</v>
      </c>
      <c r="Y19" s="7">
        <v>42330.49</v>
      </c>
      <c r="AA19" s="7">
        <v>42330.49</v>
      </c>
      <c r="AB19" s="7" t="str">
        <f>INDEX(Parameters!B:B,MATCH("Report Using",Parameters!A:A,0))</f>
        <v>Reporting</v>
      </c>
      <c r="AC19" s="7" t="str">
        <f t="shared" si="0"/>
        <v>USD</v>
      </c>
      <c r="AD19" s="8">
        <f t="shared" si="1"/>
        <v>42330.49</v>
      </c>
      <c r="AE19" s="7" t="s">
        <v>6</v>
      </c>
      <c r="AF19" s="7" t="s">
        <v>56</v>
      </c>
      <c r="AG19" s="7" t="s">
        <v>2746</v>
      </c>
      <c r="AH19" s="7" t="s">
        <v>2618</v>
      </c>
      <c r="AI19" s="7" t="s">
        <v>1691</v>
      </c>
      <c r="AK19" s="7" t="s">
        <v>2617</v>
      </c>
      <c r="AL19" s="7">
        <v>10</v>
      </c>
      <c r="AM19" s="7" t="s">
        <v>51</v>
      </c>
      <c r="AN19" s="7" t="s">
        <v>250</v>
      </c>
      <c r="AP19" s="7" t="s">
        <v>44</v>
      </c>
      <c r="AR19" s="7" t="s">
        <v>37</v>
      </c>
      <c r="AS19" s="7" t="s">
        <v>37</v>
      </c>
    </row>
    <row r="20" spans="1:45" x14ac:dyDescent="0.3">
      <c r="A20" s="7" t="s">
        <v>246</v>
      </c>
      <c r="B20" s="4">
        <v>44562</v>
      </c>
      <c r="C20" s="7" t="s">
        <v>35</v>
      </c>
      <c r="D20" s="7" t="s">
        <v>37</v>
      </c>
      <c r="H20" s="7" t="s">
        <v>38</v>
      </c>
      <c r="I20" s="7" t="s">
        <v>39</v>
      </c>
      <c r="J20" s="7" t="s">
        <v>40</v>
      </c>
      <c r="K20" s="7" t="s">
        <v>41</v>
      </c>
      <c r="O20" s="7" t="s">
        <v>52</v>
      </c>
      <c r="P20" s="7" t="s">
        <v>36</v>
      </c>
      <c r="R20" s="7">
        <v>42330.49</v>
      </c>
      <c r="S20" s="7">
        <v>-42330.49</v>
      </c>
      <c r="T20" s="7" t="s">
        <v>36</v>
      </c>
      <c r="V20" s="7">
        <v>42330.49</v>
      </c>
      <c r="W20" s="7">
        <v>-42330.49</v>
      </c>
      <c r="X20" s="7" t="s">
        <v>36</v>
      </c>
      <c r="Z20" s="7">
        <v>42330.49</v>
      </c>
      <c r="AA20" s="7">
        <v>-42330.49</v>
      </c>
      <c r="AB20" s="7" t="str">
        <f>INDEX(Parameters!B:B,MATCH("Report Using",Parameters!A:A,0))</f>
        <v>Reporting</v>
      </c>
      <c r="AC20" s="7" t="str">
        <f t="shared" si="0"/>
        <v>USD</v>
      </c>
      <c r="AD20" s="8">
        <f t="shared" si="1"/>
        <v>-42330.49</v>
      </c>
      <c r="AE20" s="7" t="s">
        <v>6</v>
      </c>
      <c r="AF20" s="7" t="s">
        <v>56</v>
      </c>
      <c r="AG20" s="7" t="s">
        <v>2746</v>
      </c>
      <c r="AH20" s="7" t="s">
        <v>2618</v>
      </c>
      <c r="AI20" s="7" t="s">
        <v>1691</v>
      </c>
      <c r="AK20" s="7" t="s">
        <v>2617</v>
      </c>
      <c r="AL20" s="7">
        <v>10</v>
      </c>
      <c r="AM20" s="7" t="s">
        <v>51</v>
      </c>
      <c r="AN20" s="7" t="s">
        <v>252</v>
      </c>
      <c r="AP20" s="7" t="s">
        <v>44</v>
      </c>
      <c r="AR20" s="7" t="s">
        <v>37</v>
      </c>
      <c r="AS20" s="7" t="s">
        <v>37</v>
      </c>
    </row>
    <row r="21" spans="1:45" x14ac:dyDescent="0.3">
      <c r="A21" s="7" t="s">
        <v>246</v>
      </c>
      <c r="B21" s="4">
        <v>44620</v>
      </c>
      <c r="C21" s="7" t="s">
        <v>35</v>
      </c>
      <c r="D21" s="7" t="s">
        <v>37</v>
      </c>
      <c r="H21" s="7" t="s">
        <v>38</v>
      </c>
      <c r="I21" s="7" t="s">
        <v>39</v>
      </c>
      <c r="J21" s="7" t="s">
        <v>40</v>
      </c>
      <c r="K21" s="7" t="s">
        <v>41</v>
      </c>
      <c r="O21" s="7" t="s">
        <v>45</v>
      </c>
      <c r="P21" s="7" t="s">
        <v>36</v>
      </c>
      <c r="Q21" s="7">
        <v>442203.86</v>
      </c>
      <c r="S21" s="7">
        <v>442203.86</v>
      </c>
      <c r="T21" s="7" t="s">
        <v>36</v>
      </c>
      <c r="U21" s="7">
        <v>442203.86</v>
      </c>
      <c r="W21" s="7">
        <v>442203.86</v>
      </c>
      <c r="X21" s="7" t="s">
        <v>36</v>
      </c>
      <c r="Y21" s="7">
        <v>442203.86</v>
      </c>
      <c r="AA21" s="7">
        <v>442203.86</v>
      </c>
      <c r="AB21" s="7" t="str">
        <f>INDEX(Parameters!B:B,MATCH("Report Using",Parameters!A:A,0))</f>
        <v>Reporting</v>
      </c>
      <c r="AC21" s="7" t="str">
        <f t="shared" si="0"/>
        <v>USD</v>
      </c>
      <c r="AD21" s="8">
        <f t="shared" si="1"/>
        <v>442203.86</v>
      </c>
      <c r="AE21" s="7" t="s">
        <v>6</v>
      </c>
      <c r="AF21" s="7" t="s">
        <v>56</v>
      </c>
      <c r="AG21" s="7" t="s">
        <v>2745</v>
      </c>
      <c r="AH21" s="7" t="s">
        <v>2618</v>
      </c>
      <c r="AI21" s="7" t="s">
        <v>1691</v>
      </c>
      <c r="AK21" s="7" t="s">
        <v>2617</v>
      </c>
      <c r="AL21" s="7">
        <v>11</v>
      </c>
      <c r="AM21" s="7" t="s">
        <v>53</v>
      </c>
      <c r="AN21" s="7" t="s">
        <v>253</v>
      </c>
      <c r="AP21" s="7" t="s">
        <v>44</v>
      </c>
      <c r="AR21" s="7" t="s">
        <v>37</v>
      </c>
      <c r="AS21" s="7" t="s">
        <v>37</v>
      </c>
    </row>
    <row r="22" spans="1:45" x14ac:dyDescent="0.3">
      <c r="A22" s="7" t="s">
        <v>246</v>
      </c>
      <c r="B22" s="4">
        <v>44620</v>
      </c>
      <c r="C22" s="7" t="s">
        <v>35</v>
      </c>
      <c r="D22" s="7" t="s">
        <v>37</v>
      </c>
      <c r="H22" s="7" t="s">
        <v>38</v>
      </c>
      <c r="I22" s="7" t="s">
        <v>39</v>
      </c>
      <c r="J22" s="7" t="s">
        <v>40</v>
      </c>
      <c r="K22" s="7" t="s">
        <v>41</v>
      </c>
      <c r="O22" s="7" t="s">
        <v>54</v>
      </c>
      <c r="P22" s="7" t="s">
        <v>36</v>
      </c>
      <c r="R22" s="7">
        <v>442203.86</v>
      </c>
      <c r="S22" s="7">
        <v>-442203.86</v>
      </c>
      <c r="T22" s="7" t="s">
        <v>36</v>
      </c>
      <c r="V22" s="7">
        <v>442203.86</v>
      </c>
      <c r="W22" s="7">
        <v>-442203.86</v>
      </c>
      <c r="X22" s="7" t="s">
        <v>36</v>
      </c>
      <c r="Z22" s="7">
        <v>442203.86</v>
      </c>
      <c r="AA22" s="7">
        <v>-442203.86</v>
      </c>
      <c r="AB22" s="7" t="str">
        <f>INDEX(Parameters!B:B,MATCH("Report Using",Parameters!A:A,0))</f>
        <v>Reporting</v>
      </c>
      <c r="AC22" s="7" t="str">
        <f t="shared" si="0"/>
        <v>USD</v>
      </c>
      <c r="AD22" s="8">
        <f t="shared" si="1"/>
        <v>-442203.86</v>
      </c>
      <c r="AE22" s="7" t="s">
        <v>6</v>
      </c>
      <c r="AF22" s="7" t="s">
        <v>56</v>
      </c>
      <c r="AG22" s="7" t="s">
        <v>2745</v>
      </c>
      <c r="AH22" s="7" t="s">
        <v>2618</v>
      </c>
      <c r="AI22" s="7" t="s">
        <v>1691</v>
      </c>
      <c r="AK22" s="7" t="s">
        <v>2617</v>
      </c>
      <c r="AL22" s="7">
        <v>11</v>
      </c>
      <c r="AM22" s="7" t="s">
        <v>53</v>
      </c>
      <c r="AN22" s="7" t="s">
        <v>255</v>
      </c>
      <c r="AP22" s="7" t="s">
        <v>44</v>
      </c>
      <c r="AR22" s="7" t="s">
        <v>37</v>
      </c>
      <c r="AS22" s="7" t="s">
        <v>37</v>
      </c>
    </row>
    <row r="23" spans="1:45" x14ac:dyDescent="0.3">
      <c r="A23" s="7" t="s">
        <v>256</v>
      </c>
      <c r="B23" s="4">
        <v>44621</v>
      </c>
      <c r="C23" s="7" t="s">
        <v>35</v>
      </c>
      <c r="D23" s="7" t="s">
        <v>37</v>
      </c>
      <c r="H23" s="7" t="s">
        <v>38</v>
      </c>
      <c r="I23" s="7" t="s">
        <v>39</v>
      </c>
      <c r="J23" s="7" t="s">
        <v>40</v>
      </c>
      <c r="K23" s="7" t="s">
        <v>41</v>
      </c>
      <c r="O23" s="7" t="s">
        <v>54</v>
      </c>
      <c r="P23" s="7" t="s">
        <v>36</v>
      </c>
      <c r="Q23" s="7">
        <v>442203.86</v>
      </c>
      <c r="S23" s="7">
        <v>442203.86</v>
      </c>
      <c r="T23" s="7" t="s">
        <v>36</v>
      </c>
      <c r="U23" s="7">
        <v>442203.86</v>
      </c>
      <c r="W23" s="7">
        <v>442203.86</v>
      </c>
      <c r="X23" s="7" t="s">
        <v>36</v>
      </c>
      <c r="Y23" s="7">
        <v>442203.86</v>
      </c>
      <c r="AA23" s="7">
        <v>442203.86</v>
      </c>
      <c r="AB23" s="7" t="str">
        <f>INDEX(Parameters!B:B,MATCH("Report Using",Parameters!A:A,0))</f>
        <v>Reporting</v>
      </c>
      <c r="AC23" s="7" t="str">
        <f t="shared" si="0"/>
        <v>USD</v>
      </c>
      <c r="AD23" s="8">
        <f t="shared" si="1"/>
        <v>442203.86</v>
      </c>
      <c r="AE23" s="7" t="s">
        <v>6</v>
      </c>
      <c r="AF23" s="7" t="s">
        <v>56</v>
      </c>
      <c r="AG23" s="7" t="s">
        <v>2745</v>
      </c>
      <c r="AH23" s="7" t="s">
        <v>2618</v>
      </c>
      <c r="AI23" s="7" t="s">
        <v>1691</v>
      </c>
      <c r="AK23" s="7" t="s">
        <v>2617</v>
      </c>
      <c r="AL23" s="7">
        <v>11</v>
      </c>
      <c r="AM23" s="7" t="s">
        <v>55</v>
      </c>
      <c r="AN23" s="7" t="s">
        <v>257</v>
      </c>
      <c r="AP23" s="7" t="s">
        <v>44</v>
      </c>
      <c r="AR23" s="7" t="s">
        <v>37</v>
      </c>
      <c r="AS23" s="7" t="s">
        <v>37</v>
      </c>
    </row>
    <row r="24" spans="1:45" x14ac:dyDescent="0.3">
      <c r="A24" s="7" t="s">
        <v>256</v>
      </c>
      <c r="B24" s="4">
        <v>44621</v>
      </c>
      <c r="C24" s="7" t="s">
        <v>35</v>
      </c>
      <c r="D24" s="7" t="s">
        <v>37</v>
      </c>
      <c r="H24" s="7" t="s">
        <v>38</v>
      </c>
      <c r="I24" s="7" t="s">
        <v>39</v>
      </c>
      <c r="J24" s="7" t="s">
        <v>40</v>
      </c>
      <c r="K24" s="7" t="s">
        <v>41</v>
      </c>
      <c r="O24" s="7" t="s">
        <v>45</v>
      </c>
      <c r="P24" s="7" t="s">
        <v>36</v>
      </c>
      <c r="R24" s="7">
        <v>442203.86</v>
      </c>
      <c r="S24" s="7">
        <v>-442203.86</v>
      </c>
      <c r="T24" s="7" t="s">
        <v>36</v>
      </c>
      <c r="V24" s="7">
        <v>442203.86</v>
      </c>
      <c r="W24" s="7">
        <v>-442203.86</v>
      </c>
      <c r="X24" s="7" t="s">
        <v>36</v>
      </c>
      <c r="Z24" s="7">
        <v>442203.86</v>
      </c>
      <c r="AA24" s="7">
        <v>-442203.86</v>
      </c>
      <c r="AB24" s="7" t="str">
        <f>INDEX(Parameters!B:B,MATCH("Report Using",Parameters!A:A,0))</f>
        <v>Reporting</v>
      </c>
      <c r="AC24" s="7" t="str">
        <f t="shared" si="0"/>
        <v>USD</v>
      </c>
      <c r="AD24" s="8">
        <f t="shared" si="1"/>
        <v>-442203.86</v>
      </c>
      <c r="AE24" s="7" t="s">
        <v>6</v>
      </c>
      <c r="AF24" s="7" t="s">
        <v>56</v>
      </c>
      <c r="AG24" s="7" t="s">
        <v>2745</v>
      </c>
      <c r="AH24" s="7" t="s">
        <v>2618</v>
      </c>
      <c r="AI24" s="7" t="s">
        <v>1691</v>
      </c>
      <c r="AK24" s="7" t="s">
        <v>2617</v>
      </c>
      <c r="AL24" s="7">
        <v>11</v>
      </c>
      <c r="AM24" s="7" t="s">
        <v>55</v>
      </c>
      <c r="AN24" s="7" t="s">
        <v>259</v>
      </c>
      <c r="AP24" s="7" t="s">
        <v>44</v>
      </c>
      <c r="AR24" s="7" t="s">
        <v>37</v>
      </c>
      <c r="AS24" s="7" t="s">
        <v>37</v>
      </c>
    </row>
    <row r="25" spans="1:45" x14ac:dyDescent="0.3">
      <c r="A25" s="7" t="s">
        <v>256</v>
      </c>
      <c r="B25" s="4">
        <v>44651</v>
      </c>
      <c r="C25" s="7" t="s">
        <v>46</v>
      </c>
      <c r="D25" s="7" t="s">
        <v>37</v>
      </c>
      <c r="H25" s="7" t="s">
        <v>38</v>
      </c>
      <c r="I25" s="7" t="s">
        <v>39</v>
      </c>
      <c r="J25" s="7" t="s">
        <v>38</v>
      </c>
      <c r="K25" s="7" t="s">
        <v>41</v>
      </c>
      <c r="O25" s="7" t="s">
        <v>49</v>
      </c>
      <c r="P25" s="7" t="s">
        <v>36</v>
      </c>
      <c r="Q25" s="7">
        <v>14317.061664000001</v>
      </c>
      <c r="S25" s="7">
        <v>14317.061664000001</v>
      </c>
      <c r="T25" s="7" t="s">
        <v>36</v>
      </c>
      <c r="U25" s="7">
        <v>14317.061664000001</v>
      </c>
      <c r="W25" s="7">
        <v>14317.061664000001</v>
      </c>
      <c r="X25" s="7" t="s">
        <v>36</v>
      </c>
      <c r="Y25" s="7">
        <v>14317.061664000001</v>
      </c>
      <c r="AA25" s="7">
        <v>14317.061664000001</v>
      </c>
      <c r="AB25" s="7" t="str">
        <f>INDEX(Parameters!B:B,MATCH("Report Using",Parameters!A:A,0))</f>
        <v>Reporting</v>
      </c>
      <c r="AC25" s="7" t="str">
        <f t="shared" si="0"/>
        <v>USD</v>
      </c>
      <c r="AD25" s="8">
        <f t="shared" si="1"/>
        <v>14317.061664000001</v>
      </c>
      <c r="AE25" s="7" t="s">
        <v>6</v>
      </c>
      <c r="AF25" s="7" t="s">
        <v>56</v>
      </c>
      <c r="AG25" s="7" t="s">
        <v>2748</v>
      </c>
      <c r="AH25" s="7" t="s">
        <v>2618</v>
      </c>
      <c r="AI25" s="7" t="s">
        <v>1691</v>
      </c>
      <c r="AK25" s="7" t="s">
        <v>2617</v>
      </c>
      <c r="AL25" s="7">
        <v>12</v>
      </c>
      <c r="AM25" s="7" t="s">
        <v>57</v>
      </c>
      <c r="AN25" s="7" t="s">
        <v>260</v>
      </c>
      <c r="AP25" s="7" t="s">
        <v>44</v>
      </c>
      <c r="AR25" s="7" t="s">
        <v>37</v>
      </c>
      <c r="AS25" s="7" t="s">
        <v>37</v>
      </c>
    </row>
    <row r="26" spans="1:45" x14ac:dyDescent="0.3">
      <c r="A26" s="7" t="s">
        <v>256</v>
      </c>
      <c r="B26" s="4">
        <v>44651</v>
      </c>
      <c r="C26" s="7" t="s">
        <v>46</v>
      </c>
      <c r="D26" s="7" t="s">
        <v>37</v>
      </c>
      <c r="H26" s="7" t="s">
        <v>38</v>
      </c>
      <c r="I26" s="7" t="s">
        <v>39</v>
      </c>
      <c r="J26" s="7" t="s">
        <v>40</v>
      </c>
      <c r="K26" s="7" t="s">
        <v>41</v>
      </c>
      <c r="O26" s="7" t="s">
        <v>45</v>
      </c>
      <c r="P26" s="7" t="s">
        <v>36</v>
      </c>
      <c r="Q26" s="7">
        <v>35682.938335999999</v>
      </c>
      <c r="S26" s="7">
        <v>35682.938335999999</v>
      </c>
      <c r="T26" s="7" t="s">
        <v>36</v>
      </c>
      <c r="U26" s="7">
        <v>35682.938335999999</v>
      </c>
      <c r="W26" s="7">
        <v>35682.938335999999</v>
      </c>
      <c r="X26" s="7" t="s">
        <v>36</v>
      </c>
      <c r="Y26" s="7">
        <v>35682.938335999999</v>
      </c>
      <c r="AA26" s="7">
        <v>35682.938335999999</v>
      </c>
      <c r="AB26" s="7" t="str">
        <f>INDEX(Parameters!B:B,MATCH("Report Using",Parameters!A:A,0))</f>
        <v>Reporting</v>
      </c>
      <c r="AC26" s="7" t="str">
        <f t="shared" si="0"/>
        <v>USD</v>
      </c>
      <c r="AD26" s="8">
        <f t="shared" si="1"/>
        <v>35682.938335999999</v>
      </c>
      <c r="AE26" s="7" t="s">
        <v>6</v>
      </c>
      <c r="AF26" s="7" t="s">
        <v>56</v>
      </c>
      <c r="AG26" s="7" t="s">
        <v>2748</v>
      </c>
      <c r="AH26" s="7" t="s">
        <v>2618</v>
      </c>
      <c r="AI26" s="7" t="s">
        <v>1691</v>
      </c>
      <c r="AK26" s="7" t="s">
        <v>2617</v>
      </c>
      <c r="AL26" s="7">
        <v>12</v>
      </c>
      <c r="AM26" s="7" t="s">
        <v>57</v>
      </c>
      <c r="AN26" s="7" t="s">
        <v>262</v>
      </c>
      <c r="AP26" s="7" t="s">
        <v>44</v>
      </c>
      <c r="AR26" s="7" t="s">
        <v>37</v>
      </c>
      <c r="AS26" s="7" t="s">
        <v>37</v>
      </c>
    </row>
    <row r="27" spans="1:45" x14ac:dyDescent="0.3">
      <c r="A27" s="7" t="s">
        <v>256</v>
      </c>
      <c r="B27" s="4">
        <v>44651</v>
      </c>
      <c r="C27" s="7" t="s">
        <v>46</v>
      </c>
      <c r="D27" s="7" t="s">
        <v>37</v>
      </c>
      <c r="H27" s="7" t="s">
        <v>38</v>
      </c>
      <c r="I27" s="7" t="s">
        <v>39</v>
      </c>
      <c r="J27" s="7" t="s">
        <v>40</v>
      </c>
      <c r="K27" s="7" t="s">
        <v>41</v>
      </c>
      <c r="O27" s="7" t="s">
        <v>58</v>
      </c>
      <c r="P27" s="7" t="s">
        <v>36</v>
      </c>
      <c r="R27" s="7">
        <v>50000</v>
      </c>
      <c r="S27" s="7">
        <v>-50000</v>
      </c>
      <c r="T27" s="7" t="s">
        <v>36</v>
      </c>
      <c r="V27" s="7">
        <v>50000</v>
      </c>
      <c r="W27" s="7">
        <v>-50000</v>
      </c>
      <c r="X27" s="7" t="s">
        <v>36</v>
      </c>
      <c r="Z27" s="7">
        <v>50000</v>
      </c>
      <c r="AA27" s="7">
        <v>-50000</v>
      </c>
      <c r="AB27" s="7" t="str">
        <f>INDEX(Parameters!B:B,MATCH("Report Using",Parameters!A:A,0))</f>
        <v>Reporting</v>
      </c>
      <c r="AC27" s="7" t="str">
        <f t="shared" si="0"/>
        <v>USD</v>
      </c>
      <c r="AD27" s="8">
        <f t="shared" si="1"/>
        <v>-50000</v>
      </c>
      <c r="AE27" s="7" t="s">
        <v>6</v>
      </c>
      <c r="AF27" s="7" t="s">
        <v>56</v>
      </c>
      <c r="AG27" s="7" t="s">
        <v>2748</v>
      </c>
      <c r="AH27" s="7" t="s">
        <v>2618</v>
      </c>
      <c r="AI27" s="7" t="s">
        <v>1691</v>
      </c>
      <c r="AK27" s="7" t="s">
        <v>2617</v>
      </c>
      <c r="AL27" s="7">
        <v>12</v>
      </c>
      <c r="AM27" s="7" t="s">
        <v>57</v>
      </c>
      <c r="AN27" s="7" t="s">
        <v>263</v>
      </c>
      <c r="AP27" s="7" t="s">
        <v>44</v>
      </c>
      <c r="AR27" s="7" t="s">
        <v>37</v>
      </c>
      <c r="AS27" s="7" t="s">
        <v>37</v>
      </c>
    </row>
    <row r="28" spans="1:45" x14ac:dyDescent="0.3">
      <c r="A28" s="7" t="s">
        <v>264</v>
      </c>
      <c r="B28" s="4">
        <v>44651</v>
      </c>
      <c r="C28" s="7" t="s">
        <v>46</v>
      </c>
      <c r="D28" s="7" t="s">
        <v>37</v>
      </c>
      <c r="H28" s="7" t="s">
        <v>38</v>
      </c>
      <c r="I28" s="7" t="s">
        <v>39</v>
      </c>
      <c r="J28" s="7" t="s">
        <v>40</v>
      </c>
      <c r="K28" s="7" t="s">
        <v>41</v>
      </c>
      <c r="O28" s="7" t="s">
        <v>47</v>
      </c>
      <c r="P28" s="7" t="s">
        <v>36</v>
      </c>
      <c r="Q28" s="7">
        <v>14108.911190000001</v>
      </c>
      <c r="S28" s="7">
        <v>14108.911190000001</v>
      </c>
      <c r="T28" s="7" t="s">
        <v>36</v>
      </c>
      <c r="U28" s="7">
        <v>14108.911190000001</v>
      </c>
      <c r="W28" s="7">
        <v>14108.911190000001</v>
      </c>
      <c r="X28" s="7" t="s">
        <v>36</v>
      </c>
      <c r="Y28" s="7">
        <v>14108.911190000001</v>
      </c>
      <c r="AA28" s="7">
        <v>14108.911190000001</v>
      </c>
      <c r="AB28" s="7" t="str">
        <f>INDEX(Parameters!B:B,MATCH("Report Using",Parameters!A:A,0))</f>
        <v>Reporting</v>
      </c>
      <c r="AC28" s="7" t="str">
        <f t="shared" si="0"/>
        <v>USD</v>
      </c>
      <c r="AD28" s="8">
        <f t="shared" si="1"/>
        <v>14108.911190000001</v>
      </c>
      <c r="AE28" s="7" t="s">
        <v>6</v>
      </c>
      <c r="AF28" s="7" t="s">
        <v>56</v>
      </c>
      <c r="AG28" s="7" t="s">
        <v>2747</v>
      </c>
      <c r="AH28" s="7" t="s">
        <v>2618</v>
      </c>
      <c r="AI28" s="7" t="s">
        <v>1691</v>
      </c>
      <c r="AK28" s="7" t="s">
        <v>2617</v>
      </c>
      <c r="AL28" s="7">
        <v>8</v>
      </c>
      <c r="AM28" s="7" t="s">
        <v>48</v>
      </c>
      <c r="AN28" s="7" t="s">
        <v>265</v>
      </c>
      <c r="AP28" s="7" t="s">
        <v>44</v>
      </c>
      <c r="AR28" s="7" t="s">
        <v>37</v>
      </c>
      <c r="AS28" s="7" t="s">
        <v>37</v>
      </c>
    </row>
    <row r="29" spans="1:45" x14ac:dyDescent="0.3">
      <c r="A29" s="7" t="s">
        <v>264</v>
      </c>
      <c r="B29" s="4">
        <v>44651</v>
      </c>
      <c r="C29" s="7" t="s">
        <v>46</v>
      </c>
      <c r="D29" s="7" t="s">
        <v>37</v>
      </c>
      <c r="H29" s="7" t="s">
        <v>38</v>
      </c>
      <c r="I29" s="7" t="s">
        <v>39</v>
      </c>
      <c r="J29" s="7" t="s">
        <v>38</v>
      </c>
      <c r="K29" s="7" t="s">
        <v>41</v>
      </c>
      <c r="O29" s="7" t="s">
        <v>49</v>
      </c>
      <c r="P29" s="7" t="s">
        <v>36</v>
      </c>
      <c r="R29" s="7">
        <v>14108.911190000001</v>
      </c>
      <c r="S29" s="7">
        <v>-14108.911190000001</v>
      </c>
      <c r="T29" s="7" t="s">
        <v>36</v>
      </c>
      <c r="V29" s="7">
        <v>14108.911190000001</v>
      </c>
      <c r="W29" s="7">
        <v>-14108.911190000001</v>
      </c>
      <c r="X29" s="7" t="s">
        <v>36</v>
      </c>
      <c r="Z29" s="7">
        <v>14108.911190000001</v>
      </c>
      <c r="AA29" s="7">
        <v>-14108.911190000001</v>
      </c>
      <c r="AB29" s="7" t="str">
        <f>INDEX(Parameters!B:B,MATCH("Report Using",Parameters!A:A,0))</f>
        <v>Reporting</v>
      </c>
      <c r="AC29" s="7" t="str">
        <f t="shared" si="0"/>
        <v>USD</v>
      </c>
      <c r="AD29" s="8">
        <f t="shared" si="1"/>
        <v>-14108.911190000001</v>
      </c>
      <c r="AE29" s="7" t="s">
        <v>6</v>
      </c>
      <c r="AF29" s="7" t="s">
        <v>56</v>
      </c>
      <c r="AG29" s="7" t="s">
        <v>2747</v>
      </c>
      <c r="AH29" s="7" t="s">
        <v>2618</v>
      </c>
      <c r="AI29" s="7" t="s">
        <v>1691</v>
      </c>
      <c r="AK29" s="7" t="s">
        <v>2617</v>
      </c>
      <c r="AL29" s="7">
        <v>8</v>
      </c>
      <c r="AM29" s="7" t="s">
        <v>48</v>
      </c>
      <c r="AN29" s="7" t="s">
        <v>267</v>
      </c>
      <c r="AP29" s="7" t="s">
        <v>44</v>
      </c>
      <c r="AR29" s="7" t="s">
        <v>37</v>
      </c>
      <c r="AS29" s="7" t="s">
        <v>37</v>
      </c>
    </row>
    <row r="30" spans="1:45" x14ac:dyDescent="0.3">
      <c r="A30" s="7" t="s">
        <v>264</v>
      </c>
      <c r="B30" s="4">
        <v>44562</v>
      </c>
      <c r="C30" s="7" t="s">
        <v>35</v>
      </c>
      <c r="D30" s="7" t="s">
        <v>37</v>
      </c>
      <c r="H30" s="7" t="s">
        <v>38</v>
      </c>
      <c r="I30" s="7" t="s">
        <v>39</v>
      </c>
      <c r="J30" s="7" t="s">
        <v>40</v>
      </c>
      <c r="K30" s="7" t="s">
        <v>41</v>
      </c>
      <c r="O30" s="7" t="s">
        <v>50</v>
      </c>
      <c r="P30" s="7" t="s">
        <v>36</v>
      </c>
      <c r="Q30" s="7">
        <v>42330.49</v>
      </c>
      <c r="S30" s="7">
        <v>42330.49</v>
      </c>
      <c r="T30" s="7" t="s">
        <v>36</v>
      </c>
      <c r="U30" s="7">
        <v>42330.49</v>
      </c>
      <c r="W30" s="7">
        <v>42330.49</v>
      </c>
      <c r="X30" s="7" t="s">
        <v>36</v>
      </c>
      <c r="Y30" s="7">
        <v>42330.49</v>
      </c>
      <c r="AA30" s="7">
        <v>42330.49</v>
      </c>
      <c r="AB30" s="7" t="str">
        <f>INDEX(Parameters!B:B,MATCH("Report Using",Parameters!A:A,0))</f>
        <v>Reporting</v>
      </c>
      <c r="AC30" s="7" t="str">
        <f t="shared" si="0"/>
        <v>USD</v>
      </c>
      <c r="AD30" s="8">
        <f t="shared" si="1"/>
        <v>42330.49</v>
      </c>
      <c r="AE30" s="7" t="s">
        <v>6</v>
      </c>
      <c r="AF30" s="7" t="s">
        <v>56</v>
      </c>
      <c r="AG30" s="7" t="s">
        <v>2746</v>
      </c>
      <c r="AH30" s="7" t="s">
        <v>2618</v>
      </c>
      <c r="AI30" s="7" t="s">
        <v>1691</v>
      </c>
      <c r="AK30" s="7" t="s">
        <v>2617</v>
      </c>
      <c r="AL30" s="7">
        <v>10</v>
      </c>
      <c r="AM30" s="7" t="s">
        <v>51</v>
      </c>
      <c r="AN30" s="7" t="s">
        <v>268</v>
      </c>
      <c r="AP30" s="7" t="s">
        <v>44</v>
      </c>
      <c r="AR30" s="7" t="s">
        <v>37</v>
      </c>
      <c r="AS30" s="7" t="s">
        <v>37</v>
      </c>
    </row>
    <row r="31" spans="1:45" x14ac:dyDescent="0.3">
      <c r="A31" s="7" t="s">
        <v>264</v>
      </c>
      <c r="B31" s="4">
        <v>44562</v>
      </c>
      <c r="C31" s="7" t="s">
        <v>35</v>
      </c>
      <c r="D31" s="7" t="s">
        <v>37</v>
      </c>
      <c r="H31" s="7" t="s">
        <v>38</v>
      </c>
      <c r="I31" s="7" t="s">
        <v>39</v>
      </c>
      <c r="J31" s="7" t="s">
        <v>40</v>
      </c>
      <c r="K31" s="7" t="s">
        <v>41</v>
      </c>
      <c r="O31" s="7" t="s">
        <v>52</v>
      </c>
      <c r="P31" s="7" t="s">
        <v>36</v>
      </c>
      <c r="R31" s="7">
        <v>42330.49</v>
      </c>
      <c r="S31" s="7">
        <v>-42330.49</v>
      </c>
      <c r="T31" s="7" t="s">
        <v>36</v>
      </c>
      <c r="V31" s="7">
        <v>42330.49</v>
      </c>
      <c r="W31" s="7">
        <v>-42330.49</v>
      </c>
      <c r="X31" s="7" t="s">
        <v>36</v>
      </c>
      <c r="Z31" s="7">
        <v>42330.49</v>
      </c>
      <c r="AA31" s="7">
        <v>-42330.49</v>
      </c>
      <c r="AB31" s="7" t="str">
        <f>INDEX(Parameters!B:B,MATCH("Report Using",Parameters!A:A,0))</f>
        <v>Reporting</v>
      </c>
      <c r="AC31" s="7" t="str">
        <f t="shared" si="0"/>
        <v>USD</v>
      </c>
      <c r="AD31" s="8">
        <f t="shared" si="1"/>
        <v>-42330.49</v>
      </c>
      <c r="AE31" s="7" t="s">
        <v>6</v>
      </c>
      <c r="AF31" s="7" t="s">
        <v>56</v>
      </c>
      <c r="AG31" s="7" t="s">
        <v>2746</v>
      </c>
      <c r="AH31" s="7" t="s">
        <v>2618</v>
      </c>
      <c r="AI31" s="7" t="s">
        <v>1691</v>
      </c>
      <c r="AK31" s="7" t="s">
        <v>2617</v>
      </c>
      <c r="AL31" s="7">
        <v>10</v>
      </c>
      <c r="AM31" s="7" t="s">
        <v>51</v>
      </c>
      <c r="AN31" s="7" t="s">
        <v>270</v>
      </c>
      <c r="AP31" s="7" t="s">
        <v>44</v>
      </c>
      <c r="AR31" s="7" t="s">
        <v>37</v>
      </c>
      <c r="AS31" s="7" t="s">
        <v>37</v>
      </c>
    </row>
    <row r="32" spans="1:45" x14ac:dyDescent="0.3">
      <c r="A32" s="7" t="s">
        <v>264</v>
      </c>
      <c r="B32" s="4">
        <v>44651</v>
      </c>
      <c r="C32" s="7" t="s">
        <v>35</v>
      </c>
      <c r="D32" s="7" t="s">
        <v>37</v>
      </c>
      <c r="H32" s="7" t="s">
        <v>38</v>
      </c>
      <c r="I32" s="7" t="s">
        <v>39</v>
      </c>
      <c r="J32" s="7" t="s">
        <v>40</v>
      </c>
      <c r="K32" s="7" t="s">
        <v>41</v>
      </c>
      <c r="O32" s="7" t="s">
        <v>45</v>
      </c>
      <c r="P32" s="7" t="s">
        <v>36</v>
      </c>
      <c r="Q32" s="7">
        <v>444783.38</v>
      </c>
      <c r="S32" s="7">
        <v>444783.38</v>
      </c>
      <c r="T32" s="7" t="s">
        <v>36</v>
      </c>
      <c r="U32" s="7">
        <v>444783.38</v>
      </c>
      <c r="W32" s="7">
        <v>444783.38</v>
      </c>
      <c r="X32" s="7" t="s">
        <v>36</v>
      </c>
      <c r="Y32" s="7">
        <v>444783.38</v>
      </c>
      <c r="AA32" s="7">
        <v>444783.38</v>
      </c>
      <c r="AB32" s="7" t="str">
        <f>INDEX(Parameters!B:B,MATCH("Report Using",Parameters!A:A,0))</f>
        <v>Reporting</v>
      </c>
      <c r="AC32" s="7" t="str">
        <f t="shared" si="0"/>
        <v>USD</v>
      </c>
      <c r="AD32" s="8">
        <f t="shared" si="1"/>
        <v>444783.38</v>
      </c>
      <c r="AE32" s="7" t="s">
        <v>6</v>
      </c>
      <c r="AF32" s="7" t="s">
        <v>56</v>
      </c>
      <c r="AG32" s="7" t="s">
        <v>2745</v>
      </c>
      <c r="AH32" s="7" t="s">
        <v>2618</v>
      </c>
      <c r="AI32" s="7" t="s">
        <v>1691</v>
      </c>
      <c r="AK32" s="7" t="s">
        <v>2617</v>
      </c>
      <c r="AL32" s="7">
        <v>11</v>
      </c>
      <c r="AM32" s="7" t="s">
        <v>53</v>
      </c>
      <c r="AN32" s="7" t="s">
        <v>271</v>
      </c>
      <c r="AP32" s="7" t="s">
        <v>44</v>
      </c>
      <c r="AR32" s="7" t="s">
        <v>37</v>
      </c>
      <c r="AS32" s="7" t="s">
        <v>37</v>
      </c>
    </row>
    <row r="33" spans="1:45" x14ac:dyDescent="0.3">
      <c r="A33" s="7" t="s">
        <v>264</v>
      </c>
      <c r="B33" s="4">
        <v>44651</v>
      </c>
      <c r="C33" s="7" t="s">
        <v>35</v>
      </c>
      <c r="D33" s="7" t="s">
        <v>37</v>
      </c>
      <c r="H33" s="7" t="s">
        <v>38</v>
      </c>
      <c r="I33" s="7" t="s">
        <v>39</v>
      </c>
      <c r="J33" s="7" t="s">
        <v>40</v>
      </c>
      <c r="K33" s="7" t="s">
        <v>41</v>
      </c>
      <c r="O33" s="7" t="s">
        <v>54</v>
      </c>
      <c r="P33" s="7" t="s">
        <v>36</v>
      </c>
      <c r="R33" s="7">
        <v>444783.38</v>
      </c>
      <c r="S33" s="7">
        <v>-444783.38</v>
      </c>
      <c r="T33" s="7" t="s">
        <v>36</v>
      </c>
      <c r="V33" s="7">
        <v>444783.38</v>
      </c>
      <c r="W33" s="7">
        <v>-444783.38</v>
      </c>
      <c r="X33" s="7" t="s">
        <v>36</v>
      </c>
      <c r="Z33" s="7">
        <v>444783.38</v>
      </c>
      <c r="AA33" s="7">
        <v>-444783.38</v>
      </c>
      <c r="AB33" s="7" t="str">
        <f>INDEX(Parameters!B:B,MATCH("Report Using",Parameters!A:A,0))</f>
        <v>Reporting</v>
      </c>
      <c r="AC33" s="7" t="str">
        <f t="shared" si="0"/>
        <v>USD</v>
      </c>
      <c r="AD33" s="8">
        <f t="shared" si="1"/>
        <v>-444783.38</v>
      </c>
      <c r="AE33" s="7" t="s">
        <v>6</v>
      </c>
      <c r="AF33" s="7" t="s">
        <v>56</v>
      </c>
      <c r="AG33" s="7" t="s">
        <v>2745</v>
      </c>
      <c r="AH33" s="7" t="s">
        <v>2618</v>
      </c>
      <c r="AI33" s="7" t="s">
        <v>1691</v>
      </c>
      <c r="AK33" s="7" t="s">
        <v>2617</v>
      </c>
      <c r="AL33" s="7">
        <v>11</v>
      </c>
      <c r="AM33" s="7" t="s">
        <v>53</v>
      </c>
      <c r="AN33" s="7" t="s">
        <v>273</v>
      </c>
      <c r="AP33" s="7" t="s">
        <v>44</v>
      </c>
      <c r="AR33" s="7" t="s">
        <v>37</v>
      </c>
      <c r="AS33" s="7" t="s">
        <v>37</v>
      </c>
    </row>
    <row r="34" spans="1:45" x14ac:dyDescent="0.3">
      <c r="A34" s="7" t="s">
        <v>274</v>
      </c>
      <c r="B34" s="4">
        <v>44652</v>
      </c>
      <c r="C34" s="7" t="s">
        <v>35</v>
      </c>
      <c r="D34" s="7" t="s">
        <v>37</v>
      </c>
      <c r="H34" s="7" t="s">
        <v>38</v>
      </c>
      <c r="I34" s="7" t="s">
        <v>39</v>
      </c>
      <c r="J34" s="7" t="s">
        <v>40</v>
      </c>
      <c r="K34" s="7" t="s">
        <v>41</v>
      </c>
      <c r="O34" s="7" t="s">
        <v>54</v>
      </c>
      <c r="P34" s="7" t="s">
        <v>36</v>
      </c>
      <c r="Q34" s="7">
        <v>444783.38</v>
      </c>
      <c r="S34" s="7">
        <v>444783.38</v>
      </c>
      <c r="T34" s="7" t="s">
        <v>36</v>
      </c>
      <c r="U34" s="7">
        <v>444783.38</v>
      </c>
      <c r="W34" s="7">
        <v>444783.38</v>
      </c>
      <c r="X34" s="7" t="s">
        <v>36</v>
      </c>
      <c r="Y34" s="7">
        <v>444783.38</v>
      </c>
      <c r="AA34" s="7">
        <v>444783.38</v>
      </c>
      <c r="AB34" s="7" t="str">
        <f>INDEX(Parameters!B:B,MATCH("Report Using",Parameters!A:A,0))</f>
        <v>Reporting</v>
      </c>
      <c r="AC34" s="7" t="str">
        <f t="shared" ref="AC34:AC65" si="2">IF(AB:AB="Transactional",P:P,IF(AB:AB="Functional",T:T,X:X))</f>
        <v>USD</v>
      </c>
      <c r="AD34" s="8">
        <f t="shared" ref="AD34:AD65" si="3">IF(AB:AB="Transactional",S:S,IF(AB:AB="Functional",W:W,AA:AA))</f>
        <v>444783.38</v>
      </c>
      <c r="AE34" s="7" t="s">
        <v>6</v>
      </c>
      <c r="AF34" s="7" t="s">
        <v>56</v>
      </c>
      <c r="AG34" s="7" t="s">
        <v>2745</v>
      </c>
      <c r="AH34" s="7" t="s">
        <v>2618</v>
      </c>
      <c r="AI34" s="7" t="s">
        <v>1691</v>
      </c>
      <c r="AK34" s="7" t="s">
        <v>2617</v>
      </c>
      <c r="AL34" s="7">
        <v>11</v>
      </c>
      <c r="AM34" s="7" t="s">
        <v>55</v>
      </c>
      <c r="AN34" s="7" t="s">
        <v>275</v>
      </c>
      <c r="AP34" s="7" t="s">
        <v>44</v>
      </c>
      <c r="AR34" s="7" t="s">
        <v>37</v>
      </c>
      <c r="AS34" s="7" t="s">
        <v>37</v>
      </c>
    </row>
    <row r="35" spans="1:45" x14ac:dyDescent="0.3">
      <c r="A35" s="7" t="s">
        <v>274</v>
      </c>
      <c r="B35" s="4">
        <v>44652</v>
      </c>
      <c r="C35" s="7" t="s">
        <v>35</v>
      </c>
      <c r="D35" s="7" t="s">
        <v>37</v>
      </c>
      <c r="H35" s="7" t="s">
        <v>38</v>
      </c>
      <c r="I35" s="7" t="s">
        <v>39</v>
      </c>
      <c r="J35" s="7" t="s">
        <v>40</v>
      </c>
      <c r="K35" s="7" t="s">
        <v>41</v>
      </c>
      <c r="O35" s="7" t="s">
        <v>45</v>
      </c>
      <c r="P35" s="7" t="s">
        <v>36</v>
      </c>
      <c r="R35" s="7">
        <v>444783.38</v>
      </c>
      <c r="S35" s="7">
        <v>-444783.38</v>
      </c>
      <c r="T35" s="7" t="s">
        <v>36</v>
      </c>
      <c r="V35" s="7">
        <v>444783.38</v>
      </c>
      <c r="W35" s="7">
        <v>-444783.38</v>
      </c>
      <c r="X35" s="7" t="s">
        <v>36</v>
      </c>
      <c r="Z35" s="7">
        <v>444783.38</v>
      </c>
      <c r="AA35" s="7">
        <v>-444783.38</v>
      </c>
      <c r="AB35" s="7" t="str">
        <f>INDEX(Parameters!B:B,MATCH("Report Using",Parameters!A:A,0))</f>
        <v>Reporting</v>
      </c>
      <c r="AC35" s="7" t="str">
        <f t="shared" si="2"/>
        <v>USD</v>
      </c>
      <c r="AD35" s="8">
        <f t="shared" si="3"/>
        <v>-444783.38</v>
      </c>
      <c r="AE35" s="7" t="s">
        <v>6</v>
      </c>
      <c r="AF35" s="7" t="s">
        <v>56</v>
      </c>
      <c r="AG35" s="7" t="s">
        <v>2745</v>
      </c>
      <c r="AH35" s="7" t="s">
        <v>2618</v>
      </c>
      <c r="AI35" s="7" t="s">
        <v>1691</v>
      </c>
      <c r="AK35" s="7" t="s">
        <v>2617</v>
      </c>
      <c r="AL35" s="7">
        <v>11</v>
      </c>
      <c r="AM35" s="7" t="s">
        <v>55</v>
      </c>
      <c r="AN35" s="7" t="s">
        <v>277</v>
      </c>
      <c r="AP35" s="7" t="s">
        <v>44</v>
      </c>
      <c r="AR35" s="7" t="s">
        <v>37</v>
      </c>
      <c r="AS35" s="7" t="s">
        <v>37</v>
      </c>
    </row>
    <row r="36" spans="1:45" x14ac:dyDescent="0.3">
      <c r="A36" s="7" t="s">
        <v>274</v>
      </c>
      <c r="B36" s="4">
        <v>44681</v>
      </c>
      <c r="C36" s="7" t="s">
        <v>46</v>
      </c>
      <c r="D36" s="7" t="s">
        <v>37</v>
      </c>
      <c r="H36" s="7" t="s">
        <v>38</v>
      </c>
      <c r="I36" s="7" t="s">
        <v>39</v>
      </c>
      <c r="J36" s="7" t="s">
        <v>38</v>
      </c>
      <c r="K36" s="7" t="s">
        <v>41</v>
      </c>
      <c r="O36" s="7" t="s">
        <v>49</v>
      </c>
      <c r="P36" s="7" t="s">
        <v>36</v>
      </c>
      <c r="Q36" s="7">
        <v>14108.911190000001</v>
      </c>
      <c r="S36" s="7">
        <v>14108.911190000001</v>
      </c>
      <c r="T36" s="7" t="s">
        <v>36</v>
      </c>
      <c r="U36" s="7">
        <v>14108.911190000001</v>
      </c>
      <c r="W36" s="7">
        <v>14108.911190000001</v>
      </c>
      <c r="X36" s="7" t="s">
        <v>36</v>
      </c>
      <c r="Y36" s="7">
        <v>14108.911190000001</v>
      </c>
      <c r="AA36" s="7">
        <v>14108.911190000001</v>
      </c>
      <c r="AB36" s="7" t="str">
        <f>INDEX(Parameters!B:B,MATCH("Report Using",Parameters!A:A,0))</f>
        <v>Reporting</v>
      </c>
      <c r="AC36" s="7" t="str">
        <f t="shared" si="2"/>
        <v>USD</v>
      </c>
      <c r="AD36" s="8">
        <f t="shared" si="3"/>
        <v>14108.911190000001</v>
      </c>
      <c r="AE36" s="7" t="s">
        <v>6</v>
      </c>
      <c r="AF36" s="7" t="s">
        <v>56</v>
      </c>
      <c r="AG36" s="7" t="s">
        <v>2748</v>
      </c>
      <c r="AH36" s="7" t="s">
        <v>2618</v>
      </c>
      <c r="AI36" s="7" t="s">
        <v>1691</v>
      </c>
      <c r="AK36" s="7" t="s">
        <v>2617</v>
      </c>
      <c r="AL36" s="7">
        <v>12</v>
      </c>
      <c r="AM36" s="7" t="s">
        <v>57</v>
      </c>
      <c r="AN36" s="7" t="s">
        <v>278</v>
      </c>
      <c r="AP36" s="7" t="s">
        <v>44</v>
      </c>
      <c r="AR36" s="7" t="s">
        <v>37</v>
      </c>
      <c r="AS36" s="7" t="s">
        <v>37</v>
      </c>
    </row>
    <row r="37" spans="1:45" x14ac:dyDescent="0.3">
      <c r="A37" s="7" t="s">
        <v>274</v>
      </c>
      <c r="B37" s="4">
        <v>44681</v>
      </c>
      <c r="C37" s="7" t="s">
        <v>46</v>
      </c>
      <c r="D37" s="7" t="s">
        <v>37</v>
      </c>
      <c r="H37" s="7" t="s">
        <v>38</v>
      </c>
      <c r="I37" s="7" t="s">
        <v>39</v>
      </c>
      <c r="J37" s="7" t="s">
        <v>40</v>
      </c>
      <c r="K37" s="7" t="s">
        <v>41</v>
      </c>
      <c r="O37" s="7" t="s">
        <v>45</v>
      </c>
      <c r="P37" s="7" t="s">
        <v>36</v>
      </c>
      <c r="Q37" s="7">
        <v>35891.088810000001</v>
      </c>
      <c r="S37" s="7">
        <v>35891.088810000001</v>
      </c>
      <c r="T37" s="7" t="s">
        <v>36</v>
      </c>
      <c r="U37" s="7">
        <v>35891.088810000001</v>
      </c>
      <c r="W37" s="7">
        <v>35891.088810000001</v>
      </c>
      <c r="X37" s="7" t="s">
        <v>36</v>
      </c>
      <c r="Y37" s="7">
        <v>35891.088810000001</v>
      </c>
      <c r="AA37" s="7">
        <v>35891.088810000001</v>
      </c>
      <c r="AB37" s="7" t="str">
        <f>INDEX(Parameters!B:B,MATCH("Report Using",Parameters!A:A,0))</f>
        <v>Reporting</v>
      </c>
      <c r="AC37" s="7" t="str">
        <f t="shared" si="2"/>
        <v>USD</v>
      </c>
      <c r="AD37" s="8">
        <f t="shared" si="3"/>
        <v>35891.088810000001</v>
      </c>
      <c r="AE37" s="7" t="s">
        <v>6</v>
      </c>
      <c r="AF37" s="7" t="s">
        <v>56</v>
      </c>
      <c r="AG37" s="7" t="s">
        <v>2748</v>
      </c>
      <c r="AH37" s="7" t="s">
        <v>2618</v>
      </c>
      <c r="AI37" s="7" t="s">
        <v>1691</v>
      </c>
      <c r="AK37" s="7" t="s">
        <v>2617</v>
      </c>
      <c r="AL37" s="7">
        <v>12</v>
      </c>
      <c r="AM37" s="7" t="s">
        <v>57</v>
      </c>
      <c r="AN37" s="7" t="s">
        <v>280</v>
      </c>
      <c r="AP37" s="7" t="s">
        <v>44</v>
      </c>
      <c r="AR37" s="7" t="s">
        <v>37</v>
      </c>
      <c r="AS37" s="7" t="s">
        <v>37</v>
      </c>
    </row>
    <row r="38" spans="1:45" x14ac:dyDescent="0.3">
      <c r="A38" s="7" t="s">
        <v>274</v>
      </c>
      <c r="B38" s="4">
        <v>44681</v>
      </c>
      <c r="C38" s="7" t="s">
        <v>46</v>
      </c>
      <c r="D38" s="7" t="s">
        <v>37</v>
      </c>
      <c r="H38" s="7" t="s">
        <v>38</v>
      </c>
      <c r="I38" s="7" t="s">
        <v>39</v>
      </c>
      <c r="J38" s="7" t="s">
        <v>40</v>
      </c>
      <c r="K38" s="7" t="s">
        <v>41</v>
      </c>
      <c r="O38" s="7" t="s">
        <v>58</v>
      </c>
      <c r="P38" s="7" t="s">
        <v>36</v>
      </c>
      <c r="R38" s="7">
        <v>50000</v>
      </c>
      <c r="S38" s="7">
        <v>-50000</v>
      </c>
      <c r="T38" s="7" t="s">
        <v>36</v>
      </c>
      <c r="V38" s="7">
        <v>50000</v>
      </c>
      <c r="W38" s="7">
        <v>-50000</v>
      </c>
      <c r="X38" s="7" t="s">
        <v>36</v>
      </c>
      <c r="Z38" s="7">
        <v>50000</v>
      </c>
      <c r="AA38" s="7">
        <v>-50000</v>
      </c>
      <c r="AB38" s="7" t="str">
        <f>INDEX(Parameters!B:B,MATCH("Report Using",Parameters!A:A,0))</f>
        <v>Reporting</v>
      </c>
      <c r="AC38" s="7" t="str">
        <f t="shared" si="2"/>
        <v>USD</v>
      </c>
      <c r="AD38" s="8">
        <f t="shared" si="3"/>
        <v>-50000</v>
      </c>
      <c r="AE38" s="7" t="s">
        <v>6</v>
      </c>
      <c r="AF38" s="7" t="s">
        <v>56</v>
      </c>
      <c r="AG38" s="7" t="s">
        <v>2748</v>
      </c>
      <c r="AH38" s="7" t="s">
        <v>2618</v>
      </c>
      <c r="AI38" s="7" t="s">
        <v>1691</v>
      </c>
      <c r="AK38" s="7" t="s">
        <v>2617</v>
      </c>
      <c r="AL38" s="7">
        <v>12</v>
      </c>
      <c r="AM38" s="7" t="s">
        <v>57</v>
      </c>
      <c r="AN38" s="7" t="s">
        <v>281</v>
      </c>
      <c r="AP38" s="7" t="s">
        <v>44</v>
      </c>
      <c r="AR38" s="7" t="s">
        <v>37</v>
      </c>
      <c r="AS38" s="7" t="s">
        <v>37</v>
      </c>
    </row>
    <row r="39" spans="1:45" x14ac:dyDescent="0.3">
      <c r="A39" s="7" t="s">
        <v>282</v>
      </c>
      <c r="B39" s="4">
        <v>44681</v>
      </c>
      <c r="C39" s="7" t="s">
        <v>46</v>
      </c>
      <c r="D39" s="7" t="s">
        <v>37</v>
      </c>
      <c r="H39" s="7" t="s">
        <v>38</v>
      </c>
      <c r="I39" s="7" t="s">
        <v>39</v>
      </c>
      <c r="J39" s="7" t="s">
        <v>40</v>
      </c>
      <c r="K39" s="7" t="s">
        <v>41</v>
      </c>
      <c r="O39" s="7" t="s">
        <v>47</v>
      </c>
      <c r="P39" s="7" t="s">
        <v>36</v>
      </c>
      <c r="Q39" s="7">
        <v>13899.546506000001</v>
      </c>
      <c r="S39" s="7">
        <v>13899.546506000001</v>
      </c>
      <c r="T39" s="7" t="s">
        <v>36</v>
      </c>
      <c r="U39" s="7">
        <v>13899.546506000001</v>
      </c>
      <c r="W39" s="7">
        <v>13899.546506000001</v>
      </c>
      <c r="X39" s="7" t="s">
        <v>36</v>
      </c>
      <c r="Y39" s="7">
        <v>13899.546506000001</v>
      </c>
      <c r="AA39" s="7">
        <v>13899.546506000001</v>
      </c>
      <c r="AB39" s="7" t="str">
        <f>INDEX(Parameters!B:B,MATCH("Report Using",Parameters!A:A,0))</f>
        <v>Reporting</v>
      </c>
      <c r="AC39" s="7" t="str">
        <f t="shared" si="2"/>
        <v>USD</v>
      </c>
      <c r="AD39" s="8">
        <f t="shared" si="3"/>
        <v>13899.546506000001</v>
      </c>
      <c r="AE39" s="7" t="s">
        <v>6</v>
      </c>
      <c r="AF39" s="7" t="s">
        <v>56</v>
      </c>
      <c r="AG39" s="7" t="s">
        <v>2747</v>
      </c>
      <c r="AH39" s="7" t="s">
        <v>2618</v>
      </c>
      <c r="AI39" s="7" t="s">
        <v>1691</v>
      </c>
      <c r="AK39" s="7" t="s">
        <v>2617</v>
      </c>
      <c r="AL39" s="7">
        <v>8</v>
      </c>
      <c r="AM39" s="7" t="s">
        <v>48</v>
      </c>
      <c r="AN39" s="7" t="s">
        <v>283</v>
      </c>
      <c r="AP39" s="7" t="s">
        <v>44</v>
      </c>
      <c r="AR39" s="7" t="s">
        <v>37</v>
      </c>
      <c r="AS39" s="7" t="s">
        <v>37</v>
      </c>
    </row>
    <row r="40" spans="1:45" x14ac:dyDescent="0.3">
      <c r="A40" s="7" t="s">
        <v>282</v>
      </c>
      <c r="B40" s="4">
        <v>44681</v>
      </c>
      <c r="C40" s="7" t="s">
        <v>46</v>
      </c>
      <c r="D40" s="7" t="s">
        <v>37</v>
      </c>
      <c r="H40" s="7" t="s">
        <v>38</v>
      </c>
      <c r="I40" s="7" t="s">
        <v>39</v>
      </c>
      <c r="J40" s="7" t="s">
        <v>38</v>
      </c>
      <c r="K40" s="7" t="s">
        <v>41</v>
      </c>
      <c r="O40" s="7" t="s">
        <v>49</v>
      </c>
      <c r="P40" s="7" t="s">
        <v>36</v>
      </c>
      <c r="R40" s="7">
        <v>13899.546506000001</v>
      </c>
      <c r="S40" s="7">
        <v>-13899.546506000001</v>
      </c>
      <c r="T40" s="7" t="s">
        <v>36</v>
      </c>
      <c r="V40" s="7">
        <v>13899.546506000001</v>
      </c>
      <c r="W40" s="7">
        <v>-13899.546506000001</v>
      </c>
      <c r="X40" s="7" t="s">
        <v>36</v>
      </c>
      <c r="Z40" s="7">
        <v>13899.546506000001</v>
      </c>
      <c r="AA40" s="7">
        <v>-13899.546506000001</v>
      </c>
      <c r="AB40" s="7" t="str">
        <f>INDEX(Parameters!B:B,MATCH("Report Using",Parameters!A:A,0))</f>
        <v>Reporting</v>
      </c>
      <c r="AC40" s="7" t="str">
        <f t="shared" si="2"/>
        <v>USD</v>
      </c>
      <c r="AD40" s="8">
        <f t="shared" si="3"/>
        <v>-13899.546506000001</v>
      </c>
      <c r="AE40" s="7" t="s">
        <v>6</v>
      </c>
      <c r="AF40" s="7" t="s">
        <v>56</v>
      </c>
      <c r="AG40" s="7" t="s">
        <v>2747</v>
      </c>
      <c r="AH40" s="7" t="s">
        <v>2618</v>
      </c>
      <c r="AI40" s="7" t="s">
        <v>1691</v>
      </c>
      <c r="AK40" s="7" t="s">
        <v>2617</v>
      </c>
      <c r="AL40" s="7">
        <v>8</v>
      </c>
      <c r="AM40" s="7" t="s">
        <v>48</v>
      </c>
      <c r="AN40" s="7" t="s">
        <v>285</v>
      </c>
      <c r="AP40" s="7" t="s">
        <v>44</v>
      </c>
      <c r="AR40" s="7" t="s">
        <v>37</v>
      </c>
      <c r="AS40" s="7" t="s">
        <v>37</v>
      </c>
    </row>
    <row r="41" spans="1:45" x14ac:dyDescent="0.3">
      <c r="A41" s="7" t="s">
        <v>282</v>
      </c>
      <c r="B41" s="4">
        <v>44562</v>
      </c>
      <c r="C41" s="7" t="s">
        <v>35</v>
      </c>
      <c r="D41" s="7" t="s">
        <v>37</v>
      </c>
      <c r="H41" s="7" t="s">
        <v>38</v>
      </c>
      <c r="I41" s="7" t="s">
        <v>39</v>
      </c>
      <c r="J41" s="7" t="s">
        <v>40</v>
      </c>
      <c r="K41" s="7" t="s">
        <v>41</v>
      </c>
      <c r="O41" s="7" t="s">
        <v>50</v>
      </c>
      <c r="P41" s="7" t="s">
        <v>36</v>
      </c>
      <c r="Q41" s="7">
        <v>42330.49</v>
      </c>
      <c r="S41" s="7">
        <v>42330.49</v>
      </c>
      <c r="T41" s="7" t="s">
        <v>36</v>
      </c>
      <c r="U41" s="7">
        <v>42330.49</v>
      </c>
      <c r="W41" s="7">
        <v>42330.49</v>
      </c>
      <c r="X41" s="7" t="s">
        <v>36</v>
      </c>
      <c r="Y41" s="7">
        <v>42330.49</v>
      </c>
      <c r="AA41" s="7">
        <v>42330.49</v>
      </c>
      <c r="AB41" s="7" t="str">
        <f>INDEX(Parameters!B:B,MATCH("Report Using",Parameters!A:A,0))</f>
        <v>Reporting</v>
      </c>
      <c r="AC41" s="7" t="str">
        <f t="shared" si="2"/>
        <v>USD</v>
      </c>
      <c r="AD41" s="8">
        <f t="shared" si="3"/>
        <v>42330.49</v>
      </c>
      <c r="AE41" s="7" t="s">
        <v>6</v>
      </c>
      <c r="AF41" s="7" t="s">
        <v>56</v>
      </c>
      <c r="AG41" s="7" t="s">
        <v>2746</v>
      </c>
      <c r="AH41" s="7" t="s">
        <v>2618</v>
      </c>
      <c r="AI41" s="7" t="s">
        <v>1691</v>
      </c>
      <c r="AK41" s="7" t="s">
        <v>2617</v>
      </c>
      <c r="AL41" s="7">
        <v>10</v>
      </c>
      <c r="AM41" s="7" t="s">
        <v>51</v>
      </c>
      <c r="AN41" s="7" t="s">
        <v>286</v>
      </c>
      <c r="AP41" s="7" t="s">
        <v>44</v>
      </c>
      <c r="AR41" s="7" t="s">
        <v>37</v>
      </c>
      <c r="AS41" s="7" t="s">
        <v>37</v>
      </c>
    </row>
    <row r="42" spans="1:45" x14ac:dyDescent="0.3">
      <c r="A42" s="7" t="s">
        <v>282</v>
      </c>
      <c r="B42" s="4">
        <v>44562</v>
      </c>
      <c r="C42" s="7" t="s">
        <v>35</v>
      </c>
      <c r="D42" s="7" t="s">
        <v>37</v>
      </c>
      <c r="H42" s="7" t="s">
        <v>38</v>
      </c>
      <c r="I42" s="7" t="s">
        <v>39</v>
      </c>
      <c r="J42" s="7" t="s">
        <v>40</v>
      </c>
      <c r="K42" s="7" t="s">
        <v>41</v>
      </c>
      <c r="O42" s="7" t="s">
        <v>52</v>
      </c>
      <c r="P42" s="7" t="s">
        <v>36</v>
      </c>
      <c r="R42" s="7">
        <v>42330.49</v>
      </c>
      <c r="S42" s="7">
        <v>-42330.49</v>
      </c>
      <c r="T42" s="7" t="s">
        <v>36</v>
      </c>
      <c r="V42" s="7">
        <v>42330.49</v>
      </c>
      <c r="W42" s="7">
        <v>-42330.49</v>
      </c>
      <c r="X42" s="7" t="s">
        <v>36</v>
      </c>
      <c r="Z42" s="7">
        <v>42330.49</v>
      </c>
      <c r="AA42" s="7">
        <v>-42330.49</v>
      </c>
      <c r="AB42" s="7" t="str">
        <f>INDEX(Parameters!B:B,MATCH("Report Using",Parameters!A:A,0))</f>
        <v>Reporting</v>
      </c>
      <c r="AC42" s="7" t="str">
        <f t="shared" si="2"/>
        <v>USD</v>
      </c>
      <c r="AD42" s="8">
        <f t="shared" si="3"/>
        <v>-42330.49</v>
      </c>
      <c r="AE42" s="7" t="s">
        <v>6</v>
      </c>
      <c r="AF42" s="7" t="s">
        <v>56</v>
      </c>
      <c r="AG42" s="7" t="s">
        <v>2746</v>
      </c>
      <c r="AH42" s="7" t="s">
        <v>2618</v>
      </c>
      <c r="AI42" s="7" t="s">
        <v>1691</v>
      </c>
      <c r="AK42" s="7" t="s">
        <v>2617</v>
      </c>
      <c r="AL42" s="7">
        <v>10</v>
      </c>
      <c r="AM42" s="7" t="s">
        <v>51</v>
      </c>
      <c r="AN42" s="7" t="s">
        <v>288</v>
      </c>
      <c r="AP42" s="7" t="s">
        <v>44</v>
      </c>
      <c r="AR42" s="7" t="s">
        <v>37</v>
      </c>
      <c r="AS42" s="7" t="s">
        <v>37</v>
      </c>
    </row>
    <row r="43" spans="1:45" x14ac:dyDescent="0.3">
      <c r="A43" s="7" t="s">
        <v>282</v>
      </c>
      <c r="B43" s="4">
        <v>44681</v>
      </c>
      <c r="C43" s="7" t="s">
        <v>35</v>
      </c>
      <c r="D43" s="7" t="s">
        <v>37</v>
      </c>
      <c r="H43" s="7" t="s">
        <v>38</v>
      </c>
      <c r="I43" s="7" t="s">
        <v>39</v>
      </c>
      <c r="J43" s="7" t="s">
        <v>40</v>
      </c>
      <c r="K43" s="7" t="s">
        <v>41</v>
      </c>
      <c r="O43" s="7" t="s">
        <v>45</v>
      </c>
      <c r="P43" s="7" t="s">
        <v>36</v>
      </c>
      <c r="Q43" s="7">
        <v>447377.95</v>
      </c>
      <c r="S43" s="7">
        <v>447377.95</v>
      </c>
      <c r="T43" s="7" t="s">
        <v>36</v>
      </c>
      <c r="U43" s="7">
        <v>447377.95</v>
      </c>
      <c r="W43" s="7">
        <v>447377.95</v>
      </c>
      <c r="X43" s="7" t="s">
        <v>36</v>
      </c>
      <c r="Y43" s="7">
        <v>447377.95</v>
      </c>
      <c r="AA43" s="7">
        <v>447377.95</v>
      </c>
      <c r="AB43" s="7" t="str">
        <f>INDEX(Parameters!B:B,MATCH("Report Using",Parameters!A:A,0))</f>
        <v>Reporting</v>
      </c>
      <c r="AC43" s="7" t="str">
        <f t="shared" si="2"/>
        <v>USD</v>
      </c>
      <c r="AD43" s="8">
        <f t="shared" si="3"/>
        <v>447377.95</v>
      </c>
      <c r="AE43" s="7" t="s">
        <v>6</v>
      </c>
      <c r="AF43" s="7" t="s">
        <v>56</v>
      </c>
      <c r="AG43" s="7" t="s">
        <v>2745</v>
      </c>
      <c r="AH43" s="7" t="s">
        <v>2618</v>
      </c>
      <c r="AI43" s="7" t="s">
        <v>1691</v>
      </c>
      <c r="AK43" s="7" t="s">
        <v>2617</v>
      </c>
      <c r="AL43" s="7">
        <v>11</v>
      </c>
      <c r="AM43" s="7" t="s">
        <v>53</v>
      </c>
      <c r="AN43" s="7" t="s">
        <v>289</v>
      </c>
      <c r="AP43" s="7" t="s">
        <v>44</v>
      </c>
      <c r="AR43" s="7" t="s">
        <v>37</v>
      </c>
      <c r="AS43" s="7" t="s">
        <v>37</v>
      </c>
    </row>
    <row r="44" spans="1:45" x14ac:dyDescent="0.3">
      <c r="A44" s="7" t="s">
        <v>282</v>
      </c>
      <c r="B44" s="4">
        <v>44681</v>
      </c>
      <c r="C44" s="7" t="s">
        <v>35</v>
      </c>
      <c r="D44" s="7" t="s">
        <v>37</v>
      </c>
      <c r="H44" s="7" t="s">
        <v>38</v>
      </c>
      <c r="I44" s="7" t="s">
        <v>39</v>
      </c>
      <c r="J44" s="7" t="s">
        <v>40</v>
      </c>
      <c r="K44" s="7" t="s">
        <v>41</v>
      </c>
      <c r="O44" s="7" t="s">
        <v>54</v>
      </c>
      <c r="P44" s="7" t="s">
        <v>36</v>
      </c>
      <c r="R44" s="7">
        <v>447377.95</v>
      </c>
      <c r="S44" s="7">
        <v>-447377.95</v>
      </c>
      <c r="T44" s="7" t="s">
        <v>36</v>
      </c>
      <c r="V44" s="7">
        <v>447377.95</v>
      </c>
      <c r="W44" s="7">
        <v>-447377.95</v>
      </c>
      <c r="X44" s="7" t="s">
        <v>36</v>
      </c>
      <c r="Z44" s="7">
        <v>447377.95</v>
      </c>
      <c r="AA44" s="7">
        <v>-447377.95</v>
      </c>
      <c r="AB44" s="7" t="str">
        <f>INDEX(Parameters!B:B,MATCH("Report Using",Parameters!A:A,0))</f>
        <v>Reporting</v>
      </c>
      <c r="AC44" s="7" t="str">
        <f t="shared" si="2"/>
        <v>USD</v>
      </c>
      <c r="AD44" s="8">
        <f t="shared" si="3"/>
        <v>-447377.95</v>
      </c>
      <c r="AE44" s="7" t="s">
        <v>6</v>
      </c>
      <c r="AF44" s="7" t="s">
        <v>56</v>
      </c>
      <c r="AG44" s="7" t="s">
        <v>2745</v>
      </c>
      <c r="AH44" s="7" t="s">
        <v>2618</v>
      </c>
      <c r="AI44" s="7" t="s">
        <v>1691</v>
      </c>
      <c r="AK44" s="7" t="s">
        <v>2617</v>
      </c>
      <c r="AL44" s="7">
        <v>11</v>
      </c>
      <c r="AM44" s="7" t="s">
        <v>53</v>
      </c>
      <c r="AN44" s="7" t="s">
        <v>291</v>
      </c>
      <c r="AP44" s="7" t="s">
        <v>44</v>
      </c>
      <c r="AR44" s="7" t="s">
        <v>37</v>
      </c>
      <c r="AS44" s="7" t="s">
        <v>37</v>
      </c>
    </row>
    <row r="45" spans="1:45" x14ac:dyDescent="0.3">
      <c r="A45" s="7" t="s">
        <v>292</v>
      </c>
      <c r="B45" s="4">
        <v>44682</v>
      </c>
      <c r="C45" s="7" t="s">
        <v>35</v>
      </c>
      <c r="D45" s="7" t="s">
        <v>37</v>
      </c>
      <c r="H45" s="7" t="s">
        <v>38</v>
      </c>
      <c r="I45" s="7" t="s">
        <v>39</v>
      </c>
      <c r="J45" s="7" t="s">
        <v>40</v>
      </c>
      <c r="K45" s="7" t="s">
        <v>41</v>
      </c>
      <c r="O45" s="7" t="s">
        <v>54</v>
      </c>
      <c r="P45" s="7" t="s">
        <v>36</v>
      </c>
      <c r="Q45" s="7">
        <v>447377.95</v>
      </c>
      <c r="S45" s="7">
        <v>447377.95</v>
      </c>
      <c r="T45" s="7" t="s">
        <v>36</v>
      </c>
      <c r="U45" s="7">
        <v>447377.95</v>
      </c>
      <c r="W45" s="7">
        <v>447377.95</v>
      </c>
      <c r="X45" s="7" t="s">
        <v>36</v>
      </c>
      <c r="Y45" s="7">
        <v>447377.95</v>
      </c>
      <c r="AA45" s="7">
        <v>447377.95</v>
      </c>
      <c r="AB45" s="7" t="str">
        <f>INDEX(Parameters!B:B,MATCH("Report Using",Parameters!A:A,0))</f>
        <v>Reporting</v>
      </c>
      <c r="AC45" s="7" t="str">
        <f t="shared" si="2"/>
        <v>USD</v>
      </c>
      <c r="AD45" s="8">
        <f t="shared" si="3"/>
        <v>447377.95</v>
      </c>
      <c r="AE45" s="7" t="s">
        <v>6</v>
      </c>
      <c r="AF45" s="7" t="s">
        <v>56</v>
      </c>
      <c r="AG45" s="7" t="s">
        <v>2745</v>
      </c>
      <c r="AH45" s="7" t="s">
        <v>2618</v>
      </c>
      <c r="AI45" s="7" t="s">
        <v>1691</v>
      </c>
      <c r="AK45" s="7" t="s">
        <v>2617</v>
      </c>
      <c r="AL45" s="7">
        <v>11</v>
      </c>
      <c r="AM45" s="7" t="s">
        <v>55</v>
      </c>
      <c r="AN45" s="7" t="s">
        <v>293</v>
      </c>
      <c r="AP45" s="7" t="s">
        <v>44</v>
      </c>
      <c r="AR45" s="7" t="s">
        <v>37</v>
      </c>
      <c r="AS45" s="7" t="s">
        <v>37</v>
      </c>
    </row>
    <row r="46" spans="1:45" x14ac:dyDescent="0.3">
      <c r="A46" s="7" t="s">
        <v>292</v>
      </c>
      <c r="B46" s="4">
        <v>44682</v>
      </c>
      <c r="C46" s="7" t="s">
        <v>35</v>
      </c>
      <c r="D46" s="7" t="s">
        <v>37</v>
      </c>
      <c r="H46" s="7" t="s">
        <v>38</v>
      </c>
      <c r="I46" s="7" t="s">
        <v>39</v>
      </c>
      <c r="J46" s="7" t="s">
        <v>40</v>
      </c>
      <c r="K46" s="7" t="s">
        <v>41</v>
      </c>
      <c r="O46" s="7" t="s">
        <v>45</v>
      </c>
      <c r="P46" s="7" t="s">
        <v>36</v>
      </c>
      <c r="R46" s="7">
        <v>447377.95</v>
      </c>
      <c r="S46" s="7">
        <v>-447377.95</v>
      </c>
      <c r="T46" s="7" t="s">
        <v>36</v>
      </c>
      <c r="V46" s="7">
        <v>447377.95</v>
      </c>
      <c r="W46" s="7">
        <v>-447377.95</v>
      </c>
      <c r="X46" s="7" t="s">
        <v>36</v>
      </c>
      <c r="Z46" s="7">
        <v>447377.95</v>
      </c>
      <c r="AA46" s="7">
        <v>-447377.95</v>
      </c>
      <c r="AB46" s="7" t="str">
        <f>INDEX(Parameters!B:B,MATCH("Report Using",Parameters!A:A,0))</f>
        <v>Reporting</v>
      </c>
      <c r="AC46" s="7" t="str">
        <f t="shared" si="2"/>
        <v>USD</v>
      </c>
      <c r="AD46" s="8">
        <f t="shared" si="3"/>
        <v>-447377.95</v>
      </c>
      <c r="AE46" s="7" t="s">
        <v>6</v>
      </c>
      <c r="AF46" s="7" t="s">
        <v>56</v>
      </c>
      <c r="AG46" s="7" t="s">
        <v>2745</v>
      </c>
      <c r="AH46" s="7" t="s">
        <v>2618</v>
      </c>
      <c r="AI46" s="7" t="s">
        <v>1691</v>
      </c>
      <c r="AK46" s="7" t="s">
        <v>2617</v>
      </c>
      <c r="AL46" s="7">
        <v>11</v>
      </c>
      <c r="AM46" s="7" t="s">
        <v>55</v>
      </c>
      <c r="AN46" s="7" t="s">
        <v>295</v>
      </c>
      <c r="AP46" s="7" t="s">
        <v>44</v>
      </c>
      <c r="AR46" s="7" t="s">
        <v>37</v>
      </c>
      <c r="AS46" s="7" t="s">
        <v>37</v>
      </c>
    </row>
    <row r="47" spans="1:45" x14ac:dyDescent="0.3">
      <c r="A47" s="7" t="s">
        <v>292</v>
      </c>
      <c r="B47" s="4">
        <v>44712</v>
      </c>
      <c r="C47" s="7" t="s">
        <v>46</v>
      </c>
      <c r="D47" s="7" t="s">
        <v>37</v>
      </c>
      <c r="H47" s="7" t="s">
        <v>38</v>
      </c>
      <c r="I47" s="7" t="s">
        <v>39</v>
      </c>
      <c r="J47" s="7" t="s">
        <v>38</v>
      </c>
      <c r="K47" s="7" t="s">
        <v>41</v>
      </c>
      <c r="O47" s="7" t="s">
        <v>49</v>
      </c>
      <c r="P47" s="7" t="s">
        <v>36</v>
      </c>
      <c r="Q47" s="7">
        <v>13899.546506000001</v>
      </c>
      <c r="S47" s="7">
        <v>13899.546506000001</v>
      </c>
      <c r="T47" s="7" t="s">
        <v>36</v>
      </c>
      <c r="U47" s="7">
        <v>13899.546506000001</v>
      </c>
      <c r="W47" s="7">
        <v>13899.546506000001</v>
      </c>
      <c r="X47" s="7" t="s">
        <v>36</v>
      </c>
      <c r="Y47" s="7">
        <v>13899.546506000001</v>
      </c>
      <c r="AA47" s="7">
        <v>13899.546506000001</v>
      </c>
      <c r="AB47" s="7" t="str">
        <f>INDEX(Parameters!B:B,MATCH("Report Using",Parameters!A:A,0))</f>
        <v>Reporting</v>
      </c>
      <c r="AC47" s="7" t="str">
        <f t="shared" si="2"/>
        <v>USD</v>
      </c>
      <c r="AD47" s="8">
        <f t="shared" si="3"/>
        <v>13899.546506000001</v>
      </c>
      <c r="AE47" s="7" t="s">
        <v>6</v>
      </c>
      <c r="AF47" s="7" t="s">
        <v>56</v>
      </c>
      <c r="AG47" s="7" t="s">
        <v>2748</v>
      </c>
      <c r="AH47" s="7" t="s">
        <v>2618</v>
      </c>
      <c r="AI47" s="7" t="s">
        <v>1691</v>
      </c>
      <c r="AK47" s="7" t="s">
        <v>2617</v>
      </c>
      <c r="AL47" s="7">
        <v>12</v>
      </c>
      <c r="AM47" s="7" t="s">
        <v>57</v>
      </c>
      <c r="AN47" s="7" t="s">
        <v>296</v>
      </c>
      <c r="AP47" s="7" t="s">
        <v>44</v>
      </c>
      <c r="AR47" s="7" t="s">
        <v>37</v>
      </c>
      <c r="AS47" s="7" t="s">
        <v>37</v>
      </c>
    </row>
    <row r="48" spans="1:45" x14ac:dyDescent="0.3">
      <c r="A48" s="7" t="s">
        <v>292</v>
      </c>
      <c r="B48" s="4">
        <v>44712</v>
      </c>
      <c r="C48" s="7" t="s">
        <v>46</v>
      </c>
      <c r="D48" s="7" t="s">
        <v>37</v>
      </c>
      <c r="H48" s="7" t="s">
        <v>38</v>
      </c>
      <c r="I48" s="7" t="s">
        <v>39</v>
      </c>
      <c r="J48" s="7" t="s">
        <v>40</v>
      </c>
      <c r="K48" s="7" t="s">
        <v>41</v>
      </c>
      <c r="O48" s="7" t="s">
        <v>45</v>
      </c>
      <c r="P48" s="7" t="s">
        <v>36</v>
      </c>
      <c r="Q48" s="7">
        <v>36100.453494000001</v>
      </c>
      <c r="S48" s="7">
        <v>36100.453494000001</v>
      </c>
      <c r="T48" s="7" t="s">
        <v>36</v>
      </c>
      <c r="U48" s="7">
        <v>36100.453494000001</v>
      </c>
      <c r="W48" s="7">
        <v>36100.453494000001</v>
      </c>
      <c r="X48" s="7" t="s">
        <v>36</v>
      </c>
      <c r="Y48" s="7">
        <v>36100.453494000001</v>
      </c>
      <c r="AA48" s="7">
        <v>36100.453494000001</v>
      </c>
      <c r="AB48" s="7" t="str">
        <f>INDEX(Parameters!B:B,MATCH("Report Using",Parameters!A:A,0))</f>
        <v>Reporting</v>
      </c>
      <c r="AC48" s="7" t="str">
        <f t="shared" si="2"/>
        <v>USD</v>
      </c>
      <c r="AD48" s="8">
        <f t="shared" si="3"/>
        <v>36100.453494000001</v>
      </c>
      <c r="AE48" s="7" t="s">
        <v>6</v>
      </c>
      <c r="AF48" s="7" t="s">
        <v>56</v>
      </c>
      <c r="AG48" s="7" t="s">
        <v>2748</v>
      </c>
      <c r="AH48" s="7" t="s">
        <v>2618</v>
      </c>
      <c r="AI48" s="7" t="s">
        <v>1691</v>
      </c>
      <c r="AK48" s="7" t="s">
        <v>2617</v>
      </c>
      <c r="AL48" s="7">
        <v>12</v>
      </c>
      <c r="AM48" s="7" t="s">
        <v>57</v>
      </c>
      <c r="AN48" s="7" t="s">
        <v>298</v>
      </c>
      <c r="AP48" s="7" t="s">
        <v>44</v>
      </c>
      <c r="AR48" s="7" t="s">
        <v>37</v>
      </c>
      <c r="AS48" s="7" t="s">
        <v>37</v>
      </c>
    </row>
    <row r="49" spans="1:45" x14ac:dyDescent="0.3">
      <c r="A49" s="7" t="s">
        <v>292</v>
      </c>
      <c r="B49" s="4">
        <v>44712</v>
      </c>
      <c r="C49" s="7" t="s">
        <v>46</v>
      </c>
      <c r="D49" s="7" t="s">
        <v>37</v>
      </c>
      <c r="H49" s="7" t="s">
        <v>38</v>
      </c>
      <c r="I49" s="7" t="s">
        <v>39</v>
      </c>
      <c r="J49" s="7" t="s">
        <v>40</v>
      </c>
      <c r="K49" s="7" t="s">
        <v>41</v>
      </c>
      <c r="O49" s="7" t="s">
        <v>58</v>
      </c>
      <c r="P49" s="7" t="s">
        <v>36</v>
      </c>
      <c r="R49" s="7">
        <v>50000</v>
      </c>
      <c r="S49" s="7">
        <v>-50000</v>
      </c>
      <c r="T49" s="7" t="s">
        <v>36</v>
      </c>
      <c r="V49" s="7">
        <v>50000</v>
      </c>
      <c r="W49" s="7">
        <v>-50000</v>
      </c>
      <c r="X49" s="7" t="s">
        <v>36</v>
      </c>
      <c r="Z49" s="7">
        <v>50000</v>
      </c>
      <c r="AA49" s="7">
        <v>-50000</v>
      </c>
      <c r="AB49" s="7" t="str">
        <f>INDEX(Parameters!B:B,MATCH("Report Using",Parameters!A:A,0))</f>
        <v>Reporting</v>
      </c>
      <c r="AC49" s="7" t="str">
        <f t="shared" si="2"/>
        <v>USD</v>
      </c>
      <c r="AD49" s="8">
        <f t="shared" si="3"/>
        <v>-50000</v>
      </c>
      <c r="AE49" s="7" t="s">
        <v>6</v>
      </c>
      <c r="AF49" s="7" t="s">
        <v>56</v>
      </c>
      <c r="AG49" s="7" t="s">
        <v>2748</v>
      </c>
      <c r="AH49" s="7" t="s">
        <v>2618</v>
      </c>
      <c r="AI49" s="7" t="s">
        <v>1691</v>
      </c>
      <c r="AK49" s="7" t="s">
        <v>2617</v>
      </c>
      <c r="AL49" s="7">
        <v>12</v>
      </c>
      <c r="AM49" s="7" t="s">
        <v>57</v>
      </c>
      <c r="AN49" s="7" t="s">
        <v>299</v>
      </c>
      <c r="AP49" s="7" t="s">
        <v>44</v>
      </c>
      <c r="AR49" s="7" t="s">
        <v>37</v>
      </c>
      <c r="AS49" s="7" t="s">
        <v>37</v>
      </c>
    </row>
    <row r="50" spans="1:45" x14ac:dyDescent="0.3">
      <c r="A50" s="7" t="s">
        <v>300</v>
      </c>
      <c r="B50" s="4">
        <v>44712</v>
      </c>
      <c r="C50" s="7" t="s">
        <v>46</v>
      </c>
      <c r="D50" s="7" t="s">
        <v>37</v>
      </c>
      <c r="H50" s="7" t="s">
        <v>38</v>
      </c>
      <c r="I50" s="7" t="s">
        <v>39</v>
      </c>
      <c r="J50" s="7" t="s">
        <v>40</v>
      </c>
      <c r="K50" s="7" t="s">
        <v>41</v>
      </c>
      <c r="O50" s="7" t="s">
        <v>47</v>
      </c>
      <c r="P50" s="7" t="s">
        <v>36</v>
      </c>
      <c r="Q50" s="7">
        <v>13688.960526999999</v>
      </c>
      <c r="S50" s="7">
        <v>13688.960526999999</v>
      </c>
      <c r="T50" s="7" t="s">
        <v>36</v>
      </c>
      <c r="U50" s="7">
        <v>13688.960526999999</v>
      </c>
      <c r="W50" s="7">
        <v>13688.960526999999</v>
      </c>
      <c r="X50" s="7" t="s">
        <v>36</v>
      </c>
      <c r="Y50" s="7">
        <v>13688.960526999999</v>
      </c>
      <c r="AA50" s="7">
        <v>13688.960526999999</v>
      </c>
      <c r="AB50" s="7" t="str">
        <f>INDEX(Parameters!B:B,MATCH("Report Using",Parameters!A:A,0))</f>
        <v>Reporting</v>
      </c>
      <c r="AC50" s="7" t="str">
        <f t="shared" si="2"/>
        <v>USD</v>
      </c>
      <c r="AD50" s="8">
        <f t="shared" si="3"/>
        <v>13688.960526999999</v>
      </c>
      <c r="AE50" s="7" t="s">
        <v>6</v>
      </c>
      <c r="AF50" s="7" t="s">
        <v>56</v>
      </c>
      <c r="AG50" s="7" t="s">
        <v>2747</v>
      </c>
      <c r="AH50" s="7" t="s">
        <v>2618</v>
      </c>
      <c r="AI50" s="7" t="s">
        <v>1691</v>
      </c>
      <c r="AK50" s="7" t="s">
        <v>2617</v>
      </c>
      <c r="AL50" s="7">
        <v>8</v>
      </c>
      <c r="AM50" s="7" t="s">
        <v>48</v>
      </c>
      <c r="AN50" s="7" t="s">
        <v>301</v>
      </c>
      <c r="AP50" s="7" t="s">
        <v>44</v>
      </c>
      <c r="AR50" s="7" t="s">
        <v>37</v>
      </c>
      <c r="AS50" s="7" t="s">
        <v>37</v>
      </c>
    </row>
    <row r="51" spans="1:45" x14ac:dyDescent="0.3">
      <c r="A51" s="7" t="s">
        <v>300</v>
      </c>
      <c r="B51" s="4">
        <v>44712</v>
      </c>
      <c r="C51" s="7" t="s">
        <v>46</v>
      </c>
      <c r="D51" s="7" t="s">
        <v>37</v>
      </c>
      <c r="H51" s="7" t="s">
        <v>38</v>
      </c>
      <c r="I51" s="7" t="s">
        <v>39</v>
      </c>
      <c r="J51" s="7" t="s">
        <v>38</v>
      </c>
      <c r="K51" s="7" t="s">
        <v>41</v>
      </c>
      <c r="O51" s="7" t="s">
        <v>49</v>
      </c>
      <c r="P51" s="7" t="s">
        <v>36</v>
      </c>
      <c r="R51" s="7">
        <v>13688.960526999999</v>
      </c>
      <c r="S51" s="7">
        <v>-13688.960526999999</v>
      </c>
      <c r="T51" s="7" t="s">
        <v>36</v>
      </c>
      <c r="V51" s="7">
        <v>13688.960526999999</v>
      </c>
      <c r="W51" s="7">
        <v>-13688.960526999999</v>
      </c>
      <c r="X51" s="7" t="s">
        <v>36</v>
      </c>
      <c r="Z51" s="7">
        <v>13688.960526999999</v>
      </c>
      <c r="AA51" s="7">
        <v>-13688.960526999999</v>
      </c>
      <c r="AB51" s="7" t="str">
        <f>INDEX(Parameters!B:B,MATCH("Report Using",Parameters!A:A,0))</f>
        <v>Reporting</v>
      </c>
      <c r="AC51" s="7" t="str">
        <f t="shared" si="2"/>
        <v>USD</v>
      </c>
      <c r="AD51" s="8">
        <f t="shared" si="3"/>
        <v>-13688.960526999999</v>
      </c>
      <c r="AE51" s="7" t="s">
        <v>6</v>
      </c>
      <c r="AF51" s="7" t="s">
        <v>56</v>
      </c>
      <c r="AG51" s="7" t="s">
        <v>2747</v>
      </c>
      <c r="AH51" s="7" t="s">
        <v>2618</v>
      </c>
      <c r="AI51" s="7" t="s">
        <v>1691</v>
      </c>
      <c r="AK51" s="7" t="s">
        <v>2617</v>
      </c>
      <c r="AL51" s="7">
        <v>8</v>
      </c>
      <c r="AM51" s="7" t="s">
        <v>48</v>
      </c>
      <c r="AN51" s="7" t="s">
        <v>303</v>
      </c>
      <c r="AP51" s="7" t="s">
        <v>44</v>
      </c>
      <c r="AR51" s="7" t="s">
        <v>37</v>
      </c>
      <c r="AS51" s="7" t="s">
        <v>37</v>
      </c>
    </row>
    <row r="52" spans="1:45" x14ac:dyDescent="0.3">
      <c r="A52" s="7" t="s">
        <v>300</v>
      </c>
      <c r="B52" s="4">
        <v>44562</v>
      </c>
      <c r="C52" s="7" t="s">
        <v>35</v>
      </c>
      <c r="D52" s="7" t="s">
        <v>37</v>
      </c>
      <c r="H52" s="7" t="s">
        <v>38</v>
      </c>
      <c r="I52" s="7" t="s">
        <v>39</v>
      </c>
      <c r="J52" s="7" t="s">
        <v>40</v>
      </c>
      <c r="K52" s="7" t="s">
        <v>41</v>
      </c>
      <c r="O52" s="7" t="s">
        <v>50</v>
      </c>
      <c r="P52" s="7" t="s">
        <v>36</v>
      </c>
      <c r="Q52" s="7">
        <v>42330.49</v>
      </c>
      <c r="S52" s="7">
        <v>42330.49</v>
      </c>
      <c r="T52" s="7" t="s">
        <v>36</v>
      </c>
      <c r="U52" s="7">
        <v>42330.49</v>
      </c>
      <c r="W52" s="7">
        <v>42330.49</v>
      </c>
      <c r="X52" s="7" t="s">
        <v>36</v>
      </c>
      <c r="Y52" s="7">
        <v>42330.49</v>
      </c>
      <c r="AA52" s="7">
        <v>42330.49</v>
      </c>
      <c r="AB52" s="7" t="str">
        <f>INDEX(Parameters!B:B,MATCH("Report Using",Parameters!A:A,0))</f>
        <v>Reporting</v>
      </c>
      <c r="AC52" s="7" t="str">
        <f t="shared" si="2"/>
        <v>USD</v>
      </c>
      <c r="AD52" s="8">
        <f t="shared" si="3"/>
        <v>42330.49</v>
      </c>
      <c r="AE52" s="7" t="s">
        <v>6</v>
      </c>
      <c r="AF52" s="7" t="s">
        <v>56</v>
      </c>
      <c r="AG52" s="7" t="s">
        <v>2746</v>
      </c>
      <c r="AH52" s="7" t="s">
        <v>2618</v>
      </c>
      <c r="AI52" s="7" t="s">
        <v>1691</v>
      </c>
      <c r="AK52" s="7" t="s">
        <v>2617</v>
      </c>
      <c r="AL52" s="7">
        <v>10</v>
      </c>
      <c r="AM52" s="7" t="s">
        <v>51</v>
      </c>
      <c r="AN52" s="7" t="s">
        <v>304</v>
      </c>
      <c r="AP52" s="7" t="s">
        <v>44</v>
      </c>
      <c r="AR52" s="7" t="s">
        <v>37</v>
      </c>
      <c r="AS52" s="7" t="s">
        <v>37</v>
      </c>
    </row>
    <row r="53" spans="1:45" x14ac:dyDescent="0.3">
      <c r="A53" s="7" t="s">
        <v>300</v>
      </c>
      <c r="B53" s="4">
        <v>44562</v>
      </c>
      <c r="C53" s="7" t="s">
        <v>35</v>
      </c>
      <c r="D53" s="7" t="s">
        <v>37</v>
      </c>
      <c r="H53" s="7" t="s">
        <v>38</v>
      </c>
      <c r="I53" s="7" t="s">
        <v>39</v>
      </c>
      <c r="J53" s="7" t="s">
        <v>40</v>
      </c>
      <c r="K53" s="7" t="s">
        <v>41</v>
      </c>
      <c r="O53" s="7" t="s">
        <v>52</v>
      </c>
      <c r="P53" s="7" t="s">
        <v>36</v>
      </c>
      <c r="R53" s="7">
        <v>42330.49</v>
      </c>
      <c r="S53" s="7">
        <v>-42330.49</v>
      </c>
      <c r="T53" s="7" t="s">
        <v>36</v>
      </c>
      <c r="V53" s="7">
        <v>42330.49</v>
      </c>
      <c r="W53" s="7">
        <v>-42330.49</v>
      </c>
      <c r="X53" s="7" t="s">
        <v>36</v>
      </c>
      <c r="Z53" s="7">
        <v>42330.49</v>
      </c>
      <c r="AA53" s="7">
        <v>-42330.49</v>
      </c>
      <c r="AB53" s="7" t="str">
        <f>INDEX(Parameters!B:B,MATCH("Report Using",Parameters!A:A,0))</f>
        <v>Reporting</v>
      </c>
      <c r="AC53" s="7" t="str">
        <f t="shared" si="2"/>
        <v>USD</v>
      </c>
      <c r="AD53" s="8">
        <f t="shared" si="3"/>
        <v>-42330.49</v>
      </c>
      <c r="AE53" s="7" t="s">
        <v>6</v>
      </c>
      <c r="AF53" s="7" t="s">
        <v>56</v>
      </c>
      <c r="AG53" s="7" t="s">
        <v>2746</v>
      </c>
      <c r="AH53" s="7" t="s">
        <v>2618</v>
      </c>
      <c r="AI53" s="7" t="s">
        <v>1691</v>
      </c>
      <c r="AK53" s="7" t="s">
        <v>2617</v>
      </c>
      <c r="AL53" s="7">
        <v>10</v>
      </c>
      <c r="AM53" s="7" t="s">
        <v>51</v>
      </c>
      <c r="AN53" s="7" t="s">
        <v>306</v>
      </c>
      <c r="AP53" s="7" t="s">
        <v>44</v>
      </c>
      <c r="AR53" s="7" t="s">
        <v>37</v>
      </c>
      <c r="AS53" s="7" t="s">
        <v>37</v>
      </c>
    </row>
    <row r="54" spans="1:45" x14ac:dyDescent="0.3">
      <c r="A54" s="7" t="s">
        <v>300</v>
      </c>
      <c r="B54" s="4">
        <v>44712</v>
      </c>
      <c r="C54" s="7" t="s">
        <v>35</v>
      </c>
      <c r="D54" s="7" t="s">
        <v>37</v>
      </c>
      <c r="H54" s="7" t="s">
        <v>38</v>
      </c>
      <c r="I54" s="7" t="s">
        <v>39</v>
      </c>
      <c r="J54" s="7" t="s">
        <v>40</v>
      </c>
      <c r="K54" s="7" t="s">
        <v>41</v>
      </c>
      <c r="O54" s="7" t="s">
        <v>45</v>
      </c>
      <c r="P54" s="7" t="s">
        <v>36</v>
      </c>
      <c r="Q54" s="7">
        <v>449987.65</v>
      </c>
      <c r="S54" s="7">
        <v>449987.65</v>
      </c>
      <c r="T54" s="7" t="s">
        <v>36</v>
      </c>
      <c r="U54" s="7">
        <v>449987.65</v>
      </c>
      <c r="W54" s="7">
        <v>449987.65</v>
      </c>
      <c r="X54" s="7" t="s">
        <v>36</v>
      </c>
      <c r="Y54" s="7">
        <v>449987.65</v>
      </c>
      <c r="AA54" s="7">
        <v>449987.65</v>
      </c>
      <c r="AB54" s="7" t="str">
        <f>INDEX(Parameters!B:B,MATCH("Report Using",Parameters!A:A,0))</f>
        <v>Reporting</v>
      </c>
      <c r="AC54" s="7" t="str">
        <f t="shared" si="2"/>
        <v>USD</v>
      </c>
      <c r="AD54" s="8">
        <f t="shared" si="3"/>
        <v>449987.65</v>
      </c>
      <c r="AE54" s="7" t="s">
        <v>6</v>
      </c>
      <c r="AF54" s="7" t="s">
        <v>56</v>
      </c>
      <c r="AG54" s="7" t="s">
        <v>2745</v>
      </c>
      <c r="AH54" s="7" t="s">
        <v>2618</v>
      </c>
      <c r="AI54" s="7" t="s">
        <v>1691</v>
      </c>
      <c r="AK54" s="7" t="s">
        <v>2617</v>
      </c>
      <c r="AL54" s="7">
        <v>11</v>
      </c>
      <c r="AM54" s="7" t="s">
        <v>53</v>
      </c>
      <c r="AN54" s="7" t="s">
        <v>307</v>
      </c>
      <c r="AP54" s="7" t="s">
        <v>44</v>
      </c>
      <c r="AR54" s="7" t="s">
        <v>37</v>
      </c>
      <c r="AS54" s="7" t="s">
        <v>37</v>
      </c>
    </row>
    <row r="55" spans="1:45" x14ac:dyDescent="0.3">
      <c r="A55" s="7" t="s">
        <v>300</v>
      </c>
      <c r="B55" s="4">
        <v>44712</v>
      </c>
      <c r="C55" s="7" t="s">
        <v>35</v>
      </c>
      <c r="D55" s="7" t="s">
        <v>37</v>
      </c>
      <c r="H55" s="7" t="s">
        <v>38</v>
      </c>
      <c r="I55" s="7" t="s">
        <v>39</v>
      </c>
      <c r="J55" s="7" t="s">
        <v>40</v>
      </c>
      <c r="K55" s="7" t="s">
        <v>41</v>
      </c>
      <c r="O55" s="7" t="s">
        <v>54</v>
      </c>
      <c r="P55" s="7" t="s">
        <v>36</v>
      </c>
      <c r="R55" s="7">
        <v>449987.65</v>
      </c>
      <c r="S55" s="7">
        <v>-449987.65</v>
      </c>
      <c r="T55" s="7" t="s">
        <v>36</v>
      </c>
      <c r="V55" s="7">
        <v>449987.65</v>
      </c>
      <c r="W55" s="7">
        <v>-449987.65</v>
      </c>
      <c r="X55" s="7" t="s">
        <v>36</v>
      </c>
      <c r="Z55" s="7">
        <v>449987.65</v>
      </c>
      <c r="AA55" s="7">
        <v>-449987.65</v>
      </c>
      <c r="AB55" s="7" t="str">
        <f>INDEX(Parameters!B:B,MATCH("Report Using",Parameters!A:A,0))</f>
        <v>Reporting</v>
      </c>
      <c r="AC55" s="7" t="str">
        <f t="shared" si="2"/>
        <v>USD</v>
      </c>
      <c r="AD55" s="8">
        <f t="shared" si="3"/>
        <v>-449987.65</v>
      </c>
      <c r="AE55" s="7" t="s">
        <v>6</v>
      </c>
      <c r="AF55" s="7" t="s">
        <v>56</v>
      </c>
      <c r="AG55" s="7" t="s">
        <v>2745</v>
      </c>
      <c r="AH55" s="7" t="s">
        <v>2618</v>
      </c>
      <c r="AI55" s="7" t="s">
        <v>1691</v>
      </c>
      <c r="AK55" s="7" t="s">
        <v>2617</v>
      </c>
      <c r="AL55" s="7">
        <v>11</v>
      </c>
      <c r="AM55" s="7" t="s">
        <v>53</v>
      </c>
      <c r="AN55" s="7" t="s">
        <v>309</v>
      </c>
      <c r="AP55" s="7" t="s">
        <v>44</v>
      </c>
      <c r="AR55" s="7" t="s">
        <v>37</v>
      </c>
      <c r="AS55" s="7" t="s">
        <v>37</v>
      </c>
    </row>
    <row r="56" spans="1:45" x14ac:dyDescent="0.3">
      <c r="A56" s="7" t="s">
        <v>310</v>
      </c>
      <c r="B56" s="4">
        <v>44713</v>
      </c>
      <c r="C56" s="7" t="s">
        <v>35</v>
      </c>
      <c r="D56" s="7" t="s">
        <v>37</v>
      </c>
      <c r="H56" s="7" t="s">
        <v>38</v>
      </c>
      <c r="I56" s="7" t="s">
        <v>39</v>
      </c>
      <c r="J56" s="7" t="s">
        <v>40</v>
      </c>
      <c r="K56" s="7" t="s">
        <v>41</v>
      </c>
      <c r="O56" s="7" t="s">
        <v>54</v>
      </c>
      <c r="P56" s="7" t="s">
        <v>36</v>
      </c>
      <c r="Q56" s="7">
        <v>449987.65</v>
      </c>
      <c r="S56" s="7">
        <v>449987.65</v>
      </c>
      <c r="T56" s="7" t="s">
        <v>36</v>
      </c>
      <c r="U56" s="7">
        <v>449987.65</v>
      </c>
      <c r="W56" s="7">
        <v>449987.65</v>
      </c>
      <c r="X56" s="7" t="s">
        <v>36</v>
      </c>
      <c r="Y56" s="7">
        <v>449987.65</v>
      </c>
      <c r="AA56" s="7">
        <v>449987.65</v>
      </c>
      <c r="AB56" s="7" t="str">
        <f>INDEX(Parameters!B:B,MATCH("Report Using",Parameters!A:A,0))</f>
        <v>Reporting</v>
      </c>
      <c r="AC56" s="7" t="str">
        <f t="shared" si="2"/>
        <v>USD</v>
      </c>
      <c r="AD56" s="8">
        <f t="shared" si="3"/>
        <v>449987.65</v>
      </c>
      <c r="AE56" s="7" t="s">
        <v>6</v>
      </c>
      <c r="AF56" s="7" t="s">
        <v>56</v>
      </c>
      <c r="AG56" s="7" t="s">
        <v>2745</v>
      </c>
      <c r="AH56" s="7" t="s">
        <v>2618</v>
      </c>
      <c r="AI56" s="7" t="s">
        <v>1691</v>
      </c>
      <c r="AK56" s="7" t="s">
        <v>2617</v>
      </c>
      <c r="AL56" s="7">
        <v>11</v>
      </c>
      <c r="AM56" s="7" t="s">
        <v>55</v>
      </c>
      <c r="AN56" s="7" t="s">
        <v>311</v>
      </c>
      <c r="AP56" s="7" t="s">
        <v>44</v>
      </c>
      <c r="AR56" s="7" t="s">
        <v>37</v>
      </c>
      <c r="AS56" s="7" t="s">
        <v>37</v>
      </c>
    </row>
    <row r="57" spans="1:45" x14ac:dyDescent="0.3">
      <c r="A57" s="7" t="s">
        <v>310</v>
      </c>
      <c r="B57" s="4">
        <v>44713</v>
      </c>
      <c r="C57" s="7" t="s">
        <v>35</v>
      </c>
      <c r="D57" s="7" t="s">
        <v>37</v>
      </c>
      <c r="H57" s="7" t="s">
        <v>38</v>
      </c>
      <c r="I57" s="7" t="s">
        <v>39</v>
      </c>
      <c r="J57" s="7" t="s">
        <v>40</v>
      </c>
      <c r="K57" s="7" t="s">
        <v>41</v>
      </c>
      <c r="O57" s="7" t="s">
        <v>45</v>
      </c>
      <c r="P57" s="7" t="s">
        <v>36</v>
      </c>
      <c r="R57" s="7">
        <v>449987.65</v>
      </c>
      <c r="S57" s="7">
        <v>-449987.65</v>
      </c>
      <c r="T57" s="7" t="s">
        <v>36</v>
      </c>
      <c r="V57" s="7">
        <v>449987.65</v>
      </c>
      <c r="W57" s="7">
        <v>-449987.65</v>
      </c>
      <c r="X57" s="7" t="s">
        <v>36</v>
      </c>
      <c r="Z57" s="7">
        <v>449987.65</v>
      </c>
      <c r="AA57" s="7">
        <v>-449987.65</v>
      </c>
      <c r="AB57" s="7" t="str">
        <f>INDEX(Parameters!B:B,MATCH("Report Using",Parameters!A:A,0))</f>
        <v>Reporting</v>
      </c>
      <c r="AC57" s="7" t="str">
        <f t="shared" si="2"/>
        <v>USD</v>
      </c>
      <c r="AD57" s="8">
        <f t="shared" si="3"/>
        <v>-449987.65</v>
      </c>
      <c r="AE57" s="7" t="s">
        <v>6</v>
      </c>
      <c r="AF57" s="7" t="s">
        <v>56</v>
      </c>
      <c r="AG57" s="7" t="s">
        <v>2745</v>
      </c>
      <c r="AH57" s="7" t="s">
        <v>2618</v>
      </c>
      <c r="AI57" s="7" t="s">
        <v>1691</v>
      </c>
      <c r="AK57" s="7" t="s">
        <v>2617</v>
      </c>
      <c r="AL57" s="7">
        <v>11</v>
      </c>
      <c r="AM57" s="7" t="s">
        <v>55</v>
      </c>
      <c r="AN57" s="7" t="s">
        <v>313</v>
      </c>
      <c r="AP57" s="7" t="s">
        <v>44</v>
      </c>
      <c r="AR57" s="7" t="s">
        <v>37</v>
      </c>
      <c r="AS57" s="7" t="s">
        <v>37</v>
      </c>
    </row>
    <row r="58" spans="1:45" x14ac:dyDescent="0.3">
      <c r="A58" s="7" t="s">
        <v>310</v>
      </c>
      <c r="B58" s="4">
        <v>44742</v>
      </c>
      <c r="C58" s="7" t="s">
        <v>46</v>
      </c>
      <c r="D58" s="7" t="s">
        <v>37</v>
      </c>
      <c r="H58" s="7" t="s">
        <v>38</v>
      </c>
      <c r="I58" s="7" t="s">
        <v>39</v>
      </c>
      <c r="J58" s="7" t="s">
        <v>38</v>
      </c>
      <c r="K58" s="7" t="s">
        <v>41</v>
      </c>
      <c r="O58" s="7" t="s">
        <v>49</v>
      </c>
      <c r="P58" s="7" t="s">
        <v>36</v>
      </c>
      <c r="Q58" s="7">
        <v>13688.960526999999</v>
      </c>
      <c r="S58" s="7">
        <v>13688.960526999999</v>
      </c>
      <c r="T58" s="7" t="s">
        <v>36</v>
      </c>
      <c r="U58" s="7">
        <v>13688.960526999999</v>
      </c>
      <c r="W58" s="7">
        <v>13688.960526999999</v>
      </c>
      <c r="X58" s="7" t="s">
        <v>36</v>
      </c>
      <c r="Y58" s="7">
        <v>13688.960526999999</v>
      </c>
      <c r="AA58" s="7">
        <v>13688.960526999999</v>
      </c>
      <c r="AB58" s="7" t="str">
        <f>INDEX(Parameters!B:B,MATCH("Report Using",Parameters!A:A,0))</f>
        <v>Reporting</v>
      </c>
      <c r="AC58" s="7" t="str">
        <f t="shared" si="2"/>
        <v>USD</v>
      </c>
      <c r="AD58" s="8">
        <f t="shared" si="3"/>
        <v>13688.960526999999</v>
      </c>
      <c r="AE58" s="7" t="s">
        <v>6</v>
      </c>
      <c r="AF58" s="7" t="s">
        <v>56</v>
      </c>
      <c r="AG58" s="7" t="s">
        <v>2748</v>
      </c>
      <c r="AH58" s="7" t="s">
        <v>2618</v>
      </c>
      <c r="AI58" s="7" t="s">
        <v>1691</v>
      </c>
      <c r="AK58" s="7" t="s">
        <v>2617</v>
      </c>
      <c r="AL58" s="7">
        <v>12</v>
      </c>
      <c r="AM58" s="7" t="s">
        <v>57</v>
      </c>
      <c r="AN58" s="7" t="s">
        <v>314</v>
      </c>
      <c r="AP58" s="7" t="s">
        <v>44</v>
      </c>
      <c r="AR58" s="7" t="s">
        <v>37</v>
      </c>
      <c r="AS58" s="7" t="s">
        <v>37</v>
      </c>
    </row>
    <row r="59" spans="1:45" x14ac:dyDescent="0.3">
      <c r="A59" s="7" t="s">
        <v>310</v>
      </c>
      <c r="B59" s="4">
        <v>44742</v>
      </c>
      <c r="C59" s="7" t="s">
        <v>46</v>
      </c>
      <c r="D59" s="7" t="s">
        <v>37</v>
      </c>
      <c r="H59" s="7" t="s">
        <v>38</v>
      </c>
      <c r="I59" s="7" t="s">
        <v>39</v>
      </c>
      <c r="J59" s="7" t="s">
        <v>40</v>
      </c>
      <c r="K59" s="7" t="s">
        <v>41</v>
      </c>
      <c r="O59" s="7" t="s">
        <v>45</v>
      </c>
      <c r="P59" s="7" t="s">
        <v>36</v>
      </c>
      <c r="Q59" s="7">
        <v>36311.039472999997</v>
      </c>
      <c r="S59" s="7">
        <v>36311.039472999997</v>
      </c>
      <c r="T59" s="7" t="s">
        <v>36</v>
      </c>
      <c r="U59" s="7">
        <v>36311.039472999997</v>
      </c>
      <c r="W59" s="7">
        <v>36311.039472999997</v>
      </c>
      <c r="X59" s="7" t="s">
        <v>36</v>
      </c>
      <c r="Y59" s="7">
        <v>36311.039472999997</v>
      </c>
      <c r="AA59" s="7">
        <v>36311.039472999997</v>
      </c>
      <c r="AB59" s="7" t="str">
        <f>INDEX(Parameters!B:B,MATCH("Report Using",Parameters!A:A,0))</f>
        <v>Reporting</v>
      </c>
      <c r="AC59" s="7" t="str">
        <f t="shared" si="2"/>
        <v>USD</v>
      </c>
      <c r="AD59" s="8">
        <f t="shared" si="3"/>
        <v>36311.039472999997</v>
      </c>
      <c r="AE59" s="7" t="s">
        <v>6</v>
      </c>
      <c r="AF59" s="7" t="s">
        <v>56</v>
      </c>
      <c r="AG59" s="7" t="s">
        <v>2748</v>
      </c>
      <c r="AH59" s="7" t="s">
        <v>2618</v>
      </c>
      <c r="AI59" s="7" t="s">
        <v>1691</v>
      </c>
      <c r="AK59" s="7" t="s">
        <v>2617</v>
      </c>
      <c r="AL59" s="7">
        <v>12</v>
      </c>
      <c r="AM59" s="7" t="s">
        <v>57</v>
      </c>
      <c r="AN59" s="7" t="s">
        <v>316</v>
      </c>
      <c r="AP59" s="7" t="s">
        <v>44</v>
      </c>
      <c r="AR59" s="7" t="s">
        <v>37</v>
      </c>
      <c r="AS59" s="7" t="s">
        <v>37</v>
      </c>
    </row>
    <row r="60" spans="1:45" x14ac:dyDescent="0.3">
      <c r="A60" s="7" t="s">
        <v>310</v>
      </c>
      <c r="B60" s="4">
        <v>44742</v>
      </c>
      <c r="C60" s="7" t="s">
        <v>46</v>
      </c>
      <c r="D60" s="7" t="s">
        <v>37</v>
      </c>
      <c r="H60" s="7" t="s">
        <v>38</v>
      </c>
      <c r="I60" s="7" t="s">
        <v>39</v>
      </c>
      <c r="J60" s="7" t="s">
        <v>40</v>
      </c>
      <c r="K60" s="7" t="s">
        <v>41</v>
      </c>
      <c r="O60" s="7" t="s">
        <v>58</v>
      </c>
      <c r="P60" s="7" t="s">
        <v>36</v>
      </c>
      <c r="R60" s="7">
        <v>50000</v>
      </c>
      <c r="S60" s="7">
        <v>-50000</v>
      </c>
      <c r="T60" s="7" t="s">
        <v>36</v>
      </c>
      <c r="V60" s="7">
        <v>50000</v>
      </c>
      <c r="W60" s="7">
        <v>-50000</v>
      </c>
      <c r="X60" s="7" t="s">
        <v>36</v>
      </c>
      <c r="Z60" s="7">
        <v>50000</v>
      </c>
      <c r="AA60" s="7">
        <v>-50000</v>
      </c>
      <c r="AB60" s="7" t="str">
        <f>INDEX(Parameters!B:B,MATCH("Report Using",Parameters!A:A,0))</f>
        <v>Reporting</v>
      </c>
      <c r="AC60" s="7" t="str">
        <f t="shared" si="2"/>
        <v>USD</v>
      </c>
      <c r="AD60" s="8">
        <f t="shared" si="3"/>
        <v>-50000</v>
      </c>
      <c r="AE60" s="7" t="s">
        <v>6</v>
      </c>
      <c r="AF60" s="7" t="s">
        <v>56</v>
      </c>
      <c r="AG60" s="7" t="s">
        <v>2748</v>
      </c>
      <c r="AH60" s="7" t="s">
        <v>2618</v>
      </c>
      <c r="AI60" s="7" t="s">
        <v>1691</v>
      </c>
      <c r="AK60" s="7" t="s">
        <v>2617</v>
      </c>
      <c r="AL60" s="7">
        <v>12</v>
      </c>
      <c r="AM60" s="7" t="s">
        <v>57</v>
      </c>
      <c r="AN60" s="7" t="s">
        <v>317</v>
      </c>
      <c r="AP60" s="7" t="s">
        <v>44</v>
      </c>
      <c r="AR60" s="7" t="s">
        <v>37</v>
      </c>
      <c r="AS60" s="7" t="s">
        <v>37</v>
      </c>
    </row>
    <row r="61" spans="1:45" x14ac:dyDescent="0.3">
      <c r="A61" s="7" t="s">
        <v>318</v>
      </c>
      <c r="B61" s="4">
        <v>44742</v>
      </c>
      <c r="C61" s="7" t="s">
        <v>46</v>
      </c>
      <c r="D61" s="7" t="s">
        <v>37</v>
      </c>
      <c r="H61" s="7" t="s">
        <v>38</v>
      </c>
      <c r="I61" s="7" t="s">
        <v>39</v>
      </c>
      <c r="J61" s="7" t="s">
        <v>40</v>
      </c>
      <c r="K61" s="7" t="s">
        <v>41</v>
      </c>
      <c r="O61" s="7" t="s">
        <v>47</v>
      </c>
      <c r="P61" s="7" t="s">
        <v>36</v>
      </c>
      <c r="Q61" s="7">
        <v>13477.146129999999</v>
      </c>
      <c r="S61" s="7">
        <v>13477.146129999999</v>
      </c>
      <c r="T61" s="7" t="s">
        <v>36</v>
      </c>
      <c r="U61" s="7">
        <v>13477.146129999999</v>
      </c>
      <c r="W61" s="7">
        <v>13477.146129999999</v>
      </c>
      <c r="X61" s="7" t="s">
        <v>36</v>
      </c>
      <c r="Y61" s="7">
        <v>13477.146129999999</v>
      </c>
      <c r="AA61" s="7">
        <v>13477.146129999999</v>
      </c>
      <c r="AB61" s="7" t="str">
        <f>INDEX(Parameters!B:B,MATCH("Report Using",Parameters!A:A,0))</f>
        <v>Reporting</v>
      </c>
      <c r="AC61" s="7" t="str">
        <f t="shared" si="2"/>
        <v>USD</v>
      </c>
      <c r="AD61" s="8">
        <f t="shared" si="3"/>
        <v>13477.146129999999</v>
      </c>
      <c r="AE61" s="7" t="s">
        <v>6</v>
      </c>
      <c r="AF61" s="7" t="s">
        <v>56</v>
      </c>
      <c r="AG61" s="7" t="s">
        <v>2747</v>
      </c>
      <c r="AH61" s="7" t="s">
        <v>2618</v>
      </c>
      <c r="AI61" s="7" t="s">
        <v>1691</v>
      </c>
      <c r="AK61" s="7" t="s">
        <v>2617</v>
      </c>
      <c r="AL61" s="7">
        <v>8</v>
      </c>
      <c r="AM61" s="7" t="s">
        <v>48</v>
      </c>
      <c r="AN61" s="7" t="s">
        <v>319</v>
      </c>
      <c r="AP61" s="7" t="s">
        <v>44</v>
      </c>
      <c r="AR61" s="7" t="s">
        <v>37</v>
      </c>
      <c r="AS61" s="7" t="s">
        <v>37</v>
      </c>
    </row>
    <row r="62" spans="1:45" x14ac:dyDescent="0.3">
      <c r="A62" s="7" t="s">
        <v>318</v>
      </c>
      <c r="B62" s="4">
        <v>44742</v>
      </c>
      <c r="C62" s="7" t="s">
        <v>46</v>
      </c>
      <c r="D62" s="7" t="s">
        <v>37</v>
      </c>
      <c r="H62" s="7" t="s">
        <v>38</v>
      </c>
      <c r="I62" s="7" t="s">
        <v>39</v>
      </c>
      <c r="J62" s="7" t="s">
        <v>38</v>
      </c>
      <c r="K62" s="7" t="s">
        <v>41</v>
      </c>
      <c r="O62" s="7" t="s">
        <v>49</v>
      </c>
      <c r="P62" s="7" t="s">
        <v>36</v>
      </c>
      <c r="R62" s="7">
        <v>13477.146129999999</v>
      </c>
      <c r="S62" s="7">
        <v>-13477.146129999999</v>
      </c>
      <c r="T62" s="7" t="s">
        <v>36</v>
      </c>
      <c r="V62" s="7">
        <v>13477.146129999999</v>
      </c>
      <c r="W62" s="7">
        <v>-13477.146129999999</v>
      </c>
      <c r="X62" s="7" t="s">
        <v>36</v>
      </c>
      <c r="Z62" s="7">
        <v>13477.146129999999</v>
      </c>
      <c r="AA62" s="7">
        <v>-13477.146129999999</v>
      </c>
      <c r="AB62" s="7" t="str">
        <f>INDEX(Parameters!B:B,MATCH("Report Using",Parameters!A:A,0))</f>
        <v>Reporting</v>
      </c>
      <c r="AC62" s="7" t="str">
        <f t="shared" si="2"/>
        <v>USD</v>
      </c>
      <c r="AD62" s="8">
        <f t="shared" si="3"/>
        <v>-13477.146129999999</v>
      </c>
      <c r="AE62" s="7" t="s">
        <v>6</v>
      </c>
      <c r="AF62" s="7" t="s">
        <v>56</v>
      </c>
      <c r="AG62" s="7" t="s">
        <v>2747</v>
      </c>
      <c r="AH62" s="7" t="s">
        <v>2618</v>
      </c>
      <c r="AI62" s="7" t="s">
        <v>1691</v>
      </c>
      <c r="AK62" s="7" t="s">
        <v>2617</v>
      </c>
      <c r="AL62" s="7">
        <v>8</v>
      </c>
      <c r="AM62" s="7" t="s">
        <v>48</v>
      </c>
      <c r="AN62" s="7" t="s">
        <v>321</v>
      </c>
      <c r="AP62" s="7" t="s">
        <v>44</v>
      </c>
      <c r="AR62" s="7" t="s">
        <v>37</v>
      </c>
      <c r="AS62" s="7" t="s">
        <v>37</v>
      </c>
    </row>
    <row r="63" spans="1:45" x14ac:dyDescent="0.3">
      <c r="A63" s="7" t="s">
        <v>318</v>
      </c>
      <c r="B63" s="4">
        <v>44562</v>
      </c>
      <c r="C63" s="7" t="s">
        <v>35</v>
      </c>
      <c r="D63" s="7" t="s">
        <v>37</v>
      </c>
      <c r="H63" s="7" t="s">
        <v>38</v>
      </c>
      <c r="I63" s="7" t="s">
        <v>39</v>
      </c>
      <c r="J63" s="7" t="s">
        <v>40</v>
      </c>
      <c r="K63" s="7" t="s">
        <v>41</v>
      </c>
      <c r="O63" s="7" t="s">
        <v>50</v>
      </c>
      <c r="P63" s="7" t="s">
        <v>36</v>
      </c>
      <c r="Q63" s="7">
        <v>42330.49</v>
      </c>
      <c r="S63" s="7">
        <v>42330.49</v>
      </c>
      <c r="T63" s="7" t="s">
        <v>36</v>
      </c>
      <c r="U63" s="7">
        <v>42330.49</v>
      </c>
      <c r="W63" s="7">
        <v>42330.49</v>
      </c>
      <c r="X63" s="7" t="s">
        <v>36</v>
      </c>
      <c r="Y63" s="7">
        <v>42330.49</v>
      </c>
      <c r="AA63" s="7">
        <v>42330.49</v>
      </c>
      <c r="AB63" s="7" t="str">
        <f>INDEX(Parameters!B:B,MATCH("Report Using",Parameters!A:A,0))</f>
        <v>Reporting</v>
      </c>
      <c r="AC63" s="7" t="str">
        <f t="shared" si="2"/>
        <v>USD</v>
      </c>
      <c r="AD63" s="8">
        <f t="shared" si="3"/>
        <v>42330.49</v>
      </c>
      <c r="AE63" s="7" t="s">
        <v>6</v>
      </c>
      <c r="AF63" s="7" t="s">
        <v>56</v>
      </c>
      <c r="AG63" s="7" t="s">
        <v>2746</v>
      </c>
      <c r="AH63" s="7" t="s">
        <v>2618</v>
      </c>
      <c r="AI63" s="7" t="s">
        <v>1691</v>
      </c>
      <c r="AK63" s="7" t="s">
        <v>2617</v>
      </c>
      <c r="AL63" s="7">
        <v>10</v>
      </c>
      <c r="AM63" s="7" t="s">
        <v>51</v>
      </c>
      <c r="AN63" s="7" t="s">
        <v>322</v>
      </c>
      <c r="AP63" s="7" t="s">
        <v>44</v>
      </c>
      <c r="AR63" s="7" t="s">
        <v>37</v>
      </c>
      <c r="AS63" s="7" t="s">
        <v>37</v>
      </c>
    </row>
    <row r="64" spans="1:45" x14ac:dyDescent="0.3">
      <c r="A64" s="7" t="s">
        <v>318</v>
      </c>
      <c r="B64" s="4">
        <v>44562</v>
      </c>
      <c r="C64" s="7" t="s">
        <v>35</v>
      </c>
      <c r="D64" s="7" t="s">
        <v>37</v>
      </c>
      <c r="H64" s="7" t="s">
        <v>38</v>
      </c>
      <c r="I64" s="7" t="s">
        <v>39</v>
      </c>
      <c r="J64" s="7" t="s">
        <v>40</v>
      </c>
      <c r="K64" s="7" t="s">
        <v>41</v>
      </c>
      <c r="O64" s="7" t="s">
        <v>52</v>
      </c>
      <c r="P64" s="7" t="s">
        <v>36</v>
      </c>
      <c r="R64" s="7">
        <v>42330.49</v>
      </c>
      <c r="S64" s="7">
        <v>-42330.49</v>
      </c>
      <c r="T64" s="7" t="s">
        <v>36</v>
      </c>
      <c r="V64" s="7">
        <v>42330.49</v>
      </c>
      <c r="W64" s="7">
        <v>-42330.49</v>
      </c>
      <c r="X64" s="7" t="s">
        <v>36</v>
      </c>
      <c r="Z64" s="7">
        <v>42330.49</v>
      </c>
      <c r="AA64" s="7">
        <v>-42330.49</v>
      </c>
      <c r="AB64" s="7" t="str">
        <f>INDEX(Parameters!B:B,MATCH("Report Using",Parameters!A:A,0))</f>
        <v>Reporting</v>
      </c>
      <c r="AC64" s="7" t="str">
        <f t="shared" si="2"/>
        <v>USD</v>
      </c>
      <c r="AD64" s="8">
        <f t="shared" si="3"/>
        <v>-42330.49</v>
      </c>
      <c r="AE64" s="7" t="s">
        <v>6</v>
      </c>
      <c r="AF64" s="7" t="s">
        <v>56</v>
      </c>
      <c r="AG64" s="7" t="s">
        <v>2746</v>
      </c>
      <c r="AH64" s="7" t="s">
        <v>2618</v>
      </c>
      <c r="AI64" s="7" t="s">
        <v>1691</v>
      </c>
      <c r="AK64" s="7" t="s">
        <v>2617</v>
      </c>
      <c r="AL64" s="7">
        <v>10</v>
      </c>
      <c r="AM64" s="7" t="s">
        <v>51</v>
      </c>
      <c r="AN64" s="7" t="s">
        <v>324</v>
      </c>
      <c r="AP64" s="7" t="s">
        <v>44</v>
      </c>
      <c r="AR64" s="7" t="s">
        <v>37</v>
      </c>
      <c r="AS64" s="7" t="s">
        <v>37</v>
      </c>
    </row>
    <row r="65" spans="1:45" x14ac:dyDescent="0.3">
      <c r="A65" s="7" t="s">
        <v>318</v>
      </c>
      <c r="B65" s="4">
        <v>44742</v>
      </c>
      <c r="C65" s="7" t="s">
        <v>35</v>
      </c>
      <c r="D65" s="7" t="s">
        <v>37</v>
      </c>
      <c r="H65" s="7" t="s">
        <v>38</v>
      </c>
      <c r="I65" s="7" t="s">
        <v>39</v>
      </c>
      <c r="J65" s="7" t="s">
        <v>40</v>
      </c>
      <c r="K65" s="7" t="s">
        <v>41</v>
      </c>
      <c r="O65" s="7" t="s">
        <v>45</v>
      </c>
      <c r="P65" s="7" t="s">
        <v>36</v>
      </c>
      <c r="Q65" s="7">
        <v>452612.58</v>
      </c>
      <c r="S65" s="7">
        <v>452612.58</v>
      </c>
      <c r="T65" s="7" t="s">
        <v>36</v>
      </c>
      <c r="U65" s="7">
        <v>452612.58</v>
      </c>
      <c r="W65" s="7">
        <v>452612.58</v>
      </c>
      <c r="X65" s="7" t="s">
        <v>36</v>
      </c>
      <c r="Y65" s="7">
        <v>452612.58</v>
      </c>
      <c r="AA65" s="7">
        <v>452612.58</v>
      </c>
      <c r="AB65" s="7" t="str">
        <f>INDEX(Parameters!B:B,MATCH("Report Using",Parameters!A:A,0))</f>
        <v>Reporting</v>
      </c>
      <c r="AC65" s="7" t="str">
        <f t="shared" si="2"/>
        <v>USD</v>
      </c>
      <c r="AD65" s="8">
        <f t="shared" si="3"/>
        <v>452612.58</v>
      </c>
      <c r="AE65" s="7" t="s">
        <v>6</v>
      </c>
      <c r="AF65" s="7" t="s">
        <v>56</v>
      </c>
      <c r="AG65" s="7" t="s">
        <v>2745</v>
      </c>
      <c r="AH65" s="7" t="s">
        <v>2618</v>
      </c>
      <c r="AI65" s="7" t="s">
        <v>1691</v>
      </c>
      <c r="AK65" s="7" t="s">
        <v>2617</v>
      </c>
      <c r="AL65" s="7">
        <v>11</v>
      </c>
      <c r="AM65" s="7" t="s">
        <v>53</v>
      </c>
      <c r="AN65" s="7" t="s">
        <v>325</v>
      </c>
      <c r="AP65" s="7" t="s">
        <v>44</v>
      </c>
      <c r="AR65" s="7" t="s">
        <v>37</v>
      </c>
      <c r="AS65" s="7" t="s">
        <v>37</v>
      </c>
    </row>
    <row r="66" spans="1:45" x14ac:dyDescent="0.3">
      <c r="A66" s="7" t="s">
        <v>318</v>
      </c>
      <c r="B66" s="4">
        <v>44742</v>
      </c>
      <c r="C66" s="7" t="s">
        <v>35</v>
      </c>
      <c r="D66" s="7" t="s">
        <v>37</v>
      </c>
      <c r="H66" s="7" t="s">
        <v>38</v>
      </c>
      <c r="I66" s="7" t="s">
        <v>39</v>
      </c>
      <c r="J66" s="7" t="s">
        <v>40</v>
      </c>
      <c r="K66" s="7" t="s">
        <v>41</v>
      </c>
      <c r="O66" s="7" t="s">
        <v>54</v>
      </c>
      <c r="P66" s="7" t="s">
        <v>36</v>
      </c>
      <c r="R66" s="7">
        <v>452612.58</v>
      </c>
      <c r="S66" s="7">
        <v>-452612.58</v>
      </c>
      <c r="T66" s="7" t="s">
        <v>36</v>
      </c>
      <c r="V66" s="7">
        <v>452612.58</v>
      </c>
      <c r="W66" s="7">
        <v>-452612.58</v>
      </c>
      <c r="X66" s="7" t="s">
        <v>36</v>
      </c>
      <c r="Z66" s="7">
        <v>452612.58</v>
      </c>
      <c r="AA66" s="7">
        <v>-452612.58</v>
      </c>
      <c r="AB66" s="7" t="str">
        <f>INDEX(Parameters!B:B,MATCH("Report Using",Parameters!A:A,0))</f>
        <v>Reporting</v>
      </c>
      <c r="AC66" s="7" t="str">
        <f t="shared" ref="AC66:AC97" si="4">IF(AB:AB="Transactional",P:P,IF(AB:AB="Functional",T:T,X:X))</f>
        <v>USD</v>
      </c>
      <c r="AD66" s="8">
        <f t="shared" ref="AD66:AD97" si="5">IF(AB:AB="Transactional",S:S,IF(AB:AB="Functional",W:W,AA:AA))</f>
        <v>-452612.58</v>
      </c>
      <c r="AE66" s="7" t="s">
        <v>6</v>
      </c>
      <c r="AF66" s="7" t="s">
        <v>56</v>
      </c>
      <c r="AG66" s="7" t="s">
        <v>2745</v>
      </c>
      <c r="AH66" s="7" t="s">
        <v>2618</v>
      </c>
      <c r="AI66" s="7" t="s">
        <v>1691</v>
      </c>
      <c r="AK66" s="7" t="s">
        <v>2617</v>
      </c>
      <c r="AL66" s="7">
        <v>11</v>
      </c>
      <c r="AM66" s="7" t="s">
        <v>53</v>
      </c>
      <c r="AN66" s="7" t="s">
        <v>327</v>
      </c>
      <c r="AP66" s="7" t="s">
        <v>44</v>
      </c>
      <c r="AR66" s="7" t="s">
        <v>37</v>
      </c>
      <c r="AS66" s="7" t="s">
        <v>37</v>
      </c>
    </row>
    <row r="67" spans="1:45" x14ac:dyDescent="0.3">
      <c r="A67" s="7" t="s">
        <v>328</v>
      </c>
      <c r="B67" s="4">
        <v>44743</v>
      </c>
      <c r="C67" s="7" t="s">
        <v>35</v>
      </c>
      <c r="D67" s="7" t="s">
        <v>37</v>
      </c>
      <c r="H67" s="7" t="s">
        <v>38</v>
      </c>
      <c r="I67" s="7" t="s">
        <v>39</v>
      </c>
      <c r="J67" s="7" t="s">
        <v>40</v>
      </c>
      <c r="K67" s="7" t="s">
        <v>41</v>
      </c>
      <c r="O67" s="7" t="s">
        <v>54</v>
      </c>
      <c r="P67" s="7" t="s">
        <v>36</v>
      </c>
      <c r="Q67" s="7">
        <v>452612.58</v>
      </c>
      <c r="S67" s="7">
        <v>452612.58</v>
      </c>
      <c r="T67" s="7" t="s">
        <v>36</v>
      </c>
      <c r="U67" s="7">
        <v>452612.58</v>
      </c>
      <c r="W67" s="7">
        <v>452612.58</v>
      </c>
      <c r="X67" s="7" t="s">
        <v>36</v>
      </c>
      <c r="Y67" s="7">
        <v>452612.58</v>
      </c>
      <c r="AA67" s="7">
        <v>452612.58</v>
      </c>
      <c r="AB67" s="7" t="str">
        <f>INDEX(Parameters!B:B,MATCH("Report Using",Parameters!A:A,0))</f>
        <v>Reporting</v>
      </c>
      <c r="AC67" s="7" t="str">
        <f t="shared" si="4"/>
        <v>USD</v>
      </c>
      <c r="AD67" s="8">
        <f t="shared" si="5"/>
        <v>452612.58</v>
      </c>
      <c r="AE67" s="7" t="s">
        <v>6</v>
      </c>
      <c r="AF67" s="7" t="s">
        <v>56</v>
      </c>
      <c r="AG67" s="7" t="s">
        <v>2745</v>
      </c>
      <c r="AH67" s="7" t="s">
        <v>2618</v>
      </c>
      <c r="AI67" s="7" t="s">
        <v>1691</v>
      </c>
      <c r="AK67" s="7" t="s">
        <v>2617</v>
      </c>
      <c r="AL67" s="7">
        <v>11</v>
      </c>
      <c r="AM67" s="7" t="s">
        <v>55</v>
      </c>
      <c r="AN67" s="7" t="s">
        <v>329</v>
      </c>
      <c r="AP67" s="7" t="s">
        <v>44</v>
      </c>
      <c r="AR67" s="7" t="s">
        <v>37</v>
      </c>
      <c r="AS67" s="7" t="s">
        <v>37</v>
      </c>
    </row>
    <row r="68" spans="1:45" x14ac:dyDescent="0.3">
      <c r="A68" s="7" t="s">
        <v>328</v>
      </c>
      <c r="B68" s="4">
        <v>44743</v>
      </c>
      <c r="C68" s="7" t="s">
        <v>35</v>
      </c>
      <c r="D68" s="7" t="s">
        <v>37</v>
      </c>
      <c r="H68" s="7" t="s">
        <v>38</v>
      </c>
      <c r="I68" s="7" t="s">
        <v>39</v>
      </c>
      <c r="J68" s="7" t="s">
        <v>40</v>
      </c>
      <c r="K68" s="7" t="s">
        <v>41</v>
      </c>
      <c r="O68" s="7" t="s">
        <v>45</v>
      </c>
      <c r="P68" s="7" t="s">
        <v>36</v>
      </c>
      <c r="R68" s="7">
        <v>452612.58</v>
      </c>
      <c r="S68" s="7">
        <v>-452612.58</v>
      </c>
      <c r="T68" s="7" t="s">
        <v>36</v>
      </c>
      <c r="V68" s="7">
        <v>452612.58</v>
      </c>
      <c r="W68" s="7">
        <v>-452612.58</v>
      </c>
      <c r="X68" s="7" t="s">
        <v>36</v>
      </c>
      <c r="Z68" s="7">
        <v>452612.58</v>
      </c>
      <c r="AA68" s="7">
        <v>-452612.58</v>
      </c>
      <c r="AB68" s="7" t="str">
        <f>INDEX(Parameters!B:B,MATCH("Report Using",Parameters!A:A,0))</f>
        <v>Reporting</v>
      </c>
      <c r="AC68" s="7" t="str">
        <f t="shared" si="4"/>
        <v>USD</v>
      </c>
      <c r="AD68" s="8">
        <f t="shared" si="5"/>
        <v>-452612.58</v>
      </c>
      <c r="AE68" s="7" t="s">
        <v>6</v>
      </c>
      <c r="AF68" s="7" t="s">
        <v>56</v>
      </c>
      <c r="AG68" s="7" t="s">
        <v>2745</v>
      </c>
      <c r="AH68" s="7" t="s">
        <v>2618</v>
      </c>
      <c r="AI68" s="7" t="s">
        <v>1691</v>
      </c>
      <c r="AK68" s="7" t="s">
        <v>2617</v>
      </c>
      <c r="AL68" s="7">
        <v>11</v>
      </c>
      <c r="AM68" s="7" t="s">
        <v>55</v>
      </c>
      <c r="AN68" s="7" t="s">
        <v>331</v>
      </c>
      <c r="AP68" s="7" t="s">
        <v>44</v>
      </c>
      <c r="AR68" s="7" t="s">
        <v>37</v>
      </c>
      <c r="AS68" s="7" t="s">
        <v>37</v>
      </c>
    </row>
    <row r="69" spans="1:45" x14ac:dyDescent="0.3">
      <c r="A69" s="7" t="s">
        <v>328</v>
      </c>
      <c r="B69" s="4">
        <v>44773</v>
      </c>
      <c r="C69" s="7" t="s">
        <v>46</v>
      </c>
      <c r="D69" s="7" t="s">
        <v>37</v>
      </c>
      <c r="H69" s="7" t="s">
        <v>38</v>
      </c>
      <c r="I69" s="7" t="s">
        <v>39</v>
      </c>
      <c r="J69" s="7" t="s">
        <v>38</v>
      </c>
      <c r="K69" s="7" t="s">
        <v>41</v>
      </c>
      <c r="O69" s="7" t="s">
        <v>49</v>
      </c>
      <c r="P69" s="7" t="s">
        <v>36</v>
      </c>
      <c r="Q69" s="7">
        <v>13477.146129999999</v>
      </c>
      <c r="S69" s="7">
        <v>13477.146129999999</v>
      </c>
      <c r="T69" s="7" t="s">
        <v>36</v>
      </c>
      <c r="U69" s="7">
        <v>13477.146129999999</v>
      </c>
      <c r="W69" s="7">
        <v>13477.146129999999</v>
      </c>
      <c r="X69" s="7" t="s">
        <v>36</v>
      </c>
      <c r="Y69" s="7">
        <v>13477.146129999999</v>
      </c>
      <c r="AA69" s="7">
        <v>13477.146129999999</v>
      </c>
      <c r="AB69" s="7" t="str">
        <f>INDEX(Parameters!B:B,MATCH("Report Using",Parameters!A:A,0))</f>
        <v>Reporting</v>
      </c>
      <c r="AC69" s="7" t="str">
        <f t="shared" si="4"/>
        <v>USD</v>
      </c>
      <c r="AD69" s="8">
        <f t="shared" si="5"/>
        <v>13477.146129999999</v>
      </c>
      <c r="AE69" s="7" t="s">
        <v>6</v>
      </c>
      <c r="AF69" s="7" t="s">
        <v>56</v>
      </c>
      <c r="AG69" s="7" t="s">
        <v>2748</v>
      </c>
      <c r="AH69" s="7" t="s">
        <v>2618</v>
      </c>
      <c r="AI69" s="7" t="s">
        <v>1691</v>
      </c>
      <c r="AK69" s="7" t="s">
        <v>2617</v>
      </c>
      <c r="AL69" s="7">
        <v>12</v>
      </c>
      <c r="AM69" s="7" t="s">
        <v>57</v>
      </c>
      <c r="AN69" s="7" t="s">
        <v>332</v>
      </c>
      <c r="AP69" s="7" t="s">
        <v>44</v>
      </c>
      <c r="AR69" s="7" t="s">
        <v>37</v>
      </c>
      <c r="AS69" s="7" t="s">
        <v>37</v>
      </c>
    </row>
    <row r="70" spans="1:45" x14ac:dyDescent="0.3">
      <c r="A70" s="7" t="s">
        <v>328</v>
      </c>
      <c r="B70" s="4">
        <v>44773</v>
      </c>
      <c r="C70" s="7" t="s">
        <v>46</v>
      </c>
      <c r="D70" s="7" t="s">
        <v>37</v>
      </c>
      <c r="H70" s="7" t="s">
        <v>38</v>
      </c>
      <c r="I70" s="7" t="s">
        <v>39</v>
      </c>
      <c r="J70" s="7" t="s">
        <v>40</v>
      </c>
      <c r="K70" s="7" t="s">
        <v>41</v>
      </c>
      <c r="O70" s="7" t="s">
        <v>45</v>
      </c>
      <c r="P70" s="7" t="s">
        <v>36</v>
      </c>
      <c r="Q70" s="7">
        <v>36522.853869999999</v>
      </c>
      <c r="S70" s="7">
        <v>36522.853869999999</v>
      </c>
      <c r="T70" s="7" t="s">
        <v>36</v>
      </c>
      <c r="U70" s="7">
        <v>36522.853869999999</v>
      </c>
      <c r="W70" s="7">
        <v>36522.853869999999</v>
      </c>
      <c r="X70" s="7" t="s">
        <v>36</v>
      </c>
      <c r="Y70" s="7">
        <v>36522.853869999999</v>
      </c>
      <c r="AA70" s="7">
        <v>36522.853869999999</v>
      </c>
      <c r="AB70" s="7" t="str">
        <f>INDEX(Parameters!B:B,MATCH("Report Using",Parameters!A:A,0))</f>
        <v>Reporting</v>
      </c>
      <c r="AC70" s="7" t="str">
        <f t="shared" si="4"/>
        <v>USD</v>
      </c>
      <c r="AD70" s="8">
        <f t="shared" si="5"/>
        <v>36522.853869999999</v>
      </c>
      <c r="AE70" s="7" t="s">
        <v>6</v>
      </c>
      <c r="AF70" s="7" t="s">
        <v>56</v>
      </c>
      <c r="AG70" s="7" t="s">
        <v>2748</v>
      </c>
      <c r="AH70" s="7" t="s">
        <v>2618</v>
      </c>
      <c r="AI70" s="7" t="s">
        <v>1691</v>
      </c>
      <c r="AK70" s="7" t="s">
        <v>2617</v>
      </c>
      <c r="AL70" s="7">
        <v>12</v>
      </c>
      <c r="AM70" s="7" t="s">
        <v>57</v>
      </c>
      <c r="AN70" s="7" t="s">
        <v>334</v>
      </c>
      <c r="AP70" s="7" t="s">
        <v>44</v>
      </c>
      <c r="AR70" s="7" t="s">
        <v>37</v>
      </c>
      <c r="AS70" s="7" t="s">
        <v>37</v>
      </c>
    </row>
    <row r="71" spans="1:45" x14ac:dyDescent="0.3">
      <c r="A71" s="7" t="s">
        <v>328</v>
      </c>
      <c r="B71" s="4">
        <v>44773</v>
      </c>
      <c r="C71" s="7" t="s">
        <v>46</v>
      </c>
      <c r="D71" s="7" t="s">
        <v>37</v>
      </c>
      <c r="H71" s="7" t="s">
        <v>38</v>
      </c>
      <c r="I71" s="7" t="s">
        <v>39</v>
      </c>
      <c r="J71" s="7" t="s">
        <v>40</v>
      </c>
      <c r="K71" s="7" t="s">
        <v>41</v>
      </c>
      <c r="O71" s="7" t="s">
        <v>58</v>
      </c>
      <c r="P71" s="7" t="s">
        <v>36</v>
      </c>
      <c r="R71" s="7">
        <v>50000</v>
      </c>
      <c r="S71" s="7">
        <v>-50000</v>
      </c>
      <c r="T71" s="7" t="s">
        <v>36</v>
      </c>
      <c r="V71" s="7">
        <v>50000</v>
      </c>
      <c r="W71" s="7">
        <v>-50000</v>
      </c>
      <c r="X71" s="7" t="s">
        <v>36</v>
      </c>
      <c r="Z71" s="7">
        <v>50000</v>
      </c>
      <c r="AA71" s="7">
        <v>-50000</v>
      </c>
      <c r="AB71" s="7" t="str">
        <f>INDEX(Parameters!B:B,MATCH("Report Using",Parameters!A:A,0))</f>
        <v>Reporting</v>
      </c>
      <c r="AC71" s="7" t="str">
        <f t="shared" si="4"/>
        <v>USD</v>
      </c>
      <c r="AD71" s="8">
        <f t="shared" si="5"/>
        <v>-50000</v>
      </c>
      <c r="AE71" s="7" t="s">
        <v>6</v>
      </c>
      <c r="AF71" s="7" t="s">
        <v>56</v>
      </c>
      <c r="AG71" s="7" t="s">
        <v>2748</v>
      </c>
      <c r="AH71" s="7" t="s">
        <v>2618</v>
      </c>
      <c r="AI71" s="7" t="s">
        <v>1691</v>
      </c>
      <c r="AK71" s="7" t="s">
        <v>2617</v>
      </c>
      <c r="AL71" s="7">
        <v>12</v>
      </c>
      <c r="AM71" s="7" t="s">
        <v>57</v>
      </c>
      <c r="AN71" s="7" t="s">
        <v>335</v>
      </c>
      <c r="AP71" s="7" t="s">
        <v>44</v>
      </c>
      <c r="AR71" s="7" t="s">
        <v>37</v>
      </c>
      <c r="AS71" s="7" t="s">
        <v>37</v>
      </c>
    </row>
    <row r="72" spans="1:45" x14ac:dyDescent="0.3">
      <c r="A72" s="7" t="s">
        <v>336</v>
      </c>
      <c r="B72" s="4">
        <v>44773</v>
      </c>
      <c r="C72" s="7" t="s">
        <v>46</v>
      </c>
      <c r="D72" s="7" t="s">
        <v>37</v>
      </c>
      <c r="H72" s="7" t="s">
        <v>38</v>
      </c>
      <c r="I72" s="7" t="s">
        <v>39</v>
      </c>
      <c r="J72" s="7" t="s">
        <v>40</v>
      </c>
      <c r="K72" s="7" t="s">
        <v>41</v>
      </c>
      <c r="O72" s="7" t="s">
        <v>47</v>
      </c>
      <c r="P72" s="7" t="s">
        <v>36</v>
      </c>
      <c r="Q72" s="7">
        <v>13264.096149000001</v>
      </c>
      <c r="S72" s="7">
        <v>13264.096149000001</v>
      </c>
      <c r="T72" s="7" t="s">
        <v>36</v>
      </c>
      <c r="U72" s="7">
        <v>13264.096149000001</v>
      </c>
      <c r="W72" s="7">
        <v>13264.096149000001</v>
      </c>
      <c r="X72" s="7" t="s">
        <v>36</v>
      </c>
      <c r="Y72" s="7">
        <v>13264.096149000001</v>
      </c>
      <c r="AA72" s="7">
        <v>13264.096149000001</v>
      </c>
      <c r="AB72" s="7" t="str">
        <f>INDEX(Parameters!B:B,MATCH("Report Using",Parameters!A:A,0))</f>
        <v>Reporting</v>
      </c>
      <c r="AC72" s="7" t="str">
        <f t="shared" si="4"/>
        <v>USD</v>
      </c>
      <c r="AD72" s="8">
        <f t="shared" si="5"/>
        <v>13264.096149000001</v>
      </c>
      <c r="AE72" s="7" t="s">
        <v>6</v>
      </c>
      <c r="AF72" s="7" t="s">
        <v>56</v>
      </c>
      <c r="AG72" s="7" t="s">
        <v>2747</v>
      </c>
      <c r="AH72" s="7" t="s">
        <v>2618</v>
      </c>
      <c r="AI72" s="7" t="s">
        <v>1691</v>
      </c>
      <c r="AK72" s="7" t="s">
        <v>2617</v>
      </c>
      <c r="AL72" s="7">
        <v>8</v>
      </c>
      <c r="AM72" s="7" t="s">
        <v>48</v>
      </c>
      <c r="AN72" s="7" t="s">
        <v>337</v>
      </c>
      <c r="AP72" s="7" t="s">
        <v>44</v>
      </c>
      <c r="AR72" s="7" t="s">
        <v>37</v>
      </c>
      <c r="AS72" s="7" t="s">
        <v>37</v>
      </c>
    </row>
    <row r="73" spans="1:45" x14ac:dyDescent="0.3">
      <c r="A73" s="7" t="s">
        <v>336</v>
      </c>
      <c r="B73" s="4">
        <v>44773</v>
      </c>
      <c r="C73" s="7" t="s">
        <v>46</v>
      </c>
      <c r="D73" s="7" t="s">
        <v>37</v>
      </c>
      <c r="H73" s="7" t="s">
        <v>38</v>
      </c>
      <c r="I73" s="7" t="s">
        <v>39</v>
      </c>
      <c r="J73" s="7" t="s">
        <v>38</v>
      </c>
      <c r="K73" s="7" t="s">
        <v>41</v>
      </c>
      <c r="O73" s="7" t="s">
        <v>49</v>
      </c>
      <c r="P73" s="7" t="s">
        <v>36</v>
      </c>
      <c r="R73" s="7">
        <v>13264.096149000001</v>
      </c>
      <c r="S73" s="7">
        <v>-13264.096149000001</v>
      </c>
      <c r="T73" s="7" t="s">
        <v>36</v>
      </c>
      <c r="V73" s="7">
        <v>13264.096149000001</v>
      </c>
      <c r="W73" s="7">
        <v>-13264.096149000001</v>
      </c>
      <c r="X73" s="7" t="s">
        <v>36</v>
      </c>
      <c r="Z73" s="7">
        <v>13264.096149000001</v>
      </c>
      <c r="AA73" s="7">
        <v>-13264.096149000001</v>
      </c>
      <c r="AB73" s="7" t="str">
        <f>INDEX(Parameters!B:B,MATCH("Report Using",Parameters!A:A,0))</f>
        <v>Reporting</v>
      </c>
      <c r="AC73" s="7" t="str">
        <f t="shared" si="4"/>
        <v>USD</v>
      </c>
      <c r="AD73" s="8">
        <f t="shared" si="5"/>
        <v>-13264.096149000001</v>
      </c>
      <c r="AE73" s="7" t="s">
        <v>6</v>
      </c>
      <c r="AF73" s="7" t="s">
        <v>56</v>
      </c>
      <c r="AG73" s="7" t="s">
        <v>2747</v>
      </c>
      <c r="AH73" s="7" t="s">
        <v>2618</v>
      </c>
      <c r="AI73" s="7" t="s">
        <v>1691</v>
      </c>
      <c r="AK73" s="7" t="s">
        <v>2617</v>
      </c>
      <c r="AL73" s="7">
        <v>8</v>
      </c>
      <c r="AM73" s="7" t="s">
        <v>48</v>
      </c>
      <c r="AN73" s="7" t="s">
        <v>339</v>
      </c>
      <c r="AP73" s="7" t="s">
        <v>44</v>
      </c>
      <c r="AR73" s="7" t="s">
        <v>37</v>
      </c>
      <c r="AS73" s="7" t="s">
        <v>37</v>
      </c>
    </row>
    <row r="74" spans="1:45" x14ac:dyDescent="0.3">
      <c r="A74" s="7" t="s">
        <v>336</v>
      </c>
      <c r="B74" s="4">
        <v>44562</v>
      </c>
      <c r="C74" s="7" t="s">
        <v>35</v>
      </c>
      <c r="D74" s="7" t="s">
        <v>37</v>
      </c>
      <c r="H74" s="7" t="s">
        <v>38</v>
      </c>
      <c r="I74" s="7" t="s">
        <v>39</v>
      </c>
      <c r="J74" s="7" t="s">
        <v>40</v>
      </c>
      <c r="K74" s="7" t="s">
        <v>41</v>
      </c>
      <c r="O74" s="7" t="s">
        <v>50</v>
      </c>
      <c r="P74" s="7" t="s">
        <v>36</v>
      </c>
      <c r="Q74" s="7">
        <v>42330.49</v>
      </c>
      <c r="S74" s="7">
        <v>42330.49</v>
      </c>
      <c r="T74" s="7" t="s">
        <v>36</v>
      </c>
      <c r="U74" s="7">
        <v>42330.49</v>
      </c>
      <c r="W74" s="7">
        <v>42330.49</v>
      </c>
      <c r="X74" s="7" t="s">
        <v>36</v>
      </c>
      <c r="Y74" s="7">
        <v>42330.49</v>
      </c>
      <c r="AA74" s="7">
        <v>42330.49</v>
      </c>
      <c r="AB74" s="7" t="str">
        <f>INDEX(Parameters!B:B,MATCH("Report Using",Parameters!A:A,0))</f>
        <v>Reporting</v>
      </c>
      <c r="AC74" s="7" t="str">
        <f t="shared" si="4"/>
        <v>USD</v>
      </c>
      <c r="AD74" s="8">
        <f t="shared" si="5"/>
        <v>42330.49</v>
      </c>
      <c r="AE74" s="7" t="s">
        <v>6</v>
      </c>
      <c r="AF74" s="7" t="s">
        <v>56</v>
      </c>
      <c r="AG74" s="7" t="s">
        <v>2746</v>
      </c>
      <c r="AH74" s="7" t="s">
        <v>2618</v>
      </c>
      <c r="AI74" s="7" t="s">
        <v>1691</v>
      </c>
      <c r="AK74" s="7" t="s">
        <v>2617</v>
      </c>
      <c r="AL74" s="7">
        <v>10</v>
      </c>
      <c r="AM74" s="7" t="s">
        <v>51</v>
      </c>
      <c r="AN74" s="7" t="s">
        <v>340</v>
      </c>
      <c r="AP74" s="7" t="s">
        <v>44</v>
      </c>
      <c r="AR74" s="7" t="s">
        <v>37</v>
      </c>
      <c r="AS74" s="7" t="s">
        <v>37</v>
      </c>
    </row>
    <row r="75" spans="1:45" x14ac:dyDescent="0.3">
      <c r="A75" s="7" t="s">
        <v>336</v>
      </c>
      <c r="B75" s="4">
        <v>44562</v>
      </c>
      <c r="C75" s="7" t="s">
        <v>35</v>
      </c>
      <c r="D75" s="7" t="s">
        <v>37</v>
      </c>
      <c r="H75" s="7" t="s">
        <v>38</v>
      </c>
      <c r="I75" s="7" t="s">
        <v>39</v>
      </c>
      <c r="J75" s="7" t="s">
        <v>40</v>
      </c>
      <c r="K75" s="7" t="s">
        <v>41</v>
      </c>
      <c r="O75" s="7" t="s">
        <v>52</v>
      </c>
      <c r="P75" s="7" t="s">
        <v>36</v>
      </c>
      <c r="R75" s="7">
        <v>42330.49</v>
      </c>
      <c r="S75" s="7">
        <v>-42330.49</v>
      </c>
      <c r="T75" s="7" t="s">
        <v>36</v>
      </c>
      <c r="V75" s="7">
        <v>42330.49</v>
      </c>
      <c r="W75" s="7">
        <v>-42330.49</v>
      </c>
      <c r="X75" s="7" t="s">
        <v>36</v>
      </c>
      <c r="Z75" s="7">
        <v>42330.49</v>
      </c>
      <c r="AA75" s="7">
        <v>-42330.49</v>
      </c>
      <c r="AB75" s="7" t="str">
        <f>INDEX(Parameters!B:B,MATCH("Report Using",Parameters!A:A,0))</f>
        <v>Reporting</v>
      </c>
      <c r="AC75" s="7" t="str">
        <f t="shared" si="4"/>
        <v>USD</v>
      </c>
      <c r="AD75" s="8">
        <f t="shared" si="5"/>
        <v>-42330.49</v>
      </c>
      <c r="AE75" s="7" t="s">
        <v>6</v>
      </c>
      <c r="AF75" s="7" t="s">
        <v>56</v>
      </c>
      <c r="AG75" s="7" t="s">
        <v>2746</v>
      </c>
      <c r="AH75" s="7" t="s">
        <v>2618</v>
      </c>
      <c r="AI75" s="7" t="s">
        <v>1691</v>
      </c>
      <c r="AK75" s="7" t="s">
        <v>2617</v>
      </c>
      <c r="AL75" s="7">
        <v>10</v>
      </c>
      <c r="AM75" s="7" t="s">
        <v>51</v>
      </c>
      <c r="AN75" s="7" t="s">
        <v>342</v>
      </c>
      <c r="AP75" s="7" t="s">
        <v>44</v>
      </c>
      <c r="AR75" s="7" t="s">
        <v>37</v>
      </c>
      <c r="AS75" s="7" t="s">
        <v>37</v>
      </c>
    </row>
    <row r="76" spans="1:45" x14ac:dyDescent="0.3">
      <c r="A76" s="7" t="s">
        <v>336</v>
      </c>
      <c r="B76" s="4">
        <v>44773</v>
      </c>
      <c r="C76" s="7" t="s">
        <v>35</v>
      </c>
      <c r="D76" s="7" t="s">
        <v>37</v>
      </c>
      <c r="H76" s="7" t="s">
        <v>38</v>
      </c>
      <c r="I76" s="7" t="s">
        <v>39</v>
      </c>
      <c r="J76" s="7" t="s">
        <v>40</v>
      </c>
      <c r="K76" s="7" t="s">
        <v>41</v>
      </c>
      <c r="O76" s="7" t="s">
        <v>45</v>
      </c>
      <c r="P76" s="7" t="s">
        <v>36</v>
      </c>
      <c r="Q76" s="7">
        <v>455252.83</v>
      </c>
      <c r="S76" s="7">
        <v>455252.83</v>
      </c>
      <c r="T76" s="7" t="s">
        <v>36</v>
      </c>
      <c r="U76" s="7">
        <v>455252.83</v>
      </c>
      <c r="W76" s="7">
        <v>455252.83</v>
      </c>
      <c r="X76" s="7" t="s">
        <v>36</v>
      </c>
      <c r="Y76" s="7">
        <v>455252.83</v>
      </c>
      <c r="AA76" s="7">
        <v>455252.83</v>
      </c>
      <c r="AB76" s="7" t="str">
        <f>INDEX(Parameters!B:B,MATCH("Report Using",Parameters!A:A,0))</f>
        <v>Reporting</v>
      </c>
      <c r="AC76" s="7" t="str">
        <f t="shared" si="4"/>
        <v>USD</v>
      </c>
      <c r="AD76" s="8">
        <f t="shared" si="5"/>
        <v>455252.83</v>
      </c>
      <c r="AE76" s="7" t="s">
        <v>6</v>
      </c>
      <c r="AF76" s="7" t="s">
        <v>56</v>
      </c>
      <c r="AG76" s="7" t="s">
        <v>2745</v>
      </c>
      <c r="AH76" s="7" t="s">
        <v>2618</v>
      </c>
      <c r="AI76" s="7" t="s">
        <v>1691</v>
      </c>
      <c r="AK76" s="7" t="s">
        <v>2617</v>
      </c>
      <c r="AL76" s="7">
        <v>11</v>
      </c>
      <c r="AM76" s="7" t="s">
        <v>53</v>
      </c>
      <c r="AN76" s="7" t="s">
        <v>343</v>
      </c>
      <c r="AP76" s="7" t="s">
        <v>44</v>
      </c>
      <c r="AR76" s="7" t="s">
        <v>37</v>
      </c>
      <c r="AS76" s="7" t="s">
        <v>37</v>
      </c>
    </row>
    <row r="77" spans="1:45" x14ac:dyDescent="0.3">
      <c r="A77" s="7" t="s">
        <v>336</v>
      </c>
      <c r="B77" s="4">
        <v>44773</v>
      </c>
      <c r="C77" s="7" t="s">
        <v>35</v>
      </c>
      <c r="D77" s="7" t="s">
        <v>37</v>
      </c>
      <c r="H77" s="7" t="s">
        <v>38</v>
      </c>
      <c r="I77" s="7" t="s">
        <v>39</v>
      </c>
      <c r="J77" s="7" t="s">
        <v>40</v>
      </c>
      <c r="K77" s="7" t="s">
        <v>41</v>
      </c>
      <c r="O77" s="7" t="s">
        <v>54</v>
      </c>
      <c r="P77" s="7" t="s">
        <v>36</v>
      </c>
      <c r="R77" s="7">
        <v>455252.83</v>
      </c>
      <c r="S77" s="7">
        <v>-455252.83</v>
      </c>
      <c r="T77" s="7" t="s">
        <v>36</v>
      </c>
      <c r="V77" s="7">
        <v>455252.83</v>
      </c>
      <c r="W77" s="7">
        <v>-455252.83</v>
      </c>
      <c r="X77" s="7" t="s">
        <v>36</v>
      </c>
      <c r="Z77" s="7">
        <v>455252.83</v>
      </c>
      <c r="AA77" s="7">
        <v>-455252.83</v>
      </c>
      <c r="AB77" s="7" t="str">
        <f>INDEX(Parameters!B:B,MATCH("Report Using",Parameters!A:A,0))</f>
        <v>Reporting</v>
      </c>
      <c r="AC77" s="7" t="str">
        <f t="shared" si="4"/>
        <v>USD</v>
      </c>
      <c r="AD77" s="8">
        <f t="shared" si="5"/>
        <v>-455252.83</v>
      </c>
      <c r="AE77" s="7" t="s">
        <v>6</v>
      </c>
      <c r="AF77" s="7" t="s">
        <v>56</v>
      </c>
      <c r="AG77" s="7" t="s">
        <v>2745</v>
      </c>
      <c r="AH77" s="7" t="s">
        <v>2618</v>
      </c>
      <c r="AI77" s="7" t="s">
        <v>1691</v>
      </c>
      <c r="AK77" s="7" t="s">
        <v>2617</v>
      </c>
      <c r="AL77" s="7">
        <v>11</v>
      </c>
      <c r="AM77" s="7" t="s">
        <v>53</v>
      </c>
      <c r="AN77" s="7" t="s">
        <v>345</v>
      </c>
      <c r="AP77" s="7" t="s">
        <v>44</v>
      </c>
      <c r="AR77" s="7" t="s">
        <v>37</v>
      </c>
      <c r="AS77" s="7" t="s">
        <v>37</v>
      </c>
    </row>
    <row r="78" spans="1:45" x14ac:dyDescent="0.3">
      <c r="A78" s="7" t="s">
        <v>346</v>
      </c>
      <c r="B78" s="4">
        <v>44774</v>
      </c>
      <c r="C78" s="7" t="s">
        <v>35</v>
      </c>
      <c r="D78" s="7" t="s">
        <v>37</v>
      </c>
      <c r="H78" s="7" t="s">
        <v>38</v>
      </c>
      <c r="I78" s="7" t="s">
        <v>39</v>
      </c>
      <c r="J78" s="7" t="s">
        <v>40</v>
      </c>
      <c r="K78" s="7" t="s">
        <v>41</v>
      </c>
      <c r="O78" s="7" t="s">
        <v>54</v>
      </c>
      <c r="P78" s="7" t="s">
        <v>36</v>
      </c>
      <c r="Q78" s="7">
        <v>455252.83</v>
      </c>
      <c r="S78" s="7">
        <v>455252.83</v>
      </c>
      <c r="T78" s="7" t="s">
        <v>36</v>
      </c>
      <c r="U78" s="7">
        <v>455252.83</v>
      </c>
      <c r="W78" s="7">
        <v>455252.83</v>
      </c>
      <c r="X78" s="7" t="s">
        <v>36</v>
      </c>
      <c r="Y78" s="7">
        <v>455252.83</v>
      </c>
      <c r="AA78" s="7">
        <v>455252.83</v>
      </c>
      <c r="AB78" s="7" t="str">
        <f>INDEX(Parameters!B:B,MATCH("Report Using",Parameters!A:A,0))</f>
        <v>Reporting</v>
      </c>
      <c r="AC78" s="7" t="str">
        <f t="shared" si="4"/>
        <v>USD</v>
      </c>
      <c r="AD78" s="8">
        <f t="shared" si="5"/>
        <v>455252.83</v>
      </c>
      <c r="AE78" s="7" t="s">
        <v>6</v>
      </c>
      <c r="AF78" s="7" t="s">
        <v>56</v>
      </c>
      <c r="AG78" s="7" t="s">
        <v>2745</v>
      </c>
      <c r="AH78" s="7" t="s">
        <v>2618</v>
      </c>
      <c r="AI78" s="7" t="s">
        <v>1691</v>
      </c>
      <c r="AK78" s="7" t="s">
        <v>2617</v>
      </c>
      <c r="AL78" s="7">
        <v>11</v>
      </c>
      <c r="AM78" s="7" t="s">
        <v>55</v>
      </c>
      <c r="AN78" s="7" t="s">
        <v>347</v>
      </c>
      <c r="AP78" s="7" t="s">
        <v>44</v>
      </c>
      <c r="AR78" s="7" t="s">
        <v>37</v>
      </c>
      <c r="AS78" s="7" t="s">
        <v>37</v>
      </c>
    </row>
    <row r="79" spans="1:45" x14ac:dyDescent="0.3">
      <c r="A79" s="7" t="s">
        <v>346</v>
      </c>
      <c r="B79" s="4">
        <v>44774</v>
      </c>
      <c r="C79" s="7" t="s">
        <v>35</v>
      </c>
      <c r="D79" s="7" t="s">
        <v>37</v>
      </c>
      <c r="H79" s="7" t="s">
        <v>38</v>
      </c>
      <c r="I79" s="7" t="s">
        <v>39</v>
      </c>
      <c r="J79" s="7" t="s">
        <v>40</v>
      </c>
      <c r="K79" s="7" t="s">
        <v>41</v>
      </c>
      <c r="O79" s="7" t="s">
        <v>45</v>
      </c>
      <c r="P79" s="7" t="s">
        <v>36</v>
      </c>
      <c r="R79" s="7">
        <v>455252.83</v>
      </c>
      <c r="S79" s="7">
        <v>-455252.83</v>
      </c>
      <c r="T79" s="7" t="s">
        <v>36</v>
      </c>
      <c r="V79" s="7">
        <v>455252.83</v>
      </c>
      <c r="W79" s="7">
        <v>-455252.83</v>
      </c>
      <c r="X79" s="7" t="s">
        <v>36</v>
      </c>
      <c r="Z79" s="7">
        <v>455252.83</v>
      </c>
      <c r="AA79" s="7">
        <v>-455252.83</v>
      </c>
      <c r="AB79" s="7" t="str">
        <f>INDEX(Parameters!B:B,MATCH("Report Using",Parameters!A:A,0))</f>
        <v>Reporting</v>
      </c>
      <c r="AC79" s="7" t="str">
        <f t="shared" si="4"/>
        <v>USD</v>
      </c>
      <c r="AD79" s="8">
        <f t="shared" si="5"/>
        <v>-455252.83</v>
      </c>
      <c r="AE79" s="7" t="s">
        <v>6</v>
      </c>
      <c r="AF79" s="7" t="s">
        <v>56</v>
      </c>
      <c r="AG79" s="7" t="s">
        <v>2745</v>
      </c>
      <c r="AH79" s="7" t="s">
        <v>2618</v>
      </c>
      <c r="AI79" s="7" t="s">
        <v>1691</v>
      </c>
      <c r="AK79" s="7" t="s">
        <v>2617</v>
      </c>
      <c r="AL79" s="7">
        <v>11</v>
      </c>
      <c r="AM79" s="7" t="s">
        <v>55</v>
      </c>
      <c r="AN79" s="7" t="s">
        <v>349</v>
      </c>
      <c r="AP79" s="7" t="s">
        <v>44</v>
      </c>
      <c r="AR79" s="7" t="s">
        <v>37</v>
      </c>
      <c r="AS79" s="7" t="s">
        <v>37</v>
      </c>
    </row>
    <row r="80" spans="1:45" x14ac:dyDescent="0.3">
      <c r="A80" s="7" t="s">
        <v>346</v>
      </c>
      <c r="B80" s="4">
        <v>44804</v>
      </c>
      <c r="C80" s="7" t="s">
        <v>46</v>
      </c>
      <c r="D80" s="7" t="s">
        <v>37</v>
      </c>
      <c r="H80" s="7" t="s">
        <v>38</v>
      </c>
      <c r="I80" s="7" t="s">
        <v>39</v>
      </c>
      <c r="J80" s="7" t="s">
        <v>38</v>
      </c>
      <c r="K80" s="7" t="s">
        <v>41</v>
      </c>
      <c r="O80" s="7" t="s">
        <v>49</v>
      </c>
      <c r="P80" s="7" t="s">
        <v>36</v>
      </c>
      <c r="Q80" s="7">
        <v>13264.096149000001</v>
      </c>
      <c r="S80" s="7">
        <v>13264.096149000001</v>
      </c>
      <c r="T80" s="7" t="s">
        <v>36</v>
      </c>
      <c r="U80" s="7">
        <v>13264.096149000001</v>
      </c>
      <c r="W80" s="7">
        <v>13264.096149000001</v>
      </c>
      <c r="X80" s="7" t="s">
        <v>36</v>
      </c>
      <c r="Y80" s="7">
        <v>13264.096149000001</v>
      </c>
      <c r="AA80" s="7">
        <v>13264.096149000001</v>
      </c>
      <c r="AB80" s="7" t="str">
        <f>INDEX(Parameters!B:B,MATCH("Report Using",Parameters!A:A,0))</f>
        <v>Reporting</v>
      </c>
      <c r="AC80" s="7" t="str">
        <f t="shared" si="4"/>
        <v>USD</v>
      </c>
      <c r="AD80" s="8">
        <f t="shared" si="5"/>
        <v>13264.096149000001</v>
      </c>
      <c r="AE80" s="7" t="s">
        <v>6</v>
      </c>
      <c r="AF80" s="7" t="s">
        <v>56</v>
      </c>
      <c r="AG80" s="7" t="s">
        <v>2748</v>
      </c>
      <c r="AH80" s="7" t="s">
        <v>2618</v>
      </c>
      <c r="AI80" s="7" t="s">
        <v>1691</v>
      </c>
      <c r="AK80" s="7" t="s">
        <v>2617</v>
      </c>
      <c r="AL80" s="7">
        <v>12</v>
      </c>
      <c r="AM80" s="7" t="s">
        <v>57</v>
      </c>
      <c r="AN80" s="7" t="s">
        <v>350</v>
      </c>
      <c r="AP80" s="7" t="s">
        <v>44</v>
      </c>
      <c r="AR80" s="7" t="s">
        <v>37</v>
      </c>
      <c r="AS80" s="7" t="s">
        <v>37</v>
      </c>
    </row>
    <row r="81" spans="1:45" x14ac:dyDescent="0.3">
      <c r="A81" s="7" t="s">
        <v>346</v>
      </c>
      <c r="B81" s="4">
        <v>44804</v>
      </c>
      <c r="C81" s="7" t="s">
        <v>46</v>
      </c>
      <c r="D81" s="7" t="s">
        <v>37</v>
      </c>
      <c r="H81" s="7" t="s">
        <v>38</v>
      </c>
      <c r="I81" s="7" t="s">
        <v>39</v>
      </c>
      <c r="J81" s="7" t="s">
        <v>40</v>
      </c>
      <c r="K81" s="7" t="s">
        <v>41</v>
      </c>
      <c r="O81" s="7" t="s">
        <v>45</v>
      </c>
      <c r="P81" s="7" t="s">
        <v>36</v>
      </c>
      <c r="Q81" s="7">
        <v>36735.903851000003</v>
      </c>
      <c r="S81" s="7">
        <v>36735.903851000003</v>
      </c>
      <c r="T81" s="7" t="s">
        <v>36</v>
      </c>
      <c r="U81" s="7">
        <v>36735.903851000003</v>
      </c>
      <c r="W81" s="7">
        <v>36735.903851000003</v>
      </c>
      <c r="X81" s="7" t="s">
        <v>36</v>
      </c>
      <c r="Y81" s="7">
        <v>36735.903851000003</v>
      </c>
      <c r="AA81" s="7">
        <v>36735.903851000003</v>
      </c>
      <c r="AB81" s="7" t="str">
        <f>INDEX(Parameters!B:B,MATCH("Report Using",Parameters!A:A,0))</f>
        <v>Reporting</v>
      </c>
      <c r="AC81" s="7" t="str">
        <f t="shared" si="4"/>
        <v>USD</v>
      </c>
      <c r="AD81" s="8">
        <f t="shared" si="5"/>
        <v>36735.903851000003</v>
      </c>
      <c r="AE81" s="7" t="s">
        <v>6</v>
      </c>
      <c r="AF81" s="7" t="s">
        <v>56</v>
      </c>
      <c r="AG81" s="7" t="s">
        <v>2748</v>
      </c>
      <c r="AH81" s="7" t="s">
        <v>2618</v>
      </c>
      <c r="AI81" s="7" t="s">
        <v>1691</v>
      </c>
      <c r="AK81" s="7" t="s">
        <v>2617</v>
      </c>
      <c r="AL81" s="7">
        <v>12</v>
      </c>
      <c r="AM81" s="7" t="s">
        <v>57</v>
      </c>
      <c r="AN81" s="7" t="s">
        <v>352</v>
      </c>
      <c r="AP81" s="7" t="s">
        <v>44</v>
      </c>
      <c r="AR81" s="7" t="s">
        <v>37</v>
      </c>
      <c r="AS81" s="7" t="s">
        <v>37</v>
      </c>
    </row>
    <row r="82" spans="1:45" x14ac:dyDescent="0.3">
      <c r="A82" s="7" t="s">
        <v>346</v>
      </c>
      <c r="B82" s="4">
        <v>44804</v>
      </c>
      <c r="C82" s="7" t="s">
        <v>46</v>
      </c>
      <c r="D82" s="7" t="s">
        <v>37</v>
      </c>
      <c r="H82" s="7" t="s">
        <v>38</v>
      </c>
      <c r="I82" s="7" t="s">
        <v>39</v>
      </c>
      <c r="J82" s="7" t="s">
        <v>40</v>
      </c>
      <c r="K82" s="7" t="s">
        <v>41</v>
      </c>
      <c r="O82" s="7" t="s">
        <v>58</v>
      </c>
      <c r="P82" s="7" t="s">
        <v>36</v>
      </c>
      <c r="R82" s="7">
        <v>50000</v>
      </c>
      <c r="S82" s="7">
        <v>-50000</v>
      </c>
      <c r="T82" s="7" t="s">
        <v>36</v>
      </c>
      <c r="V82" s="7">
        <v>50000</v>
      </c>
      <c r="W82" s="7">
        <v>-50000</v>
      </c>
      <c r="X82" s="7" t="s">
        <v>36</v>
      </c>
      <c r="Z82" s="7">
        <v>50000</v>
      </c>
      <c r="AA82" s="7">
        <v>-50000</v>
      </c>
      <c r="AB82" s="7" t="str">
        <f>INDEX(Parameters!B:B,MATCH("Report Using",Parameters!A:A,0))</f>
        <v>Reporting</v>
      </c>
      <c r="AC82" s="7" t="str">
        <f t="shared" si="4"/>
        <v>USD</v>
      </c>
      <c r="AD82" s="8">
        <f t="shared" si="5"/>
        <v>-50000</v>
      </c>
      <c r="AE82" s="7" t="s">
        <v>6</v>
      </c>
      <c r="AF82" s="7" t="s">
        <v>56</v>
      </c>
      <c r="AG82" s="7" t="s">
        <v>2748</v>
      </c>
      <c r="AH82" s="7" t="s">
        <v>2618</v>
      </c>
      <c r="AI82" s="7" t="s">
        <v>1691</v>
      </c>
      <c r="AK82" s="7" t="s">
        <v>2617</v>
      </c>
      <c r="AL82" s="7">
        <v>12</v>
      </c>
      <c r="AM82" s="7" t="s">
        <v>57</v>
      </c>
      <c r="AN82" s="7" t="s">
        <v>353</v>
      </c>
      <c r="AP82" s="7" t="s">
        <v>44</v>
      </c>
      <c r="AR82" s="7" t="s">
        <v>37</v>
      </c>
      <c r="AS82" s="7" t="s">
        <v>37</v>
      </c>
    </row>
    <row r="83" spans="1:45" x14ac:dyDescent="0.3">
      <c r="A83" s="7" t="s">
        <v>354</v>
      </c>
      <c r="B83" s="4">
        <v>44804</v>
      </c>
      <c r="C83" s="7" t="s">
        <v>46</v>
      </c>
      <c r="D83" s="7" t="s">
        <v>37</v>
      </c>
      <c r="H83" s="7" t="s">
        <v>38</v>
      </c>
      <c r="I83" s="7" t="s">
        <v>39</v>
      </c>
      <c r="J83" s="7" t="s">
        <v>40</v>
      </c>
      <c r="K83" s="7" t="s">
        <v>41</v>
      </c>
      <c r="O83" s="7" t="s">
        <v>47</v>
      </c>
      <c r="P83" s="7" t="s">
        <v>36</v>
      </c>
      <c r="Q83" s="7">
        <v>13049.803377</v>
      </c>
      <c r="S83" s="7">
        <v>13049.803377</v>
      </c>
      <c r="T83" s="7" t="s">
        <v>36</v>
      </c>
      <c r="U83" s="7">
        <v>13049.803377</v>
      </c>
      <c r="W83" s="7">
        <v>13049.803377</v>
      </c>
      <c r="X83" s="7" t="s">
        <v>36</v>
      </c>
      <c r="Y83" s="7">
        <v>13049.803377</v>
      </c>
      <c r="AA83" s="7">
        <v>13049.803377</v>
      </c>
      <c r="AB83" s="7" t="str">
        <f>INDEX(Parameters!B:B,MATCH("Report Using",Parameters!A:A,0))</f>
        <v>Reporting</v>
      </c>
      <c r="AC83" s="7" t="str">
        <f t="shared" si="4"/>
        <v>USD</v>
      </c>
      <c r="AD83" s="8">
        <f t="shared" si="5"/>
        <v>13049.803377</v>
      </c>
      <c r="AE83" s="7" t="s">
        <v>6</v>
      </c>
      <c r="AF83" s="7" t="s">
        <v>56</v>
      </c>
      <c r="AG83" s="7" t="s">
        <v>2747</v>
      </c>
      <c r="AH83" s="7" t="s">
        <v>2618</v>
      </c>
      <c r="AI83" s="7" t="s">
        <v>1691</v>
      </c>
      <c r="AK83" s="7" t="s">
        <v>2617</v>
      </c>
      <c r="AL83" s="7">
        <v>8</v>
      </c>
      <c r="AM83" s="7" t="s">
        <v>48</v>
      </c>
      <c r="AN83" s="7" t="s">
        <v>355</v>
      </c>
      <c r="AP83" s="7" t="s">
        <v>44</v>
      </c>
      <c r="AR83" s="7" t="s">
        <v>37</v>
      </c>
      <c r="AS83" s="7" t="s">
        <v>37</v>
      </c>
    </row>
    <row r="84" spans="1:45" x14ac:dyDescent="0.3">
      <c r="A84" s="7" t="s">
        <v>354</v>
      </c>
      <c r="B84" s="4">
        <v>44804</v>
      </c>
      <c r="C84" s="7" t="s">
        <v>46</v>
      </c>
      <c r="D84" s="7" t="s">
        <v>37</v>
      </c>
      <c r="H84" s="7" t="s">
        <v>38</v>
      </c>
      <c r="I84" s="7" t="s">
        <v>39</v>
      </c>
      <c r="J84" s="7" t="s">
        <v>38</v>
      </c>
      <c r="K84" s="7" t="s">
        <v>41</v>
      </c>
      <c r="O84" s="7" t="s">
        <v>49</v>
      </c>
      <c r="P84" s="7" t="s">
        <v>36</v>
      </c>
      <c r="R84" s="7">
        <v>13049.803377</v>
      </c>
      <c r="S84" s="7">
        <v>-13049.803377</v>
      </c>
      <c r="T84" s="7" t="s">
        <v>36</v>
      </c>
      <c r="V84" s="7">
        <v>13049.803377</v>
      </c>
      <c r="W84" s="7">
        <v>-13049.803377</v>
      </c>
      <c r="X84" s="7" t="s">
        <v>36</v>
      </c>
      <c r="Z84" s="7">
        <v>13049.803377</v>
      </c>
      <c r="AA84" s="7">
        <v>-13049.803377</v>
      </c>
      <c r="AB84" s="7" t="str">
        <f>INDEX(Parameters!B:B,MATCH("Report Using",Parameters!A:A,0))</f>
        <v>Reporting</v>
      </c>
      <c r="AC84" s="7" t="str">
        <f t="shared" si="4"/>
        <v>USD</v>
      </c>
      <c r="AD84" s="8">
        <f t="shared" si="5"/>
        <v>-13049.803377</v>
      </c>
      <c r="AE84" s="7" t="s">
        <v>6</v>
      </c>
      <c r="AF84" s="7" t="s">
        <v>56</v>
      </c>
      <c r="AG84" s="7" t="s">
        <v>2747</v>
      </c>
      <c r="AH84" s="7" t="s">
        <v>2618</v>
      </c>
      <c r="AI84" s="7" t="s">
        <v>1691</v>
      </c>
      <c r="AK84" s="7" t="s">
        <v>2617</v>
      </c>
      <c r="AL84" s="7">
        <v>8</v>
      </c>
      <c r="AM84" s="7" t="s">
        <v>48</v>
      </c>
      <c r="AN84" s="7" t="s">
        <v>357</v>
      </c>
      <c r="AP84" s="7" t="s">
        <v>44</v>
      </c>
      <c r="AR84" s="7" t="s">
        <v>37</v>
      </c>
      <c r="AS84" s="7" t="s">
        <v>37</v>
      </c>
    </row>
    <row r="85" spans="1:45" x14ac:dyDescent="0.3">
      <c r="A85" s="7" t="s">
        <v>354</v>
      </c>
      <c r="B85" s="4">
        <v>44562</v>
      </c>
      <c r="C85" s="7" t="s">
        <v>35</v>
      </c>
      <c r="D85" s="7" t="s">
        <v>37</v>
      </c>
      <c r="H85" s="7" t="s">
        <v>38</v>
      </c>
      <c r="I85" s="7" t="s">
        <v>39</v>
      </c>
      <c r="J85" s="7" t="s">
        <v>40</v>
      </c>
      <c r="K85" s="7" t="s">
        <v>41</v>
      </c>
      <c r="O85" s="7" t="s">
        <v>50</v>
      </c>
      <c r="P85" s="7" t="s">
        <v>36</v>
      </c>
      <c r="Q85" s="7">
        <v>42330.49</v>
      </c>
      <c r="S85" s="7">
        <v>42330.49</v>
      </c>
      <c r="T85" s="7" t="s">
        <v>36</v>
      </c>
      <c r="U85" s="7">
        <v>42330.49</v>
      </c>
      <c r="W85" s="7">
        <v>42330.49</v>
      </c>
      <c r="X85" s="7" t="s">
        <v>36</v>
      </c>
      <c r="Y85" s="7">
        <v>42330.49</v>
      </c>
      <c r="AA85" s="7">
        <v>42330.49</v>
      </c>
      <c r="AB85" s="7" t="str">
        <f>INDEX(Parameters!B:B,MATCH("Report Using",Parameters!A:A,0))</f>
        <v>Reporting</v>
      </c>
      <c r="AC85" s="7" t="str">
        <f t="shared" si="4"/>
        <v>USD</v>
      </c>
      <c r="AD85" s="8">
        <f t="shared" si="5"/>
        <v>42330.49</v>
      </c>
      <c r="AE85" s="7" t="s">
        <v>6</v>
      </c>
      <c r="AF85" s="7" t="s">
        <v>56</v>
      </c>
      <c r="AG85" s="7" t="s">
        <v>2746</v>
      </c>
      <c r="AH85" s="7" t="s">
        <v>2618</v>
      </c>
      <c r="AI85" s="7" t="s">
        <v>1691</v>
      </c>
      <c r="AK85" s="7" t="s">
        <v>2617</v>
      </c>
      <c r="AL85" s="7">
        <v>10</v>
      </c>
      <c r="AM85" s="7" t="s">
        <v>51</v>
      </c>
      <c r="AN85" s="7" t="s">
        <v>358</v>
      </c>
      <c r="AP85" s="7" t="s">
        <v>44</v>
      </c>
      <c r="AR85" s="7" t="s">
        <v>37</v>
      </c>
      <c r="AS85" s="7" t="s">
        <v>37</v>
      </c>
    </row>
    <row r="86" spans="1:45" x14ac:dyDescent="0.3">
      <c r="A86" s="7" t="s">
        <v>354</v>
      </c>
      <c r="B86" s="4">
        <v>44562</v>
      </c>
      <c r="C86" s="7" t="s">
        <v>35</v>
      </c>
      <c r="D86" s="7" t="s">
        <v>37</v>
      </c>
      <c r="H86" s="7" t="s">
        <v>38</v>
      </c>
      <c r="I86" s="7" t="s">
        <v>39</v>
      </c>
      <c r="J86" s="7" t="s">
        <v>40</v>
      </c>
      <c r="K86" s="7" t="s">
        <v>41</v>
      </c>
      <c r="O86" s="7" t="s">
        <v>52</v>
      </c>
      <c r="P86" s="7" t="s">
        <v>36</v>
      </c>
      <c r="R86" s="7">
        <v>42330.49</v>
      </c>
      <c r="S86" s="7">
        <v>-42330.49</v>
      </c>
      <c r="T86" s="7" t="s">
        <v>36</v>
      </c>
      <c r="V86" s="7">
        <v>42330.49</v>
      </c>
      <c r="W86" s="7">
        <v>-42330.49</v>
      </c>
      <c r="X86" s="7" t="s">
        <v>36</v>
      </c>
      <c r="Z86" s="7">
        <v>42330.49</v>
      </c>
      <c r="AA86" s="7">
        <v>-42330.49</v>
      </c>
      <c r="AB86" s="7" t="str">
        <f>INDEX(Parameters!B:B,MATCH("Report Using",Parameters!A:A,0))</f>
        <v>Reporting</v>
      </c>
      <c r="AC86" s="7" t="str">
        <f t="shared" si="4"/>
        <v>USD</v>
      </c>
      <c r="AD86" s="8">
        <f t="shared" si="5"/>
        <v>-42330.49</v>
      </c>
      <c r="AE86" s="7" t="s">
        <v>6</v>
      </c>
      <c r="AF86" s="7" t="s">
        <v>56</v>
      </c>
      <c r="AG86" s="7" t="s">
        <v>2746</v>
      </c>
      <c r="AH86" s="7" t="s">
        <v>2618</v>
      </c>
      <c r="AI86" s="7" t="s">
        <v>1691</v>
      </c>
      <c r="AK86" s="7" t="s">
        <v>2617</v>
      </c>
      <c r="AL86" s="7">
        <v>10</v>
      </c>
      <c r="AM86" s="7" t="s">
        <v>51</v>
      </c>
      <c r="AN86" s="7" t="s">
        <v>360</v>
      </c>
      <c r="AP86" s="7" t="s">
        <v>44</v>
      </c>
      <c r="AR86" s="7" t="s">
        <v>37</v>
      </c>
      <c r="AS86" s="7" t="s">
        <v>37</v>
      </c>
    </row>
    <row r="87" spans="1:45" x14ac:dyDescent="0.3">
      <c r="A87" s="7" t="s">
        <v>354</v>
      </c>
      <c r="B87" s="4">
        <v>44804</v>
      </c>
      <c r="C87" s="7" t="s">
        <v>35</v>
      </c>
      <c r="D87" s="7" t="s">
        <v>37</v>
      </c>
      <c r="H87" s="7" t="s">
        <v>38</v>
      </c>
      <c r="I87" s="7" t="s">
        <v>39</v>
      </c>
      <c r="J87" s="7" t="s">
        <v>40</v>
      </c>
      <c r="K87" s="7" t="s">
        <v>41</v>
      </c>
      <c r="O87" s="7" t="s">
        <v>45</v>
      </c>
      <c r="P87" s="7" t="s">
        <v>36</v>
      </c>
      <c r="Q87" s="7">
        <v>457908.46</v>
      </c>
      <c r="S87" s="7">
        <v>457908.46</v>
      </c>
      <c r="T87" s="7" t="s">
        <v>36</v>
      </c>
      <c r="U87" s="7">
        <v>457908.46</v>
      </c>
      <c r="W87" s="7">
        <v>457908.46</v>
      </c>
      <c r="X87" s="7" t="s">
        <v>36</v>
      </c>
      <c r="Y87" s="7">
        <v>457908.46</v>
      </c>
      <c r="AA87" s="7">
        <v>457908.46</v>
      </c>
      <c r="AB87" s="7" t="str">
        <f>INDEX(Parameters!B:B,MATCH("Report Using",Parameters!A:A,0))</f>
        <v>Reporting</v>
      </c>
      <c r="AC87" s="7" t="str">
        <f t="shared" si="4"/>
        <v>USD</v>
      </c>
      <c r="AD87" s="8">
        <f t="shared" si="5"/>
        <v>457908.46</v>
      </c>
      <c r="AE87" s="7" t="s">
        <v>6</v>
      </c>
      <c r="AF87" s="7" t="s">
        <v>56</v>
      </c>
      <c r="AG87" s="7" t="s">
        <v>2745</v>
      </c>
      <c r="AH87" s="7" t="s">
        <v>2618</v>
      </c>
      <c r="AI87" s="7" t="s">
        <v>1691</v>
      </c>
      <c r="AK87" s="7" t="s">
        <v>2617</v>
      </c>
      <c r="AL87" s="7">
        <v>11</v>
      </c>
      <c r="AM87" s="7" t="s">
        <v>53</v>
      </c>
      <c r="AN87" s="7" t="s">
        <v>361</v>
      </c>
      <c r="AP87" s="7" t="s">
        <v>44</v>
      </c>
      <c r="AR87" s="7" t="s">
        <v>37</v>
      </c>
      <c r="AS87" s="7" t="s">
        <v>37</v>
      </c>
    </row>
    <row r="88" spans="1:45" x14ac:dyDescent="0.3">
      <c r="A88" s="7" t="s">
        <v>354</v>
      </c>
      <c r="B88" s="4">
        <v>44804</v>
      </c>
      <c r="C88" s="7" t="s">
        <v>35</v>
      </c>
      <c r="D88" s="7" t="s">
        <v>37</v>
      </c>
      <c r="H88" s="7" t="s">
        <v>38</v>
      </c>
      <c r="I88" s="7" t="s">
        <v>39</v>
      </c>
      <c r="J88" s="7" t="s">
        <v>40</v>
      </c>
      <c r="K88" s="7" t="s">
        <v>41</v>
      </c>
      <c r="O88" s="7" t="s">
        <v>54</v>
      </c>
      <c r="P88" s="7" t="s">
        <v>36</v>
      </c>
      <c r="R88" s="7">
        <v>457908.46</v>
      </c>
      <c r="S88" s="7">
        <v>-457908.46</v>
      </c>
      <c r="T88" s="7" t="s">
        <v>36</v>
      </c>
      <c r="V88" s="7">
        <v>457908.46</v>
      </c>
      <c r="W88" s="7">
        <v>-457908.46</v>
      </c>
      <c r="X88" s="7" t="s">
        <v>36</v>
      </c>
      <c r="Z88" s="7">
        <v>457908.46</v>
      </c>
      <c r="AA88" s="7">
        <v>-457908.46</v>
      </c>
      <c r="AB88" s="7" t="str">
        <f>INDEX(Parameters!B:B,MATCH("Report Using",Parameters!A:A,0))</f>
        <v>Reporting</v>
      </c>
      <c r="AC88" s="7" t="str">
        <f t="shared" si="4"/>
        <v>USD</v>
      </c>
      <c r="AD88" s="8">
        <f t="shared" si="5"/>
        <v>-457908.46</v>
      </c>
      <c r="AE88" s="7" t="s">
        <v>6</v>
      </c>
      <c r="AF88" s="7" t="s">
        <v>56</v>
      </c>
      <c r="AG88" s="7" t="s">
        <v>2745</v>
      </c>
      <c r="AH88" s="7" t="s">
        <v>2618</v>
      </c>
      <c r="AI88" s="7" t="s">
        <v>1691</v>
      </c>
      <c r="AK88" s="7" t="s">
        <v>2617</v>
      </c>
      <c r="AL88" s="7">
        <v>11</v>
      </c>
      <c r="AM88" s="7" t="s">
        <v>53</v>
      </c>
      <c r="AN88" s="7" t="s">
        <v>363</v>
      </c>
      <c r="AP88" s="7" t="s">
        <v>44</v>
      </c>
      <c r="AR88" s="7" t="s">
        <v>37</v>
      </c>
      <c r="AS88" s="7" t="s">
        <v>37</v>
      </c>
    </row>
    <row r="89" spans="1:45" x14ac:dyDescent="0.3">
      <c r="A89" s="7" t="s">
        <v>364</v>
      </c>
      <c r="B89" s="4">
        <v>44805</v>
      </c>
      <c r="C89" s="7" t="s">
        <v>35</v>
      </c>
      <c r="D89" s="7" t="s">
        <v>37</v>
      </c>
      <c r="H89" s="7" t="s">
        <v>38</v>
      </c>
      <c r="I89" s="7" t="s">
        <v>39</v>
      </c>
      <c r="J89" s="7" t="s">
        <v>40</v>
      </c>
      <c r="K89" s="7" t="s">
        <v>41</v>
      </c>
      <c r="O89" s="7" t="s">
        <v>54</v>
      </c>
      <c r="P89" s="7" t="s">
        <v>36</v>
      </c>
      <c r="Q89" s="7">
        <v>457908.46</v>
      </c>
      <c r="S89" s="7">
        <v>457908.46</v>
      </c>
      <c r="T89" s="7" t="s">
        <v>36</v>
      </c>
      <c r="U89" s="7">
        <v>457908.46</v>
      </c>
      <c r="W89" s="7">
        <v>457908.46</v>
      </c>
      <c r="X89" s="7" t="s">
        <v>36</v>
      </c>
      <c r="Y89" s="7">
        <v>457908.46</v>
      </c>
      <c r="AA89" s="7">
        <v>457908.46</v>
      </c>
      <c r="AB89" s="7" t="str">
        <f>INDEX(Parameters!B:B,MATCH("Report Using",Parameters!A:A,0))</f>
        <v>Reporting</v>
      </c>
      <c r="AC89" s="7" t="str">
        <f t="shared" si="4"/>
        <v>USD</v>
      </c>
      <c r="AD89" s="8">
        <f t="shared" si="5"/>
        <v>457908.46</v>
      </c>
      <c r="AE89" s="7" t="s">
        <v>6</v>
      </c>
      <c r="AF89" s="7" t="s">
        <v>56</v>
      </c>
      <c r="AG89" s="7" t="s">
        <v>2745</v>
      </c>
      <c r="AH89" s="7" t="s">
        <v>2618</v>
      </c>
      <c r="AI89" s="7" t="s">
        <v>1691</v>
      </c>
      <c r="AK89" s="7" t="s">
        <v>2617</v>
      </c>
      <c r="AL89" s="7">
        <v>11</v>
      </c>
      <c r="AM89" s="7" t="s">
        <v>55</v>
      </c>
      <c r="AN89" s="7" t="s">
        <v>365</v>
      </c>
      <c r="AP89" s="7" t="s">
        <v>44</v>
      </c>
      <c r="AR89" s="7" t="s">
        <v>37</v>
      </c>
      <c r="AS89" s="7" t="s">
        <v>37</v>
      </c>
    </row>
    <row r="90" spans="1:45" x14ac:dyDescent="0.3">
      <c r="A90" s="7" t="s">
        <v>364</v>
      </c>
      <c r="B90" s="4">
        <v>44805</v>
      </c>
      <c r="C90" s="7" t="s">
        <v>35</v>
      </c>
      <c r="D90" s="7" t="s">
        <v>37</v>
      </c>
      <c r="H90" s="7" t="s">
        <v>38</v>
      </c>
      <c r="I90" s="7" t="s">
        <v>39</v>
      </c>
      <c r="J90" s="7" t="s">
        <v>40</v>
      </c>
      <c r="K90" s="7" t="s">
        <v>41</v>
      </c>
      <c r="O90" s="7" t="s">
        <v>45</v>
      </c>
      <c r="P90" s="7" t="s">
        <v>36</v>
      </c>
      <c r="R90" s="7">
        <v>457908.46</v>
      </c>
      <c r="S90" s="7">
        <v>-457908.46</v>
      </c>
      <c r="T90" s="7" t="s">
        <v>36</v>
      </c>
      <c r="V90" s="7">
        <v>457908.46</v>
      </c>
      <c r="W90" s="7">
        <v>-457908.46</v>
      </c>
      <c r="X90" s="7" t="s">
        <v>36</v>
      </c>
      <c r="Z90" s="7">
        <v>457908.46</v>
      </c>
      <c r="AA90" s="7">
        <v>-457908.46</v>
      </c>
      <c r="AB90" s="7" t="str">
        <f>INDEX(Parameters!B:B,MATCH("Report Using",Parameters!A:A,0))</f>
        <v>Reporting</v>
      </c>
      <c r="AC90" s="7" t="str">
        <f t="shared" si="4"/>
        <v>USD</v>
      </c>
      <c r="AD90" s="8">
        <f t="shared" si="5"/>
        <v>-457908.46</v>
      </c>
      <c r="AE90" s="7" t="s">
        <v>6</v>
      </c>
      <c r="AF90" s="7" t="s">
        <v>56</v>
      </c>
      <c r="AG90" s="7" t="s">
        <v>2745</v>
      </c>
      <c r="AH90" s="7" t="s">
        <v>2618</v>
      </c>
      <c r="AI90" s="7" t="s">
        <v>1691</v>
      </c>
      <c r="AK90" s="7" t="s">
        <v>2617</v>
      </c>
      <c r="AL90" s="7">
        <v>11</v>
      </c>
      <c r="AM90" s="7" t="s">
        <v>55</v>
      </c>
      <c r="AN90" s="7" t="s">
        <v>367</v>
      </c>
      <c r="AP90" s="7" t="s">
        <v>44</v>
      </c>
      <c r="AR90" s="7" t="s">
        <v>37</v>
      </c>
      <c r="AS90" s="7" t="s">
        <v>37</v>
      </c>
    </row>
    <row r="91" spans="1:45" x14ac:dyDescent="0.3">
      <c r="A91" s="7" t="s">
        <v>364</v>
      </c>
      <c r="B91" s="4">
        <v>44834</v>
      </c>
      <c r="C91" s="7" t="s">
        <v>46</v>
      </c>
      <c r="D91" s="7" t="s">
        <v>37</v>
      </c>
      <c r="H91" s="7" t="s">
        <v>38</v>
      </c>
      <c r="I91" s="7" t="s">
        <v>39</v>
      </c>
      <c r="J91" s="7" t="s">
        <v>38</v>
      </c>
      <c r="K91" s="7" t="s">
        <v>41</v>
      </c>
      <c r="O91" s="7" t="s">
        <v>49</v>
      </c>
      <c r="P91" s="7" t="s">
        <v>36</v>
      </c>
      <c r="Q91" s="7">
        <v>13049.803377</v>
      </c>
      <c r="S91" s="7">
        <v>13049.803377</v>
      </c>
      <c r="T91" s="7" t="s">
        <v>36</v>
      </c>
      <c r="U91" s="7">
        <v>13049.803377</v>
      </c>
      <c r="W91" s="7">
        <v>13049.803377</v>
      </c>
      <c r="X91" s="7" t="s">
        <v>36</v>
      </c>
      <c r="Y91" s="7">
        <v>13049.803377</v>
      </c>
      <c r="AA91" s="7">
        <v>13049.803377</v>
      </c>
      <c r="AB91" s="7" t="str">
        <f>INDEX(Parameters!B:B,MATCH("Report Using",Parameters!A:A,0))</f>
        <v>Reporting</v>
      </c>
      <c r="AC91" s="7" t="str">
        <f t="shared" si="4"/>
        <v>USD</v>
      </c>
      <c r="AD91" s="8">
        <f t="shared" si="5"/>
        <v>13049.803377</v>
      </c>
      <c r="AE91" s="7" t="s">
        <v>6</v>
      </c>
      <c r="AF91" s="7" t="s">
        <v>56</v>
      </c>
      <c r="AG91" s="7" t="s">
        <v>2748</v>
      </c>
      <c r="AH91" s="7" t="s">
        <v>2618</v>
      </c>
      <c r="AI91" s="7" t="s">
        <v>1691</v>
      </c>
      <c r="AK91" s="7" t="s">
        <v>2617</v>
      </c>
      <c r="AL91" s="7">
        <v>12</v>
      </c>
      <c r="AM91" s="7" t="s">
        <v>57</v>
      </c>
      <c r="AN91" s="7" t="s">
        <v>368</v>
      </c>
      <c r="AP91" s="7" t="s">
        <v>44</v>
      </c>
      <c r="AR91" s="7" t="s">
        <v>37</v>
      </c>
      <c r="AS91" s="7" t="s">
        <v>37</v>
      </c>
    </row>
    <row r="92" spans="1:45" x14ac:dyDescent="0.3">
      <c r="A92" s="7" t="s">
        <v>364</v>
      </c>
      <c r="B92" s="4">
        <v>44834</v>
      </c>
      <c r="C92" s="7" t="s">
        <v>46</v>
      </c>
      <c r="D92" s="7" t="s">
        <v>37</v>
      </c>
      <c r="H92" s="7" t="s">
        <v>38</v>
      </c>
      <c r="I92" s="7" t="s">
        <v>39</v>
      </c>
      <c r="J92" s="7" t="s">
        <v>40</v>
      </c>
      <c r="K92" s="7" t="s">
        <v>41</v>
      </c>
      <c r="O92" s="7" t="s">
        <v>45</v>
      </c>
      <c r="P92" s="7" t="s">
        <v>36</v>
      </c>
      <c r="Q92" s="7">
        <v>36950.196623000003</v>
      </c>
      <c r="S92" s="7">
        <v>36950.196623000003</v>
      </c>
      <c r="T92" s="7" t="s">
        <v>36</v>
      </c>
      <c r="U92" s="7">
        <v>36950.196623000003</v>
      </c>
      <c r="W92" s="7">
        <v>36950.196623000003</v>
      </c>
      <c r="X92" s="7" t="s">
        <v>36</v>
      </c>
      <c r="Y92" s="7">
        <v>36950.196623000003</v>
      </c>
      <c r="AA92" s="7">
        <v>36950.196623000003</v>
      </c>
      <c r="AB92" s="7" t="str">
        <f>INDEX(Parameters!B:B,MATCH("Report Using",Parameters!A:A,0))</f>
        <v>Reporting</v>
      </c>
      <c r="AC92" s="7" t="str">
        <f t="shared" si="4"/>
        <v>USD</v>
      </c>
      <c r="AD92" s="8">
        <f t="shared" si="5"/>
        <v>36950.196623000003</v>
      </c>
      <c r="AE92" s="7" t="s">
        <v>6</v>
      </c>
      <c r="AF92" s="7" t="s">
        <v>56</v>
      </c>
      <c r="AG92" s="7" t="s">
        <v>2748</v>
      </c>
      <c r="AH92" s="7" t="s">
        <v>2618</v>
      </c>
      <c r="AI92" s="7" t="s">
        <v>1691</v>
      </c>
      <c r="AK92" s="7" t="s">
        <v>2617</v>
      </c>
      <c r="AL92" s="7">
        <v>12</v>
      </c>
      <c r="AM92" s="7" t="s">
        <v>57</v>
      </c>
      <c r="AN92" s="7" t="s">
        <v>370</v>
      </c>
      <c r="AP92" s="7" t="s">
        <v>44</v>
      </c>
      <c r="AR92" s="7" t="s">
        <v>37</v>
      </c>
      <c r="AS92" s="7" t="s">
        <v>37</v>
      </c>
    </row>
    <row r="93" spans="1:45" x14ac:dyDescent="0.3">
      <c r="A93" s="7" t="s">
        <v>364</v>
      </c>
      <c r="B93" s="4">
        <v>44834</v>
      </c>
      <c r="C93" s="7" t="s">
        <v>46</v>
      </c>
      <c r="D93" s="7" t="s">
        <v>37</v>
      </c>
      <c r="H93" s="7" t="s">
        <v>38</v>
      </c>
      <c r="I93" s="7" t="s">
        <v>39</v>
      </c>
      <c r="J93" s="7" t="s">
        <v>40</v>
      </c>
      <c r="K93" s="7" t="s">
        <v>41</v>
      </c>
      <c r="O93" s="7" t="s">
        <v>58</v>
      </c>
      <c r="P93" s="7" t="s">
        <v>36</v>
      </c>
      <c r="R93" s="7">
        <v>50000</v>
      </c>
      <c r="S93" s="7">
        <v>-50000</v>
      </c>
      <c r="T93" s="7" t="s">
        <v>36</v>
      </c>
      <c r="V93" s="7">
        <v>50000</v>
      </c>
      <c r="W93" s="7">
        <v>-50000</v>
      </c>
      <c r="X93" s="7" t="s">
        <v>36</v>
      </c>
      <c r="Z93" s="7">
        <v>50000</v>
      </c>
      <c r="AA93" s="7">
        <v>-50000</v>
      </c>
      <c r="AB93" s="7" t="str">
        <f>INDEX(Parameters!B:B,MATCH("Report Using",Parameters!A:A,0))</f>
        <v>Reporting</v>
      </c>
      <c r="AC93" s="7" t="str">
        <f t="shared" si="4"/>
        <v>USD</v>
      </c>
      <c r="AD93" s="8">
        <f t="shared" si="5"/>
        <v>-50000</v>
      </c>
      <c r="AE93" s="7" t="s">
        <v>6</v>
      </c>
      <c r="AF93" s="7" t="s">
        <v>56</v>
      </c>
      <c r="AG93" s="7" t="s">
        <v>2748</v>
      </c>
      <c r="AH93" s="7" t="s">
        <v>2618</v>
      </c>
      <c r="AI93" s="7" t="s">
        <v>1691</v>
      </c>
      <c r="AK93" s="7" t="s">
        <v>2617</v>
      </c>
      <c r="AL93" s="7">
        <v>12</v>
      </c>
      <c r="AM93" s="7" t="s">
        <v>57</v>
      </c>
      <c r="AN93" s="7" t="s">
        <v>371</v>
      </c>
      <c r="AP93" s="7" t="s">
        <v>44</v>
      </c>
      <c r="AR93" s="7" t="s">
        <v>37</v>
      </c>
      <c r="AS93" s="7" t="s">
        <v>37</v>
      </c>
    </row>
    <row r="94" spans="1:45" x14ac:dyDescent="0.3">
      <c r="A94" s="7" t="s">
        <v>372</v>
      </c>
      <c r="B94" s="4">
        <v>44834</v>
      </c>
      <c r="C94" s="7" t="s">
        <v>46</v>
      </c>
      <c r="D94" s="7" t="s">
        <v>37</v>
      </c>
      <c r="H94" s="7" t="s">
        <v>38</v>
      </c>
      <c r="I94" s="7" t="s">
        <v>39</v>
      </c>
      <c r="J94" s="7" t="s">
        <v>40</v>
      </c>
      <c r="K94" s="7" t="s">
        <v>41</v>
      </c>
      <c r="O94" s="7" t="s">
        <v>47</v>
      </c>
      <c r="P94" s="7" t="s">
        <v>36</v>
      </c>
      <c r="Q94" s="7">
        <v>12834.260563</v>
      </c>
      <c r="S94" s="7">
        <v>12834.260563</v>
      </c>
      <c r="T94" s="7" t="s">
        <v>36</v>
      </c>
      <c r="U94" s="7">
        <v>12834.260563</v>
      </c>
      <c r="W94" s="7">
        <v>12834.260563</v>
      </c>
      <c r="X94" s="7" t="s">
        <v>36</v>
      </c>
      <c r="Y94" s="7">
        <v>12834.260563</v>
      </c>
      <c r="AA94" s="7">
        <v>12834.260563</v>
      </c>
      <c r="AB94" s="7" t="str">
        <f>INDEX(Parameters!B:B,MATCH("Report Using",Parameters!A:A,0))</f>
        <v>Reporting</v>
      </c>
      <c r="AC94" s="7" t="str">
        <f t="shared" si="4"/>
        <v>USD</v>
      </c>
      <c r="AD94" s="8">
        <f t="shared" si="5"/>
        <v>12834.260563</v>
      </c>
      <c r="AE94" s="7" t="s">
        <v>6</v>
      </c>
      <c r="AF94" s="7" t="s">
        <v>56</v>
      </c>
      <c r="AG94" s="7" t="s">
        <v>2747</v>
      </c>
      <c r="AH94" s="7" t="s">
        <v>2618</v>
      </c>
      <c r="AI94" s="7" t="s">
        <v>1691</v>
      </c>
      <c r="AK94" s="7" t="s">
        <v>2617</v>
      </c>
      <c r="AL94" s="7">
        <v>8</v>
      </c>
      <c r="AM94" s="7" t="s">
        <v>48</v>
      </c>
      <c r="AN94" s="7" t="s">
        <v>373</v>
      </c>
      <c r="AP94" s="7" t="s">
        <v>44</v>
      </c>
      <c r="AR94" s="7" t="s">
        <v>37</v>
      </c>
      <c r="AS94" s="7" t="s">
        <v>37</v>
      </c>
    </row>
    <row r="95" spans="1:45" x14ac:dyDescent="0.3">
      <c r="A95" s="7" t="s">
        <v>372</v>
      </c>
      <c r="B95" s="4">
        <v>44834</v>
      </c>
      <c r="C95" s="7" t="s">
        <v>46</v>
      </c>
      <c r="D95" s="7" t="s">
        <v>37</v>
      </c>
      <c r="H95" s="7" t="s">
        <v>38</v>
      </c>
      <c r="I95" s="7" t="s">
        <v>39</v>
      </c>
      <c r="J95" s="7" t="s">
        <v>38</v>
      </c>
      <c r="K95" s="7" t="s">
        <v>41</v>
      </c>
      <c r="O95" s="7" t="s">
        <v>49</v>
      </c>
      <c r="P95" s="7" t="s">
        <v>36</v>
      </c>
      <c r="R95" s="7">
        <v>12834.260563</v>
      </c>
      <c r="S95" s="7">
        <v>-12834.260563</v>
      </c>
      <c r="T95" s="7" t="s">
        <v>36</v>
      </c>
      <c r="V95" s="7">
        <v>12834.260563</v>
      </c>
      <c r="W95" s="7">
        <v>-12834.260563</v>
      </c>
      <c r="X95" s="7" t="s">
        <v>36</v>
      </c>
      <c r="Z95" s="7">
        <v>12834.260563</v>
      </c>
      <c r="AA95" s="7">
        <v>-12834.260563</v>
      </c>
      <c r="AB95" s="7" t="str">
        <f>INDEX(Parameters!B:B,MATCH("Report Using",Parameters!A:A,0))</f>
        <v>Reporting</v>
      </c>
      <c r="AC95" s="7" t="str">
        <f t="shared" si="4"/>
        <v>USD</v>
      </c>
      <c r="AD95" s="8">
        <f t="shared" si="5"/>
        <v>-12834.260563</v>
      </c>
      <c r="AE95" s="7" t="s">
        <v>6</v>
      </c>
      <c r="AF95" s="7" t="s">
        <v>56</v>
      </c>
      <c r="AG95" s="7" t="s">
        <v>2747</v>
      </c>
      <c r="AH95" s="7" t="s">
        <v>2618</v>
      </c>
      <c r="AI95" s="7" t="s">
        <v>1691</v>
      </c>
      <c r="AK95" s="7" t="s">
        <v>2617</v>
      </c>
      <c r="AL95" s="7">
        <v>8</v>
      </c>
      <c r="AM95" s="7" t="s">
        <v>48</v>
      </c>
      <c r="AN95" s="7" t="s">
        <v>375</v>
      </c>
      <c r="AP95" s="7" t="s">
        <v>44</v>
      </c>
      <c r="AR95" s="7" t="s">
        <v>37</v>
      </c>
      <c r="AS95" s="7" t="s">
        <v>37</v>
      </c>
    </row>
    <row r="96" spans="1:45" x14ac:dyDescent="0.3">
      <c r="A96" s="7" t="s">
        <v>372</v>
      </c>
      <c r="B96" s="4">
        <v>44562</v>
      </c>
      <c r="C96" s="7" t="s">
        <v>35</v>
      </c>
      <c r="D96" s="7" t="s">
        <v>37</v>
      </c>
      <c r="H96" s="7" t="s">
        <v>38</v>
      </c>
      <c r="I96" s="7" t="s">
        <v>39</v>
      </c>
      <c r="J96" s="7" t="s">
        <v>40</v>
      </c>
      <c r="K96" s="7" t="s">
        <v>41</v>
      </c>
      <c r="O96" s="7" t="s">
        <v>50</v>
      </c>
      <c r="P96" s="7" t="s">
        <v>36</v>
      </c>
      <c r="Q96" s="7">
        <v>42330.49</v>
      </c>
      <c r="S96" s="7">
        <v>42330.49</v>
      </c>
      <c r="T96" s="7" t="s">
        <v>36</v>
      </c>
      <c r="U96" s="7">
        <v>42330.49</v>
      </c>
      <c r="W96" s="7">
        <v>42330.49</v>
      </c>
      <c r="X96" s="7" t="s">
        <v>36</v>
      </c>
      <c r="Y96" s="7">
        <v>42330.49</v>
      </c>
      <c r="AA96" s="7">
        <v>42330.49</v>
      </c>
      <c r="AB96" s="7" t="str">
        <f>INDEX(Parameters!B:B,MATCH("Report Using",Parameters!A:A,0))</f>
        <v>Reporting</v>
      </c>
      <c r="AC96" s="7" t="str">
        <f t="shared" si="4"/>
        <v>USD</v>
      </c>
      <c r="AD96" s="8">
        <f t="shared" si="5"/>
        <v>42330.49</v>
      </c>
      <c r="AE96" s="7" t="s">
        <v>6</v>
      </c>
      <c r="AF96" s="7" t="s">
        <v>56</v>
      </c>
      <c r="AG96" s="7" t="s">
        <v>2746</v>
      </c>
      <c r="AH96" s="7" t="s">
        <v>2618</v>
      </c>
      <c r="AI96" s="7" t="s">
        <v>1691</v>
      </c>
      <c r="AK96" s="7" t="s">
        <v>2617</v>
      </c>
      <c r="AL96" s="7">
        <v>10</v>
      </c>
      <c r="AM96" s="7" t="s">
        <v>51</v>
      </c>
      <c r="AN96" s="7" t="s">
        <v>376</v>
      </c>
      <c r="AP96" s="7" t="s">
        <v>44</v>
      </c>
      <c r="AR96" s="7" t="s">
        <v>37</v>
      </c>
      <c r="AS96" s="7" t="s">
        <v>37</v>
      </c>
    </row>
    <row r="97" spans="1:45" x14ac:dyDescent="0.3">
      <c r="A97" s="7" t="s">
        <v>372</v>
      </c>
      <c r="B97" s="4">
        <v>44562</v>
      </c>
      <c r="C97" s="7" t="s">
        <v>35</v>
      </c>
      <c r="D97" s="7" t="s">
        <v>37</v>
      </c>
      <c r="H97" s="7" t="s">
        <v>38</v>
      </c>
      <c r="I97" s="7" t="s">
        <v>39</v>
      </c>
      <c r="J97" s="7" t="s">
        <v>40</v>
      </c>
      <c r="K97" s="7" t="s">
        <v>41</v>
      </c>
      <c r="O97" s="7" t="s">
        <v>52</v>
      </c>
      <c r="P97" s="7" t="s">
        <v>36</v>
      </c>
      <c r="R97" s="7">
        <v>42330.49</v>
      </c>
      <c r="S97" s="7">
        <v>-42330.49</v>
      </c>
      <c r="T97" s="7" t="s">
        <v>36</v>
      </c>
      <c r="V97" s="7">
        <v>42330.49</v>
      </c>
      <c r="W97" s="7">
        <v>-42330.49</v>
      </c>
      <c r="X97" s="7" t="s">
        <v>36</v>
      </c>
      <c r="Z97" s="7">
        <v>42330.49</v>
      </c>
      <c r="AA97" s="7">
        <v>-42330.49</v>
      </c>
      <c r="AB97" s="7" t="str">
        <f>INDEX(Parameters!B:B,MATCH("Report Using",Parameters!A:A,0))</f>
        <v>Reporting</v>
      </c>
      <c r="AC97" s="7" t="str">
        <f t="shared" si="4"/>
        <v>USD</v>
      </c>
      <c r="AD97" s="8">
        <f t="shared" si="5"/>
        <v>-42330.49</v>
      </c>
      <c r="AE97" s="7" t="s">
        <v>6</v>
      </c>
      <c r="AF97" s="7" t="s">
        <v>56</v>
      </c>
      <c r="AG97" s="7" t="s">
        <v>2746</v>
      </c>
      <c r="AH97" s="7" t="s">
        <v>2618</v>
      </c>
      <c r="AI97" s="7" t="s">
        <v>1691</v>
      </c>
      <c r="AK97" s="7" t="s">
        <v>2617</v>
      </c>
      <c r="AL97" s="7">
        <v>10</v>
      </c>
      <c r="AM97" s="7" t="s">
        <v>51</v>
      </c>
      <c r="AN97" s="7" t="s">
        <v>378</v>
      </c>
      <c r="AP97" s="7" t="s">
        <v>44</v>
      </c>
      <c r="AR97" s="7" t="s">
        <v>37</v>
      </c>
      <c r="AS97" s="7" t="s">
        <v>37</v>
      </c>
    </row>
    <row r="98" spans="1:45" x14ac:dyDescent="0.3">
      <c r="A98" s="7" t="s">
        <v>372</v>
      </c>
      <c r="B98" s="4">
        <v>44834</v>
      </c>
      <c r="C98" s="7" t="s">
        <v>35</v>
      </c>
      <c r="D98" s="7" t="s">
        <v>37</v>
      </c>
      <c r="H98" s="7" t="s">
        <v>38</v>
      </c>
      <c r="I98" s="7" t="s">
        <v>39</v>
      </c>
      <c r="J98" s="7" t="s">
        <v>40</v>
      </c>
      <c r="K98" s="7" t="s">
        <v>41</v>
      </c>
      <c r="O98" s="7" t="s">
        <v>45</v>
      </c>
      <c r="P98" s="7" t="s">
        <v>36</v>
      </c>
      <c r="Q98" s="7">
        <v>460579.59</v>
      </c>
      <c r="S98" s="7">
        <v>460579.59</v>
      </c>
      <c r="T98" s="7" t="s">
        <v>36</v>
      </c>
      <c r="U98" s="7">
        <v>460579.59</v>
      </c>
      <c r="W98" s="7">
        <v>460579.59</v>
      </c>
      <c r="X98" s="7" t="s">
        <v>36</v>
      </c>
      <c r="Y98" s="7">
        <v>460579.59</v>
      </c>
      <c r="AA98" s="7">
        <v>460579.59</v>
      </c>
      <c r="AB98" s="7" t="str">
        <f>INDEX(Parameters!B:B,MATCH("Report Using",Parameters!A:A,0))</f>
        <v>Reporting</v>
      </c>
      <c r="AC98" s="7" t="str">
        <f t="shared" ref="AC98:AC129" si="6">IF(AB:AB="Transactional",P:P,IF(AB:AB="Functional",T:T,X:X))</f>
        <v>USD</v>
      </c>
      <c r="AD98" s="8">
        <f t="shared" ref="AD98:AD129" si="7">IF(AB:AB="Transactional",S:S,IF(AB:AB="Functional",W:W,AA:AA))</f>
        <v>460579.59</v>
      </c>
      <c r="AE98" s="7" t="s">
        <v>6</v>
      </c>
      <c r="AF98" s="7" t="s">
        <v>56</v>
      </c>
      <c r="AG98" s="7" t="s">
        <v>2745</v>
      </c>
      <c r="AH98" s="7" t="s">
        <v>2618</v>
      </c>
      <c r="AI98" s="7" t="s">
        <v>1691</v>
      </c>
      <c r="AK98" s="7" t="s">
        <v>2617</v>
      </c>
      <c r="AL98" s="7">
        <v>11</v>
      </c>
      <c r="AM98" s="7" t="s">
        <v>53</v>
      </c>
      <c r="AN98" s="7" t="s">
        <v>379</v>
      </c>
      <c r="AP98" s="7" t="s">
        <v>44</v>
      </c>
      <c r="AR98" s="7" t="s">
        <v>37</v>
      </c>
      <c r="AS98" s="7" t="s">
        <v>37</v>
      </c>
    </row>
    <row r="99" spans="1:45" x14ac:dyDescent="0.3">
      <c r="A99" s="7" t="s">
        <v>372</v>
      </c>
      <c r="B99" s="4">
        <v>44834</v>
      </c>
      <c r="C99" s="7" t="s">
        <v>35</v>
      </c>
      <c r="D99" s="7" t="s">
        <v>37</v>
      </c>
      <c r="H99" s="7" t="s">
        <v>38</v>
      </c>
      <c r="I99" s="7" t="s">
        <v>39</v>
      </c>
      <c r="J99" s="7" t="s">
        <v>40</v>
      </c>
      <c r="K99" s="7" t="s">
        <v>41</v>
      </c>
      <c r="O99" s="7" t="s">
        <v>54</v>
      </c>
      <c r="P99" s="7" t="s">
        <v>36</v>
      </c>
      <c r="R99" s="7">
        <v>460579.59</v>
      </c>
      <c r="S99" s="7">
        <v>-460579.59</v>
      </c>
      <c r="T99" s="7" t="s">
        <v>36</v>
      </c>
      <c r="V99" s="7">
        <v>460579.59</v>
      </c>
      <c r="W99" s="7">
        <v>-460579.59</v>
      </c>
      <c r="X99" s="7" t="s">
        <v>36</v>
      </c>
      <c r="Z99" s="7">
        <v>460579.59</v>
      </c>
      <c r="AA99" s="7">
        <v>-460579.59</v>
      </c>
      <c r="AB99" s="7" t="str">
        <f>INDEX(Parameters!B:B,MATCH("Report Using",Parameters!A:A,0))</f>
        <v>Reporting</v>
      </c>
      <c r="AC99" s="7" t="str">
        <f t="shared" si="6"/>
        <v>USD</v>
      </c>
      <c r="AD99" s="8">
        <f t="shared" si="7"/>
        <v>-460579.59</v>
      </c>
      <c r="AE99" s="7" t="s">
        <v>6</v>
      </c>
      <c r="AF99" s="7" t="s">
        <v>56</v>
      </c>
      <c r="AG99" s="7" t="s">
        <v>2745</v>
      </c>
      <c r="AH99" s="7" t="s">
        <v>2618</v>
      </c>
      <c r="AI99" s="7" t="s">
        <v>1691</v>
      </c>
      <c r="AK99" s="7" t="s">
        <v>2617</v>
      </c>
      <c r="AL99" s="7">
        <v>11</v>
      </c>
      <c r="AM99" s="7" t="s">
        <v>53</v>
      </c>
      <c r="AN99" s="7" t="s">
        <v>381</v>
      </c>
      <c r="AP99" s="7" t="s">
        <v>44</v>
      </c>
      <c r="AR99" s="7" t="s">
        <v>37</v>
      </c>
      <c r="AS99" s="7" t="s">
        <v>37</v>
      </c>
    </row>
    <row r="100" spans="1:45" x14ac:dyDescent="0.3">
      <c r="A100" s="7" t="s">
        <v>34</v>
      </c>
      <c r="B100" s="4">
        <v>44835</v>
      </c>
      <c r="C100" s="7" t="s">
        <v>35</v>
      </c>
      <c r="D100" s="7" t="s">
        <v>37</v>
      </c>
      <c r="H100" s="7" t="s">
        <v>38</v>
      </c>
      <c r="I100" s="7" t="s">
        <v>39</v>
      </c>
      <c r="J100" s="7" t="s">
        <v>40</v>
      </c>
      <c r="K100" s="7" t="s">
        <v>41</v>
      </c>
      <c r="O100" s="7" t="s">
        <v>54</v>
      </c>
      <c r="P100" s="7" t="s">
        <v>36</v>
      </c>
      <c r="Q100" s="7">
        <v>460579.59</v>
      </c>
      <c r="S100" s="7">
        <v>460579.59</v>
      </c>
      <c r="T100" s="7" t="s">
        <v>36</v>
      </c>
      <c r="U100" s="7">
        <v>460579.59</v>
      </c>
      <c r="W100" s="7">
        <v>460579.59</v>
      </c>
      <c r="X100" s="7" t="s">
        <v>36</v>
      </c>
      <c r="Y100" s="7">
        <v>460579.59</v>
      </c>
      <c r="AA100" s="7">
        <v>460579.59</v>
      </c>
      <c r="AB100" s="7" t="str">
        <f>INDEX(Parameters!B:B,MATCH("Report Using",Parameters!A:A,0))</f>
        <v>Reporting</v>
      </c>
      <c r="AC100" s="7" t="str">
        <f t="shared" si="6"/>
        <v>USD</v>
      </c>
      <c r="AD100" s="8">
        <f t="shared" si="7"/>
        <v>460579.59</v>
      </c>
      <c r="AE100" s="7" t="s">
        <v>6</v>
      </c>
      <c r="AF100" s="7" t="s">
        <v>56</v>
      </c>
      <c r="AG100" s="7" t="s">
        <v>2745</v>
      </c>
      <c r="AH100" s="7" t="s">
        <v>2618</v>
      </c>
      <c r="AI100" s="7" t="s">
        <v>1691</v>
      </c>
      <c r="AK100" s="7" t="s">
        <v>2617</v>
      </c>
      <c r="AL100" s="7">
        <v>11</v>
      </c>
      <c r="AM100" s="7" t="s">
        <v>55</v>
      </c>
      <c r="AN100" s="7" t="s">
        <v>382</v>
      </c>
      <c r="AP100" s="7" t="s">
        <v>44</v>
      </c>
      <c r="AR100" s="7" t="s">
        <v>37</v>
      </c>
      <c r="AS100" s="7" t="s">
        <v>37</v>
      </c>
    </row>
    <row r="101" spans="1:45" x14ac:dyDescent="0.3">
      <c r="A101" s="7" t="s">
        <v>34</v>
      </c>
      <c r="B101" s="4">
        <v>44835</v>
      </c>
      <c r="C101" s="7" t="s">
        <v>35</v>
      </c>
      <c r="D101" s="7" t="s">
        <v>37</v>
      </c>
      <c r="H101" s="7" t="s">
        <v>38</v>
      </c>
      <c r="I101" s="7" t="s">
        <v>39</v>
      </c>
      <c r="J101" s="7" t="s">
        <v>40</v>
      </c>
      <c r="K101" s="7" t="s">
        <v>41</v>
      </c>
      <c r="O101" s="7" t="s">
        <v>45</v>
      </c>
      <c r="P101" s="7" t="s">
        <v>36</v>
      </c>
      <c r="R101" s="7">
        <v>460579.59</v>
      </c>
      <c r="S101" s="7">
        <v>-460579.59</v>
      </c>
      <c r="T101" s="7" t="s">
        <v>36</v>
      </c>
      <c r="V101" s="7">
        <v>460579.59</v>
      </c>
      <c r="W101" s="7">
        <v>-460579.59</v>
      </c>
      <c r="X101" s="7" t="s">
        <v>36</v>
      </c>
      <c r="Z101" s="7">
        <v>460579.59</v>
      </c>
      <c r="AA101" s="7">
        <v>-460579.59</v>
      </c>
      <c r="AB101" s="7" t="str">
        <f>INDEX(Parameters!B:B,MATCH("Report Using",Parameters!A:A,0))</f>
        <v>Reporting</v>
      </c>
      <c r="AC101" s="7" t="str">
        <f t="shared" si="6"/>
        <v>USD</v>
      </c>
      <c r="AD101" s="8">
        <f t="shared" si="7"/>
        <v>-460579.59</v>
      </c>
      <c r="AE101" s="7" t="s">
        <v>6</v>
      </c>
      <c r="AF101" s="7" t="s">
        <v>56</v>
      </c>
      <c r="AG101" s="7" t="s">
        <v>2745</v>
      </c>
      <c r="AH101" s="7" t="s">
        <v>2618</v>
      </c>
      <c r="AI101" s="7" t="s">
        <v>1691</v>
      </c>
      <c r="AK101" s="7" t="s">
        <v>2617</v>
      </c>
      <c r="AL101" s="7">
        <v>11</v>
      </c>
      <c r="AM101" s="7" t="s">
        <v>55</v>
      </c>
      <c r="AN101" s="7" t="s">
        <v>384</v>
      </c>
      <c r="AP101" s="7" t="s">
        <v>44</v>
      </c>
      <c r="AR101" s="7" t="s">
        <v>37</v>
      </c>
      <c r="AS101" s="7" t="s">
        <v>37</v>
      </c>
    </row>
    <row r="102" spans="1:45" x14ac:dyDescent="0.3">
      <c r="A102" s="7" t="s">
        <v>34</v>
      </c>
      <c r="B102" s="4">
        <v>44865</v>
      </c>
      <c r="C102" s="7" t="s">
        <v>46</v>
      </c>
      <c r="D102" s="7" t="s">
        <v>37</v>
      </c>
      <c r="H102" s="7" t="s">
        <v>38</v>
      </c>
      <c r="I102" s="7" t="s">
        <v>39</v>
      </c>
      <c r="J102" s="7" t="s">
        <v>38</v>
      </c>
      <c r="K102" s="7" t="s">
        <v>41</v>
      </c>
      <c r="O102" s="7" t="s">
        <v>49</v>
      </c>
      <c r="P102" s="7" t="s">
        <v>36</v>
      </c>
      <c r="Q102" s="7">
        <v>12834.260563</v>
      </c>
      <c r="S102" s="7">
        <v>12834.260563</v>
      </c>
      <c r="T102" s="7" t="s">
        <v>36</v>
      </c>
      <c r="U102" s="7">
        <v>12834.260563</v>
      </c>
      <c r="W102" s="7">
        <v>12834.260563</v>
      </c>
      <c r="X102" s="7" t="s">
        <v>36</v>
      </c>
      <c r="Y102" s="7">
        <v>12834.260563</v>
      </c>
      <c r="AA102" s="7">
        <v>12834.260563</v>
      </c>
      <c r="AB102" s="7" t="str">
        <f>INDEX(Parameters!B:B,MATCH("Report Using",Parameters!A:A,0))</f>
        <v>Reporting</v>
      </c>
      <c r="AC102" s="7" t="str">
        <f t="shared" si="6"/>
        <v>USD</v>
      </c>
      <c r="AD102" s="8">
        <f t="shared" si="7"/>
        <v>12834.260563</v>
      </c>
      <c r="AE102" s="7" t="s">
        <v>6</v>
      </c>
      <c r="AF102" s="7" t="s">
        <v>56</v>
      </c>
      <c r="AG102" s="7" t="s">
        <v>2748</v>
      </c>
      <c r="AH102" s="7" t="s">
        <v>2618</v>
      </c>
      <c r="AI102" s="7" t="s">
        <v>1691</v>
      </c>
      <c r="AK102" s="7" t="s">
        <v>2617</v>
      </c>
      <c r="AL102" s="7">
        <v>12</v>
      </c>
      <c r="AM102" s="7" t="s">
        <v>57</v>
      </c>
      <c r="AN102" s="7" t="s">
        <v>385</v>
      </c>
      <c r="AP102" s="7" t="s">
        <v>44</v>
      </c>
      <c r="AR102" s="7" t="s">
        <v>37</v>
      </c>
      <c r="AS102" s="7" t="s">
        <v>37</v>
      </c>
    </row>
    <row r="103" spans="1:45" x14ac:dyDescent="0.3">
      <c r="A103" s="7" t="s">
        <v>34</v>
      </c>
      <c r="B103" s="4">
        <v>44865</v>
      </c>
      <c r="C103" s="7" t="s">
        <v>46</v>
      </c>
      <c r="D103" s="7" t="s">
        <v>37</v>
      </c>
      <c r="H103" s="7" t="s">
        <v>38</v>
      </c>
      <c r="I103" s="7" t="s">
        <v>39</v>
      </c>
      <c r="J103" s="7" t="s">
        <v>40</v>
      </c>
      <c r="K103" s="7" t="s">
        <v>41</v>
      </c>
      <c r="O103" s="7" t="s">
        <v>45</v>
      </c>
      <c r="P103" s="7" t="s">
        <v>36</v>
      </c>
      <c r="Q103" s="7">
        <v>37165.739436999997</v>
      </c>
      <c r="S103" s="7">
        <v>37165.739436999997</v>
      </c>
      <c r="T103" s="7" t="s">
        <v>36</v>
      </c>
      <c r="U103" s="7">
        <v>37165.739436999997</v>
      </c>
      <c r="W103" s="7">
        <v>37165.739436999997</v>
      </c>
      <c r="X103" s="7" t="s">
        <v>36</v>
      </c>
      <c r="Y103" s="7">
        <v>37165.739436999997</v>
      </c>
      <c r="AA103" s="7">
        <v>37165.739436999997</v>
      </c>
      <c r="AB103" s="7" t="str">
        <f>INDEX(Parameters!B:B,MATCH("Report Using",Parameters!A:A,0))</f>
        <v>Reporting</v>
      </c>
      <c r="AC103" s="7" t="str">
        <f t="shared" si="6"/>
        <v>USD</v>
      </c>
      <c r="AD103" s="8">
        <f t="shared" si="7"/>
        <v>37165.739436999997</v>
      </c>
      <c r="AE103" s="7" t="s">
        <v>6</v>
      </c>
      <c r="AF103" s="7" t="s">
        <v>56</v>
      </c>
      <c r="AG103" s="7" t="s">
        <v>2748</v>
      </c>
      <c r="AH103" s="7" t="s">
        <v>2618</v>
      </c>
      <c r="AI103" s="7" t="s">
        <v>1691</v>
      </c>
      <c r="AK103" s="7" t="s">
        <v>2617</v>
      </c>
      <c r="AL103" s="7">
        <v>12</v>
      </c>
      <c r="AM103" s="7" t="s">
        <v>57</v>
      </c>
      <c r="AN103" s="7" t="s">
        <v>387</v>
      </c>
      <c r="AP103" s="7" t="s">
        <v>44</v>
      </c>
      <c r="AR103" s="7" t="s">
        <v>37</v>
      </c>
      <c r="AS103" s="7" t="s">
        <v>37</v>
      </c>
    </row>
    <row r="104" spans="1:45" x14ac:dyDescent="0.3">
      <c r="A104" s="7" t="s">
        <v>34</v>
      </c>
      <c r="B104" s="4">
        <v>44865</v>
      </c>
      <c r="C104" s="7" t="s">
        <v>46</v>
      </c>
      <c r="D104" s="7" t="s">
        <v>37</v>
      </c>
      <c r="H104" s="7" t="s">
        <v>38</v>
      </c>
      <c r="I104" s="7" t="s">
        <v>39</v>
      </c>
      <c r="J104" s="7" t="s">
        <v>40</v>
      </c>
      <c r="K104" s="7" t="s">
        <v>41</v>
      </c>
      <c r="O104" s="7" t="s">
        <v>58</v>
      </c>
      <c r="P104" s="7" t="s">
        <v>36</v>
      </c>
      <c r="R104" s="7">
        <v>50000</v>
      </c>
      <c r="S104" s="7">
        <v>-50000</v>
      </c>
      <c r="T104" s="7" t="s">
        <v>36</v>
      </c>
      <c r="V104" s="7">
        <v>50000</v>
      </c>
      <c r="W104" s="7">
        <v>-50000</v>
      </c>
      <c r="X104" s="7" t="s">
        <v>36</v>
      </c>
      <c r="Z104" s="7">
        <v>50000</v>
      </c>
      <c r="AA104" s="7">
        <v>-50000</v>
      </c>
      <c r="AB104" s="7" t="str">
        <f>INDEX(Parameters!B:B,MATCH("Report Using",Parameters!A:A,0))</f>
        <v>Reporting</v>
      </c>
      <c r="AC104" s="7" t="str">
        <f t="shared" si="6"/>
        <v>USD</v>
      </c>
      <c r="AD104" s="8">
        <f t="shared" si="7"/>
        <v>-50000</v>
      </c>
      <c r="AE104" s="7" t="s">
        <v>6</v>
      </c>
      <c r="AF104" s="7" t="s">
        <v>56</v>
      </c>
      <c r="AG104" s="7" t="s">
        <v>2748</v>
      </c>
      <c r="AH104" s="7" t="s">
        <v>2618</v>
      </c>
      <c r="AI104" s="7" t="s">
        <v>1691</v>
      </c>
      <c r="AK104" s="7" t="s">
        <v>2617</v>
      </c>
      <c r="AL104" s="7">
        <v>12</v>
      </c>
      <c r="AM104" s="7" t="s">
        <v>57</v>
      </c>
      <c r="AN104" s="7" t="s">
        <v>388</v>
      </c>
      <c r="AP104" s="7" t="s">
        <v>44</v>
      </c>
      <c r="AR104" s="7" t="s">
        <v>37</v>
      </c>
      <c r="AS104" s="7" t="s">
        <v>37</v>
      </c>
    </row>
    <row r="105" spans="1:45" x14ac:dyDescent="0.3">
      <c r="A105" s="7" t="s">
        <v>59</v>
      </c>
      <c r="B105" s="4">
        <v>44865</v>
      </c>
      <c r="C105" s="7" t="s">
        <v>46</v>
      </c>
      <c r="D105" s="7" t="s">
        <v>37</v>
      </c>
      <c r="H105" s="7" t="s">
        <v>38</v>
      </c>
      <c r="I105" s="7" t="s">
        <v>39</v>
      </c>
      <c r="J105" s="7" t="s">
        <v>40</v>
      </c>
      <c r="K105" s="7" t="s">
        <v>41</v>
      </c>
      <c r="O105" s="7" t="s">
        <v>47</v>
      </c>
      <c r="P105" s="7" t="s">
        <v>36</v>
      </c>
      <c r="Q105" s="7">
        <v>12617.460416</v>
      </c>
      <c r="S105" s="7">
        <v>12617.460416</v>
      </c>
      <c r="T105" s="7" t="s">
        <v>36</v>
      </c>
      <c r="U105" s="7">
        <v>12617.460416</v>
      </c>
      <c r="W105" s="7">
        <v>12617.460416</v>
      </c>
      <c r="X105" s="7" t="s">
        <v>36</v>
      </c>
      <c r="Y105" s="7">
        <v>12617.460416</v>
      </c>
      <c r="AA105" s="7">
        <v>12617.460416</v>
      </c>
      <c r="AB105" s="7" t="str">
        <f>INDEX(Parameters!B:B,MATCH("Report Using",Parameters!A:A,0))</f>
        <v>Reporting</v>
      </c>
      <c r="AC105" s="7" t="str">
        <f t="shared" si="6"/>
        <v>USD</v>
      </c>
      <c r="AD105" s="8">
        <f t="shared" si="7"/>
        <v>12617.460416</v>
      </c>
      <c r="AE105" s="7" t="s">
        <v>6</v>
      </c>
      <c r="AF105" s="7" t="s">
        <v>56</v>
      </c>
      <c r="AG105" s="7" t="s">
        <v>2747</v>
      </c>
      <c r="AH105" s="7" t="s">
        <v>2618</v>
      </c>
      <c r="AI105" s="7" t="s">
        <v>1691</v>
      </c>
      <c r="AK105" s="7" t="s">
        <v>2617</v>
      </c>
      <c r="AL105" s="7">
        <v>8</v>
      </c>
      <c r="AM105" s="7" t="s">
        <v>48</v>
      </c>
      <c r="AN105" s="7" t="s">
        <v>389</v>
      </c>
      <c r="AP105" s="7" t="s">
        <v>44</v>
      </c>
      <c r="AR105" s="7" t="s">
        <v>37</v>
      </c>
      <c r="AS105" s="7" t="s">
        <v>37</v>
      </c>
    </row>
    <row r="106" spans="1:45" x14ac:dyDescent="0.3">
      <c r="A106" s="7" t="s">
        <v>59</v>
      </c>
      <c r="B106" s="4">
        <v>44865</v>
      </c>
      <c r="C106" s="7" t="s">
        <v>46</v>
      </c>
      <c r="D106" s="7" t="s">
        <v>37</v>
      </c>
      <c r="H106" s="7" t="s">
        <v>38</v>
      </c>
      <c r="I106" s="7" t="s">
        <v>39</v>
      </c>
      <c r="J106" s="7" t="s">
        <v>38</v>
      </c>
      <c r="K106" s="7" t="s">
        <v>41</v>
      </c>
      <c r="O106" s="7" t="s">
        <v>49</v>
      </c>
      <c r="P106" s="7" t="s">
        <v>36</v>
      </c>
      <c r="R106" s="7">
        <v>12617.460416</v>
      </c>
      <c r="S106" s="7">
        <v>-12617.460416</v>
      </c>
      <c r="T106" s="7" t="s">
        <v>36</v>
      </c>
      <c r="V106" s="7">
        <v>12617.460416</v>
      </c>
      <c r="W106" s="7">
        <v>-12617.460416</v>
      </c>
      <c r="X106" s="7" t="s">
        <v>36</v>
      </c>
      <c r="Z106" s="7">
        <v>12617.460416</v>
      </c>
      <c r="AA106" s="7">
        <v>-12617.460416</v>
      </c>
      <c r="AB106" s="7" t="str">
        <f>INDEX(Parameters!B:B,MATCH("Report Using",Parameters!A:A,0))</f>
        <v>Reporting</v>
      </c>
      <c r="AC106" s="7" t="str">
        <f t="shared" si="6"/>
        <v>USD</v>
      </c>
      <c r="AD106" s="8">
        <f t="shared" si="7"/>
        <v>-12617.460416</v>
      </c>
      <c r="AE106" s="7" t="s">
        <v>6</v>
      </c>
      <c r="AF106" s="7" t="s">
        <v>56</v>
      </c>
      <c r="AG106" s="7" t="s">
        <v>2747</v>
      </c>
      <c r="AH106" s="7" t="s">
        <v>2618</v>
      </c>
      <c r="AI106" s="7" t="s">
        <v>1691</v>
      </c>
      <c r="AK106" s="7" t="s">
        <v>2617</v>
      </c>
      <c r="AL106" s="7">
        <v>8</v>
      </c>
      <c r="AM106" s="7" t="s">
        <v>48</v>
      </c>
      <c r="AN106" s="7" t="s">
        <v>391</v>
      </c>
      <c r="AP106" s="7" t="s">
        <v>44</v>
      </c>
      <c r="AR106" s="7" t="s">
        <v>37</v>
      </c>
      <c r="AS106" s="7" t="s">
        <v>37</v>
      </c>
    </row>
    <row r="107" spans="1:45" x14ac:dyDescent="0.3">
      <c r="A107" s="7" t="s">
        <v>59</v>
      </c>
      <c r="B107" s="4">
        <v>44562</v>
      </c>
      <c r="C107" s="7" t="s">
        <v>35</v>
      </c>
      <c r="D107" s="7" t="s">
        <v>37</v>
      </c>
      <c r="H107" s="7" t="s">
        <v>38</v>
      </c>
      <c r="I107" s="7" t="s">
        <v>39</v>
      </c>
      <c r="J107" s="7" t="s">
        <v>40</v>
      </c>
      <c r="K107" s="7" t="s">
        <v>41</v>
      </c>
      <c r="O107" s="7" t="s">
        <v>50</v>
      </c>
      <c r="P107" s="7" t="s">
        <v>36</v>
      </c>
      <c r="Q107" s="7">
        <v>42330.49</v>
      </c>
      <c r="S107" s="7">
        <v>42330.49</v>
      </c>
      <c r="T107" s="7" t="s">
        <v>36</v>
      </c>
      <c r="U107" s="7">
        <v>42330.49</v>
      </c>
      <c r="W107" s="7">
        <v>42330.49</v>
      </c>
      <c r="X107" s="7" t="s">
        <v>36</v>
      </c>
      <c r="Y107" s="7">
        <v>42330.49</v>
      </c>
      <c r="AA107" s="7">
        <v>42330.49</v>
      </c>
      <c r="AB107" s="7" t="str">
        <f>INDEX(Parameters!B:B,MATCH("Report Using",Parameters!A:A,0))</f>
        <v>Reporting</v>
      </c>
      <c r="AC107" s="7" t="str">
        <f t="shared" si="6"/>
        <v>USD</v>
      </c>
      <c r="AD107" s="8">
        <f t="shared" si="7"/>
        <v>42330.49</v>
      </c>
      <c r="AE107" s="7" t="s">
        <v>6</v>
      </c>
      <c r="AF107" s="7" t="s">
        <v>56</v>
      </c>
      <c r="AG107" s="7" t="s">
        <v>2746</v>
      </c>
      <c r="AH107" s="7" t="s">
        <v>2618</v>
      </c>
      <c r="AI107" s="7" t="s">
        <v>1691</v>
      </c>
      <c r="AK107" s="7" t="s">
        <v>2617</v>
      </c>
      <c r="AL107" s="7">
        <v>10</v>
      </c>
      <c r="AM107" s="7" t="s">
        <v>51</v>
      </c>
      <c r="AN107" s="7" t="s">
        <v>392</v>
      </c>
      <c r="AP107" s="7" t="s">
        <v>44</v>
      </c>
      <c r="AR107" s="7" t="s">
        <v>37</v>
      </c>
      <c r="AS107" s="7" t="s">
        <v>37</v>
      </c>
    </row>
    <row r="108" spans="1:45" x14ac:dyDescent="0.3">
      <c r="A108" s="7" t="s">
        <v>59</v>
      </c>
      <c r="B108" s="4">
        <v>44562</v>
      </c>
      <c r="C108" s="7" t="s">
        <v>35</v>
      </c>
      <c r="D108" s="7" t="s">
        <v>37</v>
      </c>
      <c r="H108" s="7" t="s">
        <v>38</v>
      </c>
      <c r="I108" s="7" t="s">
        <v>39</v>
      </c>
      <c r="J108" s="7" t="s">
        <v>40</v>
      </c>
      <c r="K108" s="7" t="s">
        <v>41</v>
      </c>
      <c r="O108" s="7" t="s">
        <v>52</v>
      </c>
      <c r="P108" s="7" t="s">
        <v>36</v>
      </c>
      <c r="R108" s="7">
        <v>42330.49</v>
      </c>
      <c r="S108" s="7">
        <v>-42330.49</v>
      </c>
      <c r="T108" s="7" t="s">
        <v>36</v>
      </c>
      <c r="V108" s="7">
        <v>42330.49</v>
      </c>
      <c r="W108" s="7">
        <v>-42330.49</v>
      </c>
      <c r="X108" s="7" t="s">
        <v>36</v>
      </c>
      <c r="Z108" s="7">
        <v>42330.49</v>
      </c>
      <c r="AA108" s="7">
        <v>-42330.49</v>
      </c>
      <c r="AB108" s="7" t="str">
        <f>INDEX(Parameters!B:B,MATCH("Report Using",Parameters!A:A,0))</f>
        <v>Reporting</v>
      </c>
      <c r="AC108" s="7" t="str">
        <f t="shared" si="6"/>
        <v>USD</v>
      </c>
      <c r="AD108" s="8">
        <f t="shared" si="7"/>
        <v>-42330.49</v>
      </c>
      <c r="AE108" s="7" t="s">
        <v>6</v>
      </c>
      <c r="AF108" s="7" t="s">
        <v>56</v>
      </c>
      <c r="AG108" s="7" t="s">
        <v>2746</v>
      </c>
      <c r="AH108" s="7" t="s">
        <v>2618</v>
      </c>
      <c r="AI108" s="7" t="s">
        <v>1691</v>
      </c>
      <c r="AK108" s="7" t="s">
        <v>2617</v>
      </c>
      <c r="AL108" s="7">
        <v>10</v>
      </c>
      <c r="AM108" s="7" t="s">
        <v>51</v>
      </c>
      <c r="AN108" s="7" t="s">
        <v>394</v>
      </c>
      <c r="AP108" s="7" t="s">
        <v>44</v>
      </c>
      <c r="AR108" s="7" t="s">
        <v>37</v>
      </c>
      <c r="AS108" s="7" t="s">
        <v>37</v>
      </c>
    </row>
    <row r="109" spans="1:45" x14ac:dyDescent="0.3">
      <c r="A109" s="7" t="s">
        <v>59</v>
      </c>
      <c r="B109" s="4">
        <v>44865</v>
      </c>
      <c r="C109" s="7" t="s">
        <v>35</v>
      </c>
      <c r="D109" s="7" t="s">
        <v>37</v>
      </c>
      <c r="H109" s="7" t="s">
        <v>38</v>
      </c>
      <c r="I109" s="7" t="s">
        <v>39</v>
      </c>
      <c r="J109" s="7" t="s">
        <v>40</v>
      </c>
      <c r="K109" s="7" t="s">
        <v>41</v>
      </c>
      <c r="O109" s="7" t="s">
        <v>45</v>
      </c>
      <c r="P109" s="7" t="s">
        <v>36</v>
      </c>
      <c r="Q109" s="7">
        <v>463266.31</v>
      </c>
      <c r="S109" s="7">
        <v>463266.31</v>
      </c>
      <c r="T109" s="7" t="s">
        <v>36</v>
      </c>
      <c r="U109" s="7">
        <v>463266.31</v>
      </c>
      <c r="W109" s="7">
        <v>463266.31</v>
      </c>
      <c r="X109" s="7" t="s">
        <v>36</v>
      </c>
      <c r="Y109" s="7">
        <v>463266.31</v>
      </c>
      <c r="AA109" s="7">
        <v>463266.31</v>
      </c>
      <c r="AB109" s="7" t="str">
        <f>INDEX(Parameters!B:B,MATCH("Report Using",Parameters!A:A,0))</f>
        <v>Reporting</v>
      </c>
      <c r="AC109" s="7" t="str">
        <f t="shared" si="6"/>
        <v>USD</v>
      </c>
      <c r="AD109" s="8">
        <f t="shared" si="7"/>
        <v>463266.31</v>
      </c>
      <c r="AE109" s="7" t="s">
        <v>6</v>
      </c>
      <c r="AF109" s="7" t="s">
        <v>56</v>
      </c>
      <c r="AG109" s="7" t="s">
        <v>2745</v>
      </c>
      <c r="AH109" s="7" t="s">
        <v>2618</v>
      </c>
      <c r="AI109" s="7" t="s">
        <v>1691</v>
      </c>
      <c r="AK109" s="7" t="s">
        <v>2617</v>
      </c>
      <c r="AL109" s="7">
        <v>11</v>
      </c>
      <c r="AM109" s="7" t="s">
        <v>53</v>
      </c>
      <c r="AN109" s="7" t="s">
        <v>395</v>
      </c>
      <c r="AP109" s="7" t="s">
        <v>44</v>
      </c>
      <c r="AR109" s="7" t="s">
        <v>37</v>
      </c>
      <c r="AS109" s="7" t="s">
        <v>37</v>
      </c>
    </row>
    <row r="110" spans="1:45" x14ac:dyDescent="0.3">
      <c r="A110" s="7" t="s">
        <v>59</v>
      </c>
      <c r="B110" s="4">
        <v>44865</v>
      </c>
      <c r="C110" s="7" t="s">
        <v>35</v>
      </c>
      <c r="D110" s="7" t="s">
        <v>37</v>
      </c>
      <c r="H110" s="7" t="s">
        <v>38</v>
      </c>
      <c r="I110" s="7" t="s">
        <v>39</v>
      </c>
      <c r="J110" s="7" t="s">
        <v>40</v>
      </c>
      <c r="K110" s="7" t="s">
        <v>41</v>
      </c>
      <c r="O110" s="7" t="s">
        <v>54</v>
      </c>
      <c r="P110" s="7" t="s">
        <v>36</v>
      </c>
      <c r="R110" s="7">
        <v>463266.31</v>
      </c>
      <c r="S110" s="7">
        <v>-463266.31</v>
      </c>
      <c r="T110" s="7" t="s">
        <v>36</v>
      </c>
      <c r="V110" s="7">
        <v>463266.31</v>
      </c>
      <c r="W110" s="7">
        <v>-463266.31</v>
      </c>
      <c r="X110" s="7" t="s">
        <v>36</v>
      </c>
      <c r="Z110" s="7">
        <v>463266.31</v>
      </c>
      <c r="AA110" s="7">
        <v>-463266.31</v>
      </c>
      <c r="AB110" s="7" t="str">
        <f>INDEX(Parameters!B:B,MATCH("Report Using",Parameters!A:A,0))</f>
        <v>Reporting</v>
      </c>
      <c r="AC110" s="7" t="str">
        <f t="shared" si="6"/>
        <v>USD</v>
      </c>
      <c r="AD110" s="8">
        <f t="shared" si="7"/>
        <v>-463266.31</v>
      </c>
      <c r="AE110" s="7" t="s">
        <v>6</v>
      </c>
      <c r="AF110" s="7" t="s">
        <v>56</v>
      </c>
      <c r="AG110" s="7" t="s">
        <v>2745</v>
      </c>
      <c r="AH110" s="7" t="s">
        <v>2618</v>
      </c>
      <c r="AI110" s="7" t="s">
        <v>1691</v>
      </c>
      <c r="AK110" s="7" t="s">
        <v>2617</v>
      </c>
      <c r="AL110" s="7">
        <v>11</v>
      </c>
      <c r="AM110" s="7" t="s">
        <v>53</v>
      </c>
      <c r="AN110" s="7" t="s">
        <v>397</v>
      </c>
      <c r="AP110" s="7" t="s">
        <v>44</v>
      </c>
      <c r="AR110" s="7" t="s">
        <v>37</v>
      </c>
      <c r="AS110" s="7" t="s">
        <v>37</v>
      </c>
    </row>
    <row r="111" spans="1:45" x14ac:dyDescent="0.3">
      <c r="A111" s="7" t="s">
        <v>60</v>
      </c>
      <c r="B111" s="4">
        <v>44866</v>
      </c>
      <c r="C111" s="7" t="s">
        <v>35</v>
      </c>
      <c r="D111" s="7" t="s">
        <v>37</v>
      </c>
      <c r="H111" s="7" t="s">
        <v>38</v>
      </c>
      <c r="I111" s="7" t="s">
        <v>39</v>
      </c>
      <c r="J111" s="7" t="s">
        <v>40</v>
      </c>
      <c r="K111" s="7" t="s">
        <v>41</v>
      </c>
      <c r="O111" s="7" t="s">
        <v>54</v>
      </c>
      <c r="P111" s="7" t="s">
        <v>36</v>
      </c>
      <c r="Q111" s="7">
        <v>463266.31</v>
      </c>
      <c r="S111" s="7">
        <v>463266.31</v>
      </c>
      <c r="T111" s="7" t="s">
        <v>36</v>
      </c>
      <c r="U111" s="7">
        <v>463266.31</v>
      </c>
      <c r="W111" s="7">
        <v>463266.31</v>
      </c>
      <c r="X111" s="7" t="s">
        <v>36</v>
      </c>
      <c r="Y111" s="7">
        <v>463266.31</v>
      </c>
      <c r="AA111" s="7">
        <v>463266.31</v>
      </c>
      <c r="AB111" s="7" t="str">
        <f>INDEX(Parameters!B:B,MATCH("Report Using",Parameters!A:A,0))</f>
        <v>Reporting</v>
      </c>
      <c r="AC111" s="7" t="str">
        <f t="shared" si="6"/>
        <v>USD</v>
      </c>
      <c r="AD111" s="8">
        <f t="shared" si="7"/>
        <v>463266.31</v>
      </c>
      <c r="AE111" s="7" t="s">
        <v>6</v>
      </c>
      <c r="AF111" s="7" t="s">
        <v>56</v>
      </c>
      <c r="AG111" s="7" t="s">
        <v>2745</v>
      </c>
      <c r="AH111" s="7" t="s">
        <v>2618</v>
      </c>
      <c r="AI111" s="7" t="s">
        <v>1691</v>
      </c>
      <c r="AK111" s="7" t="s">
        <v>2617</v>
      </c>
      <c r="AL111" s="7">
        <v>11</v>
      </c>
      <c r="AM111" s="7" t="s">
        <v>55</v>
      </c>
      <c r="AN111" s="7" t="s">
        <v>398</v>
      </c>
      <c r="AP111" s="7" t="s">
        <v>44</v>
      </c>
      <c r="AR111" s="7" t="s">
        <v>37</v>
      </c>
      <c r="AS111" s="7" t="s">
        <v>37</v>
      </c>
    </row>
    <row r="112" spans="1:45" x14ac:dyDescent="0.3">
      <c r="A112" s="7" t="s">
        <v>60</v>
      </c>
      <c r="B112" s="4">
        <v>44866</v>
      </c>
      <c r="C112" s="7" t="s">
        <v>35</v>
      </c>
      <c r="D112" s="7" t="s">
        <v>37</v>
      </c>
      <c r="H112" s="7" t="s">
        <v>38</v>
      </c>
      <c r="I112" s="7" t="s">
        <v>39</v>
      </c>
      <c r="J112" s="7" t="s">
        <v>40</v>
      </c>
      <c r="K112" s="7" t="s">
        <v>41</v>
      </c>
      <c r="O112" s="7" t="s">
        <v>45</v>
      </c>
      <c r="P112" s="7" t="s">
        <v>36</v>
      </c>
      <c r="R112" s="7">
        <v>463266.31</v>
      </c>
      <c r="S112" s="7">
        <v>-463266.31</v>
      </c>
      <c r="T112" s="7" t="s">
        <v>36</v>
      </c>
      <c r="V112" s="7">
        <v>463266.31</v>
      </c>
      <c r="W112" s="7">
        <v>-463266.31</v>
      </c>
      <c r="X112" s="7" t="s">
        <v>36</v>
      </c>
      <c r="Z112" s="7">
        <v>463266.31</v>
      </c>
      <c r="AA112" s="7">
        <v>-463266.31</v>
      </c>
      <c r="AB112" s="7" t="str">
        <f>INDEX(Parameters!B:B,MATCH("Report Using",Parameters!A:A,0))</f>
        <v>Reporting</v>
      </c>
      <c r="AC112" s="7" t="str">
        <f t="shared" si="6"/>
        <v>USD</v>
      </c>
      <c r="AD112" s="8">
        <f t="shared" si="7"/>
        <v>-463266.31</v>
      </c>
      <c r="AE112" s="7" t="s">
        <v>6</v>
      </c>
      <c r="AF112" s="7" t="s">
        <v>56</v>
      </c>
      <c r="AG112" s="7" t="s">
        <v>2745</v>
      </c>
      <c r="AH112" s="7" t="s">
        <v>2618</v>
      </c>
      <c r="AI112" s="7" t="s">
        <v>1691</v>
      </c>
      <c r="AK112" s="7" t="s">
        <v>2617</v>
      </c>
      <c r="AL112" s="7">
        <v>11</v>
      </c>
      <c r="AM112" s="7" t="s">
        <v>55</v>
      </c>
      <c r="AN112" s="7" t="s">
        <v>400</v>
      </c>
      <c r="AP112" s="7" t="s">
        <v>44</v>
      </c>
      <c r="AR112" s="7" t="s">
        <v>37</v>
      </c>
      <c r="AS112" s="7" t="s">
        <v>37</v>
      </c>
    </row>
    <row r="113" spans="1:45" x14ac:dyDescent="0.3">
      <c r="A113" s="7" t="s">
        <v>60</v>
      </c>
      <c r="B113" s="4">
        <v>44895</v>
      </c>
      <c r="C113" s="7" t="s">
        <v>46</v>
      </c>
      <c r="D113" s="7" t="s">
        <v>37</v>
      </c>
      <c r="H113" s="7" t="s">
        <v>38</v>
      </c>
      <c r="I113" s="7" t="s">
        <v>39</v>
      </c>
      <c r="J113" s="7" t="s">
        <v>38</v>
      </c>
      <c r="K113" s="7" t="s">
        <v>41</v>
      </c>
      <c r="O113" s="7" t="s">
        <v>49</v>
      </c>
      <c r="P113" s="7" t="s">
        <v>36</v>
      </c>
      <c r="Q113" s="7">
        <v>12617.460416</v>
      </c>
      <c r="S113" s="7">
        <v>12617.460416</v>
      </c>
      <c r="T113" s="7" t="s">
        <v>36</v>
      </c>
      <c r="U113" s="7">
        <v>12617.460416</v>
      </c>
      <c r="W113" s="7">
        <v>12617.460416</v>
      </c>
      <c r="X113" s="7" t="s">
        <v>36</v>
      </c>
      <c r="Y113" s="7">
        <v>12617.460416</v>
      </c>
      <c r="AA113" s="7">
        <v>12617.460416</v>
      </c>
      <c r="AB113" s="7" t="str">
        <f>INDEX(Parameters!B:B,MATCH("Report Using",Parameters!A:A,0))</f>
        <v>Reporting</v>
      </c>
      <c r="AC113" s="7" t="str">
        <f t="shared" si="6"/>
        <v>USD</v>
      </c>
      <c r="AD113" s="8">
        <f t="shared" si="7"/>
        <v>12617.460416</v>
      </c>
      <c r="AE113" s="7" t="s">
        <v>6</v>
      </c>
      <c r="AF113" s="7" t="s">
        <v>56</v>
      </c>
      <c r="AG113" s="7" t="s">
        <v>2748</v>
      </c>
      <c r="AH113" s="7" t="s">
        <v>2618</v>
      </c>
      <c r="AI113" s="7" t="s">
        <v>1691</v>
      </c>
      <c r="AK113" s="7" t="s">
        <v>2617</v>
      </c>
      <c r="AL113" s="7">
        <v>12</v>
      </c>
      <c r="AM113" s="7" t="s">
        <v>57</v>
      </c>
      <c r="AN113" s="7" t="s">
        <v>401</v>
      </c>
      <c r="AP113" s="7" t="s">
        <v>44</v>
      </c>
      <c r="AR113" s="7" t="s">
        <v>37</v>
      </c>
      <c r="AS113" s="7" t="s">
        <v>37</v>
      </c>
    </row>
    <row r="114" spans="1:45" x14ac:dyDescent="0.3">
      <c r="A114" s="7" t="s">
        <v>60</v>
      </c>
      <c r="B114" s="4">
        <v>44895</v>
      </c>
      <c r="C114" s="7" t="s">
        <v>46</v>
      </c>
      <c r="D114" s="7" t="s">
        <v>37</v>
      </c>
      <c r="H114" s="7" t="s">
        <v>38</v>
      </c>
      <c r="I114" s="7" t="s">
        <v>39</v>
      </c>
      <c r="J114" s="7" t="s">
        <v>40</v>
      </c>
      <c r="K114" s="7" t="s">
        <v>41</v>
      </c>
      <c r="O114" s="7" t="s">
        <v>45</v>
      </c>
      <c r="P114" s="7" t="s">
        <v>36</v>
      </c>
      <c r="Q114" s="7">
        <v>37382.539583999998</v>
      </c>
      <c r="S114" s="7">
        <v>37382.539583999998</v>
      </c>
      <c r="T114" s="7" t="s">
        <v>36</v>
      </c>
      <c r="U114" s="7">
        <v>37382.539583999998</v>
      </c>
      <c r="W114" s="7">
        <v>37382.539583999998</v>
      </c>
      <c r="X114" s="7" t="s">
        <v>36</v>
      </c>
      <c r="Y114" s="7">
        <v>37382.539583999998</v>
      </c>
      <c r="AA114" s="7">
        <v>37382.539583999998</v>
      </c>
      <c r="AB114" s="7" t="str">
        <f>INDEX(Parameters!B:B,MATCH("Report Using",Parameters!A:A,0))</f>
        <v>Reporting</v>
      </c>
      <c r="AC114" s="7" t="str">
        <f t="shared" si="6"/>
        <v>USD</v>
      </c>
      <c r="AD114" s="8">
        <f t="shared" si="7"/>
        <v>37382.539583999998</v>
      </c>
      <c r="AE114" s="7" t="s">
        <v>6</v>
      </c>
      <c r="AF114" s="7" t="s">
        <v>56</v>
      </c>
      <c r="AG114" s="7" t="s">
        <v>2748</v>
      </c>
      <c r="AH114" s="7" t="s">
        <v>2618</v>
      </c>
      <c r="AI114" s="7" t="s">
        <v>1691</v>
      </c>
      <c r="AK114" s="7" t="s">
        <v>2617</v>
      </c>
      <c r="AL114" s="7">
        <v>12</v>
      </c>
      <c r="AM114" s="7" t="s">
        <v>57</v>
      </c>
      <c r="AN114" s="7" t="s">
        <v>403</v>
      </c>
      <c r="AP114" s="7" t="s">
        <v>44</v>
      </c>
      <c r="AR114" s="7" t="s">
        <v>37</v>
      </c>
      <c r="AS114" s="7" t="s">
        <v>37</v>
      </c>
    </row>
    <row r="115" spans="1:45" x14ac:dyDescent="0.3">
      <c r="A115" s="7" t="s">
        <v>60</v>
      </c>
      <c r="B115" s="4">
        <v>44895</v>
      </c>
      <c r="C115" s="7" t="s">
        <v>46</v>
      </c>
      <c r="D115" s="7" t="s">
        <v>37</v>
      </c>
      <c r="H115" s="7" t="s">
        <v>38</v>
      </c>
      <c r="I115" s="7" t="s">
        <v>39</v>
      </c>
      <c r="J115" s="7" t="s">
        <v>40</v>
      </c>
      <c r="K115" s="7" t="s">
        <v>41</v>
      </c>
      <c r="O115" s="7" t="s">
        <v>58</v>
      </c>
      <c r="P115" s="7" t="s">
        <v>36</v>
      </c>
      <c r="R115" s="7">
        <v>50000</v>
      </c>
      <c r="S115" s="7">
        <v>-50000</v>
      </c>
      <c r="T115" s="7" t="s">
        <v>36</v>
      </c>
      <c r="V115" s="7">
        <v>50000</v>
      </c>
      <c r="W115" s="7">
        <v>-50000</v>
      </c>
      <c r="X115" s="7" t="s">
        <v>36</v>
      </c>
      <c r="Z115" s="7">
        <v>50000</v>
      </c>
      <c r="AA115" s="7">
        <v>-50000</v>
      </c>
      <c r="AB115" s="7" t="str">
        <f>INDEX(Parameters!B:B,MATCH("Report Using",Parameters!A:A,0))</f>
        <v>Reporting</v>
      </c>
      <c r="AC115" s="7" t="str">
        <f t="shared" si="6"/>
        <v>USD</v>
      </c>
      <c r="AD115" s="8">
        <f t="shared" si="7"/>
        <v>-50000</v>
      </c>
      <c r="AE115" s="7" t="s">
        <v>6</v>
      </c>
      <c r="AF115" s="7" t="s">
        <v>56</v>
      </c>
      <c r="AG115" s="7" t="s">
        <v>2748</v>
      </c>
      <c r="AH115" s="7" t="s">
        <v>2618</v>
      </c>
      <c r="AI115" s="7" t="s">
        <v>1691</v>
      </c>
      <c r="AK115" s="7" t="s">
        <v>2617</v>
      </c>
      <c r="AL115" s="7">
        <v>12</v>
      </c>
      <c r="AM115" s="7" t="s">
        <v>57</v>
      </c>
      <c r="AN115" s="7" t="s">
        <v>404</v>
      </c>
      <c r="AP115" s="7" t="s">
        <v>44</v>
      </c>
      <c r="AR115" s="7" t="s">
        <v>37</v>
      </c>
      <c r="AS115" s="7" t="s">
        <v>37</v>
      </c>
    </row>
    <row r="116" spans="1:45" x14ac:dyDescent="0.3">
      <c r="A116" s="7" t="s">
        <v>61</v>
      </c>
      <c r="B116" s="4">
        <v>44895</v>
      </c>
      <c r="C116" s="7" t="s">
        <v>46</v>
      </c>
      <c r="D116" s="7" t="s">
        <v>37</v>
      </c>
      <c r="H116" s="7" t="s">
        <v>38</v>
      </c>
      <c r="I116" s="7" t="s">
        <v>39</v>
      </c>
      <c r="J116" s="7" t="s">
        <v>40</v>
      </c>
      <c r="K116" s="7" t="s">
        <v>41</v>
      </c>
      <c r="O116" s="7" t="s">
        <v>47</v>
      </c>
      <c r="P116" s="7" t="s">
        <v>36</v>
      </c>
      <c r="Q116" s="7">
        <v>12399.395602000001</v>
      </c>
      <c r="S116" s="7">
        <v>12399.395602000001</v>
      </c>
      <c r="T116" s="7" t="s">
        <v>36</v>
      </c>
      <c r="U116" s="7">
        <v>12399.395602000001</v>
      </c>
      <c r="W116" s="7">
        <v>12399.395602000001</v>
      </c>
      <c r="X116" s="7" t="s">
        <v>36</v>
      </c>
      <c r="Y116" s="7">
        <v>12399.395602000001</v>
      </c>
      <c r="AA116" s="7">
        <v>12399.395602000001</v>
      </c>
      <c r="AB116" s="7" t="str">
        <f>INDEX(Parameters!B:B,MATCH("Report Using",Parameters!A:A,0))</f>
        <v>Reporting</v>
      </c>
      <c r="AC116" s="7" t="str">
        <f t="shared" si="6"/>
        <v>USD</v>
      </c>
      <c r="AD116" s="8">
        <f t="shared" si="7"/>
        <v>12399.395602000001</v>
      </c>
      <c r="AE116" s="7" t="s">
        <v>6</v>
      </c>
      <c r="AF116" s="7" t="s">
        <v>56</v>
      </c>
      <c r="AG116" s="7" t="s">
        <v>2747</v>
      </c>
      <c r="AH116" s="7" t="s">
        <v>2618</v>
      </c>
      <c r="AI116" s="7" t="s">
        <v>1691</v>
      </c>
      <c r="AK116" s="7" t="s">
        <v>2617</v>
      </c>
      <c r="AL116" s="7">
        <v>8</v>
      </c>
      <c r="AM116" s="7" t="s">
        <v>48</v>
      </c>
      <c r="AN116" s="7" t="s">
        <v>405</v>
      </c>
      <c r="AP116" s="7" t="s">
        <v>44</v>
      </c>
      <c r="AR116" s="7" t="s">
        <v>37</v>
      </c>
      <c r="AS116" s="7" t="s">
        <v>37</v>
      </c>
    </row>
    <row r="117" spans="1:45" x14ac:dyDescent="0.3">
      <c r="A117" s="7" t="s">
        <v>61</v>
      </c>
      <c r="B117" s="4">
        <v>44895</v>
      </c>
      <c r="C117" s="7" t="s">
        <v>46</v>
      </c>
      <c r="D117" s="7" t="s">
        <v>37</v>
      </c>
      <c r="H117" s="7" t="s">
        <v>38</v>
      </c>
      <c r="I117" s="7" t="s">
        <v>39</v>
      </c>
      <c r="J117" s="7" t="s">
        <v>38</v>
      </c>
      <c r="K117" s="7" t="s">
        <v>41</v>
      </c>
      <c r="O117" s="7" t="s">
        <v>49</v>
      </c>
      <c r="P117" s="7" t="s">
        <v>36</v>
      </c>
      <c r="R117" s="7">
        <v>12399.395602000001</v>
      </c>
      <c r="S117" s="7">
        <v>-12399.395602000001</v>
      </c>
      <c r="T117" s="7" t="s">
        <v>36</v>
      </c>
      <c r="V117" s="7">
        <v>12399.395602000001</v>
      </c>
      <c r="W117" s="7">
        <v>-12399.395602000001</v>
      </c>
      <c r="X117" s="7" t="s">
        <v>36</v>
      </c>
      <c r="Z117" s="7">
        <v>12399.395602000001</v>
      </c>
      <c r="AA117" s="7">
        <v>-12399.395602000001</v>
      </c>
      <c r="AB117" s="7" t="str">
        <f>INDEX(Parameters!B:B,MATCH("Report Using",Parameters!A:A,0))</f>
        <v>Reporting</v>
      </c>
      <c r="AC117" s="7" t="str">
        <f t="shared" si="6"/>
        <v>USD</v>
      </c>
      <c r="AD117" s="8">
        <f t="shared" si="7"/>
        <v>-12399.395602000001</v>
      </c>
      <c r="AE117" s="7" t="s">
        <v>6</v>
      </c>
      <c r="AF117" s="7" t="s">
        <v>56</v>
      </c>
      <c r="AG117" s="7" t="s">
        <v>2747</v>
      </c>
      <c r="AH117" s="7" t="s">
        <v>2618</v>
      </c>
      <c r="AI117" s="7" t="s">
        <v>1691</v>
      </c>
      <c r="AK117" s="7" t="s">
        <v>2617</v>
      </c>
      <c r="AL117" s="7">
        <v>8</v>
      </c>
      <c r="AM117" s="7" t="s">
        <v>48</v>
      </c>
      <c r="AN117" s="7" t="s">
        <v>407</v>
      </c>
      <c r="AP117" s="7" t="s">
        <v>44</v>
      </c>
      <c r="AR117" s="7" t="s">
        <v>37</v>
      </c>
      <c r="AS117" s="7" t="s">
        <v>37</v>
      </c>
    </row>
    <row r="118" spans="1:45" x14ac:dyDescent="0.3">
      <c r="A118" s="7" t="s">
        <v>61</v>
      </c>
      <c r="B118" s="4">
        <v>44562</v>
      </c>
      <c r="C118" s="7" t="s">
        <v>35</v>
      </c>
      <c r="D118" s="7" t="s">
        <v>37</v>
      </c>
      <c r="H118" s="7" t="s">
        <v>38</v>
      </c>
      <c r="I118" s="7" t="s">
        <v>39</v>
      </c>
      <c r="J118" s="7" t="s">
        <v>40</v>
      </c>
      <c r="K118" s="7" t="s">
        <v>41</v>
      </c>
      <c r="O118" s="7" t="s">
        <v>50</v>
      </c>
      <c r="P118" s="7" t="s">
        <v>36</v>
      </c>
      <c r="Q118" s="7">
        <v>42330.49</v>
      </c>
      <c r="S118" s="7">
        <v>42330.49</v>
      </c>
      <c r="T118" s="7" t="s">
        <v>36</v>
      </c>
      <c r="U118" s="7">
        <v>42330.49</v>
      </c>
      <c r="W118" s="7">
        <v>42330.49</v>
      </c>
      <c r="X118" s="7" t="s">
        <v>36</v>
      </c>
      <c r="Y118" s="7">
        <v>42330.49</v>
      </c>
      <c r="AA118" s="7">
        <v>42330.49</v>
      </c>
      <c r="AB118" s="7" t="str">
        <f>INDEX(Parameters!B:B,MATCH("Report Using",Parameters!A:A,0))</f>
        <v>Reporting</v>
      </c>
      <c r="AC118" s="7" t="str">
        <f t="shared" si="6"/>
        <v>USD</v>
      </c>
      <c r="AD118" s="8">
        <f t="shared" si="7"/>
        <v>42330.49</v>
      </c>
      <c r="AE118" s="7" t="s">
        <v>6</v>
      </c>
      <c r="AF118" s="7" t="s">
        <v>56</v>
      </c>
      <c r="AG118" s="7" t="s">
        <v>2746</v>
      </c>
      <c r="AH118" s="7" t="s">
        <v>2618</v>
      </c>
      <c r="AI118" s="7" t="s">
        <v>1691</v>
      </c>
      <c r="AK118" s="7" t="s">
        <v>2617</v>
      </c>
      <c r="AL118" s="7">
        <v>10</v>
      </c>
      <c r="AM118" s="7" t="s">
        <v>51</v>
      </c>
      <c r="AN118" s="7" t="s">
        <v>408</v>
      </c>
      <c r="AP118" s="7" t="s">
        <v>44</v>
      </c>
      <c r="AR118" s="7" t="s">
        <v>37</v>
      </c>
      <c r="AS118" s="7" t="s">
        <v>37</v>
      </c>
    </row>
    <row r="119" spans="1:45" x14ac:dyDescent="0.3">
      <c r="A119" s="7" t="s">
        <v>61</v>
      </c>
      <c r="B119" s="4">
        <v>44562</v>
      </c>
      <c r="C119" s="7" t="s">
        <v>35</v>
      </c>
      <c r="D119" s="7" t="s">
        <v>37</v>
      </c>
      <c r="H119" s="7" t="s">
        <v>38</v>
      </c>
      <c r="I119" s="7" t="s">
        <v>39</v>
      </c>
      <c r="J119" s="7" t="s">
        <v>40</v>
      </c>
      <c r="K119" s="7" t="s">
        <v>41</v>
      </c>
      <c r="O119" s="7" t="s">
        <v>52</v>
      </c>
      <c r="P119" s="7" t="s">
        <v>36</v>
      </c>
      <c r="R119" s="7">
        <v>42330.49</v>
      </c>
      <c r="S119" s="7">
        <v>-42330.49</v>
      </c>
      <c r="T119" s="7" t="s">
        <v>36</v>
      </c>
      <c r="V119" s="7">
        <v>42330.49</v>
      </c>
      <c r="W119" s="7">
        <v>-42330.49</v>
      </c>
      <c r="X119" s="7" t="s">
        <v>36</v>
      </c>
      <c r="Z119" s="7">
        <v>42330.49</v>
      </c>
      <c r="AA119" s="7">
        <v>-42330.49</v>
      </c>
      <c r="AB119" s="7" t="str">
        <f>INDEX(Parameters!B:B,MATCH("Report Using",Parameters!A:A,0))</f>
        <v>Reporting</v>
      </c>
      <c r="AC119" s="7" t="str">
        <f t="shared" si="6"/>
        <v>USD</v>
      </c>
      <c r="AD119" s="8">
        <f t="shared" si="7"/>
        <v>-42330.49</v>
      </c>
      <c r="AE119" s="7" t="s">
        <v>6</v>
      </c>
      <c r="AF119" s="7" t="s">
        <v>56</v>
      </c>
      <c r="AG119" s="7" t="s">
        <v>2746</v>
      </c>
      <c r="AH119" s="7" t="s">
        <v>2618</v>
      </c>
      <c r="AI119" s="7" t="s">
        <v>1691</v>
      </c>
      <c r="AK119" s="7" t="s">
        <v>2617</v>
      </c>
      <c r="AL119" s="7">
        <v>10</v>
      </c>
      <c r="AM119" s="7" t="s">
        <v>51</v>
      </c>
      <c r="AN119" s="7" t="s">
        <v>410</v>
      </c>
      <c r="AP119" s="7" t="s">
        <v>44</v>
      </c>
      <c r="AR119" s="7" t="s">
        <v>37</v>
      </c>
      <c r="AS119" s="7" t="s">
        <v>37</v>
      </c>
    </row>
    <row r="120" spans="1:45" x14ac:dyDescent="0.3">
      <c r="A120" s="7" t="s">
        <v>61</v>
      </c>
      <c r="B120" s="4">
        <v>44895</v>
      </c>
      <c r="C120" s="7" t="s">
        <v>35</v>
      </c>
      <c r="D120" s="7" t="s">
        <v>37</v>
      </c>
      <c r="H120" s="7" t="s">
        <v>38</v>
      </c>
      <c r="I120" s="7" t="s">
        <v>39</v>
      </c>
      <c r="J120" s="7" t="s">
        <v>40</v>
      </c>
      <c r="K120" s="7" t="s">
        <v>41</v>
      </c>
      <c r="O120" s="7" t="s">
        <v>45</v>
      </c>
      <c r="P120" s="7" t="s">
        <v>36</v>
      </c>
      <c r="Q120" s="7">
        <v>465968.7</v>
      </c>
      <c r="S120" s="7">
        <v>465968.7</v>
      </c>
      <c r="T120" s="7" t="s">
        <v>36</v>
      </c>
      <c r="U120" s="7">
        <v>465968.7</v>
      </c>
      <c r="W120" s="7">
        <v>465968.7</v>
      </c>
      <c r="X120" s="7" t="s">
        <v>36</v>
      </c>
      <c r="Y120" s="7">
        <v>465968.7</v>
      </c>
      <c r="AA120" s="7">
        <v>465968.7</v>
      </c>
      <c r="AB120" s="7" t="str">
        <f>INDEX(Parameters!B:B,MATCH("Report Using",Parameters!A:A,0))</f>
        <v>Reporting</v>
      </c>
      <c r="AC120" s="7" t="str">
        <f t="shared" si="6"/>
        <v>USD</v>
      </c>
      <c r="AD120" s="8">
        <f t="shared" si="7"/>
        <v>465968.7</v>
      </c>
      <c r="AE120" s="7" t="s">
        <v>6</v>
      </c>
      <c r="AF120" s="7" t="s">
        <v>56</v>
      </c>
      <c r="AG120" s="7" t="s">
        <v>2745</v>
      </c>
      <c r="AH120" s="7" t="s">
        <v>2618</v>
      </c>
      <c r="AI120" s="7" t="s">
        <v>1691</v>
      </c>
      <c r="AK120" s="7" t="s">
        <v>2617</v>
      </c>
      <c r="AL120" s="7">
        <v>11</v>
      </c>
      <c r="AM120" s="7" t="s">
        <v>53</v>
      </c>
      <c r="AN120" s="7" t="s">
        <v>411</v>
      </c>
      <c r="AP120" s="7" t="s">
        <v>44</v>
      </c>
      <c r="AR120" s="7" t="s">
        <v>37</v>
      </c>
      <c r="AS120" s="7" t="s">
        <v>37</v>
      </c>
    </row>
    <row r="121" spans="1:45" x14ac:dyDescent="0.3">
      <c r="A121" s="7" t="s">
        <v>61</v>
      </c>
      <c r="B121" s="4">
        <v>44895</v>
      </c>
      <c r="C121" s="7" t="s">
        <v>35</v>
      </c>
      <c r="D121" s="7" t="s">
        <v>37</v>
      </c>
      <c r="H121" s="7" t="s">
        <v>38</v>
      </c>
      <c r="I121" s="7" t="s">
        <v>39</v>
      </c>
      <c r="J121" s="7" t="s">
        <v>40</v>
      </c>
      <c r="K121" s="7" t="s">
        <v>41</v>
      </c>
      <c r="O121" s="7" t="s">
        <v>54</v>
      </c>
      <c r="P121" s="7" t="s">
        <v>36</v>
      </c>
      <c r="R121" s="7">
        <v>465968.7</v>
      </c>
      <c r="S121" s="7">
        <v>-465968.7</v>
      </c>
      <c r="T121" s="7" t="s">
        <v>36</v>
      </c>
      <c r="V121" s="7">
        <v>465968.7</v>
      </c>
      <c r="W121" s="7">
        <v>-465968.7</v>
      </c>
      <c r="X121" s="7" t="s">
        <v>36</v>
      </c>
      <c r="Z121" s="7">
        <v>465968.7</v>
      </c>
      <c r="AA121" s="7">
        <v>-465968.7</v>
      </c>
      <c r="AB121" s="7" t="str">
        <f>INDEX(Parameters!B:B,MATCH("Report Using",Parameters!A:A,0))</f>
        <v>Reporting</v>
      </c>
      <c r="AC121" s="7" t="str">
        <f t="shared" si="6"/>
        <v>USD</v>
      </c>
      <c r="AD121" s="8">
        <f t="shared" si="7"/>
        <v>-465968.7</v>
      </c>
      <c r="AE121" s="7" t="s">
        <v>6</v>
      </c>
      <c r="AF121" s="7" t="s">
        <v>56</v>
      </c>
      <c r="AG121" s="7" t="s">
        <v>2745</v>
      </c>
      <c r="AH121" s="7" t="s">
        <v>2618</v>
      </c>
      <c r="AI121" s="7" t="s">
        <v>1691</v>
      </c>
      <c r="AK121" s="7" t="s">
        <v>2617</v>
      </c>
      <c r="AL121" s="7">
        <v>11</v>
      </c>
      <c r="AM121" s="7" t="s">
        <v>53</v>
      </c>
      <c r="AN121" s="7" t="s">
        <v>413</v>
      </c>
      <c r="AP121" s="7" t="s">
        <v>44</v>
      </c>
      <c r="AR121" s="7" t="s">
        <v>37</v>
      </c>
      <c r="AS121" s="7" t="s">
        <v>37</v>
      </c>
    </row>
    <row r="122" spans="1:45" x14ac:dyDescent="0.3">
      <c r="A122" s="7" t="s">
        <v>62</v>
      </c>
      <c r="B122" s="4">
        <v>44896</v>
      </c>
      <c r="C122" s="7" t="s">
        <v>35</v>
      </c>
      <c r="D122" s="7" t="s">
        <v>37</v>
      </c>
      <c r="H122" s="7" t="s">
        <v>38</v>
      </c>
      <c r="I122" s="7" t="s">
        <v>39</v>
      </c>
      <c r="J122" s="7" t="s">
        <v>40</v>
      </c>
      <c r="K122" s="7" t="s">
        <v>41</v>
      </c>
      <c r="O122" s="7" t="s">
        <v>54</v>
      </c>
      <c r="P122" s="7" t="s">
        <v>36</v>
      </c>
      <c r="Q122" s="7">
        <v>465968.7</v>
      </c>
      <c r="S122" s="7">
        <v>465968.7</v>
      </c>
      <c r="T122" s="7" t="s">
        <v>36</v>
      </c>
      <c r="U122" s="7">
        <v>465968.7</v>
      </c>
      <c r="W122" s="7">
        <v>465968.7</v>
      </c>
      <c r="X122" s="7" t="s">
        <v>36</v>
      </c>
      <c r="Y122" s="7">
        <v>465968.7</v>
      </c>
      <c r="AA122" s="7">
        <v>465968.7</v>
      </c>
      <c r="AB122" s="7" t="str">
        <f>INDEX(Parameters!B:B,MATCH("Report Using",Parameters!A:A,0))</f>
        <v>Reporting</v>
      </c>
      <c r="AC122" s="7" t="str">
        <f t="shared" si="6"/>
        <v>USD</v>
      </c>
      <c r="AD122" s="8">
        <f t="shared" si="7"/>
        <v>465968.7</v>
      </c>
      <c r="AE122" s="7" t="s">
        <v>6</v>
      </c>
      <c r="AF122" s="7" t="s">
        <v>56</v>
      </c>
      <c r="AG122" s="7" t="s">
        <v>2745</v>
      </c>
      <c r="AH122" s="7" t="s">
        <v>2618</v>
      </c>
      <c r="AI122" s="7" t="s">
        <v>1691</v>
      </c>
      <c r="AK122" s="7" t="s">
        <v>2617</v>
      </c>
      <c r="AL122" s="7">
        <v>11</v>
      </c>
      <c r="AM122" s="7" t="s">
        <v>55</v>
      </c>
      <c r="AN122" s="7" t="s">
        <v>414</v>
      </c>
      <c r="AP122" s="7" t="s">
        <v>44</v>
      </c>
      <c r="AR122" s="7" t="s">
        <v>37</v>
      </c>
      <c r="AS122" s="7" t="s">
        <v>37</v>
      </c>
    </row>
    <row r="123" spans="1:45" x14ac:dyDescent="0.3">
      <c r="A123" s="7" t="s">
        <v>62</v>
      </c>
      <c r="B123" s="4">
        <v>44896</v>
      </c>
      <c r="C123" s="7" t="s">
        <v>35</v>
      </c>
      <c r="D123" s="7" t="s">
        <v>37</v>
      </c>
      <c r="H123" s="7" t="s">
        <v>38</v>
      </c>
      <c r="I123" s="7" t="s">
        <v>39</v>
      </c>
      <c r="J123" s="7" t="s">
        <v>40</v>
      </c>
      <c r="K123" s="7" t="s">
        <v>41</v>
      </c>
      <c r="O123" s="7" t="s">
        <v>45</v>
      </c>
      <c r="P123" s="7" t="s">
        <v>36</v>
      </c>
      <c r="R123" s="7">
        <v>465968.7</v>
      </c>
      <c r="S123" s="7">
        <v>-465968.7</v>
      </c>
      <c r="T123" s="7" t="s">
        <v>36</v>
      </c>
      <c r="V123" s="7">
        <v>465968.7</v>
      </c>
      <c r="W123" s="7">
        <v>-465968.7</v>
      </c>
      <c r="X123" s="7" t="s">
        <v>36</v>
      </c>
      <c r="Z123" s="7">
        <v>465968.7</v>
      </c>
      <c r="AA123" s="7">
        <v>-465968.7</v>
      </c>
      <c r="AB123" s="7" t="str">
        <f>INDEX(Parameters!B:B,MATCH("Report Using",Parameters!A:A,0))</f>
        <v>Reporting</v>
      </c>
      <c r="AC123" s="7" t="str">
        <f t="shared" si="6"/>
        <v>USD</v>
      </c>
      <c r="AD123" s="8">
        <f t="shared" si="7"/>
        <v>-465968.7</v>
      </c>
      <c r="AE123" s="7" t="s">
        <v>6</v>
      </c>
      <c r="AF123" s="7" t="s">
        <v>56</v>
      </c>
      <c r="AG123" s="7" t="s">
        <v>2745</v>
      </c>
      <c r="AH123" s="7" t="s">
        <v>2618</v>
      </c>
      <c r="AI123" s="7" t="s">
        <v>1691</v>
      </c>
      <c r="AK123" s="7" t="s">
        <v>2617</v>
      </c>
      <c r="AL123" s="7">
        <v>11</v>
      </c>
      <c r="AM123" s="7" t="s">
        <v>55</v>
      </c>
      <c r="AN123" s="7" t="s">
        <v>416</v>
      </c>
      <c r="AP123" s="7" t="s">
        <v>44</v>
      </c>
      <c r="AR123" s="7" t="s">
        <v>37</v>
      </c>
      <c r="AS123" s="7" t="s">
        <v>37</v>
      </c>
    </row>
    <row r="124" spans="1:45" x14ac:dyDescent="0.3">
      <c r="A124" s="7" t="s">
        <v>62</v>
      </c>
      <c r="B124" s="4">
        <v>44926</v>
      </c>
      <c r="C124" s="7" t="s">
        <v>46</v>
      </c>
      <c r="D124" s="7" t="s">
        <v>37</v>
      </c>
      <c r="H124" s="7" t="s">
        <v>38</v>
      </c>
      <c r="I124" s="7" t="s">
        <v>39</v>
      </c>
      <c r="J124" s="7" t="s">
        <v>38</v>
      </c>
      <c r="K124" s="7" t="s">
        <v>41</v>
      </c>
      <c r="O124" s="7" t="s">
        <v>49</v>
      </c>
      <c r="P124" s="7" t="s">
        <v>36</v>
      </c>
      <c r="Q124" s="7">
        <v>12399.395602000001</v>
      </c>
      <c r="S124" s="7">
        <v>12399.395602000001</v>
      </c>
      <c r="T124" s="7" t="s">
        <v>36</v>
      </c>
      <c r="U124" s="7">
        <v>12399.395602000001</v>
      </c>
      <c r="W124" s="7">
        <v>12399.395602000001</v>
      </c>
      <c r="X124" s="7" t="s">
        <v>36</v>
      </c>
      <c r="Y124" s="7">
        <v>12399.395602000001</v>
      </c>
      <c r="AA124" s="7">
        <v>12399.395602000001</v>
      </c>
      <c r="AB124" s="7" t="str">
        <f>INDEX(Parameters!B:B,MATCH("Report Using",Parameters!A:A,0))</f>
        <v>Reporting</v>
      </c>
      <c r="AC124" s="7" t="str">
        <f t="shared" si="6"/>
        <v>USD</v>
      </c>
      <c r="AD124" s="8">
        <f t="shared" si="7"/>
        <v>12399.395602000001</v>
      </c>
      <c r="AE124" s="7" t="s">
        <v>6</v>
      </c>
      <c r="AF124" s="7" t="s">
        <v>56</v>
      </c>
      <c r="AG124" s="7" t="s">
        <v>2748</v>
      </c>
      <c r="AH124" s="7" t="s">
        <v>2618</v>
      </c>
      <c r="AI124" s="7" t="s">
        <v>1691</v>
      </c>
      <c r="AK124" s="7" t="s">
        <v>2617</v>
      </c>
      <c r="AL124" s="7">
        <v>12</v>
      </c>
      <c r="AM124" s="7" t="s">
        <v>57</v>
      </c>
      <c r="AN124" s="7" t="s">
        <v>417</v>
      </c>
      <c r="AP124" s="7" t="s">
        <v>44</v>
      </c>
      <c r="AR124" s="7" t="s">
        <v>37</v>
      </c>
      <c r="AS124" s="7" t="s">
        <v>37</v>
      </c>
    </row>
    <row r="125" spans="1:45" x14ac:dyDescent="0.3">
      <c r="A125" s="7" t="s">
        <v>62</v>
      </c>
      <c r="B125" s="4">
        <v>44926</v>
      </c>
      <c r="C125" s="7" t="s">
        <v>46</v>
      </c>
      <c r="D125" s="7" t="s">
        <v>37</v>
      </c>
      <c r="H125" s="7" t="s">
        <v>38</v>
      </c>
      <c r="I125" s="7" t="s">
        <v>39</v>
      </c>
      <c r="J125" s="7" t="s">
        <v>40</v>
      </c>
      <c r="K125" s="7" t="s">
        <v>41</v>
      </c>
      <c r="O125" s="7" t="s">
        <v>45</v>
      </c>
      <c r="P125" s="7" t="s">
        <v>36</v>
      </c>
      <c r="Q125" s="7">
        <v>37600.604398000003</v>
      </c>
      <c r="S125" s="7">
        <v>37600.604398000003</v>
      </c>
      <c r="T125" s="7" t="s">
        <v>36</v>
      </c>
      <c r="U125" s="7">
        <v>37600.604398000003</v>
      </c>
      <c r="W125" s="7">
        <v>37600.604398000003</v>
      </c>
      <c r="X125" s="7" t="s">
        <v>36</v>
      </c>
      <c r="Y125" s="7">
        <v>37600.604398000003</v>
      </c>
      <c r="AA125" s="7">
        <v>37600.604398000003</v>
      </c>
      <c r="AB125" s="7" t="str">
        <f>INDEX(Parameters!B:B,MATCH("Report Using",Parameters!A:A,0))</f>
        <v>Reporting</v>
      </c>
      <c r="AC125" s="7" t="str">
        <f t="shared" si="6"/>
        <v>USD</v>
      </c>
      <c r="AD125" s="8">
        <f t="shared" si="7"/>
        <v>37600.604398000003</v>
      </c>
      <c r="AE125" s="7" t="s">
        <v>6</v>
      </c>
      <c r="AF125" s="7" t="s">
        <v>56</v>
      </c>
      <c r="AG125" s="7" t="s">
        <v>2748</v>
      </c>
      <c r="AH125" s="7" t="s">
        <v>2618</v>
      </c>
      <c r="AI125" s="7" t="s">
        <v>1691</v>
      </c>
      <c r="AK125" s="7" t="s">
        <v>2617</v>
      </c>
      <c r="AL125" s="7">
        <v>12</v>
      </c>
      <c r="AM125" s="7" t="s">
        <v>57</v>
      </c>
      <c r="AN125" s="7" t="s">
        <v>419</v>
      </c>
      <c r="AP125" s="7" t="s">
        <v>44</v>
      </c>
      <c r="AR125" s="7" t="s">
        <v>37</v>
      </c>
      <c r="AS125" s="7" t="s">
        <v>37</v>
      </c>
    </row>
    <row r="126" spans="1:45" x14ac:dyDescent="0.3">
      <c r="A126" s="7" t="s">
        <v>62</v>
      </c>
      <c r="B126" s="4">
        <v>44926</v>
      </c>
      <c r="C126" s="7" t="s">
        <v>46</v>
      </c>
      <c r="D126" s="7" t="s">
        <v>37</v>
      </c>
      <c r="H126" s="7" t="s">
        <v>38</v>
      </c>
      <c r="I126" s="7" t="s">
        <v>39</v>
      </c>
      <c r="J126" s="7" t="s">
        <v>40</v>
      </c>
      <c r="K126" s="7" t="s">
        <v>41</v>
      </c>
      <c r="O126" s="7" t="s">
        <v>58</v>
      </c>
      <c r="P126" s="7" t="s">
        <v>36</v>
      </c>
      <c r="R126" s="7">
        <v>50000</v>
      </c>
      <c r="S126" s="7">
        <v>-50000</v>
      </c>
      <c r="T126" s="7" t="s">
        <v>36</v>
      </c>
      <c r="V126" s="7">
        <v>50000</v>
      </c>
      <c r="W126" s="7">
        <v>-50000</v>
      </c>
      <c r="X126" s="7" t="s">
        <v>36</v>
      </c>
      <c r="Z126" s="7">
        <v>50000</v>
      </c>
      <c r="AA126" s="7">
        <v>-50000</v>
      </c>
      <c r="AB126" s="7" t="str">
        <f>INDEX(Parameters!B:B,MATCH("Report Using",Parameters!A:A,0))</f>
        <v>Reporting</v>
      </c>
      <c r="AC126" s="7" t="str">
        <f t="shared" si="6"/>
        <v>USD</v>
      </c>
      <c r="AD126" s="8">
        <f t="shared" si="7"/>
        <v>-50000</v>
      </c>
      <c r="AE126" s="7" t="s">
        <v>6</v>
      </c>
      <c r="AF126" s="7" t="s">
        <v>56</v>
      </c>
      <c r="AG126" s="7" t="s">
        <v>2748</v>
      </c>
      <c r="AH126" s="7" t="s">
        <v>2618</v>
      </c>
      <c r="AI126" s="7" t="s">
        <v>1691</v>
      </c>
      <c r="AK126" s="7" t="s">
        <v>2617</v>
      </c>
      <c r="AL126" s="7">
        <v>12</v>
      </c>
      <c r="AM126" s="7" t="s">
        <v>57</v>
      </c>
      <c r="AN126" s="7" t="s">
        <v>420</v>
      </c>
      <c r="AP126" s="7" t="s">
        <v>44</v>
      </c>
      <c r="AR126" s="7" t="s">
        <v>37</v>
      </c>
      <c r="AS126" s="7" t="s">
        <v>37</v>
      </c>
    </row>
    <row r="127" spans="1:45" x14ac:dyDescent="0.3">
      <c r="A127" s="7" t="s">
        <v>63</v>
      </c>
      <c r="B127" s="4">
        <v>44926</v>
      </c>
      <c r="C127" s="7" t="s">
        <v>46</v>
      </c>
      <c r="D127" s="7" t="s">
        <v>37</v>
      </c>
      <c r="H127" s="7" t="s">
        <v>38</v>
      </c>
      <c r="I127" s="7" t="s">
        <v>39</v>
      </c>
      <c r="J127" s="7" t="s">
        <v>40</v>
      </c>
      <c r="K127" s="7" t="s">
        <v>41</v>
      </c>
      <c r="O127" s="7" t="s">
        <v>47</v>
      </c>
      <c r="P127" s="7" t="s">
        <v>36</v>
      </c>
      <c r="Q127" s="7">
        <v>12180.058743</v>
      </c>
      <c r="S127" s="7">
        <v>12180.058743</v>
      </c>
      <c r="T127" s="7" t="s">
        <v>36</v>
      </c>
      <c r="U127" s="7">
        <v>12180.058743</v>
      </c>
      <c r="W127" s="7">
        <v>12180.058743</v>
      </c>
      <c r="X127" s="7" t="s">
        <v>36</v>
      </c>
      <c r="Y127" s="7">
        <v>12180.058743</v>
      </c>
      <c r="AA127" s="7">
        <v>12180.058743</v>
      </c>
      <c r="AB127" s="7" t="str">
        <f>INDEX(Parameters!B:B,MATCH("Report Using",Parameters!A:A,0))</f>
        <v>Reporting</v>
      </c>
      <c r="AC127" s="7" t="str">
        <f t="shared" si="6"/>
        <v>USD</v>
      </c>
      <c r="AD127" s="8">
        <f t="shared" si="7"/>
        <v>12180.058743</v>
      </c>
      <c r="AE127" s="7" t="s">
        <v>6</v>
      </c>
      <c r="AF127" s="7" t="s">
        <v>56</v>
      </c>
      <c r="AG127" s="7" t="s">
        <v>2747</v>
      </c>
      <c r="AH127" s="7" t="s">
        <v>2618</v>
      </c>
      <c r="AI127" s="7" t="s">
        <v>1691</v>
      </c>
      <c r="AK127" s="7" t="s">
        <v>2617</v>
      </c>
      <c r="AL127" s="7">
        <v>8</v>
      </c>
      <c r="AM127" s="7" t="s">
        <v>48</v>
      </c>
      <c r="AN127" s="7" t="s">
        <v>421</v>
      </c>
      <c r="AP127" s="7" t="s">
        <v>44</v>
      </c>
      <c r="AR127" s="7" t="s">
        <v>37</v>
      </c>
      <c r="AS127" s="7" t="s">
        <v>37</v>
      </c>
    </row>
    <row r="128" spans="1:45" x14ac:dyDescent="0.3">
      <c r="A128" s="7" t="s">
        <v>63</v>
      </c>
      <c r="B128" s="4">
        <v>44926</v>
      </c>
      <c r="C128" s="7" t="s">
        <v>46</v>
      </c>
      <c r="D128" s="7" t="s">
        <v>37</v>
      </c>
      <c r="H128" s="7" t="s">
        <v>38</v>
      </c>
      <c r="I128" s="7" t="s">
        <v>39</v>
      </c>
      <c r="J128" s="7" t="s">
        <v>38</v>
      </c>
      <c r="K128" s="7" t="s">
        <v>41</v>
      </c>
      <c r="O128" s="7" t="s">
        <v>49</v>
      </c>
      <c r="P128" s="7" t="s">
        <v>36</v>
      </c>
      <c r="R128" s="7">
        <v>12180.058743</v>
      </c>
      <c r="S128" s="7">
        <v>-12180.058743</v>
      </c>
      <c r="T128" s="7" t="s">
        <v>36</v>
      </c>
      <c r="V128" s="7">
        <v>12180.058743</v>
      </c>
      <c r="W128" s="7">
        <v>-12180.058743</v>
      </c>
      <c r="X128" s="7" t="s">
        <v>36</v>
      </c>
      <c r="Z128" s="7">
        <v>12180.058743</v>
      </c>
      <c r="AA128" s="7">
        <v>-12180.058743</v>
      </c>
      <c r="AB128" s="7" t="str">
        <f>INDEX(Parameters!B:B,MATCH("Report Using",Parameters!A:A,0))</f>
        <v>Reporting</v>
      </c>
      <c r="AC128" s="7" t="str">
        <f t="shared" si="6"/>
        <v>USD</v>
      </c>
      <c r="AD128" s="8">
        <f t="shared" si="7"/>
        <v>-12180.058743</v>
      </c>
      <c r="AE128" s="7" t="s">
        <v>6</v>
      </c>
      <c r="AF128" s="7" t="s">
        <v>56</v>
      </c>
      <c r="AG128" s="7" t="s">
        <v>2747</v>
      </c>
      <c r="AH128" s="7" t="s">
        <v>2618</v>
      </c>
      <c r="AI128" s="7" t="s">
        <v>1691</v>
      </c>
      <c r="AK128" s="7" t="s">
        <v>2617</v>
      </c>
      <c r="AL128" s="7">
        <v>8</v>
      </c>
      <c r="AM128" s="7" t="s">
        <v>48</v>
      </c>
      <c r="AN128" s="7" t="s">
        <v>423</v>
      </c>
      <c r="AP128" s="7" t="s">
        <v>44</v>
      </c>
      <c r="AR128" s="7" t="s">
        <v>37</v>
      </c>
      <c r="AS128" s="7" t="s">
        <v>37</v>
      </c>
    </row>
    <row r="129" spans="1:45" x14ac:dyDescent="0.3">
      <c r="A129" s="7" t="s">
        <v>63</v>
      </c>
      <c r="B129" s="4">
        <v>44562</v>
      </c>
      <c r="C129" s="7" t="s">
        <v>35</v>
      </c>
      <c r="D129" s="7" t="s">
        <v>37</v>
      </c>
      <c r="H129" s="7" t="s">
        <v>38</v>
      </c>
      <c r="I129" s="7" t="s">
        <v>39</v>
      </c>
      <c r="J129" s="7" t="s">
        <v>40</v>
      </c>
      <c r="K129" s="7" t="s">
        <v>41</v>
      </c>
      <c r="O129" s="7" t="s">
        <v>50</v>
      </c>
      <c r="P129" s="7" t="s">
        <v>36</v>
      </c>
      <c r="Q129" s="7">
        <v>42330.49</v>
      </c>
      <c r="S129" s="7">
        <v>42330.49</v>
      </c>
      <c r="T129" s="7" t="s">
        <v>36</v>
      </c>
      <c r="U129" s="7">
        <v>42330.49</v>
      </c>
      <c r="W129" s="7">
        <v>42330.49</v>
      </c>
      <c r="X129" s="7" t="s">
        <v>36</v>
      </c>
      <c r="Y129" s="7">
        <v>42330.49</v>
      </c>
      <c r="AA129" s="7">
        <v>42330.49</v>
      </c>
      <c r="AB129" s="7" t="str">
        <f>INDEX(Parameters!B:B,MATCH("Report Using",Parameters!A:A,0))</f>
        <v>Reporting</v>
      </c>
      <c r="AC129" s="7" t="str">
        <f t="shared" si="6"/>
        <v>USD</v>
      </c>
      <c r="AD129" s="8">
        <f t="shared" si="7"/>
        <v>42330.49</v>
      </c>
      <c r="AE129" s="7" t="s">
        <v>6</v>
      </c>
      <c r="AF129" s="7" t="s">
        <v>56</v>
      </c>
      <c r="AG129" s="7" t="s">
        <v>2746</v>
      </c>
      <c r="AH129" s="7" t="s">
        <v>2618</v>
      </c>
      <c r="AI129" s="7" t="s">
        <v>1691</v>
      </c>
      <c r="AK129" s="7" t="s">
        <v>2617</v>
      </c>
      <c r="AL129" s="7">
        <v>10</v>
      </c>
      <c r="AM129" s="7" t="s">
        <v>51</v>
      </c>
      <c r="AN129" s="7" t="s">
        <v>424</v>
      </c>
      <c r="AP129" s="7" t="s">
        <v>44</v>
      </c>
      <c r="AR129" s="7" t="s">
        <v>37</v>
      </c>
      <c r="AS129" s="7" t="s">
        <v>37</v>
      </c>
    </row>
    <row r="130" spans="1:45" x14ac:dyDescent="0.3">
      <c r="A130" s="7" t="s">
        <v>63</v>
      </c>
      <c r="B130" s="4">
        <v>44562</v>
      </c>
      <c r="C130" s="7" t="s">
        <v>35</v>
      </c>
      <c r="D130" s="7" t="s">
        <v>37</v>
      </c>
      <c r="H130" s="7" t="s">
        <v>38</v>
      </c>
      <c r="I130" s="7" t="s">
        <v>39</v>
      </c>
      <c r="J130" s="7" t="s">
        <v>40</v>
      </c>
      <c r="K130" s="7" t="s">
        <v>41</v>
      </c>
      <c r="O130" s="7" t="s">
        <v>52</v>
      </c>
      <c r="P130" s="7" t="s">
        <v>36</v>
      </c>
      <c r="R130" s="7">
        <v>42330.49</v>
      </c>
      <c r="S130" s="7">
        <v>-42330.49</v>
      </c>
      <c r="T130" s="7" t="s">
        <v>36</v>
      </c>
      <c r="V130" s="7">
        <v>42330.49</v>
      </c>
      <c r="W130" s="7">
        <v>-42330.49</v>
      </c>
      <c r="X130" s="7" t="s">
        <v>36</v>
      </c>
      <c r="Z130" s="7">
        <v>42330.49</v>
      </c>
      <c r="AA130" s="7">
        <v>-42330.49</v>
      </c>
      <c r="AB130" s="7" t="str">
        <f>INDEX(Parameters!B:B,MATCH("Report Using",Parameters!A:A,0))</f>
        <v>Reporting</v>
      </c>
      <c r="AC130" s="7" t="str">
        <f t="shared" ref="AC130:AC148" si="8">IF(AB:AB="Transactional",P:P,IF(AB:AB="Functional",T:T,X:X))</f>
        <v>USD</v>
      </c>
      <c r="AD130" s="8">
        <f t="shared" ref="AD130:AD148" si="9">IF(AB:AB="Transactional",S:S,IF(AB:AB="Functional",W:W,AA:AA))</f>
        <v>-42330.49</v>
      </c>
      <c r="AE130" s="7" t="s">
        <v>6</v>
      </c>
      <c r="AF130" s="7" t="s">
        <v>56</v>
      </c>
      <c r="AG130" s="7" t="s">
        <v>2746</v>
      </c>
      <c r="AH130" s="7" t="s">
        <v>2618</v>
      </c>
      <c r="AI130" s="7" t="s">
        <v>1691</v>
      </c>
      <c r="AK130" s="7" t="s">
        <v>2617</v>
      </c>
      <c r="AL130" s="7">
        <v>10</v>
      </c>
      <c r="AM130" s="7" t="s">
        <v>51</v>
      </c>
      <c r="AN130" s="7" t="s">
        <v>426</v>
      </c>
      <c r="AP130" s="7" t="s">
        <v>44</v>
      </c>
      <c r="AR130" s="7" t="s">
        <v>37</v>
      </c>
      <c r="AS130" s="7" t="s">
        <v>37</v>
      </c>
    </row>
    <row r="131" spans="1:45" x14ac:dyDescent="0.3">
      <c r="A131" s="7" t="s">
        <v>63</v>
      </c>
      <c r="B131" s="4">
        <v>44926</v>
      </c>
      <c r="C131" s="7" t="s">
        <v>35</v>
      </c>
      <c r="D131" s="7" t="s">
        <v>37</v>
      </c>
      <c r="H131" s="7" t="s">
        <v>38</v>
      </c>
      <c r="I131" s="7" t="s">
        <v>39</v>
      </c>
      <c r="J131" s="7" t="s">
        <v>40</v>
      </c>
      <c r="K131" s="7" t="s">
        <v>41</v>
      </c>
      <c r="O131" s="7" t="s">
        <v>45</v>
      </c>
      <c r="P131" s="7" t="s">
        <v>36</v>
      </c>
      <c r="Q131" s="7">
        <v>468686.85</v>
      </c>
      <c r="S131" s="7">
        <v>468686.85</v>
      </c>
      <c r="T131" s="7" t="s">
        <v>36</v>
      </c>
      <c r="U131" s="7">
        <v>468686.85</v>
      </c>
      <c r="W131" s="7">
        <v>468686.85</v>
      </c>
      <c r="X131" s="7" t="s">
        <v>36</v>
      </c>
      <c r="Y131" s="7">
        <v>468686.85</v>
      </c>
      <c r="AA131" s="7">
        <v>468686.85</v>
      </c>
      <c r="AB131" s="7" t="str">
        <f>INDEX(Parameters!B:B,MATCH("Report Using",Parameters!A:A,0))</f>
        <v>Reporting</v>
      </c>
      <c r="AC131" s="7" t="str">
        <f t="shared" si="8"/>
        <v>USD</v>
      </c>
      <c r="AD131" s="8">
        <f t="shared" si="9"/>
        <v>468686.85</v>
      </c>
      <c r="AE131" s="7" t="s">
        <v>6</v>
      </c>
      <c r="AF131" s="7" t="s">
        <v>56</v>
      </c>
      <c r="AG131" s="7" t="s">
        <v>2745</v>
      </c>
      <c r="AH131" s="7" t="s">
        <v>2618</v>
      </c>
      <c r="AI131" s="7" t="s">
        <v>1691</v>
      </c>
      <c r="AK131" s="7" t="s">
        <v>2617</v>
      </c>
      <c r="AL131" s="7">
        <v>11</v>
      </c>
      <c r="AM131" s="7" t="s">
        <v>53</v>
      </c>
      <c r="AN131" s="7" t="s">
        <v>427</v>
      </c>
      <c r="AP131" s="7" t="s">
        <v>44</v>
      </c>
      <c r="AR131" s="7" t="s">
        <v>37</v>
      </c>
      <c r="AS131" s="7" t="s">
        <v>37</v>
      </c>
    </row>
    <row r="132" spans="1:45" x14ac:dyDescent="0.3">
      <c r="A132" s="7" t="s">
        <v>63</v>
      </c>
      <c r="B132" s="4">
        <v>44926</v>
      </c>
      <c r="C132" s="7" t="s">
        <v>35</v>
      </c>
      <c r="D132" s="7" t="s">
        <v>37</v>
      </c>
      <c r="H132" s="7" t="s">
        <v>38</v>
      </c>
      <c r="I132" s="7" t="s">
        <v>39</v>
      </c>
      <c r="J132" s="7" t="s">
        <v>40</v>
      </c>
      <c r="K132" s="7" t="s">
        <v>41</v>
      </c>
      <c r="O132" s="7" t="s">
        <v>54</v>
      </c>
      <c r="P132" s="7" t="s">
        <v>36</v>
      </c>
      <c r="R132" s="7">
        <v>468686.85</v>
      </c>
      <c r="S132" s="7">
        <v>-468686.85</v>
      </c>
      <c r="T132" s="7" t="s">
        <v>36</v>
      </c>
      <c r="V132" s="7">
        <v>468686.85</v>
      </c>
      <c r="W132" s="7">
        <v>-468686.85</v>
      </c>
      <c r="X132" s="7" t="s">
        <v>36</v>
      </c>
      <c r="Z132" s="7">
        <v>468686.85</v>
      </c>
      <c r="AA132" s="7">
        <v>-468686.85</v>
      </c>
      <c r="AB132" s="7" t="str">
        <f>INDEX(Parameters!B:B,MATCH("Report Using",Parameters!A:A,0))</f>
        <v>Reporting</v>
      </c>
      <c r="AC132" s="7" t="str">
        <f t="shared" si="8"/>
        <v>USD</v>
      </c>
      <c r="AD132" s="8">
        <f t="shared" si="9"/>
        <v>-468686.85</v>
      </c>
      <c r="AE132" s="7" t="s">
        <v>6</v>
      </c>
      <c r="AF132" s="7" t="s">
        <v>56</v>
      </c>
      <c r="AG132" s="7" t="s">
        <v>2745</v>
      </c>
      <c r="AH132" s="7" t="s">
        <v>2618</v>
      </c>
      <c r="AI132" s="7" t="s">
        <v>1691</v>
      </c>
      <c r="AK132" s="7" t="s">
        <v>2617</v>
      </c>
      <c r="AL132" s="7">
        <v>11</v>
      </c>
      <c r="AM132" s="7" t="s">
        <v>53</v>
      </c>
      <c r="AN132" s="7" t="s">
        <v>429</v>
      </c>
      <c r="AP132" s="7" t="s">
        <v>44</v>
      </c>
      <c r="AR132" s="7" t="s">
        <v>37</v>
      </c>
      <c r="AS132" s="7" t="s">
        <v>37</v>
      </c>
    </row>
    <row r="133" spans="1:45" x14ac:dyDescent="0.3">
      <c r="A133" s="7" t="s">
        <v>63</v>
      </c>
      <c r="D133" s="7" t="s">
        <v>37</v>
      </c>
      <c r="H133" s="7" t="s">
        <v>38</v>
      </c>
      <c r="I133" s="7" t="s">
        <v>39</v>
      </c>
      <c r="J133" s="7" t="s">
        <v>40</v>
      </c>
      <c r="K133" s="7" t="s">
        <v>41</v>
      </c>
      <c r="O133" s="7" t="s">
        <v>58</v>
      </c>
      <c r="P133" s="7" t="s">
        <v>36</v>
      </c>
      <c r="Q133" s="7">
        <v>600000</v>
      </c>
      <c r="S133" s="7">
        <v>600000</v>
      </c>
      <c r="T133" s="7" t="s">
        <v>36</v>
      </c>
      <c r="U133" s="7">
        <v>600000</v>
      </c>
      <c r="W133" s="7">
        <v>600000</v>
      </c>
      <c r="X133" s="7" t="s">
        <v>36</v>
      </c>
      <c r="Y133" s="7">
        <v>600000</v>
      </c>
      <c r="AA133" s="7">
        <v>600000</v>
      </c>
      <c r="AB133" s="7" t="str">
        <f>INDEX(Parameters!B:B,MATCH("Report Using",Parameters!A:A,0))</f>
        <v>Reporting</v>
      </c>
      <c r="AC133" s="7" t="str">
        <f t="shared" si="8"/>
        <v>USD</v>
      </c>
      <c r="AD133" s="8">
        <f t="shared" si="9"/>
        <v>600000</v>
      </c>
      <c r="AE133" s="7" t="s">
        <v>6</v>
      </c>
      <c r="AF133" s="7" t="s">
        <v>56</v>
      </c>
      <c r="AG133" s="7" t="s">
        <v>2744</v>
      </c>
      <c r="AH133" s="7" t="s">
        <v>2741</v>
      </c>
      <c r="AI133" s="7" t="s">
        <v>2743</v>
      </c>
      <c r="AJ133" s="7" t="s">
        <v>2740</v>
      </c>
      <c r="AK133" s="7" t="s">
        <v>2739</v>
      </c>
      <c r="AM133" s="7" t="s">
        <v>2743</v>
      </c>
      <c r="AN133" s="7" t="s">
        <v>2737</v>
      </c>
      <c r="AR133" s="7" t="s">
        <v>37</v>
      </c>
      <c r="AS133" s="7" t="s">
        <v>37</v>
      </c>
    </row>
    <row r="134" spans="1:45" x14ac:dyDescent="0.3">
      <c r="A134" s="7" t="s">
        <v>63</v>
      </c>
      <c r="D134" s="7" t="s">
        <v>37</v>
      </c>
      <c r="H134" s="7" t="s">
        <v>38</v>
      </c>
      <c r="I134" s="7" t="s">
        <v>39</v>
      </c>
      <c r="J134" s="7" t="s">
        <v>40</v>
      </c>
      <c r="K134" s="7" t="s">
        <v>41</v>
      </c>
      <c r="O134" s="7" t="s">
        <v>52</v>
      </c>
      <c r="P134" s="7" t="s">
        <v>36</v>
      </c>
      <c r="Q134" s="7">
        <v>507965.88</v>
      </c>
      <c r="S134" s="7">
        <v>507965.88</v>
      </c>
      <c r="T134" s="7" t="s">
        <v>36</v>
      </c>
      <c r="U134" s="7">
        <v>507965.88</v>
      </c>
      <c r="W134" s="7">
        <v>507965.88</v>
      </c>
      <c r="X134" s="7" t="s">
        <v>36</v>
      </c>
      <c r="Y134" s="7">
        <v>507965.88</v>
      </c>
      <c r="AA134" s="7">
        <v>507965.88</v>
      </c>
      <c r="AB134" s="7" t="str">
        <f>INDEX(Parameters!B:B,MATCH("Report Using",Parameters!A:A,0))</f>
        <v>Reporting</v>
      </c>
      <c r="AC134" s="7" t="str">
        <f t="shared" si="8"/>
        <v>USD</v>
      </c>
      <c r="AD134" s="8">
        <f t="shared" si="9"/>
        <v>507965.88</v>
      </c>
      <c r="AE134" s="7" t="s">
        <v>6</v>
      </c>
      <c r="AF134" s="7" t="s">
        <v>56</v>
      </c>
      <c r="AG134" s="7" t="s">
        <v>2744</v>
      </c>
      <c r="AH134" s="7" t="s">
        <v>2741</v>
      </c>
      <c r="AI134" s="7" t="s">
        <v>2743</v>
      </c>
      <c r="AJ134" s="7" t="s">
        <v>2740</v>
      </c>
      <c r="AK134" s="7" t="s">
        <v>2739</v>
      </c>
      <c r="AM134" s="7" t="s">
        <v>2743</v>
      </c>
      <c r="AN134" s="7" t="s">
        <v>2737</v>
      </c>
      <c r="AR134" s="7" t="s">
        <v>37</v>
      </c>
      <c r="AS134" s="7" t="s">
        <v>37</v>
      </c>
    </row>
    <row r="135" spans="1:45" x14ac:dyDescent="0.3">
      <c r="A135" s="7" t="s">
        <v>63</v>
      </c>
      <c r="D135" s="7" t="s">
        <v>37</v>
      </c>
      <c r="H135" s="7" t="s">
        <v>38</v>
      </c>
      <c r="I135" s="7" t="s">
        <v>39</v>
      </c>
      <c r="J135" s="7" t="s">
        <v>40</v>
      </c>
      <c r="K135" s="7" t="s">
        <v>41</v>
      </c>
      <c r="O135" s="7" t="s">
        <v>50</v>
      </c>
      <c r="P135" s="7" t="s">
        <v>36</v>
      </c>
      <c r="R135" s="7">
        <v>507965.88</v>
      </c>
      <c r="S135" s="7">
        <v>-507965.88</v>
      </c>
      <c r="T135" s="7" t="s">
        <v>36</v>
      </c>
      <c r="V135" s="7">
        <v>507965.88</v>
      </c>
      <c r="W135" s="7">
        <v>-507965.88</v>
      </c>
      <c r="X135" s="7" t="s">
        <v>36</v>
      </c>
      <c r="Z135" s="7">
        <v>507965.88</v>
      </c>
      <c r="AA135" s="7">
        <v>-507965.88</v>
      </c>
      <c r="AB135" s="7" t="str">
        <f>INDEX(Parameters!B:B,MATCH("Report Using",Parameters!A:A,0))</f>
        <v>Reporting</v>
      </c>
      <c r="AC135" s="7" t="str">
        <f t="shared" si="8"/>
        <v>USD</v>
      </c>
      <c r="AD135" s="8">
        <f t="shared" si="9"/>
        <v>-507965.88</v>
      </c>
      <c r="AE135" s="7" t="s">
        <v>6</v>
      </c>
      <c r="AF135" s="7" t="s">
        <v>56</v>
      </c>
      <c r="AG135" s="7" t="s">
        <v>2744</v>
      </c>
      <c r="AH135" s="7" t="s">
        <v>2741</v>
      </c>
      <c r="AI135" s="7" t="s">
        <v>2743</v>
      </c>
      <c r="AJ135" s="7" t="s">
        <v>2740</v>
      </c>
      <c r="AK135" s="7" t="s">
        <v>2739</v>
      </c>
      <c r="AM135" s="7" t="s">
        <v>2743</v>
      </c>
      <c r="AN135" s="7" t="s">
        <v>2737</v>
      </c>
      <c r="AR135" s="7" t="s">
        <v>37</v>
      </c>
      <c r="AS135" s="7" t="s">
        <v>37</v>
      </c>
    </row>
    <row r="136" spans="1:45" x14ac:dyDescent="0.3">
      <c r="A136" s="7" t="s">
        <v>63</v>
      </c>
      <c r="D136" s="7" t="s">
        <v>37</v>
      </c>
      <c r="H136" s="7" t="s">
        <v>38</v>
      </c>
      <c r="I136" s="7" t="s">
        <v>39</v>
      </c>
      <c r="J136" s="7" t="s">
        <v>40</v>
      </c>
      <c r="K136" s="7" t="s">
        <v>41</v>
      </c>
      <c r="O136" s="7" t="s">
        <v>42</v>
      </c>
      <c r="P136" s="7" t="s">
        <v>36</v>
      </c>
      <c r="R136" s="7">
        <v>2539829.423163</v>
      </c>
      <c r="S136" s="7">
        <v>-2539829.423163</v>
      </c>
      <c r="T136" s="7" t="s">
        <v>36</v>
      </c>
      <c r="V136" s="7">
        <v>2539829.423163</v>
      </c>
      <c r="W136" s="7">
        <v>-2539829.423163</v>
      </c>
      <c r="X136" s="7" t="s">
        <v>36</v>
      </c>
      <c r="Z136" s="7">
        <v>2539829.423163</v>
      </c>
      <c r="AA136" s="7">
        <v>-2539829.423163</v>
      </c>
      <c r="AB136" s="7" t="str">
        <f>INDEX(Parameters!B:B,MATCH("Report Using",Parameters!A:A,0))</f>
        <v>Reporting</v>
      </c>
      <c r="AC136" s="7" t="str">
        <f t="shared" si="8"/>
        <v>USD</v>
      </c>
      <c r="AD136" s="8">
        <f t="shared" si="9"/>
        <v>-2539829.423163</v>
      </c>
      <c r="AE136" s="7" t="s">
        <v>6</v>
      </c>
      <c r="AF136" s="7" t="s">
        <v>56</v>
      </c>
      <c r="AG136" s="7" t="s">
        <v>2744</v>
      </c>
      <c r="AH136" s="7" t="s">
        <v>2741</v>
      </c>
      <c r="AI136" s="7" t="s">
        <v>2743</v>
      </c>
      <c r="AJ136" s="7" t="s">
        <v>2740</v>
      </c>
      <c r="AK136" s="7" t="s">
        <v>2739</v>
      </c>
      <c r="AM136" s="7" t="s">
        <v>2743</v>
      </c>
      <c r="AN136" s="7" t="s">
        <v>2737</v>
      </c>
      <c r="AR136" s="7" t="s">
        <v>37</v>
      </c>
      <c r="AS136" s="7" t="s">
        <v>37</v>
      </c>
    </row>
    <row r="137" spans="1:45" x14ac:dyDescent="0.3">
      <c r="A137" s="7" t="s">
        <v>63</v>
      </c>
      <c r="D137" s="7" t="s">
        <v>37</v>
      </c>
      <c r="H137" s="7" t="s">
        <v>38</v>
      </c>
      <c r="I137" s="7" t="s">
        <v>39</v>
      </c>
      <c r="J137" s="7" t="s">
        <v>40</v>
      </c>
      <c r="K137" s="7" t="s">
        <v>41</v>
      </c>
      <c r="O137" s="7" t="s">
        <v>45</v>
      </c>
      <c r="P137" s="7" t="s">
        <v>36</v>
      </c>
      <c r="Q137" s="7">
        <v>1619323.2202550001</v>
      </c>
      <c r="S137" s="7">
        <v>1619323.2202550001</v>
      </c>
      <c r="T137" s="7" t="s">
        <v>36</v>
      </c>
      <c r="U137" s="7">
        <v>1619323.2202550001</v>
      </c>
      <c r="W137" s="7">
        <v>1619323.2202550001</v>
      </c>
      <c r="X137" s="7" t="s">
        <v>36</v>
      </c>
      <c r="Y137" s="7">
        <v>1619323.2202550001</v>
      </c>
      <c r="AA137" s="7">
        <v>1619323.2202550001</v>
      </c>
      <c r="AB137" s="7" t="str">
        <f>INDEX(Parameters!B:B,MATCH("Report Using",Parameters!A:A,0))</f>
        <v>Reporting</v>
      </c>
      <c r="AC137" s="7" t="str">
        <f t="shared" si="8"/>
        <v>USD</v>
      </c>
      <c r="AD137" s="8">
        <f t="shared" si="9"/>
        <v>1619323.2202550001</v>
      </c>
      <c r="AE137" s="7" t="s">
        <v>6</v>
      </c>
      <c r="AF137" s="7" t="s">
        <v>56</v>
      </c>
      <c r="AG137" s="7" t="s">
        <v>2744</v>
      </c>
      <c r="AH137" s="7" t="s">
        <v>2741</v>
      </c>
      <c r="AI137" s="7" t="s">
        <v>2743</v>
      </c>
      <c r="AJ137" s="7" t="s">
        <v>2740</v>
      </c>
      <c r="AK137" s="7" t="s">
        <v>2739</v>
      </c>
      <c r="AM137" s="7" t="s">
        <v>2743</v>
      </c>
      <c r="AN137" s="7" t="s">
        <v>2737</v>
      </c>
      <c r="AR137" s="7" t="s">
        <v>37</v>
      </c>
      <c r="AS137" s="7" t="s">
        <v>37</v>
      </c>
    </row>
    <row r="138" spans="1:45" x14ac:dyDescent="0.3">
      <c r="A138" s="7" t="s">
        <v>63</v>
      </c>
      <c r="D138" s="7" t="s">
        <v>37</v>
      </c>
      <c r="H138" s="7" t="s">
        <v>38</v>
      </c>
      <c r="I138" s="7" t="s">
        <v>39</v>
      </c>
      <c r="J138" s="7" t="s">
        <v>40</v>
      </c>
      <c r="K138" s="7" t="s">
        <v>41</v>
      </c>
      <c r="O138" s="7" t="s">
        <v>54</v>
      </c>
      <c r="P138" s="7" t="s">
        <v>36</v>
      </c>
      <c r="Q138" s="7">
        <v>468686.85</v>
      </c>
      <c r="S138" s="7">
        <v>468686.85</v>
      </c>
      <c r="T138" s="7" t="s">
        <v>36</v>
      </c>
      <c r="U138" s="7">
        <v>468686.85</v>
      </c>
      <c r="W138" s="7">
        <v>468686.85</v>
      </c>
      <c r="X138" s="7" t="s">
        <v>36</v>
      </c>
      <c r="Y138" s="7">
        <v>468686.85</v>
      </c>
      <c r="AA138" s="7">
        <v>468686.85</v>
      </c>
      <c r="AB138" s="7" t="str">
        <f>INDEX(Parameters!B:B,MATCH("Report Using",Parameters!A:A,0))</f>
        <v>Reporting</v>
      </c>
      <c r="AC138" s="7" t="str">
        <f t="shared" si="8"/>
        <v>USD</v>
      </c>
      <c r="AD138" s="8">
        <f t="shared" si="9"/>
        <v>468686.85</v>
      </c>
      <c r="AE138" s="7" t="s">
        <v>6</v>
      </c>
      <c r="AF138" s="7" t="s">
        <v>56</v>
      </c>
      <c r="AG138" s="7" t="s">
        <v>2744</v>
      </c>
      <c r="AH138" s="7" t="s">
        <v>2741</v>
      </c>
      <c r="AI138" s="7" t="s">
        <v>2743</v>
      </c>
      <c r="AJ138" s="7" t="s">
        <v>2740</v>
      </c>
      <c r="AK138" s="7" t="s">
        <v>2739</v>
      </c>
      <c r="AM138" s="7" t="s">
        <v>2743</v>
      </c>
      <c r="AN138" s="7" t="s">
        <v>2737</v>
      </c>
      <c r="AR138" s="7" t="s">
        <v>37</v>
      </c>
      <c r="AS138" s="7" t="s">
        <v>37</v>
      </c>
    </row>
    <row r="139" spans="1:45" x14ac:dyDescent="0.3">
      <c r="A139" s="7" t="s">
        <v>63</v>
      </c>
      <c r="D139" s="7" t="s">
        <v>37</v>
      </c>
      <c r="H139" s="7" t="s">
        <v>38</v>
      </c>
      <c r="I139" s="7" t="s">
        <v>39</v>
      </c>
      <c r="J139" s="7" t="s">
        <v>40</v>
      </c>
      <c r="K139" s="7" t="s">
        <v>41</v>
      </c>
      <c r="O139" s="7" t="s">
        <v>47</v>
      </c>
      <c r="P139" s="7" t="s">
        <v>36</v>
      </c>
      <c r="R139" s="7">
        <v>160360.705835</v>
      </c>
      <c r="S139" s="7">
        <v>-160360.705835</v>
      </c>
      <c r="T139" s="7" t="s">
        <v>36</v>
      </c>
      <c r="V139" s="7">
        <v>160360.705835</v>
      </c>
      <c r="W139" s="7">
        <v>-160360.705835</v>
      </c>
      <c r="X139" s="7" t="s">
        <v>36</v>
      </c>
      <c r="Z139" s="7">
        <v>160360.705835</v>
      </c>
      <c r="AA139" s="7">
        <v>-160360.705835</v>
      </c>
      <c r="AB139" s="7" t="str">
        <f>INDEX(Parameters!B:B,MATCH("Report Using",Parameters!A:A,0))</f>
        <v>Reporting</v>
      </c>
      <c r="AC139" s="7" t="str">
        <f t="shared" si="8"/>
        <v>USD</v>
      </c>
      <c r="AD139" s="8">
        <f t="shared" si="9"/>
        <v>-160360.705835</v>
      </c>
      <c r="AE139" s="7" t="s">
        <v>6</v>
      </c>
      <c r="AF139" s="7" t="s">
        <v>56</v>
      </c>
      <c r="AG139" s="7" t="s">
        <v>2744</v>
      </c>
      <c r="AH139" s="7" t="s">
        <v>2741</v>
      </c>
      <c r="AI139" s="7" t="s">
        <v>2743</v>
      </c>
      <c r="AJ139" s="7" t="s">
        <v>2740</v>
      </c>
      <c r="AK139" s="7" t="s">
        <v>2739</v>
      </c>
      <c r="AM139" s="7" t="s">
        <v>2743</v>
      </c>
      <c r="AN139" s="7" t="s">
        <v>2737</v>
      </c>
      <c r="AR139" s="7" t="s">
        <v>37</v>
      </c>
      <c r="AS139" s="7" t="s">
        <v>37</v>
      </c>
    </row>
    <row r="140" spans="1:45" x14ac:dyDescent="0.3">
      <c r="A140" s="7" t="s">
        <v>63</v>
      </c>
      <c r="D140" s="7" t="s">
        <v>37</v>
      </c>
      <c r="H140" s="7" t="s">
        <v>38</v>
      </c>
      <c r="I140" s="7" t="s">
        <v>39</v>
      </c>
      <c r="J140" s="7" t="s">
        <v>40</v>
      </c>
      <c r="K140" s="7" t="s">
        <v>41</v>
      </c>
      <c r="O140" s="7" t="s">
        <v>58</v>
      </c>
      <c r="P140" s="7" t="s">
        <v>36</v>
      </c>
      <c r="S140" s="7">
        <v>0</v>
      </c>
      <c r="T140" s="7" t="s">
        <v>36</v>
      </c>
      <c r="W140" s="7">
        <v>0</v>
      </c>
      <c r="X140" s="7" t="s">
        <v>36</v>
      </c>
      <c r="AA140" s="7">
        <v>0</v>
      </c>
      <c r="AB140" s="7" t="str">
        <f>INDEX(Parameters!B:B,MATCH("Report Using",Parameters!A:A,0))</f>
        <v>Reporting</v>
      </c>
      <c r="AC140" s="7" t="str">
        <f t="shared" si="8"/>
        <v>USD</v>
      </c>
      <c r="AD140" s="8">
        <f t="shared" si="9"/>
        <v>0</v>
      </c>
      <c r="AE140" s="7" t="s">
        <v>6</v>
      </c>
      <c r="AF140" s="7" t="s">
        <v>56</v>
      </c>
      <c r="AG140" s="7" t="s">
        <v>2742</v>
      </c>
      <c r="AH140" s="7" t="s">
        <v>2741</v>
      </c>
      <c r="AI140" s="7" t="s">
        <v>2738</v>
      </c>
      <c r="AJ140" s="7" t="s">
        <v>2740</v>
      </c>
      <c r="AK140" s="7" t="s">
        <v>2739</v>
      </c>
      <c r="AM140" s="7" t="s">
        <v>2738</v>
      </c>
      <c r="AN140" s="7" t="s">
        <v>2737</v>
      </c>
      <c r="AR140" s="7" t="s">
        <v>37</v>
      </c>
      <c r="AS140" s="7" t="s">
        <v>37</v>
      </c>
    </row>
    <row r="141" spans="1:45" x14ac:dyDescent="0.3">
      <c r="A141" s="7" t="s">
        <v>63</v>
      </c>
      <c r="D141" s="7" t="s">
        <v>37</v>
      </c>
      <c r="H141" s="7" t="s">
        <v>38</v>
      </c>
      <c r="I141" s="7" t="s">
        <v>39</v>
      </c>
      <c r="J141" s="7" t="s">
        <v>40</v>
      </c>
      <c r="K141" s="7" t="s">
        <v>41</v>
      </c>
      <c r="O141" s="7" t="s">
        <v>52</v>
      </c>
      <c r="P141" s="7" t="s">
        <v>36</v>
      </c>
      <c r="S141" s="7">
        <v>0</v>
      </c>
      <c r="T141" s="7" t="s">
        <v>36</v>
      </c>
      <c r="W141" s="7">
        <v>0</v>
      </c>
      <c r="X141" s="7" t="s">
        <v>36</v>
      </c>
      <c r="AA141" s="7">
        <v>0</v>
      </c>
      <c r="AB141" s="7" t="str">
        <f>INDEX(Parameters!B:B,MATCH("Report Using",Parameters!A:A,0))</f>
        <v>Reporting</v>
      </c>
      <c r="AC141" s="7" t="str">
        <f t="shared" si="8"/>
        <v>USD</v>
      </c>
      <c r="AD141" s="8">
        <f t="shared" si="9"/>
        <v>0</v>
      </c>
      <c r="AE141" s="7" t="s">
        <v>6</v>
      </c>
      <c r="AF141" s="7" t="s">
        <v>56</v>
      </c>
      <c r="AG141" s="7" t="s">
        <v>2742</v>
      </c>
      <c r="AH141" s="7" t="s">
        <v>2741</v>
      </c>
      <c r="AI141" s="7" t="s">
        <v>2738</v>
      </c>
      <c r="AJ141" s="7" t="s">
        <v>2740</v>
      </c>
      <c r="AK141" s="7" t="s">
        <v>2739</v>
      </c>
      <c r="AM141" s="7" t="s">
        <v>2738</v>
      </c>
      <c r="AN141" s="7" t="s">
        <v>2737</v>
      </c>
      <c r="AR141" s="7" t="s">
        <v>37</v>
      </c>
      <c r="AS141" s="7" t="s">
        <v>37</v>
      </c>
    </row>
    <row r="142" spans="1:45" x14ac:dyDescent="0.3">
      <c r="A142" s="7" t="s">
        <v>63</v>
      </c>
      <c r="D142" s="7" t="s">
        <v>37</v>
      </c>
      <c r="H142" s="7" t="s">
        <v>38</v>
      </c>
      <c r="I142" s="7" t="s">
        <v>39</v>
      </c>
      <c r="J142" s="7" t="s">
        <v>40</v>
      </c>
      <c r="K142" s="7" t="s">
        <v>41</v>
      </c>
      <c r="O142" s="7" t="s">
        <v>50</v>
      </c>
      <c r="P142" s="7" t="s">
        <v>36</v>
      </c>
      <c r="S142" s="7">
        <v>0</v>
      </c>
      <c r="T142" s="7" t="s">
        <v>36</v>
      </c>
      <c r="W142" s="7">
        <v>0</v>
      </c>
      <c r="X142" s="7" t="s">
        <v>36</v>
      </c>
      <c r="AA142" s="7">
        <v>0</v>
      </c>
      <c r="AB142" s="7" t="str">
        <f>INDEX(Parameters!B:B,MATCH("Report Using",Parameters!A:A,0))</f>
        <v>Reporting</v>
      </c>
      <c r="AC142" s="7" t="str">
        <f t="shared" si="8"/>
        <v>USD</v>
      </c>
      <c r="AD142" s="8">
        <f t="shared" si="9"/>
        <v>0</v>
      </c>
      <c r="AE142" s="7" t="s">
        <v>6</v>
      </c>
      <c r="AF142" s="7" t="s">
        <v>56</v>
      </c>
      <c r="AG142" s="7" t="s">
        <v>2742</v>
      </c>
      <c r="AH142" s="7" t="s">
        <v>2741</v>
      </c>
      <c r="AI142" s="7" t="s">
        <v>2738</v>
      </c>
      <c r="AJ142" s="7" t="s">
        <v>2740</v>
      </c>
      <c r="AK142" s="7" t="s">
        <v>2739</v>
      </c>
      <c r="AM142" s="7" t="s">
        <v>2738</v>
      </c>
      <c r="AN142" s="7" t="s">
        <v>2737</v>
      </c>
      <c r="AR142" s="7" t="s">
        <v>37</v>
      </c>
      <c r="AS142" s="7" t="s">
        <v>37</v>
      </c>
    </row>
    <row r="143" spans="1:45" x14ac:dyDescent="0.3">
      <c r="A143" s="7" t="s">
        <v>63</v>
      </c>
      <c r="D143" s="7" t="s">
        <v>37</v>
      </c>
      <c r="H143" s="7" t="s">
        <v>38</v>
      </c>
      <c r="I143" s="7" t="s">
        <v>39</v>
      </c>
      <c r="J143" s="7" t="s">
        <v>40</v>
      </c>
      <c r="K143" s="7" t="s">
        <v>41</v>
      </c>
      <c r="O143" s="7" t="s">
        <v>42</v>
      </c>
      <c r="P143" s="7" t="s">
        <v>36</v>
      </c>
      <c r="S143" s="7">
        <v>0</v>
      </c>
      <c r="T143" s="7" t="s">
        <v>36</v>
      </c>
      <c r="W143" s="7">
        <v>0</v>
      </c>
      <c r="X143" s="7" t="s">
        <v>36</v>
      </c>
      <c r="AA143" s="7">
        <v>0</v>
      </c>
      <c r="AB143" s="7" t="str">
        <f>INDEX(Parameters!B:B,MATCH("Report Using",Parameters!A:A,0))</f>
        <v>Reporting</v>
      </c>
      <c r="AC143" s="7" t="str">
        <f t="shared" si="8"/>
        <v>USD</v>
      </c>
      <c r="AD143" s="8">
        <f t="shared" si="9"/>
        <v>0</v>
      </c>
      <c r="AE143" s="7" t="s">
        <v>6</v>
      </c>
      <c r="AF143" s="7" t="s">
        <v>56</v>
      </c>
      <c r="AG143" s="7" t="s">
        <v>2742</v>
      </c>
      <c r="AH143" s="7" t="s">
        <v>2741</v>
      </c>
      <c r="AI143" s="7" t="s">
        <v>2738</v>
      </c>
      <c r="AJ143" s="7" t="s">
        <v>2740</v>
      </c>
      <c r="AK143" s="7" t="s">
        <v>2739</v>
      </c>
      <c r="AM143" s="7" t="s">
        <v>2738</v>
      </c>
      <c r="AN143" s="7" t="s">
        <v>2737</v>
      </c>
      <c r="AR143" s="7" t="s">
        <v>37</v>
      </c>
      <c r="AS143" s="7" t="s">
        <v>37</v>
      </c>
    </row>
    <row r="144" spans="1:45" x14ac:dyDescent="0.3">
      <c r="A144" s="7" t="s">
        <v>63</v>
      </c>
      <c r="D144" s="7" t="s">
        <v>37</v>
      </c>
      <c r="H144" s="7" t="s">
        <v>38</v>
      </c>
      <c r="I144" s="7" t="s">
        <v>39</v>
      </c>
      <c r="J144" s="7" t="s">
        <v>40</v>
      </c>
      <c r="K144" s="7" t="s">
        <v>41</v>
      </c>
      <c r="O144" s="7" t="s">
        <v>45</v>
      </c>
      <c r="P144" s="7" t="s">
        <v>36</v>
      </c>
      <c r="S144" s="7">
        <v>0</v>
      </c>
      <c r="T144" s="7" t="s">
        <v>36</v>
      </c>
      <c r="W144" s="7">
        <v>0</v>
      </c>
      <c r="X144" s="7" t="s">
        <v>36</v>
      </c>
      <c r="AA144" s="7">
        <v>0</v>
      </c>
      <c r="AB144" s="7" t="str">
        <f>INDEX(Parameters!B:B,MATCH("Report Using",Parameters!A:A,0))</f>
        <v>Reporting</v>
      </c>
      <c r="AC144" s="7" t="str">
        <f t="shared" si="8"/>
        <v>USD</v>
      </c>
      <c r="AD144" s="8">
        <f t="shared" si="9"/>
        <v>0</v>
      </c>
      <c r="AE144" s="7" t="s">
        <v>6</v>
      </c>
      <c r="AF144" s="7" t="s">
        <v>56</v>
      </c>
      <c r="AG144" s="7" t="s">
        <v>2742</v>
      </c>
      <c r="AH144" s="7" t="s">
        <v>2741</v>
      </c>
      <c r="AI144" s="7" t="s">
        <v>2738</v>
      </c>
      <c r="AJ144" s="7" t="s">
        <v>2740</v>
      </c>
      <c r="AK144" s="7" t="s">
        <v>2739</v>
      </c>
      <c r="AM144" s="7" t="s">
        <v>2738</v>
      </c>
      <c r="AN144" s="7" t="s">
        <v>2737</v>
      </c>
      <c r="AR144" s="7" t="s">
        <v>37</v>
      </c>
      <c r="AS144" s="7" t="s">
        <v>37</v>
      </c>
    </row>
    <row r="145" spans="1:45" x14ac:dyDescent="0.3">
      <c r="A145" s="7" t="s">
        <v>63</v>
      </c>
      <c r="D145" s="7" t="s">
        <v>37</v>
      </c>
      <c r="H145" s="7" t="s">
        <v>38</v>
      </c>
      <c r="I145" s="7" t="s">
        <v>39</v>
      </c>
      <c r="J145" s="7" t="s">
        <v>40</v>
      </c>
      <c r="K145" s="7" t="s">
        <v>41</v>
      </c>
      <c r="O145" s="7" t="s">
        <v>54</v>
      </c>
      <c r="P145" s="7" t="s">
        <v>36</v>
      </c>
      <c r="S145" s="7">
        <v>0</v>
      </c>
      <c r="T145" s="7" t="s">
        <v>36</v>
      </c>
      <c r="W145" s="7">
        <v>0</v>
      </c>
      <c r="X145" s="7" t="s">
        <v>36</v>
      </c>
      <c r="AA145" s="7">
        <v>0</v>
      </c>
      <c r="AB145" s="7" t="str">
        <f>INDEX(Parameters!B:B,MATCH("Report Using",Parameters!A:A,0))</f>
        <v>Reporting</v>
      </c>
      <c r="AC145" s="7" t="str">
        <f t="shared" si="8"/>
        <v>USD</v>
      </c>
      <c r="AD145" s="8">
        <f t="shared" si="9"/>
        <v>0</v>
      </c>
      <c r="AE145" s="7" t="s">
        <v>6</v>
      </c>
      <c r="AF145" s="7" t="s">
        <v>56</v>
      </c>
      <c r="AG145" s="7" t="s">
        <v>2742</v>
      </c>
      <c r="AH145" s="7" t="s">
        <v>2741</v>
      </c>
      <c r="AI145" s="7" t="s">
        <v>2738</v>
      </c>
      <c r="AJ145" s="7" t="s">
        <v>2740</v>
      </c>
      <c r="AK145" s="7" t="s">
        <v>2739</v>
      </c>
      <c r="AM145" s="7" t="s">
        <v>2738</v>
      </c>
      <c r="AN145" s="7" t="s">
        <v>2737</v>
      </c>
      <c r="AR145" s="7" t="s">
        <v>37</v>
      </c>
      <c r="AS145" s="7" t="s">
        <v>37</v>
      </c>
    </row>
    <row r="146" spans="1:45" x14ac:dyDescent="0.3">
      <c r="A146" s="7" t="s">
        <v>63</v>
      </c>
      <c r="D146" s="7" t="s">
        <v>37</v>
      </c>
      <c r="H146" s="7" t="s">
        <v>38</v>
      </c>
      <c r="I146" s="7" t="s">
        <v>39</v>
      </c>
      <c r="J146" s="7" t="s">
        <v>40</v>
      </c>
      <c r="K146" s="7" t="s">
        <v>41</v>
      </c>
      <c r="O146" s="7" t="s">
        <v>47</v>
      </c>
      <c r="P146" s="7" t="s">
        <v>36</v>
      </c>
      <c r="S146" s="7">
        <v>0</v>
      </c>
      <c r="T146" s="7" t="s">
        <v>36</v>
      </c>
      <c r="W146" s="7">
        <v>0</v>
      </c>
      <c r="X146" s="7" t="s">
        <v>36</v>
      </c>
      <c r="AA146" s="7">
        <v>0</v>
      </c>
      <c r="AB146" s="7" t="str">
        <f>INDEX(Parameters!B:B,MATCH("Report Using",Parameters!A:A,0))</f>
        <v>Reporting</v>
      </c>
      <c r="AC146" s="7" t="str">
        <f t="shared" si="8"/>
        <v>USD</v>
      </c>
      <c r="AD146" s="8">
        <f t="shared" si="9"/>
        <v>0</v>
      </c>
      <c r="AE146" s="7" t="s">
        <v>6</v>
      </c>
      <c r="AF146" s="7" t="s">
        <v>56</v>
      </c>
      <c r="AG146" s="7" t="s">
        <v>2742</v>
      </c>
      <c r="AH146" s="7" t="s">
        <v>2741</v>
      </c>
      <c r="AI146" s="7" t="s">
        <v>2738</v>
      </c>
      <c r="AJ146" s="7" t="s">
        <v>2740</v>
      </c>
      <c r="AK146" s="7" t="s">
        <v>2739</v>
      </c>
      <c r="AM146" s="7" t="s">
        <v>2738</v>
      </c>
      <c r="AN146" s="7" t="s">
        <v>2737</v>
      </c>
      <c r="AR146" s="7" t="s">
        <v>37</v>
      </c>
      <c r="AS146" s="7" t="s">
        <v>37</v>
      </c>
    </row>
    <row r="147" spans="1:45" x14ac:dyDescent="0.3">
      <c r="A147" s="7" t="s">
        <v>63</v>
      </c>
      <c r="D147" s="7" t="s">
        <v>37</v>
      </c>
      <c r="H147" s="7" t="s">
        <v>38</v>
      </c>
      <c r="I147" s="7" t="s">
        <v>39</v>
      </c>
      <c r="J147" s="7" t="s">
        <v>38</v>
      </c>
      <c r="K147" s="7" t="s">
        <v>41</v>
      </c>
      <c r="O147" s="7" t="s">
        <v>49</v>
      </c>
      <c r="P147" s="7" t="s">
        <v>36</v>
      </c>
      <c r="Q147" s="7">
        <v>12180.058743</v>
      </c>
      <c r="S147" s="7">
        <v>12180.058743</v>
      </c>
      <c r="T147" s="7" t="s">
        <v>36</v>
      </c>
      <c r="U147" s="7">
        <v>12180.058743</v>
      </c>
      <c r="W147" s="7">
        <v>12180.058743</v>
      </c>
      <c r="X147" s="7" t="s">
        <v>36</v>
      </c>
      <c r="Y147" s="7">
        <v>12180.058743</v>
      </c>
      <c r="AA147" s="7">
        <v>12180.058743</v>
      </c>
      <c r="AB147" s="7" t="str">
        <f>INDEX(Parameters!B:B,MATCH("Report Using",Parameters!A:A,0))</f>
        <v>Reporting</v>
      </c>
      <c r="AC147" s="7" t="str">
        <f t="shared" si="8"/>
        <v>USD</v>
      </c>
      <c r="AD147" s="8">
        <f t="shared" si="9"/>
        <v>12180.058743</v>
      </c>
      <c r="AE147" s="7" t="s">
        <v>6</v>
      </c>
      <c r="AF147" s="7" t="s">
        <v>56</v>
      </c>
      <c r="AG147" s="7" t="s">
        <v>2744</v>
      </c>
      <c r="AH147" s="7" t="s">
        <v>2741</v>
      </c>
      <c r="AI147" s="7" t="s">
        <v>2743</v>
      </c>
      <c r="AJ147" s="7" t="s">
        <v>2740</v>
      </c>
      <c r="AK147" s="7" t="s">
        <v>2739</v>
      </c>
      <c r="AM147" s="7" t="s">
        <v>2743</v>
      </c>
      <c r="AN147" s="7" t="s">
        <v>2737</v>
      </c>
      <c r="AR147" s="7" t="s">
        <v>37</v>
      </c>
      <c r="AS147" s="7" t="s">
        <v>37</v>
      </c>
    </row>
    <row r="148" spans="1:45" x14ac:dyDescent="0.3">
      <c r="A148" s="7" t="s">
        <v>63</v>
      </c>
      <c r="D148" s="7" t="s">
        <v>37</v>
      </c>
      <c r="H148" s="7" t="s">
        <v>38</v>
      </c>
      <c r="I148" s="7" t="s">
        <v>39</v>
      </c>
      <c r="J148" s="7" t="s">
        <v>38</v>
      </c>
      <c r="K148" s="7" t="s">
        <v>41</v>
      </c>
      <c r="O148" s="7" t="s">
        <v>49</v>
      </c>
      <c r="P148" s="7" t="s">
        <v>36</v>
      </c>
      <c r="S148" s="7">
        <v>0</v>
      </c>
      <c r="T148" s="7" t="s">
        <v>36</v>
      </c>
      <c r="W148" s="7">
        <v>0</v>
      </c>
      <c r="X148" s="7" t="s">
        <v>36</v>
      </c>
      <c r="AA148" s="7">
        <v>0</v>
      </c>
      <c r="AB148" s="7" t="str">
        <f>INDEX(Parameters!B:B,MATCH("Report Using",Parameters!A:A,0))</f>
        <v>Reporting</v>
      </c>
      <c r="AC148" s="7" t="str">
        <f t="shared" si="8"/>
        <v>USD</v>
      </c>
      <c r="AD148" s="8">
        <f t="shared" si="9"/>
        <v>0</v>
      </c>
      <c r="AE148" s="7" t="s">
        <v>6</v>
      </c>
      <c r="AF148" s="7" t="s">
        <v>56</v>
      </c>
      <c r="AG148" s="7" t="s">
        <v>2742</v>
      </c>
      <c r="AH148" s="7" t="s">
        <v>2741</v>
      </c>
      <c r="AI148" s="7" t="s">
        <v>2738</v>
      </c>
      <c r="AJ148" s="7" t="s">
        <v>2740</v>
      </c>
      <c r="AK148" s="7" t="s">
        <v>2739</v>
      </c>
      <c r="AM148" s="7" t="s">
        <v>2738</v>
      </c>
      <c r="AN148" s="7" t="s">
        <v>2737</v>
      </c>
      <c r="AR148" s="7" t="s">
        <v>37</v>
      </c>
      <c r="AS148" s="7" t="s">
        <v>37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2F3F-A07D-412F-BA09-043DECECB1AA}">
  <sheetPr>
    <tabColor theme="6"/>
  </sheetPr>
  <dimension ref="A2:S33"/>
  <sheetViews>
    <sheetView zoomScaleNormal="100" workbookViewId="0">
      <selection activeCell="B22" sqref="B22"/>
    </sheetView>
  </sheetViews>
  <sheetFormatPr defaultRowHeight="14.4" x14ac:dyDescent="0.3"/>
  <cols>
    <col min="1" max="1" width="38.88671875" style="7" bestFit="1" customWidth="1"/>
    <col min="2" max="2" width="14.21875" style="7" bestFit="1" customWidth="1"/>
    <col min="3" max="3" width="20.33203125" style="7" bestFit="1" customWidth="1"/>
    <col min="4" max="4" width="20.77734375" style="7" bestFit="1" customWidth="1"/>
    <col min="5" max="5" width="21.109375" style="7" bestFit="1" customWidth="1"/>
    <col min="6" max="6" width="17.44140625" style="7" bestFit="1" customWidth="1"/>
    <col min="7" max="7" width="14.44140625" style="7" bestFit="1" customWidth="1"/>
    <col min="8" max="8" width="14" style="7" bestFit="1" customWidth="1"/>
    <col min="9" max="9" width="11.21875" style="7" bestFit="1" customWidth="1"/>
    <col min="10" max="10" width="26.77734375" style="7" bestFit="1" customWidth="1"/>
    <col min="11" max="11" width="9" style="7" bestFit="1" customWidth="1"/>
    <col min="12" max="12" width="10.77734375" style="7" bestFit="1" customWidth="1"/>
    <col min="13" max="13" width="16.77734375" style="7" bestFit="1" customWidth="1"/>
    <col min="14" max="14" width="11.21875" style="7" bestFit="1" customWidth="1"/>
    <col min="15" max="15" width="14" style="7" bestFit="1" customWidth="1"/>
    <col min="16" max="16" width="26.77734375" style="7" bestFit="1" customWidth="1"/>
    <col min="17" max="17" width="29.6640625" style="7" bestFit="1" customWidth="1"/>
    <col min="18" max="18" width="9" style="7" bestFit="1" customWidth="1"/>
    <col min="19" max="19" width="10.77734375" style="7" bestFit="1" customWidth="1"/>
    <col min="20" max="16384" width="8.88671875" style="7"/>
  </cols>
  <sheetData>
    <row r="2" spans="1:19" x14ac:dyDescent="0.3">
      <c r="A2" s="180" t="s">
        <v>2751</v>
      </c>
      <c r="B2" t="s">
        <v>217</v>
      </c>
    </row>
    <row r="3" spans="1:19" x14ac:dyDescent="0.3">
      <c r="A3" s="180" t="s">
        <v>2625</v>
      </c>
      <c r="B3" t="s">
        <v>217</v>
      </c>
    </row>
    <row r="5" spans="1:19" x14ac:dyDescent="0.3">
      <c r="A5" s="180" t="s">
        <v>2764</v>
      </c>
      <c r="B5"/>
      <c r="C5"/>
      <c r="D5" s="180" t="s">
        <v>2629</v>
      </c>
      <c r="E5" s="180" t="s">
        <v>2628</v>
      </c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x14ac:dyDescent="0.3">
      <c r="A6"/>
      <c r="B6"/>
      <c r="C6"/>
      <c r="D6" t="s">
        <v>2742</v>
      </c>
      <c r="E6" t="s">
        <v>2749</v>
      </c>
      <c r="F6" t="s">
        <v>2746</v>
      </c>
      <c r="G6" t="s">
        <v>2747</v>
      </c>
      <c r="H6" t="s">
        <v>2748</v>
      </c>
      <c r="I6" t="s">
        <v>2745</v>
      </c>
      <c r="J6" t="s">
        <v>2744</v>
      </c>
      <c r="K6" t="s">
        <v>213</v>
      </c>
      <c r="L6" t="s">
        <v>214</v>
      </c>
      <c r="M6"/>
      <c r="N6"/>
      <c r="O6"/>
      <c r="P6"/>
      <c r="Q6"/>
      <c r="R6"/>
      <c r="S6"/>
    </row>
    <row r="7" spans="1:19" x14ac:dyDescent="0.3">
      <c r="A7" s="180" t="s">
        <v>24</v>
      </c>
      <c r="B7" s="180" t="s">
        <v>2750</v>
      </c>
      <c r="C7" s="180" t="s">
        <v>2753</v>
      </c>
      <c r="D7" t="s">
        <v>2741</v>
      </c>
      <c r="E7" t="s">
        <v>2618</v>
      </c>
      <c r="F7" t="s">
        <v>2618</v>
      </c>
      <c r="G7" t="s">
        <v>2618</v>
      </c>
      <c r="H7" t="s">
        <v>2618</v>
      </c>
      <c r="I7" t="s">
        <v>2618</v>
      </c>
      <c r="J7" t="s">
        <v>2741</v>
      </c>
      <c r="K7"/>
      <c r="L7"/>
      <c r="M7"/>
      <c r="N7"/>
      <c r="O7"/>
      <c r="P7"/>
      <c r="Q7"/>
      <c r="R7"/>
      <c r="S7"/>
    </row>
    <row r="8" spans="1:19" x14ac:dyDescent="0.3">
      <c r="A8" t="s">
        <v>58</v>
      </c>
      <c r="B8"/>
      <c r="C8"/>
      <c r="D8" s="181">
        <v>0</v>
      </c>
      <c r="E8" s="181"/>
      <c r="F8" s="181"/>
      <c r="G8" s="181"/>
      <c r="H8" s="181">
        <v>-600000</v>
      </c>
      <c r="I8" s="181"/>
      <c r="J8" s="181">
        <v>600000</v>
      </c>
      <c r="K8" s="181"/>
      <c r="L8" s="181">
        <v>0</v>
      </c>
      <c r="M8"/>
      <c r="N8"/>
      <c r="O8"/>
      <c r="P8"/>
      <c r="Q8"/>
      <c r="R8"/>
      <c r="S8"/>
    </row>
    <row r="9" spans="1:19" x14ac:dyDescent="0.3">
      <c r="A9" t="s">
        <v>52</v>
      </c>
      <c r="B9"/>
      <c r="C9"/>
      <c r="D9" s="181">
        <v>0</v>
      </c>
      <c r="E9" s="181"/>
      <c r="F9" s="181">
        <v>-507965.87999999995</v>
      </c>
      <c r="G9" s="181"/>
      <c r="H9" s="181"/>
      <c r="I9" s="181"/>
      <c r="J9" s="181">
        <v>507965.88</v>
      </c>
      <c r="K9" s="181"/>
      <c r="L9" s="181">
        <v>5.8207660913467407E-11</v>
      </c>
      <c r="M9"/>
      <c r="N9"/>
      <c r="O9"/>
      <c r="P9"/>
      <c r="Q9"/>
      <c r="R9"/>
      <c r="S9"/>
    </row>
    <row r="10" spans="1:19" x14ac:dyDescent="0.3">
      <c r="A10" t="s">
        <v>50</v>
      </c>
      <c r="B10"/>
      <c r="C10"/>
      <c r="D10" s="181">
        <v>0</v>
      </c>
      <c r="E10" s="181"/>
      <c r="F10" s="181">
        <v>507965.87999999995</v>
      </c>
      <c r="G10" s="181"/>
      <c r="H10" s="181"/>
      <c r="I10" s="181"/>
      <c r="J10" s="181">
        <v>-507965.88</v>
      </c>
      <c r="K10" s="181"/>
      <c r="L10" s="181">
        <v>-5.8207660913467407E-11</v>
      </c>
      <c r="M10"/>
      <c r="N10"/>
      <c r="O10"/>
      <c r="P10"/>
      <c r="Q10"/>
      <c r="R10"/>
      <c r="S10"/>
    </row>
    <row r="11" spans="1:19" x14ac:dyDescent="0.3">
      <c r="A11" t="s">
        <v>42</v>
      </c>
      <c r="B11"/>
      <c r="C11"/>
      <c r="D11" s="181">
        <v>0</v>
      </c>
      <c r="E11" s="181">
        <v>2539829.423163</v>
      </c>
      <c r="F11" s="181"/>
      <c r="G11" s="181"/>
      <c r="H11" s="181"/>
      <c r="I11" s="181"/>
      <c r="J11" s="181">
        <v>-2539829.423163</v>
      </c>
      <c r="K11" s="181"/>
      <c r="L11" s="181">
        <v>0</v>
      </c>
      <c r="M11"/>
      <c r="N11"/>
      <c r="O11"/>
      <c r="P11"/>
      <c r="Q11"/>
      <c r="R11"/>
      <c r="S11"/>
    </row>
    <row r="12" spans="1:19" x14ac:dyDescent="0.3">
      <c r="A12" t="s">
        <v>45</v>
      </c>
      <c r="B12"/>
      <c r="C12"/>
      <c r="D12" s="181">
        <v>0</v>
      </c>
      <c r="E12" s="181">
        <v>-2539829.423163</v>
      </c>
      <c r="F12" s="181"/>
      <c r="G12" s="181"/>
      <c r="H12" s="181">
        <v>451819.35290800006</v>
      </c>
      <c r="I12" s="181">
        <v>468686.85</v>
      </c>
      <c r="J12" s="181">
        <v>1619323.2202550001</v>
      </c>
      <c r="K12" s="181"/>
      <c r="L12" s="181">
        <v>0</v>
      </c>
      <c r="M12"/>
      <c r="N12"/>
      <c r="O12"/>
      <c r="P12"/>
      <c r="Q12"/>
      <c r="R12"/>
      <c r="S12"/>
    </row>
    <row r="13" spans="1:19" x14ac:dyDescent="0.3">
      <c r="A13" t="s">
        <v>54</v>
      </c>
      <c r="B13"/>
      <c r="C13"/>
      <c r="D13" s="181">
        <v>0</v>
      </c>
      <c r="E13" s="181"/>
      <c r="F13" s="181"/>
      <c r="G13" s="181"/>
      <c r="H13" s="181"/>
      <c r="I13" s="181">
        <v>-468686.85</v>
      </c>
      <c r="J13" s="181">
        <v>468686.85</v>
      </c>
      <c r="K13" s="181"/>
      <c r="L13" s="181">
        <v>0</v>
      </c>
      <c r="M13"/>
      <c r="N13"/>
      <c r="O13"/>
      <c r="P13"/>
      <c r="Q13"/>
      <c r="R13"/>
      <c r="S13"/>
    </row>
    <row r="14" spans="1:19" x14ac:dyDescent="0.3">
      <c r="A14" t="s">
        <v>49</v>
      </c>
      <c r="B14"/>
      <c r="C14"/>
      <c r="D14" s="181">
        <v>0</v>
      </c>
      <c r="E14" s="181"/>
      <c r="F14" s="181"/>
      <c r="G14" s="181">
        <v>-160360.705835</v>
      </c>
      <c r="H14" s="181">
        <v>148180.647092</v>
      </c>
      <c r="I14" s="181"/>
      <c r="J14" s="181">
        <v>12180.058743</v>
      </c>
      <c r="K14" s="181"/>
      <c r="L14" s="181">
        <v>-1.8189894035458565E-12</v>
      </c>
      <c r="M14"/>
      <c r="N14"/>
      <c r="O14"/>
      <c r="P14"/>
      <c r="Q14"/>
      <c r="R14"/>
      <c r="S14"/>
    </row>
    <row r="15" spans="1:19" x14ac:dyDescent="0.3">
      <c r="A15" t="s">
        <v>47</v>
      </c>
      <c r="B15"/>
      <c r="C15"/>
      <c r="D15" s="181">
        <v>0</v>
      </c>
      <c r="E15" s="181"/>
      <c r="F15" s="181"/>
      <c r="G15" s="181">
        <v>160360.705835</v>
      </c>
      <c r="H15" s="181"/>
      <c r="I15" s="181"/>
      <c r="J15" s="181">
        <v>-160360.705835</v>
      </c>
      <c r="K15" s="181"/>
      <c r="L15" s="181">
        <v>0</v>
      </c>
      <c r="M15"/>
      <c r="N15"/>
      <c r="O15"/>
      <c r="P15"/>
      <c r="Q15"/>
      <c r="R15"/>
      <c r="S15"/>
    </row>
    <row r="16" spans="1:19" x14ac:dyDescent="0.3">
      <c r="A16" t="s">
        <v>213</v>
      </c>
      <c r="B16"/>
      <c r="C16"/>
      <c r="D16" s="181"/>
      <c r="E16" s="181"/>
      <c r="F16" s="181"/>
      <c r="G16" s="181"/>
      <c r="H16" s="181"/>
      <c r="I16" s="181"/>
      <c r="J16" s="181"/>
      <c r="K16" s="181"/>
      <c r="L16" s="181"/>
      <c r="M16"/>
      <c r="N16"/>
      <c r="O16"/>
      <c r="P16"/>
      <c r="Q16"/>
      <c r="R16"/>
      <c r="S16"/>
    </row>
    <row r="17" spans="1:19" x14ac:dyDescent="0.3">
      <c r="A17" t="s">
        <v>214</v>
      </c>
      <c r="B17"/>
      <c r="C17"/>
      <c r="D17" s="181">
        <v>0</v>
      </c>
      <c r="E17" s="181">
        <v>0</v>
      </c>
      <c r="F17" s="181">
        <v>0</v>
      </c>
      <c r="G17" s="181">
        <v>0</v>
      </c>
      <c r="H17" s="181">
        <v>5.8207660913467407E-11</v>
      </c>
      <c r="I17" s="181">
        <v>0</v>
      </c>
      <c r="J17" s="181">
        <v>0</v>
      </c>
      <c r="K17" s="181"/>
      <c r="L17" s="181">
        <v>-1.8189894035458565E-12</v>
      </c>
      <c r="M17"/>
      <c r="N17"/>
      <c r="O17"/>
      <c r="P17"/>
      <c r="Q17"/>
      <c r="R17"/>
      <c r="S17"/>
    </row>
    <row r="18" spans="1:19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82F0-CF61-4847-B75C-841D48982E75}">
  <sheetPr>
    <tabColor theme="6"/>
  </sheetPr>
  <dimension ref="A1:D23"/>
  <sheetViews>
    <sheetView workbookViewId="0">
      <selection activeCell="D9" sqref="D9"/>
    </sheetView>
  </sheetViews>
  <sheetFormatPr defaultRowHeight="14.4" x14ac:dyDescent="0.3"/>
  <cols>
    <col min="1" max="1" width="39.44140625" style="7" bestFit="1" customWidth="1"/>
    <col min="2" max="2" width="22.5546875" style="7" bestFit="1" customWidth="1"/>
    <col min="3" max="3" width="10.44140625" style="7" bestFit="1" customWidth="1"/>
    <col min="4" max="4" width="16.109375" style="7" bestFit="1" customWidth="1"/>
    <col min="5" max="16384" width="8.88671875" style="7"/>
  </cols>
  <sheetData>
    <row r="1" spans="1:4" ht="18" x14ac:dyDescent="0.35">
      <c r="A1" s="153" t="s">
        <v>2770</v>
      </c>
      <c r="B1" s="157"/>
      <c r="C1" s="157"/>
      <c r="D1" s="179" t="s">
        <v>2781</v>
      </c>
    </row>
    <row r="2" spans="1:4" x14ac:dyDescent="0.3">
      <c r="A2" s="159" t="s">
        <v>166</v>
      </c>
      <c r="B2" s="157" t="s">
        <v>2735</v>
      </c>
      <c r="C2" s="157"/>
    </row>
    <row r="3" spans="1:4" x14ac:dyDescent="0.3">
      <c r="A3" s="159" t="s">
        <v>168</v>
      </c>
      <c r="B3" s="158" t="s">
        <v>2769</v>
      </c>
      <c r="C3" s="157"/>
    </row>
    <row r="5" spans="1:4" x14ac:dyDescent="0.3">
      <c r="A5" s="156" t="s">
        <v>169</v>
      </c>
      <c r="B5" s="156" t="s">
        <v>170</v>
      </c>
      <c r="C5" s="156" t="s">
        <v>171</v>
      </c>
    </row>
    <row r="6" spans="1:4" x14ac:dyDescent="0.3">
      <c r="A6" s="7" t="s">
        <v>172</v>
      </c>
      <c r="B6" s="7" t="s">
        <v>63</v>
      </c>
    </row>
    <row r="7" spans="1:4" x14ac:dyDescent="0.3">
      <c r="A7" s="7" t="s">
        <v>173</v>
      </c>
      <c r="B7" s="7" t="s">
        <v>174</v>
      </c>
    </row>
    <row r="8" spans="1:4" x14ac:dyDescent="0.3">
      <c r="A8" s="7" t="s">
        <v>175</v>
      </c>
      <c r="B8" s="7" t="s">
        <v>176</v>
      </c>
      <c r="C8" s="7" t="s">
        <v>177</v>
      </c>
    </row>
    <row r="9" spans="1:4" x14ac:dyDescent="0.3">
      <c r="A9" s="7" t="s">
        <v>178</v>
      </c>
      <c r="B9" s="7" t="s">
        <v>2768</v>
      </c>
    </row>
    <row r="10" spans="1:4" x14ac:dyDescent="0.3">
      <c r="A10" s="7" t="s">
        <v>2767</v>
      </c>
      <c r="B10" s="7" t="s">
        <v>193</v>
      </c>
      <c r="C10" s="7" t="s">
        <v>194</v>
      </c>
    </row>
    <row r="11" spans="1:4" x14ac:dyDescent="0.3">
      <c r="A11" s="7" t="s">
        <v>1335</v>
      </c>
      <c r="B11" s="7" t="s">
        <v>1537</v>
      </c>
    </row>
    <row r="12" spans="1:4" x14ac:dyDescent="0.3">
      <c r="A12" s="7" t="s">
        <v>1299</v>
      </c>
      <c r="B12" s="7" t="s">
        <v>36</v>
      </c>
    </row>
    <row r="13" spans="1:4" x14ac:dyDescent="0.3">
      <c r="A13" s="7" t="s">
        <v>2766</v>
      </c>
      <c r="B13" s="7" t="s">
        <v>184</v>
      </c>
    </row>
    <row r="14" spans="1:4" x14ac:dyDescent="0.3">
      <c r="A14" s="7" t="s">
        <v>186</v>
      </c>
    </row>
    <row r="15" spans="1:4" x14ac:dyDescent="0.3">
      <c r="A15" s="7" t="s">
        <v>185</v>
      </c>
      <c r="B15" s="7" t="s">
        <v>6</v>
      </c>
    </row>
    <row r="16" spans="1:4" x14ac:dyDescent="0.3">
      <c r="A16" s="7" t="s">
        <v>1422</v>
      </c>
    </row>
    <row r="17" spans="1:2" x14ac:dyDescent="0.3">
      <c r="A17" s="7" t="s">
        <v>189</v>
      </c>
    </row>
    <row r="18" spans="1:2" x14ac:dyDescent="0.3">
      <c r="A18" s="7" t="s">
        <v>190</v>
      </c>
    </row>
    <row r="19" spans="1:2" x14ac:dyDescent="0.3">
      <c r="A19" s="7" t="s">
        <v>191</v>
      </c>
    </row>
    <row r="20" spans="1:2" x14ac:dyDescent="0.3">
      <c r="A20" s="7" t="s">
        <v>1279</v>
      </c>
    </row>
    <row r="21" spans="1:2" x14ac:dyDescent="0.3">
      <c r="A21" s="7" t="s">
        <v>1428</v>
      </c>
    </row>
    <row r="22" spans="1:2" x14ac:dyDescent="0.3">
      <c r="A22" s="7" t="s">
        <v>2751</v>
      </c>
      <c r="B22" s="7" t="s">
        <v>13</v>
      </c>
    </row>
    <row r="23" spans="1:2" x14ac:dyDescent="0.3">
      <c r="A23" s="7" t="s">
        <v>2765</v>
      </c>
      <c r="B23" s="7" t="s">
        <v>13</v>
      </c>
    </row>
  </sheetData>
  <hyperlinks>
    <hyperlink ref="D1" location="'Comparison-Sheet'!A1" display="'Comparison-Sheet'!A1" xr:uid="{DDEFFAB8-C5BA-43A8-AA5A-DF646A0564D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FD52-D6EB-41CE-A080-ACF89F42DD20}">
  <sheetPr>
    <tabColor rgb="FFFF0000"/>
  </sheetPr>
  <dimension ref="A1:AC674"/>
  <sheetViews>
    <sheetView topLeftCell="S1" workbookViewId="0">
      <pane ySplit="1" topLeftCell="A6" activePane="bottomLeft" state="frozenSplit"/>
      <selection activeCell="D17" sqref="D17"/>
      <selection pane="bottomLeft" activeCell="AB30" sqref="AB30"/>
    </sheetView>
  </sheetViews>
  <sheetFormatPr defaultRowHeight="14.4" x14ac:dyDescent="0.3"/>
  <cols>
    <col min="1" max="1" width="12" style="19" customWidth="1"/>
    <col min="2" max="2" width="14" style="19" hidden="1" customWidth="1"/>
    <col min="3" max="3" width="20" style="19" hidden="1" customWidth="1"/>
    <col min="4" max="4" width="18" style="19" hidden="1" customWidth="1"/>
    <col min="5" max="5" width="14" style="19" hidden="1" customWidth="1"/>
    <col min="6" max="6" width="13" style="19" hidden="1" customWidth="1"/>
    <col min="7" max="15" width="12" style="19" hidden="1" customWidth="1"/>
    <col min="16" max="17" width="13" style="19" hidden="1" customWidth="1"/>
    <col min="18" max="18" width="48" style="19" customWidth="1"/>
    <col min="19" max="20" width="16" style="19" customWidth="1"/>
    <col min="21" max="21" width="42" style="19" customWidth="1"/>
    <col min="22" max="22" width="11" style="19" customWidth="1"/>
    <col min="23" max="23" width="55" style="19" customWidth="1"/>
    <col min="24" max="24" width="30" style="19" hidden="1" customWidth="1"/>
    <col min="25" max="25" width="19" style="19" hidden="1" customWidth="1"/>
    <col min="26" max="26" width="10" style="19" hidden="1" customWidth="1"/>
    <col min="27" max="27" width="24" style="19" hidden="1" customWidth="1"/>
    <col min="28" max="28" width="26" style="119" bestFit="1" customWidth="1"/>
    <col min="29" max="29" width="16.88671875" style="119" bestFit="1" customWidth="1"/>
    <col min="30" max="16384" width="8.88671875" style="19"/>
  </cols>
  <sheetData>
    <row r="1" spans="1:29" s="18" customFormat="1" x14ac:dyDescent="0.3">
      <c r="A1" s="17" t="s">
        <v>7</v>
      </c>
      <c r="B1" s="17" t="s">
        <v>8</v>
      </c>
      <c r="C1" s="17" t="s">
        <v>9</v>
      </c>
      <c r="D1" s="17" t="s">
        <v>10</v>
      </c>
      <c r="E1" s="17" t="s">
        <v>11</v>
      </c>
      <c r="F1" s="17" t="s">
        <v>12</v>
      </c>
      <c r="G1" s="17" t="s">
        <v>13</v>
      </c>
      <c r="H1" s="17" t="s">
        <v>14</v>
      </c>
      <c r="I1" s="17" t="s">
        <v>15</v>
      </c>
      <c r="J1" s="17" t="s">
        <v>16</v>
      </c>
      <c r="K1" s="17" t="s">
        <v>17</v>
      </c>
      <c r="L1" s="17" t="s">
        <v>18</v>
      </c>
      <c r="M1" s="17" t="s">
        <v>19</v>
      </c>
      <c r="N1" s="17" t="s">
        <v>20</v>
      </c>
      <c r="O1" s="17" t="s">
        <v>21</v>
      </c>
      <c r="P1" s="17" t="s">
        <v>22</v>
      </c>
      <c r="Q1" s="17" t="s">
        <v>23</v>
      </c>
      <c r="R1" s="17" t="s">
        <v>24</v>
      </c>
      <c r="S1" s="17" t="s">
        <v>25</v>
      </c>
      <c r="T1" s="17" t="s">
        <v>26</v>
      </c>
      <c r="U1" s="17" t="s">
        <v>27</v>
      </c>
      <c r="V1" s="17" t="s">
        <v>28</v>
      </c>
      <c r="W1" s="17" t="s">
        <v>29</v>
      </c>
      <c r="X1" s="17" t="s">
        <v>30</v>
      </c>
      <c r="Y1" s="17" t="s">
        <v>31</v>
      </c>
      <c r="Z1" s="17" t="s">
        <v>32</v>
      </c>
      <c r="AA1" s="17" t="s">
        <v>33</v>
      </c>
      <c r="AB1" s="119"/>
      <c r="AC1" s="119"/>
    </row>
    <row r="2" spans="1:29" x14ac:dyDescent="0.3">
      <c r="A2" s="19" t="s">
        <v>221</v>
      </c>
      <c r="B2" s="20">
        <v>44562</v>
      </c>
      <c r="C2" s="19" t="s">
        <v>35</v>
      </c>
      <c r="D2" s="19" t="s">
        <v>36</v>
      </c>
      <c r="E2" s="19" t="s">
        <v>36</v>
      </c>
      <c r="F2" s="19" t="s">
        <v>36</v>
      </c>
      <c r="G2" s="19" t="s">
        <v>37</v>
      </c>
      <c r="K2" s="19" t="s">
        <v>38</v>
      </c>
      <c r="L2" s="19" t="s">
        <v>39</v>
      </c>
      <c r="M2" s="19" t="s">
        <v>40</v>
      </c>
      <c r="N2" s="19" t="s">
        <v>41</v>
      </c>
      <c r="R2" s="19" t="s">
        <v>42</v>
      </c>
      <c r="S2" s="21">
        <v>2539829.423163</v>
      </c>
      <c r="U2" s="19" t="s">
        <v>56</v>
      </c>
      <c r="V2" s="19">
        <v>6</v>
      </c>
      <c r="W2" s="19" t="s">
        <v>43</v>
      </c>
      <c r="X2" s="19" t="s">
        <v>222</v>
      </c>
      <c r="Y2" s="19" t="s">
        <v>223</v>
      </c>
      <c r="Z2" s="19" t="s">
        <v>44</v>
      </c>
      <c r="AB2" s="207">
        <f>-PV('Lease Overview'!B4/12,'Lease Overview'!B6,'Lease Overview'!B3,,1)</f>
        <v>2539829.4231627379</v>
      </c>
      <c r="AC2" s="104" t="s">
        <v>1284</v>
      </c>
    </row>
    <row r="3" spans="1:29" x14ac:dyDescent="0.3">
      <c r="A3" s="19" t="s">
        <v>221</v>
      </c>
      <c r="B3" s="20">
        <v>44562</v>
      </c>
      <c r="C3" s="19" t="s">
        <v>35</v>
      </c>
      <c r="D3" s="19" t="s">
        <v>36</v>
      </c>
      <c r="E3" s="19" t="s">
        <v>36</v>
      </c>
      <c r="F3" s="19" t="s">
        <v>36</v>
      </c>
      <c r="G3" s="19" t="s">
        <v>37</v>
      </c>
      <c r="K3" s="19" t="s">
        <v>38</v>
      </c>
      <c r="L3" s="19" t="s">
        <v>39</v>
      </c>
      <c r="M3" s="19" t="s">
        <v>40</v>
      </c>
      <c r="N3" s="19" t="s">
        <v>41</v>
      </c>
      <c r="R3" s="19" t="s">
        <v>45</v>
      </c>
      <c r="T3" s="21">
        <v>2539829.423163</v>
      </c>
      <c r="U3" s="19" t="s">
        <v>56</v>
      </c>
      <c r="V3" s="19">
        <v>6</v>
      </c>
      <c r="W3" s="19" t="s">
        <v>43</v>
      </c>
      <c r="X3" s="19" t="s">
        <v>224</v>
      </c>
      <c r="Y3" s="19" t="s">
        <v>223</v>
      </c>
      <c r="Z3" s="19" t="s">
        <v>44</v>
      </c>
      <c r="AB3" s="105"/>
      <c r="AC3" s="104"/>
    </row>
    <row r="4" spans="1:29" x14ac:dyDescent="0.3">
      <c r="B4" s="20"/>
      <c r="T4" s="21"/>
      <c r="AB4" s="105"/>
      <c r="AC4" s="104"/>
    </row>
    <row r="5" spans="1:29" x14ac:dyDescent="0.3">
      <c r="A5" s="19" t="s">
        <v>221</v>
      </c>
      <c r="B5" s="20">
        <v>44592</v>
      </c>
      <c r="C5" s="19" t="s">
        <v>46</v>
      </c>
      <c r="D5" s="19" t="s">
        <v>36</v>
      </c>
      <c r="E5" s="19" t="s">
        <v>36</v>
      </c>
      <c r="F5" s="19" t="s">
        <v>36</v>
      </c>
      <c r="G5" s="19" t="s">
        <v>37</v>
      </c>
      <c r="K5" s="19" t="s">
        <v>38</v>
      </c>
      <c r="L5" s="19" t="s">
        <v>39</v>
      </c>
      <c r="M5" s="19" t="s">
        <v>40</v>
      </c>
      <c r="N5" s="19" t="s">
        <v>41</v>
      </c>
      <c r="R5" s="19" t="s">
        <v>45</v>
      </c>
      <c r="S5" s="21">
        <v>50000</v>
      </c>
      <c r="U5" s="19" t="s">
        <v>56</v>
      </c>
      <c r="V5" s="19">
        <v>12</v>
      </c>
      <c r="W5" s="19" t="s">
        <v>57</v>
      </c>
      <c r="X5" s="19" t="s">
        <v>225</v>
      </c>
      <c r="Y5" s="19" t="s">
        <v>226</v>
      </c>
      <c r="Z5" s="19" t="s">
        <v>44</v>
      </c>
      <c r="AB5" s="207">
        <f>-'Accounting (Accounting Wb)'!W3</f>
        <v>50000</v>
      </c>
      <c r="AC5" s="104" t="s">
        <v>57</v>
      </c>
    </row>
    <row r="6" spans="1:29" x14ac:dyDescent="0.3">
      <c r="A6" s="19" t="s">
        <v>221</v>
      </c>
      <c r="B6" s="20">
        <v>44592</v>
      </c>
      <c r="C6" s="19" t="s">
        <v>46</v>
      </c>
      <c r="D6" s="19" t="s">
        <v>36</v>
      </c>
      <c r="E6" s="19" t="s">
        <v>36</v>
      </c>
      <c r="F6" s="19" t="s">
        <v>36</v>
      </c>
      <c r="G6" s="19" t="s">
        <v>37</v>
      </c>
      <c r="K6" s="19" t="s">
        <v>38</v>
      </c>
      <c r="L6" s="19" t="s">
        <v>39</v>
      </c>
      <c r="M6" s="19" t="s">
        <v>40</v>
      </c>
      <c r="N6" s="19" t="s">
        <v>41</v>
      </c>
      <c r="R6" s="19" t="s">
        <v>58</v>
      </c>
      <c r="T6" s="21">
        <v>50000</v>
      </c>
      <c r="U6" s="19" t="s">
        <v>56</v>
      </c>
      <c r="V6" s="19">
        <v>12</v>
      </c>
      <c r="W6" s="19" t="s">
        <v>57</v>
      </c>
      <c r="X6" s="19" t="s">
        <v>227</v>
      </c>
      <c r="Y6" s="19" t="s">
        <v>226</v>
      </c>
      <c r="Z6" s="19" t="s">
        <v>44</v>
      </c>
      <c r="AB6" s="105"/>
      <c r="AC6" s="104"/>
    </row>
    <row r="7" spans="1:29" x14ac:dyDescent="0.3">
      <c r="B7" s="20"/>
      <c r="T7" s="21"/>
      <c r="AB7" s="105"/>
      <c r="AC7" s="104"/>
    </row>
    <row r="8" spans="1:29" x14ac:dyDescent="0.3">
      <c r="A8" s="19" t="s">
        <v>228</v>
      </c>
      <c r="B8" s="20">
        <v>44592</v>
      </c>
      <c r="C8" s="19" t="s">
        <v>46</v>
      </c>
      <c r="D8" s="19" t="s">
        <v>36</v>
      </c>
      <c r="E8" s="19" t="s">
        <v>36</v>
      </c>
      <c r="F8" s="19" t="s">
        <v>36</v>
      </c>
      <c r="G8" s="19" t="s">
        <v>37</v>
      </c>
      <c r="K8" s="19" t="s">
        <v>38</v>
      </c>
      <c r="L8" s="19" t="s">
        <v>39</v>
      </c>
      <c r="M8" s="19" t="s">
        <v>40</v>
      </c>
      <c r="N8" s="19" t="s">
        <v>41</v>
      </c>
      <c r="R8" s="19" t="s">
        <v>47</v>
      </c>
      <c r="S8" s="21">
        <v>14524.004967999999</v>
      </c>
      <c r="U8" s="19" t="s">
        <v>56</v>
      </c>
      <c r="V8" s="19">
        <v>8</v>
      </c>
      <c r="W8" s="19" t="s">
        <v>48</v>
      </c>
      <c r="X8" s="19" t="s">
        <v>229</v>
      </c>
      <c r="Y8" s="19" t="s">
        <v>230</v>
      </c>
      <c r="Z8" s="19" t="s">
        <v>44</v>
      </c>
      <c r="AB8" s="207">
        <f>(AB2-AB5)*('Lease Overview'!B4/12)</f>
        <v>14524.004968449304</v>
      </c>
      <c r="AC8" s="104" t="s">
        <v>1285</v>
      </c>
    </row>
    <row r="9" spans="1:29" x14ac:dyDescent="0.3">
      <c r="A9" s="19" t="s">
        <v>228</v>
      </c>
      <c r="B9" s="20">
        <v>44592</v>
      </c>
      <c r="C9" s="19" t="s">
        <v>46</v>
      </c>
      <c r="D9" s="19" t="s">
        <v>36</v>
      </c>
      <c r="E9" s="19" t="s">
        <v>36</v>
      </c>
      <c r="F9" s="19" t="s">
        <v>36</v>
      </c>
      <c r="G9" s="19" t="s">
        <v>37</v>
      </c>
      <c r="K9" s="19" t="s">
        <v>38</v>
      </c>
      <c r="L9" s="19" t="s">
        <v>39</v>
      </c>
      <c r="M9" s="19" t="s">
        <v>38</v>
      </c>
      <c r="N9" s="19" t="s">
        <v>41</v>
      </c>
      <c r="R9" s="19" t="s">
        <v>49</v>
      </c>
      <c r="T9" s="21">
        <v>14524.004967999999</v>
      </c>
      <c r="U9" s="19" t="s">
        <v>56</v>
      </c>
      <c r="V9" s="19">
        <v>8</v>
      </c>
      <c r="W9" s="19" t="s">
        <v>48</v>
      </c>
      <c r="X9" s="19" t="s">
        <v>231</v>
      </c>
      <c r="Y9" s="19" t="s">
        <v>230</v>
      </c>
      <c r="Z9" s="19" t="s">
        <v>44</v>
      </c>
      <c r="AB9" s="105"/>
      <c r="AC9" s="104"/>
    </row>
    <row r="10" spans="1:29" x14ac:dyDescent="0.3">
      <c r="B10" s="20"/>
      <c r="T10" s="21"/>
      <c r="AB10" s="105"/>
      <c r="AC10" s="104"/>
    </row>
    <row r="11" spans="1:29" x14ac:dyDescent="0.3">
      <c r="A11" s="19" t="s">
        <v>228</v>
      </c>
      <c r="B11" s="20">
        <v>44562</v>
      </c>
      <c r="C11" s="19" t="s">
        <v>35</v>
      </c>
      <c r="D11" s="19" t="s">
        <v>36</v>
      </c>
      <c r="E11" s="19" t="s">
        <v>36</v>
      </c>
      <c r="F11" s="19" t="s">
        <v>36</v>
      </c>
      <c r="G11" s="19" t="s">
        <v>37</v>
      </c>
      <c r="K11" s="19" t="s">
        <v>38</v>
      </c>
      <c r="L11" s="19" t="s">
        <v>39</v>
      </c>
      <c r="M11" s="19" t="s">
        <v>40</v>
      </c>
      <c r="N11" s="19" t="s">
        <v>41</v>
      </c>
      <c r="R11" s="19" t="s">
        <v>50</v>
      </c>
      <c r="S11" s="21">
        <v>42330.49</v>
      </c>
      <c r="U11" s="19" t="s">
        <v>56</v>
      </c>
      <c r="V11" s="19">
        <v>10</v>
      </c>
      <c r="W11" s="19" t="s">
        <v>51</v>
      </c>
      <c r="X11" s="19" t="s">
        <v>232</v>
      </c>
      <c r="Y11" s="19" t="s">
        <v>233</v>
      </c>
      <c r="Z11" s="19" t="s">
        <v>44</v>
      </c>
      <c r="AB11" s="207">
        <f>$AB$2/'Lease Overview'!$B$6</f>
        <v>42330.490386045632</v>
      </c>
      <c r="AC11" s="104" t="s">
        <v>1286</v>
      </c>
    </row>
    <row r="12" spans="1:29" x14ac:dyDescent="0.3">
      <c r="A12" s="19" t="s">
        <v>228</v>
      </c>
      <c r="B12" s="20">
        <v>44562</v>
      </c>
      <c r="C12" s="19" t="s">
        <v>35</v>
      </c>
      <c r="D12" s="19" t="s">
        <v>36</v>
      </c>
      <c r="E12" s="19" t="s">
        <v>36</v>
      </c>
      <c r="F12" s="19" t="s">
        <v>36</v>
      </c>
      <c r="G12" s="19" t="s">
        <v>37</v>
      </c>
      <c r="K12" s="19" t="s">
        <v>38</v>
      </c>
      <c r="L12" s="19" t="s">
        <v>39</v>
      </c>
      <c r="M12" s="19" t="s">
        <v>40</v>
      </c>
      <c r="N12" s="19" t="s">
        <v>41</v>
      </c>
      <c r="R12" s="19" t="s">
        <v>52</v>
      </c>
      <c r="T12" s="21">
        <v>42330.49</v>
      </c>
      <c r="U12" s="19" t="s">
        <v>56</v>
      </c>
      <c r="V12" s="19">
        <v>10</v>
      </c>
      <c r="W12" s="19" t="s">
        <v>51</v>
      </c>
      <c r="X12" s="19" t="s">
        <v>234</v>
      </c>
      <c r="Y12" s="19" t="s">
        <v>233</v>
      </c>
      <c r="Z12" s="19" t="s">
        <v>44</v>
      </c>
      <c r="AB12" s="105"/>
      <c r="AC12" s="104"/>
    </row>
    <row r="13" spans="1:29" x14ac:dyDescent="0.3">
      <c r="B13" s="20"/>
      <c r="T13" s="21"/>
      <c r="AB13" s="105"/>
      <c r="AC13" s="104"/>
    </row>
    <row r="14" spans="1:29" x14ac:dyDescent="0.3">
      <c r="A14" s="19" t="s">
        <v>228</v>
      </c>
      <c r="B14" s="20">
        <v>44592</v>
      </c>
      <c r="C14" s="19" t="s">
        <v>35</v>
      </c>
      <c r="D14" s="19" t="s">
        <v>36</v>
      </c>
      <c r="E14" s="19" t="s">
        <v>36</v>
      </c>
      <c r="F14" s="19" t="s">
        <v>36</v>
      </c>
      <c r="G14" s="19" t="s">
        <v>37</v>
      </c>
      <c r="K14" s="19" t="s">
        <v>38</v>
      </c>
      <c r="L14" s="19" t="s">
        <v>39</v>
      </c>
      <c r="M14" s="19" t="s">
        <v>40</v>
      </c>
      <c r="N14" s="19" t="s">
        <v>41</v>
      </c>
      <c r="R14" s="19" t="s">
        <v>45</v>
      </c>
      <c r="S14" s="21">
        <v>439639.29</v>
      </c>
      <c r="U14" s="19" t="s">
        <v>56</v>
      </c>
      <c r="V14" s="19">
        <v>11</v>
      </c>
      <c r="W14" s="19" t="s">
        <v>53</v>
      </c>
      <c r="X14" s="19" t="s">
        <v>235</v>
      </c>
      <c r="Y14" s="19" t="s">
        <v>236</v>
      </c>
      <c r="Z14" s="19" t="s">
        <v>44</v>
      </c>
      <c r="AB14" s="207">
        <f>SUM('Accounting (Accounting Wb)'!P4:P15)</f>
        <v>439639.29416500009</v>
      </c>
      <c r="AC14" s="104" t="s">
        <v>1287</v>
      </c>
    </row>
    <row r="15" spans="1:29" x14ac:dyDescent="0.3">
      <c r="A15" s="19" t="s">
        <v>228</v>
      </c>
      <c r="B15" s="20">
        <v>44592</v>
      </c>
      <c r="C15" s="19" t="s">
        <v>35</v>
      </c>
      <c r="D15" s="19" t="s">
        <v>36</v>
      </c>
      <c r="E15" s="19" t="s">
        <v>36</v>
      </c>
      <c r="F15" s="19" t="s">
        <v>36</v>
      </c>
      <c r="G15" s="19" t="s">
        <v>37</v>
      </c>
      <c r="K15" s="19" t="s">
        <v>38</v>
      </c>
      <c r="L15" s="19" t="s">
        <v>39</v>
      </c>
      <c r="M15" s="19" t="s">
        <v>40</v>
      </c>
      <c r="N15" s="19" t="s">
        <v>41</v>
      </c>
      <c r="R15" s="19" t="s">
        <v>54</v>
      </c>
      <c r="T15" s="21">
        <v>439639.29</v>
      </c>
      <c r="U15" s="19" t="s">
        <v>56</v>
      </c>
      <c r="V15" s="19">
        <v>11</v>
      </c>
      <c r="W15" s="19" t="s">
        <v>53</v>
      </c>
      <c r="X15" s="19" t="s">
        <v>237</v>
      </c>
      <c r="Y15" s="19" t="s">
        <v>236</v>
      </c>
      <c r="Z15" s="19" t="s">
        <v>44</v>
      </c>
      <c r="AB15" s="105"/>
      <c r="AC15" s="104"/>
    </row>
    <row r="16" spans="1:29" x14ac:dyDescent="0.3">
      <c r="B16" s="20"/>
      <c r="T16" s="21"/>
      <c r="AB16" s="105"/>
      <c r="AC16" s="104"/>
    </row>
    <row r="17" spans="1:29" s="101" customFormat="1" x14ac:dyDescent="0.3">
      <c r="B17" s="102"/>
      <c r="T17" s="103"/>
      <c r="AB17" s="119"/>
      <c r="AC17" s="104"/>
    </row>
    <row r="18" spans="1:29" x14ac:dyDescent="0.3">
      <c r="B18" s="20"/>
      <c r="T18" s="21"/>
      <c r="AC18" s="104"/>
    </row>
    <row r="19" spans="1:29" x14ac:dyDescent="0.3">
      <c r="A19" s="19" t="s">
        <v>238</v>
      </c>
      <c r="B19" s="20">
        <v>44593</v>
      </c>
      <c r="C19" s="19" t="s">
        <v>35</v>
      </c>
      <c r="D19" s="19" t="s">
        <v>36</v>
      </c>
      <c r="E19" s="19" t="s">
        <v>36</v>
      </c>
      <c r="F19" s="19" t="s">
        <v>36</v>
      </c>
      <c r="G19" s="19" t="s">
        <v>37</v>
      </c>
      <c r="K19" s="19" t="s">
        <v>38</v>
      </c>
      <c r="L19" s="19" t="s">
        <v>39</v>
      </c>
      <c r="M19" s="19" t="s">
        <v>40</v>
      </c>
      <c r="N19" s="19" t="s">
        <v>41</v>
      </c>
      <c r="R19" s="19" t="s">
        <v>54</v>
      </c>
      <c r="S19" s="21">
        <v>439639.29</v>
      </c>
      <c r="U19" s="19" t="s">
        <v>56</v>
      </c>
      <c r="V19" s="19">
        <v>11</v>
      </c>
      <c r="W19" s="19" t="s">
        <v>55</v>
      </c>
      <c r="X19" s="19" t="s">
        <v>239</v>
      </c>
      <c r="Y19" s="19" t="s">
        <v>240</v>
      </c>
      <c r="Z19" s="19" t="s">
        <v>44</v>
      </c>
      <c r="AB19" s="104" t="s">
        <v>1591</v>
      </c>
      <c r="AC19" s="104"/>
    </row>
    <row r="20" spans="1:29" x14ac:dyDescent="0.3">
      <c r="A20" s="19" t="s">
        <v>238</v>
      </c>
      <c r="B20" s="20">
        <v>44593</v>
      </c>
      <c r="C20" s="19" t="s">
        <v>35</v>
      </c>
      <c r="D20" s="19" t="s">
        <v>36</v>
      </c>
      <c r="E20" s="19" t="s">
        <v>36</v>
      </c>
      <c r="F20" s="19" t="s">
        <v>36</v>
      </c>
      <c r="G20" s="19" t="s">
        <v>37</v>
      </c>
      <c r="K20" s="19" t="s">
        <v>38</v>
      </c>
      <c r="L20" s="19" t="s">
        <v>39</v>
      </c>
      <c r="M20" s="19" t="s">
        <v>40</v>
      </c>
      <c r="N20" s="19" t="s">
        <v>41</v>
      </c>
      <c r="R20" s="19" t="s">
        <v>45</v>
      </c>
      <c r="T20" s="21">
        <v>439639.29</v>
      </c>
      <c r="U20" s="19" t="s">
        <v>56</v>
      </c>
      <c r="V20" s="19">
        <v>11</v>
      </c>
      <c r="W20" s="19" t="s">
        <v>55</v>
      </c>
      <c r="X20" s="19" t="s">
        <v>241</v>
      </c>
      <c r="Y20" s="19" t="s">
        <v>240</v>
      </c>
      <c r="Z20" s="19" t="s">
        <v>44</v>
      </c>
      <c r="AB20" s="104"/>
      <c r="AC20" s="104"/>
    </row>
    <row r="21" spans="1:29" x14ac:dyDescent="0.3">
      <c r="B21" s="20"/>
      <c r="T21" s="21"/>
      <c r="AB21" s="104"/>
      <c r="AC21" s="104"/>
    </row>
    <row r="22" spans="1:29" x14ac:dyDescent="0.3">
      <c r="A22" s="19" t="s">
        <v>238</v>
      </c>
      <c r="B22" s="20">
        <v>44620</v>
      </c>
      <c r="C22" s="19" t="s">
        <v>46</v>
      </c>
      <c r="D22" s="19" t="s">
        <v>36</v>
      </c>
      <c r="E22" s="19" t="s">
        <v>36</v>
      </c>
      <c r="F22" s="19" t="s">
        <v>36</v>
      </c>
      <c r="G22" s="19" t="s">
        <v>37</v>
      </c>
      <c r="K22" s="19" t="s">
        <v>38</v>
      </c>
      <c r="L22" s="19" t="s">
        <v>39</v>
      </c>
      <c r="M22" s="19" t="s">
        <v>38</v>
      </c>
      <c r="N22" s="19" t="s">
        <v>41</v>
      </c>
      <c r="R22" s="19" t="s">
        <v>49</v>
      </c>
      <c r="S22" s="21">
        <v>14524.004967999999</v>
      </c>
      <c r="U22" s="19" t="s">
        <v>56</v>
      </c>
      <c r="V22" s="19">
        <v>12</v>
      </c>
      <c r="W22" s="19" t="s">
        <v>57</v>
      </c>
      <c r="X22" s="19" t="s">
        <v>242</v>
      </c>
      <c r="Y22" s="19" t="s">
        <v>243</v>
      </c>
      <c r="Z22" s="19" t="s">
        <v>44</v>
      </c>
      <c r="AB22" s="207">
        <f>AB8</f>
        <v>14524.004968449304</v>
      </c>
      <c r="AC22" s="104" t="s">
        <v>1288</v>
      </c>
    </row>
    <row r="23" spans="1:29" x14ac:dyDescent="0.3">
      <c r="A23" s="19" t="s">
        <v>238</v>
      </c>
      <c r="B23" s="20">
        <v>44620</v>
      </c>
      <c r="C23" s="19" t="s">
        <v>46</v>
      </c>
      <c r="D23" s="19" t="s">
        <v>36</v>
      </c>
      <c r="E23" s="19" t="s">
        <v>36</v>
      </c>
      <c r="F23" s="19" t="s">
        <v>36</v>
      </c>
      <c r="G23" s="19" t="s">
        <v>37</v>
      </c>
      <c r="K23" s="19" t="s">
        <v>38</v>
      </c>
      <c r="L23" s="19" t="s">
        <v>39</v>
      </c>
      <c r="M23" s="19" t="s">
        <v>40</v>
      </c>
      <c r="N23" s="19" t="s">
        <v>41</v>
      </c>
      <c r="R23" s="19" t="s">
        <v>45</v>
      </c>
      <c r="S23" s="21">
        <v>35475.995031999999</v>
      </c>
      <c r="U23" s="19" t="s">
        <v>56</v>
      </c>
      <c r="V23" s="19">
        <v>12</v>
      </c>
      <c r="W23" s="19" t="s">
        <v>57</v>
      </c>
      <c r="X23" s="19" t="s">
        <v>244</v>
      </c>
      <c r="Y23" s="19" t="s">
        <v>243</v>
      </c>
      <c r="Z23" s="19" t="s">
        <v>44</v>
      </c>
      <c r="AB23" s="207">
        <f>AB24-AB22</f>
        <v>35475.995031550694</v>
      </c>
      <c r="AC23" s="104" t="s">
        <v>1289</v>
      </c>
    </row>
    <row r="24" spans="1:29" x14ac:dyDescent="0.3">
      <c r="A24" s="19" t="s">
        <v>238</v>
      </c>
      <c r="B24" s="20">
        <v>44620</v>
      </c>
      <c r="C24" s="19" t="s">
        <v>46</v>
      </c>
      <c r="D24" s="19" t="s">
        <v>36</v>
      </c>
      <c r="E24" s="19" t="s">
        <v>36</v>
      </c>
      <c r="F24" s="19" t="s">
        <v>36</v>
      </c>
      <c r="G24" s="19" t="s">
        <v>37</v>
      </c>
      <c r="K24" s="19" t="s">
        <v>38</v>
      </c>
      <c r="L24" s="19" t="s">
        <v>39</v>
      </c>
      <c r="M24" s="19" t="s">
        <v>40</v>
      </c>
      <c r="N24" s="19" t="s">
        <v>41</v>
      </c>
      <c r="R24" s="19" t="s">
        <v>58</v>
      </c>
      <c r="T24" s="21">
        <v>50000</v>
      </c>
      <c r="U24" s="19" t="s">
        <v>56</v>
      </c>
      <c r="V24" s="19">
        <v>12</v>
      </c>
      <c r="W24" s="19" t="s">
        <v>57</v>
      </c>
      <c r="X24" s="19" t="s">
        <v>245</v>
      </c>
      <c r="Y24" s="19" t="s">
        <v>243</v>
      </c>
      <c r="Z24" s="19" t="s">
        <v>44</v>
      </c>
      <c r="AB24" s="207">
        <f>-'Accounting (Accounting Wb)'!W4</f>
        <v>50000</v>
      </c>
      <c r="AC24" s="104" t="s">
        <v>57</v>
      </c>
    </row>
    <row r="25" spans="1:29" x14ac:dyDescent="0.3">
      <c r="B25" s="20"/>
      <c r="T25" s="21"/>
      <c r="AB25" s="106"/>
      <c r="AC25" s="104"/>
    </row>
    <row r="26" spans="1:29" x14ac:dyDescent="0.3">
      <c r="A26" s="19" t="s">
        <v>246</v>
      </c>
      <c r="B26" s="20">
        <v>44620</v>
      </c>
      <c r="C26" s="19" t="s">
        <v>46</v>
      </c>
      <c r="D26" s="19" t="s">
        <v>36</v>
      </c>
      <c r="E26" s="19" t="s">
        <v>36</v>
      </c>
      <c r="F26" s="19" t="s">
        <v>36</v>
      </c>
      <c r="G26" s="19" t="s">
        <v>37</v>
      </c>
      <c r="K26" s="19" t="s">
        <v>38</v>
      </c>
      <c r="L26" s="19" t="s">
        <v>39</v>
      </c>
      <c r="M26" s="19" t="s">
        <v>40</v>
      </c>
      <c r="N26" s="19" t="s">
        <v>41</v>
      </c>
      <c r="R26" s="19" t="s">
        <v>47</v>
      </c>
      <c r="S26" s="21">
        <v>14317.061664000001</v>
      </c>
      <c r="U26" s="19" t="s">
        <v>56</v>
      </c>
      <c r="V26" s="19">
        <v>8</v>
      </c>
      <c r="W26" s="19" t="s">
        <v>48</v>
      </c>
      <c r="X26" s="19" t="s">
        <v>247</v>
      </c>
      <c r="Y26" s="19" t="s">
        <v>248</v>
      </c>
      <c r="Z26" s="19" t="s">
        <v>44</v>
      </c>
      <c r="AB26" s="104"/>
      <c r="AC26" s="104"/>
    </row>
    <row r="27" spans="1:29" x14ac:dyDescent="0.3">
      <c r="A27" s="19" t="s">
        <v>246</v>
      </c>
      <c r="B27" s="20">
        <v>44620</v>
      </c>
      <c r="C27" s="19" t="s">
        <v>46</v>
      </c>
      <c r="D27" s="19" t="s">
        <v>36</v>
      </c>
      <c r="E27" s="19" t="s">
        <v>36</v>
      </c>
      <c r="F27" s="19" t="s">
        <v>36</v>
      </c>
      <c r="G27" s="19" t="s">
        <v>37</v>
      </c>
      <c r="K27" s="19" t="s">
        <v>38</v>
      </c>
      <c r="L27" s="19" t="s">
        <v>39</v>
      </c>
      <c r="M27" s="19" t="s">
        <v>38</v>
      </c>
      <c r="N27" s="19" t="s">
        <v>41</v>
      </c>
      <c r="R27" s="19" t="s">
        <v>49</v>
      </c>
      <c r="T27" s="21">
        <v>14317.061664000001</v>
      </c>
      <c r="U27" s="19" t="s">
        <v>56</v>
      </c>
      <c r="V27" s="19">
        <v>8</v>
      </c>
      <c r="W27" s="19" t="s">
        <v>48</v>
      </c>
      <c r="X27" s="19" t="s">
        <v>249</v>
      </c>
      <c r="Y27" s="19" t="s">
        <v>248</v>
      </c>
      <c r="Z27" s="19" t="s">
        <v>44</v>
      </c>
      <c r="AB27" s="207">
        <f>(AB2-AB5-AB23)*('Lease Overview'!B4/12)</f>
        <v>14317.061664098594</v>
      </c>
      <c r="AC27" s="104" t="s">
        <v>1285</v>
      </c>
    </row>
    <row r="28" spans="1:29" x14ac:dyDescent="0.3">
      <c r="B28" s="20"/>
      <c r="T28" s="21"/>
      <c r="AB28" s="107"/>
      <c r="AC28" s="104"/>
    </row>
    <row r="29" spans="1:29" x14ac:dyDescent="0.3">
      <c r="A29" s="19" t="s">
        <v>246</v>
      </c>
      <c r="B29" s="20">
        <v>44562</v>
      </c>
      <c r="C29" s="19" t="s">
        <v>35</v>
      </c>
      <c r="D29" s="19" t="s">
        <v>36</v>
      </c>
      <c r="E29" s="19" t="s">
        <v>36</v>
      </c>
      <c r="F29" s="19" t="s">
        <v>36</v>
      </c>
      <c r="G29" s="19" t="s">
        <v>37</v>
      </c>
      <c r="K29" s="19" t="s">
        <v>38</v>
      </c>
      <c r="L29" s="19" t="s">
        <v>39</v>
      </c>
      <c r="M29" s="19" t="s">
        <v>40</v>
      </c>
      <c r="N29" s="19" t="s">
        <v>41</v>
      </c>
      <c r="R29" s="19" t="s">
        <v>50</v>
      </c>
      <c r="S29" s="21">
        <v>42330.49</v>
      </c>
      <c r="U29" s="19" t="s">
        <v>56</v>
      </c>
      <c r="V29" s="19">
        <v>10</v>
      </c>
      <c r="W29" s="19" t="s">
        <v>51</v>
      </c>
      <c r="X29" s="19" t="s">
        <v>250</v>
      </c>
      <c r="Y29" s="19" t="s">
        <v>251</v>
      </c>
      <c r="Z29" s="19" t="s">
        <v>44</v>
      </c>
      <c r="AB29" s="104"/>
      <c r="AC29" s="104"/>
    </row>
    <row r="30" spans="1:29" x14ac:dyDescent="0.3">
      <c r="A30" s="19" t="s">
        <v>246</v>
      </c>
      <c r="B30" s="20">
        <v>44562</v>
      </c>
      <c r="C30" s="19" t="s">
        <v>35</v>
      </c>
      <c r="D30" s="19" t="s">
        <v>36</v>
      </c>
      <c r="E30" s="19" t="s">
        <v>36</v>
      </c>
      <c r="F30" s="19" t="s">
        <v>36</v>
      </c>
      <c r="G30" s="19" t="s">
        <v>37</v>
      </c>
      <c r="K30" s="19" t="s">
        <v>38</v>
      </c>
      <c r="L30" s="19" t="s">
        <v>39</v>
      </c>
      <c r="M30" s="19" t="s">
        <v>40</v>
      </c>
      <c r="N30" s="19" t="s">
        <v>41</v>
      </c>
      <c r="R30" s="19" t="s">
        <v>52</v>
      </c>
      <c r="T30" s="21">
        <v>42330.49</v>
      </c>
      <c r="U30" s="19" t="s">
        <v>56</v>
      </c>
      <c r="V30" s="19">
        <v>10</v>
      </c>
      <c r="W30" s="19" t="s">
        <v>51</v>
      </c>
      <c r="X30" s="19" t="s">
        <v>252</v>
      </c>
      <c r="Y30" s="19" t="s">
        <v>251</v>
      </c>
      <c r="Z30" s="19" t="s">
        <v>44</v>
      </c>
      <c r="AB30" s="207">
        <f>$AB$2/'Lease Overview'!$B$6</f>
        <v>42330.490386045632</v>
      </c>
      <c r="AC30" s="104" t="s">
        <v>1286</v>
      </c>
    </row>
    <row r="31" spans="1:29" x14ac:dyDescent="0.3">
      <c r="B31" s="20"/>
      <c r="T31" s="21"/>
      <c r="AB31" s="105"/>
      <c r="AC31" s="104"/>
    </row>
    <row r="32" spans="1:29" x14ac:dyDescent="0.3">
      <c r="A32" s="19" t="s">
        <v>246</v>
      </c>
      <c r="B32" s="20">
        <v>44620</v>
      </c>
      <c r="C32" s="19" t="s">
        <v>35</v>
      </c>
      <c r="D32" s="19" t="s">
        <v>36</v>
      </c>
      <c r="E32" s="19" t="s">
        <v>36</v>
      </c>
      <c r="F32" s="19" t="s">
        <v>36</v>
      </c>
      <c r="G32" s="19" t="s">
        <v>37</v>
      </c>
      <c r="K32" s="19" t="s">
        <v>38</v>
      </c>
      <c r="L32" s="19" t="s">
        <v>39</v>
      </c>
      <c r="M32" s="19" t="s">
        <v>40</v>
      </c>
      <c r="N32" s="19" t="s">
        <v>41</v>
      </c>
      <c r="R32" s="19" t="s">
        <v>45</v>
      </c>
      <c r="S32" s="21">
        <v>442203.86</v>
      </c>
      <c r="U32" s="19" t="s">
        <v>56</v>
      </c>
      <c r="V32" s="19">
        <v>11</v>
      </c>
      <c r="W32" s="19" t="s">
        <v>53</v>
      </c>
      <c r="X32" s="19" t="s">
        <v>253</v>
      </c>
      <c r="Y32" s="19" t="s">
        <v>254</v>
      </c>
      <c r="Z32" s="19" t="s">
        <v>44</v>
      </c>
      <c r="AB32" s="105"/>
      <c r="AC32" s="104"/>
    </row>
    <row r="33" spans="1:29" x14ac:dyDescent="0.3">
      <c r="A33" s="19" t="s">
        <v>246</v>
      </c>
      <c r="B33" s="20">
        <v>44620</v>
      </c>
      <c r="C33" s="19" t="s">
        <v>35</v>
      </c>
      <c r="D33" s="19" t="s">
        <v>36</v>
      </c>
      <c r="E33" s="19" t="s">
        <v>36</v>
      </c>
      <c r="F33" s="19" t="s">
        <v>36</v>
      </c>
      <c r="G33" s="19" t="s">
        <v>37</v>
      </c>
      <c r="K33" s="19" t="s">
        <v>38</v>
      </c>
      <c r="L33" s="19" t="s">
        <v>39</v>
      </c>
      <c r="M33" s="19" t="s">
        <v>40</v>
      </c>
      <c r="N33" s="19" t="s">
        <v>41</v>
      </c>
      <c r="R33" s="19" t="s">
        <v>54</v>
      </c>
      <c r="T33" s="21">
        <v>442203.86</v>
      </c>
      <c r="U33" s="19" t="s">
        <v>56</v>
      </c>
      <c r="V33" s="19">
        <v>11</v>
      </c>
      <c r="W33" s="19" t="s">
        <v>53</v>
      </c>
      <c r="X33" s="19" t="s">
        <v>255</v>
      </c>
      <c r="Y33" s="19" t="s">
        <v>254</v>
      </c>
      <c r="Z33" s="19" t="s">
        <v>44</v>
      </c>
      <c r="AB33" s="207">
        <f>SUM('Accounting (Accounting Wb)'!P5:P16)</f>
        <v>442203.85671399999</v>
      </c>
      <c r="AC33" s="104" t="s">
        <v>1287</v>
      </c>
    </row>
    <row r="34" spans="1:29" x14ac:dyDescent="0.3">
      <c r="B34" s="20"/>
      <c r="T34" s="21"/>
      <c r="AB34" s="105"/>
      <c r="AC34" s="104"/>
    </row>
    <row r="35" spans="1:29" s="101" customFormat="1" x14ac:dyDescent="0.3">
      <c r="B35" s="102"/>
      <c r="T35" s="103"/>
      <c r="AB35" s="105"/>
      <c r="AC35" s="104"/>
    </row>
    <row r="36" spans="1:29" x14ac:dyDescent="0.3">
      <c r="A36" s="19" t="s">
        <v>256</v>
      </c>
      <c r="B36" s="20">
        <v>44621</v>
      </c>
      <c r="C36" s="19" t="s">
        <v>35</v>
      </c>
      <c r="D36" s="19" t="s">
        <v>36</v>
      </c>
      <c r="E36" s="19" t="s">
        <v>36</v>
      </c>
      <c r="F36" s="19" t="s">
        <v>36</v>
      </c>
      <c r="G36" s="19" t="s">
        <v>37</v>
      </c>
      <c r="K36" s="19" t="s">
        <v>38</v>
      </c>
      <c r="L36" s="19" t="s">
        <v>39</v>
      </c>
      <c r="M36" s="19" t="s">
        <v>40</v>
      </c>
      <c r="N36" s="19" t="s">
        <v>41</v>
      </c>
      <c r="R36" s="19" t="s">
        <v>54</v>
      </c>
      <c r="S36" s="21">
        <v>442203.86</v>
      </c>
      <c r="U36" s="19" t="s">
        <v>56</v>
      </c>
      <c r="V36" s="19">
        <v>11</v>
      </c>
      <c r="W36" s="19" t="s">
        <v>55</v>
      </c>
      <c r="X36" s="19" t="s">
        <v>257</v>
      </c>
      <c r="Y36" s="19" t="s">
        <v>258</v>
      </c>
      <c r="Z36" s="19" t="s">
        <v>44</v>
      </c>
      <c r="AC36" s="104"/>
    </row>
    <row r="37" spans="1:29" x14ac:dyDescent="0.3">
      <c r="A37" s="19" t="s">
        <v>256</v>
      </c>
      <c r="B37" s="20">
        <v>44621</v>
      </c>
      <c r="C37" s="19" t="s">
        <v>35</v>
      </c>
      <c r="D37" s="19" t="s">
        <v>36</v>
      </c>
      <c r="E37" s="19" t="s">
        <v>36</v>
      </c>
      <c r="F37" s="19" t="s">
        <v>36</v>
      </c>
      <c r="G37" s="19" t="s">
        <v>37</v>
      </c>
      <c r="K37" s="19" t="s">
        <v>38</v>
      </c>
      <c r="L37" s="19" t="s">
        <v>39</v>
      </c>
      <c r="M37" s="19" t="s">
        <v>40</v>
      </c>
      <c r="N37" s="19" t="s">
        <v>41</v>
      </c>
      <c r="R37" s="19" t="s">
        <v>45</v>
      </c>
      <c r="T37" s="21">
        <v>442203.86</v>
      </c>
      <c r="U37" s="19" t="s">
        <v>56</v>
      </c>
      <c r="V37" s="19">
        <v>11</v>
      </c>
      <c r="W37" s="19" t="s">
        <v>55</v>
      </c>
      <c r="X37" s="19" t="s">
        <v>259</v>
      </c>
      <c r="Y37" s="19" t="s">
        <v>258</v>
      </c>
      <c r="Z37" s="19" t="s">
        <v>44</v>
      </c>
      <c r="AC37" s="104"/>
    </row>
    <row r="38" spans="1:29" x14ac:dyDescent="0.3">
      <c r="A38" s="19" t="s">
        <v>256</v>
      </c>
      <c r="B38" s="20">
        <v>44651</v>
      </c>
      <c r="C38" s="19" t="s">
        <v>46</v>
      </c>
      <c r="D38" s="19" t="s">
        <v>36</v>
      </c>
      <c r="E38" s="19" t="s">
        <v>36</v>
      </c>
      <c r="F38" s="19" t="s">
        <v>36</v>
      </c>
      <c r="G38" s="19" t="s">
        <v>37</v>
      </c>
      <c r="K38" s="19" t="s">
        <v>38</v>
      </c>
      <c r="L38" s="19" t="s">
        <v>39</v>
      </c>
      <c r="M38" s="19" t="s">
        <v>38</v>
      </c>
      <c r="N38" s="19" t="s">
        <v>41</v>
      </c>
      <c r="R38" s="19" t="s">
        <v>49</v>
      </c>
      <c r="S38" s="21">
        <v>14317.061664000001</v>
      </c>
      <c r="U38" s="19" t="s">
        <v>56</v>
      </c>
      <c r="V38" s="19">
        <v>12</v>
      </c>
      <c r="W38" s="19" t="s">
        <v>57</v>
      </c>
      <c r="X38" s="19" t="s">
        <v>260</v>
      </c>
      <c r="Y38" s="19" t="s">
        <v>261</v>
      </c>
      <c r="Z38" s="19" t="s">
        <v>44</v>
      </c>
      <c r="AC38" s="104"/>
    </row>
    <row r="39" spans="1:29" x14ac:dyDescent="0.3">
      <c r="A39" s="19" t="s">
        <v>256</v>
      </c>
      <c r="B39" s="20">
        <v>44651</v>
      </c>
      <c r="C39" s="19" t="s">
        <v>46</v>
      </c>
      <c r="D39" s="19" t="s">
        <v>36</v>
      </c>
      <c r="E39" s="19" t="s">
        <v>36</v>
      </c>
      <c r="F39" s="19" t="s">
        <v>36</v>
      </c>
      <c r="G39" s="19" t="s">
        <v>37</v>
      </c>
      <c r="K39" s="19" t="s">
        <v>38</v>
      </c>
      <c r="L39" s="19" t="s">
        <v>39</v>
      </c>
      <c r="M39" s="19" t="s">
        <v>40</v>
      </c>
      <c r="N39" s="19" t="s">
        <v>41</v>
      </c>
      <c r="R39" s="19" t="s">
        <v>45</v>
      </c>
      <c r="S39" s="21">
        <v>35682.938335999999</v>
      </c>
      <c r="U39" s="19" t="s">
        <v>56</v>
      </c>
      <c r="V39" s="19">
        <v>12</v>
      </c>
      <c r="W39" s="19" t="s">
        <v>57</v>
      </c>
      <c r="X39" s="19" t="s">
        <v>262</v>
      </c>
      <c r="Y39" s="19" t="s">
        <v>261</v>
      </c>
      <c r="Z39" s="19" t="s">
        <v>44</v>
      </c>
      <c r="AC39" s="104"/>
    </row>
    <row r="40" spans="1:29" x14ac:dyDescent="0.3">
      <c r="A40" s="19" t="s">
        <v>256</v>
      </c>
      <c r="B40" s="20">
        <v>44651</v>
      </c>
      <c r="C40" s="19" t="s">
        <v>46</v>
      </c>
      <c r="D40" s="19" t="s">
        <v>36</v>
      </c>
      <c r="E40" s="19" t="s">
        <v>36</v>
      </c>
      <c r="F40" s="19" t="s">
        <v>36</v>
      </c>
      <c r="G40" s="19" t="s">
        <v>37</v>
      </c>
      <c r="K40" s="19" t="s">
        <v>38</v>
      </c>
      <c r="L40" s="19" t="s">
        <v>39</v>
      </c>
      <c r="M40" s="19" t="s">
        <v>40</v>
      </c>
      <c r="N40" s="19" t="s">
        <v>41</v>
      </c>
      <c r="R40" s="19" t="s">
        <v>58</v>
      </c>
      <c r="T40" s="21">
        <v>50000</v>
      </c>
      <c r="U40" s="19" t="s">
        <v>56</v>
      </c>
      <c r="V40" s="19">
        <v>12</v>
      </c>
      <c r="W40" s="19" t="s">
        <v>57</v>
      </c>
      <c r="X40" s="19" t="s">
        <v>263</v>
      </c>
      <c r="Y40" s="19" t="s">
        <v>261</v>
      </c>
      <c r="Z40" s="19" t="s">
        <v>44</v>
      </c>
      <c r="AC40" s="104"/>
    </row>
    <row r="41" spans="1:29" x14ac:dyDescent="0.3">
      <c r="A41" s="19" t="s">
        <v>264</v>
      </c>
      <c r="B41" s="20">
        <v>44651</v>
      </c>
      <c r="C41" s="19" t="s">
        <v>46</v>
      </c>
      <c r="D41" s="19" t="s">
        <v>36</v>
      </c>
      <c r="E41" s="19" t="s">
        <v>36</v>
      </c>
      <c r="F41" s="19" t="s">
        <v>36</v>
      </c>
      <c r="G41" s="19" t="s">
        <v>37</v>
      </c>
      <c r="K41" s="19" t="s">
        <v>38</v>
      </c>
      <c r="L41" s="19" t="s">
        <v>39</v>
      </c>
      <c r="M41" s="19" t="s">
        <v>40</v>
      </c>
      <c r="N41" s="19" t="s">
        <v>41</v>
      </c>
      <c r="R41" s="19" t="s">
        <v>47</v>
      </c>
      <c r="S41" s="21">
        <v>14108.911190000001</v>
      </c>
      <c r="U41" s="19" t="s">
        <v>56</v>
      </c>
      <c r="V41" s="19">
        <v>8</v>
      </c>
      <c r="W41" s="19" t="s">
        <v>48</v>
      </c>
      <c r="X41" s="19" t="s">
        <v>265</v>
      </c>
      <c r="Y41" s="19" t="s">
        <v>266</v>
      </c>
      <c r="Z41" s="19" t="s">
        <v>44</v>
      </c>
    </row>
    <row r="42" spans="1:29" x14ac:dyDescent="0.3">
      <c r="A42" s="19" t="s">
        <v>264</v>
      </c>
      <c r="B42" s="20">
        <v>44651</v>
      </c>
      <c r="C42" s="19" t="s">
        <v>46</v>
      </c>
      <c r="D42" s="19" t="s">
        <v>36</v>
      </c>
      <c r="E42" s="19" t="s">
        <v>36</v>
      </c>
      <c r="F42" s="19" t="s">
        <v>36</v>
      </c>
      <c r="G42" s="19" t="s">
        <v>37</v>
      </c>
      <c r="K42" s="19" t="s">
        <v>38</v>
      </c>
      <c r="L42" s="19" t="s">
        <v>39</v>
      </c>
      <c r="M42" s="19" t="s">
        <v>38</v>
      </c>
      <c r="N42" s="19" t="s">
        <v>41</v>
      </c>
      <c r="R42" s="19" t="s">
        <v>49</v>
      </c>
      <c r="T42" s="21">
        <v>14108.911190000001</v>
      </c>
      <c r="U42" s="19" t="s">
        <v>56</v>
      </c>
      <c r="V42" s="19">
        <v>8</v>
      </c>
      <c r="W42" s="19" t="s">
        <v>48</v>
      </c>
      <c r="X42" s="19" t="s">
        <v>267</v>
      </c>
      <c r="Y42" s="19" t="s">
        <v>266</v>
      </c>
      <c r="Z42" s="19" t="s">
        <v>44</v>
      </c>
    </row>
    <row r="43" spans="1:29" x14ac:dyDescent="0.3">
      <c r="A43" s="19" t="s">
        <v>264</v>
      </c>
      <c r="B43" s="20">
        <v>44562</v>
      </c>
      <c r="C43" s="19" t="s">
        <v>35</v>
      </c>
      <c r="D43" s="19" t="s">
        <v>36</v>
      </c>
      <c r="E43" s="19" t="s">
        <v>36</v>
      </c>
      <c r="F43" s="19" t="s">
        <v>36</v>
      </c>
      <c r="G43" s="19" t="s">
        <v>37</v>
      </c>
      <c r="K43" s="19" t="s">
        <v>38</v>
      </c>
      <c r="L43" s="19" t="s">
        <v>39</v>
      </c>
      <c r="M43" s="19" t="s">
        <v>40</v>
      </c>
      <c r="N43" s="19" t="s">
        <v>41</v>
      </c>
      <c r="R43" s="19" t="s">
        <v>50</v>
      </c>
      <c r="S43" s="21">
        <v>42330.49</v>
      </c>
      <c r="U43" s="19" t="s">
        <v>56</v>
      </c>
      <c r="V43" s="19">
        <v>10</v>
      </c>
      <c r="W43" s="19" t="s">
        <v>51</v>
      </c>
      <c r="X43" s="19" t="s">
        <v>268</v>
      </c>
      <c r="Y43" s="19" t="s">
        <v>269</v>
      </c>
      <c r="Z43" s="19" t="s">
        <v>44</v>
      </c>
    </row>
    <row r="44" spans="1:29" x14ac:dyDescent="0.3">
      <c r="A44" s="19" t="s">
        <v>264</v>
      </c>
      <c r="B44" s="20">
        <v>44562</v>
      </c>
      <c r="C44" s="19" t="s">
        <v>35</v>
      </c>
      <c r="D44" s="19" t="s">
        <v>36</v>
      </c>
      <c r="E44" s="19" t="s">
        <v>36</v>
      </c>
      <c r="F44" s="19" t="s">
        <v>36</v>
      </c>
      <c r="G44" s="19" t="s">
        <v>37</v>
      </c>
      <c r="K44" s="19" t="s">
        <v>38</v>
      </c>
      <c r="L44" s="19" t="s">
        <v>39</v>
      </c>
      <c r="M44" s="19" t="s">
        <v>40</v>
      </c>
      <c r="N44" s="19" t="s">
        <v>41</v>
      </c>
      <c r="R44" s="19" t="s">
        <v>52</v>
      </c>
      <c r="T44" s="21">
        <v>42330.49</v>
      </c>
      <c r="U44" s="19" t="s">
        <v>56</v>
      </c>
      <c r="V44" s="19">
        <v>10</v>
      </c>
      <c r="W44" s="19" t="s">
        <v>51</v>
      </c>
      <c r="X44" s="19" t="s">
        <v>270</v>
      </c>
      <c r="Y44" s="19" t="s">
        <v>269</v>
      </c>
      <c r="Z44" s="19" t="s">
        <v>44</v>
      </c>
    </row>
    <row r="45" spans="1:29" x14ac:dyDescent="0.3">
      <c r="A45" s="19" t="s">
        <v>264</v>
      </c>
      <c r="B45" s="20">
        <v>44651</v>
      </c>
      <c r="C45" s="19" t="s">
        <v>35</v>
      </c>
      <c r="D45" s="19" t="s">
        <v>36</v>
      </c>
      <c r="E45" s="19" t="s">
        <v>36</v>
      </c>
      <c r="F45" s="19" t="s">
        <v>36</v>
      </c>
      <c r="G45" s="19" t="s">
        <v>37</v>
      </c>
      <c r="K45" s="19" t="s">
        <v>38</v>
      </c>
      <c r="L45" s="19" t="s">
        <v>39</v>
      </c>
      <c r="M45" s="19" t="s">
        <v>40</v>
      </c>
      <c r="N45" s="19" t="s">
        <v>41</v>
      </c>
      <c r="R45" s="19" t="s">
        <v>45</v>
      </c>
      <c r="S45" s="21">
        <v>444783.38</v>
      </c>
      <c r="U45" s="19" t="s">
        <v>56</v>
      </c>
      <c r="V45" s="19">
        <v>11</v>
      </c>
      <c r="W45" s="19" t="s">
        <v>53</v>
      </c>
      <c r="X45" s="19" t="s">
        <v>271</v>
      </c>
      <c r="Y45" s="19" t="s">
        <v>272</v>
      </c>
      <c r="Z45" s="19" t="s">
        <v>44</v>
      </c>
    </row>
    <row r="46" spans="1:29" x14ac:dyDescent="0.3">
      <c r="A46" s="19" t="s">
        <v>264</v>
      </c>
      <c r="B46" s="20">
        <v>44651</v>
      </c>
      <c r="C46" s="19" t="s">
        <v>35</v>
      </c>
      <c r="D46" s="19" t="s">
        <v>36</v>
      </c>
      <c r="E46" s="19" t="s">
        <v>36</v>
      </c>
      <c r="F46" s="19" t="s">
        <v>36</v>
      </c>
      <c r="G46" s="19" t="s">
        <v>37</v>
      </c>
      <c r="K46" s="19" t="s">
        <v>38</v>
      </c>
      <c r="L46" s="19" t="s">
        <v>39</v>
      </c>
      <c r="M46" s="19" t="s">
        <v>40</v>
      </c>
      <c r="N46" s="19" t="s">
        <v>41</v>
      </c>
      <c r="R46" s="19" t="s">
        <v>54</v>
      </c>
      <c r="T46" s="21">
        <v>444783.38</v>
      </c>
      <c r="U46" s="19" t="s">
        <v>56</v>
      </c>
      <c r="V46" s="19">
        <v>11</v>
      </c>
      <c r="W46" s="19" t="s">
        <v>53</v>
      </c>
      <c r="X46" s="19" t="s">
        <v>273</v>
      </c>
      <c r="Y46" s="19" t="s">
        <v>272</v>
      </c>
      <c r="Z46" s="19" t="s">
        <v>44</v>
      </c>
    </row>
    <row r="47" spans="1:29" x14ac:dyDescent="0.3">
      <c r="A47" s="19" t="s">
        <v>274</v>
      </c>
      <c r="B47" s="20">
        <v>44652</v>
      </c>
      <c r="C47" s="19" t="s">
        <v>35</v>
      </c>
      <c r="D47" s="19" t="s">
        <v>36</v>
      </c>
      <c r="E47" s="19" t="s">
        <v>36</v>
      </c>
      <c r="F47" s="19" t="s">
        <v>36</v>
      </c>
      <c r="G47" s="19" t="s">
        <v>37</v>
      </c>
      <c r="K47" s="19" t="s">
        <v>38</v>
      </c>
      <c r="L47" s="19" t="s">
        <v>39</v>
      </c>
      <c r="M47" s="19" t="s">
        <v>40</v>
      </c>
      <c r="N47" s="19" t="s">
        <v>41</v>
      </c>
      <c r="R47" s="19" t="s">
        <v>54</v>
      </c>
      <c r="S47" s="21">
        <v>444783.38</v>
      </c>
      <c r="U47" s="19" t="s">
        <v>56</v>
      </c>
      <c r="V47" s="19">
        <v>11</v>
      </c>
      <c r="W47" s="19" t="s">
        <v>55</v>
      </c>
      <c r="X47" s="19" t="s">
        <v>275</v>
      </c>
      <c r="Y47" s="19" t="s">
        <v>276</v>
      </c>
      <c r="Z47" s="19" t="s">
        <v>44</v>
      </c>
    </row>
    <row r="48" spans="1:29" x14ac:dyDescent="0.3">
      <c r="A48" s="19" t="s">
        <v>274</v>
      </c>
      <c r="B48" s="20">
        <v>44652</v>
      </c>
      <c r="C48" s="19" t="s">
        <v>35</v>
      </c>
      <c r="D48" s="19" t="s">
        <v>36</v>
      </c>
      <c r="E48" s="19" t="s">
        <v>36</v>
      </c>
      <c r="F48" s="19" t="s">
        <v>36</v>
      </c>
      <c r="G48" s="19" t="s">
        <v>37</v>
      </c>
      <c r="K48" s="19" t="s">
        <v>38</v>
      </c>
      <c r="L48" s="19" t="s">
        <v>39</v>
      </c>
      <c r="M48" s="19" t="s">
        <v>40</v>
      </c>
      <c r="N48" s="19" t="s">
        <v>41</v>
      </c>
      <c r="R48" s="19" t="s">
        <v>45</v>
      </c>
      <c r="T48" s="21">
        <v>444783.38</v>
      </c>
      <c r="U48" s="19" t="s">
        <v>56</v>
      </c>
      <c r="V48" s="19">
        <v>11</v>
      </c>
      <c r="W48" s="19" t="s">
        <v>55</v>
      </c>
      <c r="X48" s="19" t="s">
        <v>277</v>
      </c>
      <c r="Y48" s="19" t="s">
        <v>276</v>
      </c>
      <c r="Z48" s="19" t="s">
        <v>44</v>
      </c>
    </row>
    <row r="49" spans="1:26" x14ac:dyDescent="0.3">
      <c r="A49" s="19" t="s">
        <v>274</v>
      </c>
      <c r="B49" s="20">
        <v>44681</v>
      </c>
      <c r="C49" s="19" t="s">
        <v>46</v>
      </c>
      <c r="D49" s="19" t="s">
        <v>36</v>
      </c>
      <c r="E49" s="19" t="s">
        <v>36</v>
      </c>
      <c r="F49" s="19" t="s">
        <v>36</v>
      </c>
      <c r="G49" s="19" t="s">
        <v>37</v>
      </c>
      <c r="K49" s="19" t="s">
        <v>38</v>
      </c>
      <c r="L49" s="19" t="s">
        <v>39</v>
      </c>
      <c r="M49" s="19" t="s">
        <v>38</v>
      </c>
      <c r="N49" s="19" t="s">
        <v>41</v>
      </c>
      <c r="R49" s="19" t="s">
        <v>49</v>
      </c>
      <c r="S49" s="21">
        <v>14108.911190000001</v>
      </c>
      <c r="U49" s="19" t="s">
        <v>56</v>
      </c>
      <c r="V49" s="19">
        <v>12</v>
      </c>
      <c r="W49" s="19" t="s">
        <v>57</v>
      </c>
      <c r="X49" s="19" t="s">
        <v>278</v>
      </c>
      <c r="Y49" s="19" t="s">
        <v>279</v>
      </c>
      <c r="Z49" s="19" t="s">
        <v>44</v>
      </c>
    </row>
    <row r="50" spans="1:26" x14ac:dyDescent="0.3">
      <c r="A50" s="19" t="s">
        <v>274</v>
      </c>
      <c r="B50" s="20">
        <v>44681</v>
      </c>
      <c r="C50" s="19" t="s">
        <v>46</v>
      </c>
      <c r="D50" s="19" t="s">
        <v>36</v>
      </c>
      <c r="E50" s="19" t="s">
        <v>36</v>
      </c>
      <c r="F50" s="19" t="s">
        <v>36</v>
      </c>
      <c r="G50" s="19" t="s">
        <v>37</v>
      </c>
      <c r="K50" s="19" t="s">
        <v>38</v>
      </c>
      <c r="L50" s="19" t="s">
        <v>39</v>
      </c>
      <c r="M50" s="19" t="s">
        <v>40</v>
      </c>
      <c r="N50" s="19" t="s">
        <v>41</v>
      </c>
      <c r="R50" s="19" t="s">
        <v>45</v>
      </c>
      <c r="S50" s="21">
        <v>35891.088810000001</v>
      </c>
      <c r="U50" s="19" t="s">
        <v>56</v>
      </c>
      <c r="V50" s="19">
        <v>12</v>
      </c>
      <c r="W50" s="19" t="s">
        <v>57</v>
      </c>
      <c r="X50" s="19" t="s">
        <v>280</v>
      </c>
      <c r="Y50" s="19" t="s">
        <v>279</v>
      </c>
      <c r="Z50" s="19" t="s">
        <v>44</v>
      </c>
    </row>
    <row r="51" spans="1:26" x14ac:dyDescent="0.3">
      <c r="A51" s="19" t="s">
        <v>274</v>
      </c>
      <c r="B51" s="20">
        <v>44681</v>
      </c>
      <c r="C51" s="19" t="s">
        <v>46</v>
      </c>
      <c r="D51" s="19" t="s">
        <v>36</v>
      </c>
      <c r="E51" s="19" t="s">
        <v>36</v>
      </c>
      <c r="F51" s="19" t="s">
        <v>36</v>
      </c>
      <c r="G51" s="19" t="s">
        <v>37</v>
      </c>
      <c r="K51" s="19" t="s">
        <v>38</v>
      </c>
      <c r="L51" s="19" t="s">
        <v>39</v>
      </c>
      <c r="M51" s="19" t="s">
        <v>40</v>
      </c>
      <c r="N51" s="19" t="s">
        <v>41</v>
      </c>
      <c r="R51" s="19" t="s">
        <v>58</v>
      </c>
      <c r="T51" s="21">
        <v>50000</v>
      </c>
      <c r="U51" s="19" t="s">
        <v>56</v>
      </c>
      <c r="V51" s="19">
        <v>12</v>
      </c>
      <c r="W51" s="19" t="s">
        <v>57</v>
      </c>
      <c r="X51" s="19" t="s">
        <v>281</v>
      </c>
      <c r="Y51" s="19" t="s">
        <v>279</v>
      </c>
      <c r="Z51" s="19" t="s">
        <v>44</v>
      </c>
    </row>
    <row r="52" spans="1:26" x14ac:dyDescent="0.3">
      <c r="A52" s="19" t="s">
        <v>282</v>
      </c>
      <c r="B52" s="20">
        <v>44681</v>
      </c>
      <c r="C52" s="19" t="s">
        <v>46</v>
      </c>
      <c r="D52" s="19" t="s">
        <v>36</v>
      </c>
      <c r="E52" s="19" t="s">
        <v>36</v>
      </c>
      <c r="F52" s="19" t="s">
        <v>36</v>
      </c>
      <c r="G52" s="19" t="s">
        <v>37</v>
      </c>
      <c r="K52" s="19" t="s">
        <v>38</v>
      </c>
      <c r="L52" s="19" t="s">
        <v>39</v>
      </c>
      <c r="M52" s="19" t="s">
        <v>40</v>
      </c>
      <c r="N52" s="19" t="s">
        <v>41</v>
      </c>
      <c r="R52" s="19" t="s">
        <v>47</v>
      </c>
      <c r="S52" s="21">
        <v>13899.546506000001</v>
      </c>
      <c r="U52" s="19" t="s">
        <v>56</v>
      </c>
      <c r="V52" s="19">
        <v>8</v>
      </c>
      <c r="W52" s="19" t="s">
        <v>48</v>
      </c>
      <c r="X52" s="19" t="s">
        <v>283</v>
      </c>
      <c r="Y52" s="19" t="s">
        <v>284</v>
      </c>
      <c r="Z52" s="19" t="s">
        <v>44</v>
      </c>
    </row>
    <row r="53" spans="1:26" x14ac:dyDescent="0.3">
      <c r="A53" s="19" t="s">
        <v>282</v>
      </c>
      <c r="B53" s="20">
        <v>44681</v>
      </c>
      <c r="C53" s="19" t="s">
        <v>46</v>
      </c>
      <c r="D53" s="19" t="s">
        <v>36</v>
      </c>
      <c r="E53" s="19" t="s">
        <v>36</v>
      </c>
      <c r="F53" s="19" t="s">
        <v>36</v>
      </c>
      <c r="G53" s="19" t="s">
        <v>37</v>
      </c>
      <c r="K53" s="19" t="s">
        <v>38</v>
      </c>
      <c r="L53" s="19" t="s">
        <v>39</v>
      </c>
      <c r="M53" s="19" t="s">
        <v>38</v>
      </c>
      <c r="N53" s="19" t="s">
        <v>41</v>
      </c>
      <c r="R53" s="19" t="s">
        <v>49</v>
      </c>
      <c r="T53" s="21">
        <v>13899.546506000001</v>
      </c>
      <c r="U53" s="19" t="s">
        <v>56</v>
      </c>
      <c r="V53" s="19">
        <v>8</v>
      </c>
      <c r="W53" s="19" t="s">
        <v>48</v>
      </c>
      <c r="X53" s="19" t="s">
        <v>285</v>
      </c>
      <c r="Y53" s="19" t="s">
        <v>284</v>
      </c>
      <c r="Z53" s="19" t="s">
        <v>44</v>
      </c>
    </row>
    <row r="54" spans="1:26" x14ac:dyDescent="0.3">
      <c r="A54" s="19" t="s">
        <v>282</v>
      </c>
      <c r="B54" s="20">
        <v>44562</v>
      </c>
      <c r="C54" s="19" t="s">
        <v>35</v>
      </c>
      <c r="D54" s="19" t="s">
        <v>36</v>
      </c>
      <c r="E54" s="19" t="s">
        <v>36</v>
      </c>
      <c r="F54" s="19" t="s">
        <v>36</v>
      </c>
      <c r="G54" s="19" t="s">
        <v>37</v>
      </c>
      <c r="K54" s="19" t="s">
        <v>38</v>
      </c>
      <c r="L54" s="19" t="s">
        <v>39</v>
      </c>
      <c r="M54" s="19" t="s">
        <v>40</v>
      </c>
      <c r="N54" s="19" t="s">
        <v>41</v>
      </c>
      <c r="R54" s="19" t="s">
        <v>50</v>
      </c>
      <c r="S54" s="21">
        <v>42330.49</v>
      </c>
      <c r="U54" s="19" t="s">
        <v>56</v>
      </c>
      <c r="V54" s="19">
        <v>10</v>
      </c>
      <c r="W54" s="19" t="s">
        <v>51</v>
      </c>
      <c r="X54" s="19" t="s">
        <v>286</v>
      </c>
      <c r="Y54" s="19" t="s">
        <v>287</v>
      </c>
      <c r="Z54" s="19" t="s">
        <v>44</v>
      </c>
    </row>
    <row r="55" spans="1:26" x14ac:dyDescent="0.3">
      <c r="A55" s="19" t="s">
        <v>282</v>
      </c>
      <c r="B55" s="20">
        <v>44562</v>
      </c>
      <c r="C55" s="19" t="s">
        <v>35</v>
      </c>
      <c r="D55" s="19" t="s">
        <v>36</v>
      </c>
      <c r="E55" s="19" t="s">
        <v>36</v>
      </c>
      <c r="F55" s="19" t="s">
        <v>36</v>
      </c>
      <c r="G55" s="19" t="s">
        <v>37</v>
      </c>
      <c r="K55" s="19" t="s">
        <v>38</v>
      </c>
      <c r="L55" s="19" t="s">
        <v>39</v>
      </c>
      <c r="M55" s="19" t="s">
        <v>40</v>
      </c>
      <c r="N55" s="19" t="s">
        <v>41</v>
      </c>
      <c r="R55" s="19" t="s">
        <v>52</v>
      </c>
      <c r="T55" s="21">
        <v>42330.49</v>
      </c>
      <c r="U55" s="19" t="s">
        <v>56</v>
      </c>
      <c r="V55" s="19">
        <v>10</v>
      </c>
      <c r="W55" s="19" t="s">
        <v>51</v>
      </c>
      <c r="X55" s="19" t="s">
        <v>288</v>
      </c>
      <c r="Y55" s="19" t="s">
        <v>287</v>
      </c>
      <c r="Z55" s="19" t="s">
        <v>44</v>
      </c>
    </row>
    <row r="56" spans="1:26" x14ac:dyDescent="0.3">
      <c r="A56" s="19" t="s">
        <v>282</v>
      </c>
      <c r="B56" s="20">
        <v>44681</v>
      </c>
      <c r="C56" s="19" t="s">
        <v>35</v>
      </c>
      <c r="D56" s="19" t="s">
        <v>36</v>
      </c>
      <c r="E56" s="19" t="s">
        <v>36</v>
      </c>
      <c r="F56" s="19" t="s">
        <v>36</v>
      </c>
      <c r="G56" s="19" t="s">
        <v>37</v>
      </c>
      <c r="K56" s="19" t="s">
        <v>38</v>
      </c>
      <c r="L56" s="19" t="s">
        <v>39</v>
      </c>
      <c r="M56" s="19" t="s">
        <v>40</v>
      </c>
      <c r="N56" s="19" t="s">
        <v>41</v>
      </c>
      <c r="R56" s="19" t="s">
        <v>45</v>
      </c>
      <c r="S56" s="21">
        <v>447377.95</v>
      </c>
      <c r="U56" s="19" t="s">
        <v>56</v>
      </c>
      <c r="V56" s="19">
        <v>11</v>
      </c>
      <c r="W56" s="19" t="s">
        <v>53</v>
      </c>
      <c r="X56" s="19" t="s">
        <v>289</v>
      </c>
      <c r="Y56" s="19" t="s">
        <v>290</v>
      </c>
      <c r="Z56" s="19" t="s">
        <v>44</v>
      </c>
    </row>
    <row r="57" spans="1:26" x14ac:dyDescent="0.3">
      <c r="A57" s="19" t="s">
        <v>282</v>
      </c>
      <c r="B57" s="20">
        <v>44681</v>
      </c>
      <c r="C57" s="19" t="s">
        <v>35</v>
      </c>
      <c r="D57" s="19" t="s">
        <v>36</v>
      </c>
      <c r="E57" s="19" t="s">
        <v>36</v>
      </c>
      <c r="F57" s="19" t="s">
        <v>36</v>
      </c>
      <c r="G57" s="19" t="s">
        <v>37</v>
      </c>
      <c r="K57" s="19" t="s">
        <v>38</v>
      </c>
      <c r="L57" s="19" t="s">
        <v>39</v>
      </c>
      <c r="M57" s="19" t="s">
        <v>40</v>
      </c>
      <c r="N57" s="19" t="s">
        <v>41</v>
      </c>
      <c r="R57" s="19" t="s">
        <v>54</v>
      </c>
      <c r="T57" s="21">
        <v>447377.95</v>
      </c>
      <c r="U57" s="19" t="s">
        <v>56</v>
      </c>
      <c r="V57" s="19">
        <v>11</v>
      </c>
      <c r="W57" s="19" t="s">
        <v>53</v>
      </c>
      <c r="X57" s="19" t="s">
        <v>291</v>
      </c>
      <c r="Y57" s="19" t="s">
        <v>290</v>
      </c>
      <c r="Z57" s="19" t="s">
        <v>44</v>
      </c>
    </row>
    <row r="58" spans="1:26" x14ac:dyDescent="0.3">
      <c r="A58" s="19" t="s">
        <v>292</v>
      </c>
      <c r="B58" s="20">
        <v>44682</v>
      </c>
      <c r="C58" s="19" t="s">
        <v>35</v>
      </c>
      <c r="D58" s="19" t="s">
        <v>36</v>
      </c>
      <c r="E58" s="19" t="s">
        <v>36</v>
      </c>
      <c r="F58" s="19" t="s">
        <v>36</v>
      </c>
      <c r="G58" s="19" t="s">
        <v>37</v>
      </c>
      <c r="K58" s="19" t="s">
        <v>38</v>
      </c>
      <c r="L58" s="19" t="s">
        <v>39</v>
      </c>
      <c r="M58" s="19" t="s">
        <v>40</v>
      </c>
      <c r="N58" s="19" t="s">
        <v>41</v>
      </c>
      <c r="R58" s="19" t="s">
        <v>54</v>
      </c>
      <c r="S58" s="21">
        <v>447377.95</v>
      </c>
      <c r="U58" s="19" t="s">
        <v>56</v>
      </c>
      <c r="V58" s="19">
        <v>11</v>
      </c>
      <c r="W58" s="19" t="s">
        <v>55</v>
      </c>
      <c r="X58" s="19" t="s">
        <v>293</v>
      </c>
      <c r="Y58" s="19" t="s">
        <v>294</v>
      </c>
      <c r="Z58" s="19" t="s">
        <v>44</v>
      </c>
    </row>
    <row r="59" spans="1:26" x14ac:dyDescent="0.3">
      <c r="A59" s="19" t="s">
        <v>292</v>
      </c>
      <c r="B59" s="20">
        <v>44682</v>
      </c>
      <c r="C59" s="19" t="s">
        <v>35</v>
      </c>
      <c r="D59" s="19" t="s">
        <v>36</v>
      </c>
      <c r="E59" s="19" t="s">
        <v>36</v>
      </c>
      <c r="F59" s="19" t="s">
        <v>36</v>
      </c>
      <c r="G59" s="19" t="s">
        <v>37</v>
      </c>
      <c r="K59" s="19" t="s">
        <v>38</v>
      </c>
      <c r="L59" s="19" t="s">
        <v>39</v>
      </c>
      <c r="M59" s="19" t="s">
        <v>40</v>
      </c>
      <c r="N59" s="19" t="s">
        <v>41</v>
      </c>
      <c r="R59" s="19" t="s">
        <v>45</v>
      </c>
      <c r="T59" s="21">
        <v>447377.95</v>
      </c>
      <c r="U59" s="19" t="s">
        <v>56</v>
      </c>
      <c r="V59" s="19">
        <v>11</v>
      </c>
      <c r="W59" s="19" t="s">
        <v>55</v>
      </c>
      <c r="X59" s="19" t="s">
        <v>295</v>
      </c>
      <c r="Y59" s="19" t="s">
        <v>294</v>
      </c>
      <c r="Z59" s="19" t="s">
        <v>44</v>
      </c>
    </row>
    <row r="60" spans="1:26" x14ac:dyDescent="0.3">
      <c r="A60" s="19" t="s">
        <v>292</v>
      </c>
      <c r="B60" s="20">
        <v>44712</v>
      </c>
      <c r="C60" s="19" t="s">
        <v>46</v>
      </c>
      <c r="D60" s="19" t="s">
        <v>36</v>
      </c>
      <c r="E60" s="19" t="s">
        <v>36</v>
      </c>
      <c r="F60" s="19" t="s">
        <v>36</v>
      </c>
      <c r="G60" s="19" t="s">
        <v>37</v>
      </c>
      <c r="K60" s="19" t="s">
        <v>38</v>
      </c>
      <c r="L60" s="19" t="s">
        <v>39</v>
      </c>
      <c r="M60" s="19" t="s">
        <v>38</v>
      </c>
      <c r="N60" s="19" t="s">
        <v>41</v>
      </c>
      <c r="R60" s="19" t="s">
        <v>49</v>
      </c>
      <c r="S60" s="21">
        <v>13899.546506000001</v>
      </c>
      <c r="U60" s="19" t="s">
        <v>56</v>
      </c>
      <c r="V60" s="19">
        <v>12</v>
      </c>
      <c r="W60" s="19" t="s">
        <v>57</v>
      </c>
      <c r="X60" s="19" t="s">
        <v>296</v>
      </c>
      <c r="Y60" s="19" t="s">
        <v>297</v>
      </c>
      <c r="Z60" s="19" t="s">
        <v>44</v>
      </c>
    </row>
    <row r="61" spans="1:26" x14ac:dyDescent="0.3">
      <c r="A61" s="19" t="s">
        <v>292</v>
      </c>
      <c r="B61" s="20">
        <v>44712</v>
      </c>
      <c r="C61" s="19" t="s">
        <v>46</v>
      </c>
      <c r="D61" s="19" t="s">
        <v>36</v>
      </c>
      <c r="E61" s="19" t="s">
        <v>36</v>
      </c>
      <c r="F61" s="19" t="s">
        <v>36</v>
      </c>
      <c r="G61" s="19" t="s">
        <v>37</v>
      </c>
      <c r="K61" s="19" t="s">
        <v>38</v>
      </c>
      <c r="L61" s="19" t="s">
        <v>39</v>
      </c>
      <c r="M61" s="19" t="s">
        <v>40</v>
      </c>
      <c r="N61" s="19" t="s">
        <v>41</v>
      </c>
      <c r="R61" s="19" t="s">
        <v>45</v>
      </c>
      <c r="S61" s="21">
        <v>36100.453494000001</v>
      </c>
      <c r="U61" s="19" t="s">
        <v>56</v>
      </c>
      <c r="V61" s="19">
        <v>12</v>
      </c>
      <c r="W61" s="19" t="s">
        <v>57</v>
      </c>
      <c r="X61" s="19" t="s">
        <v>298</v>
      </c>
      <c r="Y61" s="19" t="s">
        <v>297</v>
      </c>
      <c r="Z61" s="19" t="s">
        <v>44</v>
      </c>
    </row>
    <row r="62" spans="1:26" x14ac:dyDescent="0.3">
      <c r="A62" s="19" t="s">
        <v>292</v>
      </c>
      <c r="B62" s="20">
        <v>44712</v>
      </c>
      <c r="C62" s="19" t="s">
        <v>46</v>
      </c>
      <c r="D62" s="19" t="s">
        <v>36</v>
      </c>
      <c r="E62" s="19" t="s">
        <v>36</v>
      </c>
      <c r="F62" s="19" t="s">
        <v>36</v>
      </c>
      <c r="G62" s="19" t="s">
        <v>37</v>
      </c>
      <c r="K62" s="19" t="s">
        <v>38</v>
      </c>
      <c r="L62" s="19" t="s">
        <v>39</v>
      </c>
      <c r="M62" s="19" t="s">
        <v>40</v>
      </c>
      <c r="N62" s="19" t="s">
        <v>41</v>
      </c>
      <c r="R62" s="19" t="s">
        <v>58</v>
      </c>
      <c r="T62" s="21">
        <v>50000</v>
      </c>
      <c r="U62" s="19" t="s">
        <v>56</v>
      </c>
      <c r="V62" s="19">
        <v>12</v>
      </c>
      <c r="W62" s="19" t="s">
        <v>57</v>
      </c>
      <c r="X62" s="19" t="s">
        <v>299</v>
      </c>
      <c r="Y62" s="19" t="s">
        <v>297</v>
      </c>
      <c r="Z62" s="19" t="s">
        <v>44</v>
      </c>
    </row>
    <row r="63" spans="1:26" x14ac:dyDescent="0.3">
      <c r="A63" s="19" t="s">
        <v>300</v>
      </c>
      <c r="B63" s="20">
        <v>44712</v>
      </c>
      <c r="C63" s="19" t="s">
        <v>46</v>
      </c>
      <c r="D63" s="19" t="s">
        <v>36</v>
      </c>
      <c r="E63" s="19" t="s">
        <v>36</v>
      </c>
      <c r="F63" s="19" t="s">
        <v>36</v>
      </c>
      <c r="G63" s="19" t="s">
        <v>37</v>
      </c>
      <c r="K63" s="19" t="s">
        <v>38</v>
      </c>
      <c r="L63" s="19" t="s">
        <v>39</v>
      </c>
      <c r="M63" s="19" t="s">
        <v>40</v>
      </c>
      <c r="N63" s="19" t="s">
        <v>41</v>
      </c>
      <c r="R63" s="19" t="s">
        <v>47</v>
      </c>
      <c r="S63" s="21">
        <v>13688.960526999999</v>
      </c>
      <c r="U63" s="19" t="s">
        <v>56</v>
      </c>
      <c r="V63" s="19">
        <v>8</v>
      </c>
      <c r="W63" s="19" t="s">
        <v>48</v>
      </c>
      <c r="X63" s="19" t="s">
        <v>301</v>
      </c>
      <c r="Y63" s="19" t="s">
        <v>302</v>
      </c>
      <c r="Z63" s="19" t="s">
        <v>44</v>
      </c>
    </row>
    <row r="64" spans="1:26" x14ac:dyDescent="0.3">
      <c r="A64" s="19" t="s">
        <v>300</v>
      </c>
      <c r="B64" s="20">
        <v>44712</v>
      </c>
      <c r="C64" s="19" t="s">
        <v>46</v>
      </c>
      <c r="D64" s="19" t="s">
        <v>36</v>
      </c>
      <c r="E64" s="19" t="s">
        <v>36</v>
      </c>
      <c r="F64" s="19" t="s">
        <v>36</v>
      </c>
      <c r="G64" s="19" t="s">
        <v>37</v>
      </c>
      <c r="K64" s="19" t="s">
        <v>38</v>
      </c>
      <c r="L64" s="19" t="s">
        <v>39</v>
      </c>
      <c r="M64" s="19" t="s">
        <v>38</v>
      </c>
      <c r="N64" s="19" t="s">
        <v>41</v>
      </c>
      <c r="R64" s="19" t="s">
        <v>49</v>
      </c>
      <c r="T64" s="21">
        <v>13688.960526999999</v>
      </c>
      <c r="U64" s="19" t="s">
        <v>56</v>
      </c>
      <c r="V64" s="19">
        <v>8</v>
      </c>
      <c r="W64" s="19" t="s">
        <v>48</v>
      </c>
      <c r="X64" s="19" t="s">
        <v>303</v>
      </c>
      <c r="Y64" s="19" t="s">
        <v>302</v>
      </c>
      <c r="Z64" s="19" t="s">
        <v>44</v>
      </c>
    </row>
    <row r="65" spans="1:26" x14ac:dyDescent="0.3">
      <c r="A65" s="19" t="s">
        <v>300</v>
      </c>
      <c r="B65" s="20">
        <v>44562</v>
      </c>
      <c r="C65" s="19" t="s">
        <v>35</v>
      </c>
      <c r="D65" s="19" t="s">
        <v>36</v>
      </c>
      <c r="E65" s="19" t="s">
        <v>36</v>
      </c>
      <c r="F65" s="19" t="s">
        <v>36</v>
      </c>
      <c r="G65" s="19" t="s">
        <v>37</v>
      </c>
      <c r="K65" s="19" t="s">
        <v>38</v>
      </c>
      <c r="L65" s="19" t="s">
        <v>39</v>
      </c>
      <c r="M65" s="19" t="s">
        <v>40</v>
      </c>
      <c r="N65" s="19" t="s">
        <v>41</v>
      </c>
      <c r="R65" s="19" t="s">
        <v>50</v>
      </c>
      <c r="S65" s="21">
        <v>42330.49</v>
      </c>
      <c r="U65" s="19" t="s">
        <v>56</v>
      </c>
      <c r="V65" s="19">
        <v>10</v>
      </c>
      <c r="W65" s="19" t="s">
        <v>51</v>
      </c>
      <c r="X65" s="19" t="s">
        <v>304</v>
      </c>
      <c r="Y65" s="19" t="s">
        <v>305</v>
      </c>
      <c r="Z65" s="19" t="s">
        <v>44</v>
      </c>
    </row>
    <row r="66" spans="1:26" x14ac:dyDescent="0.3">
      <c r="A66" s="19" t="s">
        <v>300</v>
      </c>
      <c r="B66" s="20">
        <v>44562</v>
      </c>
      <c r="C66" s="19" t="s">
        <v>35</v>
      </c>
      <c r="D66" s="19" t="s">
        <v>36</v>
      </c>
      <c r="E66" s="19" t="s">
        <v>36</v>
      </c>
      <c r="F66" s="19" t="s">
        <v>36</v>
      </c>
      <c r="G66" s="19" t="s">
        <v>37</v>
      </c>
      <c r="K66" s="19" t="s">
        <v>38</v>
      </c>
      <c r="L66" s="19" t="s">
        <v>39</v>
      </c>
      <c r="M66" s="19" t="s">
        <v>40</v>
      </c>
      <c r="N66" s="19" t="s">
        <v>41</v>
      </c>
      <c r="R66" s="19" t="s">
        <v>52</v>
      </c>
      <c r="T66" s="21">
        <v>42330.49</v>
      </c>
      <c r="U66" s="19" t="s">
        <v>56</v>
      </c>
      <c r="V66" s="19">
        <v>10</v>
      </c>
      <c r="W66" s="19" t="s">
        <v>51</v>
      </c>
      <c r="X66" s="19" t="s">
        <v>306</v>
      </c>
      <c r="Y66" s="19" t="s">
        <v>305</v>
      </c>
      <c r="Z66" s="19" t="s">
        <v>44</v>
      </c>
    </row>
    <row r="67" spans="1:26" x14ac:dyDescent="0.3">
      <c r="A67" s="19" t="s">
        <v>300</v>
      </c>
      <c r="B67" s="20">
        <v>44712</v>
      </c>
      <c r="C67" s="19" t="s">
        <v>35</v>
      </c>
      <c r="D67" s="19" t="s">
        <v>36</v>
      </c>
      <c r="E67" s="19" t="s">
        <v>36</v>
      </c>
      <c r="F67" s="19" t="s">
        <v>36</v>
      </c>
      <c r="G67" s="19" t="s">
        <v>37</v>
      </c>
      <c r="K67" s="19" t="s">
        <v>38</v>
      </c>
      <c r="L67" s="19" t="s">
        <v>39</v>
      </c>
      <c r="M67" s="19" t="s">
        <v>40</v>
      </c>
      <c r="N67" s="19" t="s">
        <v>41</v>
      </c>
      <c r="R67" s="19" t="s">
        <v>45</v>
      </c>
      <c r="S67" s="21">
        <v>449987.65</v>
      </c>
      <c r="U67" s="19" t="s">
        <v>56</v>
      </c>
      <c r="V67" s="19">
        <v>11</v>
      </c>
      <c r="W67" s="19" t="s">
        <v>53</v>
      </c>
      <c r="X67" s="19" t="s">
        <v>307</v>
      </c>
      <c r="Y67" s="19" t="s">
        <v>308</v>
      </c>
      <c r="Z67" s="19" t="s">
        <v>44</v>
      </c>
    </row>
    <row r="68" spans="1:26" x14ac:dyDescent="0.3">
      <c r="A68" s="19" t="s">
        <v>300</v>
      </c>
      <c r="B68" s="20">
        <v>44712</v>
      </c>
      <c r="C68" s="19" t="s">
        <v>35</v>
      </c>
      <c r="D68" s="19" t="s">
        <v>36</v>
      </c>
      <c r="E68" s="19" t="s">
        <v>36</v>
      </c>
      <c r="F68" s="19" t="s">
        <v>36</v>
      </c>
      <c r="G68" s="19" t="s">
        <v>37</v>
      </c>
      <c r="K68" s="19" t="s">
        <v>38</v>
      </c>
      <c r="L68" s="19" t="s">
        <v>39</v>
      </c>
      <c r="M68" s="19" t="s">
        <v>40</v>
      </c>
      <c r="N68" s="19" t="s">
        <v>41</v>
      </c>
      <c r="R68" s="19" t="s">
        <v>54</v>
      </c>
      <c r="T68" s="21">
        <v>449987.65</v>
      </c>
      <c r="U68" s="19" t="s">
        <v>56</v>
      </c>
      <c r="V68" s="19">
        <v>11</v>
      </c>
      <c r="W68" s="19" t="s">
        <v>53</v>
      </c>
      <c r="X68" s="19" t="s">
        <v>309</v>
      </c>
      <c r="Y68" s="19" t="s">
        <v>308</v>
      </c>
      <c r="Z68" s="19" t="s">
        <v>44</v>
      </c>
    </row>
    <row r="69" spans="1:26" x14ac:dyDescent="0.3">
      <c r="A69" s="19" t="s">
        <v>310</v>
      </c>
      <c r="B69" s="20">
        <v>44713</v>
      </c>
      <c r="C69" s="19" t="s">
        <v>35</v>
      </c>
      <c r="D69" s="19" t="s">
        <v>36</v>
      </c>
      <c r="E69" s="19" t="s">
        <v>36</v>
      </c>
      <c r="F69" s="19" t="s">
        <v>36</v>
      </c>
      <c r="G69" s="19" t="s">
        <v>37</v>
      </c>
      <c r="K69" s="19" t="s">
        <v>38</v>
      </c>
      <c r="L69" s="19" t="s">
        <v>39</v>
      </c>
      <c r="M69" s="19" t="s">
        <v>40</v>
      </c>
      <c r="N69" s="19" t="s">
        <v>41</v>
      </c>
      <c r="R69" s="19" t="s">
        <v>54</v>
      </c>
      <c r="S69" s="21">
        <v>449987.65</v>
      </c>
      <c r="U69" s="19" t="s">
        <v>56</v>
      </c>
      <c r="V69" s="19">
        <v>11</v>
      </c>
      <c r="W69" s="19" t="s">
        <v>55</v>
      </c>
      <c r="X69" s="19" t="s">
        <v>311</v>
      </c>
      <c r="Y69" s="19" t="s">
        <v>312</v>
      </c>
      <c r="Z69" s="19" t="s">
        <v>44</v>
      </c>
    </row>
    <row r="70" spans="1:26" x14ac:dyDescent="0.3">
      <c r="A70" s="19" t="s">
        <v>310</v>
      </c>
      <c r="B70" s="20">
        <v>44713</v>
      </c>
      <c r="C70" s="19" t="s">
        <v>35</v>
      </c>
      <c r="D70" s="19" t="s">
        <v>36</v>
      </c>
      <c r="E70" s="19" t="s">
        <v>36</v>
      </c>
      <c r="F70" s="19" t="s">
        <v>36</v>
      </c>
      <c r="G70" s="19" t="s">
        <v>37</v>
      </c>
      <c r="K70" s="19" t="s">
        <v>38</v>
      </c>
      <c r="L70" s="19" t="s">
        <v>39</v>
      </c>
      <c r="M70" s="19" t="s">
        <v>40</v>
      </c>
      <c r="N70" s="19" t="s">
        <v>41</v>
      </c>
      <c r="R70" s="19" t="s">
        <v>45</v>
      </c>
      <c r="T70" s="21">
        <v>449987.65</v>
      </c>
      <c r="U70" s="19" t="s">
        <v>56</v>
      </c>
      <c r="V70" s="19">
        <v>11</v>
      </c>
      <c r="W70" s="19" t="s">
        <v>55</v>
      </c>
      <c r="X70" s="19" t="s">
        <v>313</v>
      </c>
      <c r="Y70" s="19" t="s">
        <v>312</v>
      </c>
      <c r="Z70" s="19" t="s">
        <v>44</v>
      </c>
    </row>
    <row r="71" spans="1:26" x14ac:dyDescent="0.3">
      <c r="A71" s="19" t="s">
        <v>310</v>
      </c>
      <c r="B71" s="20">
        <v>44742</v>
      </c>
      <c r="C71" s="19" t="s">
        <v>46</v>
      </c>
      <c r="D71" s="19" t="s">
        <v>36</v>
      </c>
      <c r="E71" s="19" t="s">
        <v>36</v>
      </c>
      <c r="F71" s="19" t="s">
        <v>36</v>
      </c>
      <c r="G71" s="19" t="s">
        <v>37</v>
      </c>
      <c r="K71" s="19" t="s">
        <v>38</v>
      </c>
      <c r="L71" s="19" t="s">
        <v>39</v>
      </c>
      <c r="M71" s="19" t="s">
        <v>38</v>
      </c>
      <c r="N71" s="19" t="s">
        <v>41</v>
      </c>
      <c r="R71" s="19" t="s">
        <v>49</v>
      </c>
      <c r="S71" s="21">
        <v>13688.960526999999</v>
      </c>
      <c r="U71" s="19" t="s">
        <v>56</v>
      </c>
      <c r="V71" s="19">
        <v>12</v>
      </c>
      <c r="W71" s="19" t="s">
        <v>57</v>
      </c>
      <c r="X71" s="19" t="s">
        <v>314</v>
      </c>
      <c r="Y71" s="19" t="s">
        <v>315</v>
      </c>
      <c r="Z71" s="19" t="s">
        <v>44</v>
      </c>
    </row>
    <row r="72" spans="1:26" x14ac:dyDescent="0.3">
      <c r="A72" s="19" t="s">
        <v>310</v>
      </c>
      <c r="B72" s="20">
        <v>44742</v>
      </c>
      <c r="C72" s="19" t="s">
        <v>46</v>
      </c>
      <c r="D72" s="19" t="s">
        <v>36</v>
      </c>
      <c r="E72" s="19" t="s">
        <v>36</v>
      </c>
      <c r="F72" s="19" t="s">
        <v>36</v>
      </c>
      <c r="G72" s="19" t="s">
        <v>37</v>
      </c>
      <c r="K72" s="19" t="s">
        <v>38</v>
      </c>
      <c r="L72" s="19" t="s">
        <v>39</v>
      </c>
      <c r="M72" s="19" t="s">
        <v>40</v>
      </c>
      <c r="N72" s="19" t="s">
        <v>41</v>
      </c>
      <c r="R72" s="19" t="s">
        <v>45</v>
      </c>
      <c r="S72" s="21">
        <v>36311.039472999997</v>
      </c>
      <c r="U72" s="19" t="s">
        <v>56</v>
      </c>
      <c r="V72" s="19">
        <v>12</v>
      </c>
      <c r="W72" s="19" t="s">
        <v>57</v>
      </c>
      <c r="X72" s="19" t="s">
        <v>316</v>
      </c>
      <c r="Y72" s="19" t="s">
        <v>315</v>
      </c>
      <c r="Z72" s="19" t="s">
        <v>44</v>
      </c>
    </row>
    <row r="73" spans="1:26" x14ac:dyDescent="0.3">
      <c r="A73" s="19" t="s">
        <v>310</v>
      </c>
      <c r="B73" s="20">
        <v>44742</v>
      </c>
      <c r="C73" s="19" t="s">
        <v>46</v>
      </c>
      <c r="D73" s="19" t="s">
        <v>36</v>
      </c>
      <c r="E73" s="19" t="s">
        <v>36</v>
      </c>
      <c r="F73" s="19" t="s">
        <v>36</v>
      </c>
      <c r="G73" s="19" t="s">
        <v>37</v>
      </c>
      <c r="K73" s="19" t="s">
        <v>38</v>
      </c>
      <c r="L73" s="19" t="s">
        <v>39</v>
      </c>
      <c r="M73" s="19" t="s">
        <v>40</v>
      </c>
      <c r="N73" s="19" t="s">
        <v>41</v>
      </c>
      <c r="R73" s="19" t="s">
        <v>58</v>
      </c>
      <c r="T73" s="21">
        <v>50000</v>
      </c>
      <c r="U73" s="19" t="s">
        <v>56</v>
      </c>
      <c r="V73" s="19">
        <v>12</v>
      </c>
      <c r="W73" s="19" t="s">
        <v>57</v>
      </c>
      <c r="X73" s="19" t="s">
        <v>317</v>
      </c>
      <c r="Y73" s="19" t="s">
        <v>315</v>
      </c>
      <c r="Z73" s="19" t="s">
        <v>44</v>
      </c>
    </row>
    <row r="74" spans="1:26" x14ac:dyDescent="0.3">
      <c r="A74" s="19" t="s">
        <v>318</v>
      </c>
      <c r="B74" s="20">
        <v>44742</v>
      </c>
      <c r="C74" s="19" t="s">
        <v>46</v>
      </c>
      <c r="D74" s="19" t="s">
        <v>36</v>
      </c>
      <c r="E74" s="19" t="s">
        <v>36</v>
      </c>
      <c r="F74" s="19" t="s">
        <v>36</v>
      </c>
      <c r="G74" s="19" t="s">
        <v>37</v>
      </c>
      <c r="K74" s="19" t="s">
        <v>38</v>
      </c>
      <c r="L74" s="19" t="s">
        <v>39</v>
      </c>
      <c r="M74" s="19" t="s">
        <v>40</v>
      </c>
      <c r="N74" s="19" t="s">
        <v>41</v>
      </c>
      <c r="R74" s="19" t="s">
        <v>47</v>
      </c>
      <c r="S74" s="21">
        <v>13477.146129999999</v>
      </c>
      <c r="U74" s="19" t="s">
        <v>56</v>
      </c>
      <c r="V74" s="19">
        <v>8</v>
      </c>
      <c r="W74" s="19" t="s">
        <v>48</v>
      </c>
      <c r="X74" s="19" t="s">
        <v>319</v>
      </c>
      <c r="Y74" s="19" t="s">
        <v>320</v>
      </c>
      <c r="Z74" s="19" t="s">
        <v>44</v>
      </c>
    </row>
    <row r="75" spans="1:26" x14ac:dyDescent="0.3">
      <c r="A75" s="19" t="s">
        <v>318</v>
      </c>
      <c r="B75" s="20">
        <v>44742</v>
      </c>
      <c r="C75" s="19" t="s">
        <v>46</v>
      </c>
      <c r="D75" s="19" t="s">
        <v>36</v>
      </c>
      <c r="E75" s="19" t="s">
        <v>36</v>
      </c>
      <c r="F75" s="19" t="s">
        <v>36</v>
      </c>
      <c r="G75" s="19" t="s">
        <v>37</v>
      </c>
      <c r="K75" s="19" t="s">
        <v>38</v>
      </c>
      <c r="L75" s="19" t="s">
        <v>39</v>
      </c>
      <c r="M75" s="19" t="s">
        <v>38</v>
      </c>
      <c r="N75" s="19" t="s">
        <v>41</v>
      </c>
      <c r="R75" s="19" t="s">
        <v>49</v>
      </c>
      <c r="T75" s="21">
        <v>13477.146129999999</v>
      </c>
      <c r="U75" s="19" t="s">
        <v>56</v>
      </c>
      <c r="V75" s="19">
        <v>8</v>
      </c>
      <c r="W75" s="19" t="s">
        <v>48</v>
      </c>
      <c r="X75" s="19" t="s">
        <v>321</v>
      </c>
      <c r="Y75" s="19" t="s">
        <v>320</v>
      </c>
      <c r="Z75" s="19" t="s">
        <v>44</v>
      </c>
    </row>
    <row r="76" spans="1:26" x14ac:dyDescent="0.3">
      <c r="A76" s="19" t="s">
        <v>318</v>
      </c>
      <c r="B76" s="20">
        <v>44562</v>
      </c>
      <c r="C76" s="19" t="s">
        <v>35</v>
      </c>
      <c r="D76" s="19" t="s">
        <v>36</v>
      </c>
      <c r="E76" s="19" t="s">
        <v>36</v>
      </c>
      <c r="F76" s="19" t="s">
        <v>36</v>
      </c>
      <c r="G76" s="19" t="s">
        <v>37</v>
      </c>
      <c r="K76" s="19" t="s">
        <v>38</v>
      </c>
      <c r="L76" s="19" t="s">
        <v>39</v>
      </c>
      <c r="M76" s="19" t="s">
        <v>40</v>
      </c>
      <c r="N76" s="19" t="s">
        <v>41</v>
      </c>
      <c r="R76" s="19" t="s">
        <v>50</v>
      </c>
      <c r="S76" s="21">
        <v>42330.49</v>
      </c>
      <c r="U76" s="19" t="s">
        <v>56</v>
      </c>
      <c r="V76" s="19">
        <v>10</v>
      </c>
      <c r="W76" s="19" t="s">
        <v>51</v>
      </c>
      <c r="X76" s="19" t="s">
        <v>322</v>
      </c>
      <c r="Y76" s="19" t="s">
        <v>323</v>
      </c>
      <c r="Z76" s="19" t="s">
        <v>44</v>
      </c>
    </row>
    <row r="77" spans="1:26" x14ac:dyDescent="0.3">
      <c r="A77" s="19" t="s">
        <v>318</v>
      </c>
      <c r="B77" s="20">
        <v>44562</v>
      </c>
      <c r="C77" s="19" t="s">
        <v>35</v>
      </c>
      <c r="D77" s="19" t="s">
        <v>36</v>
      </c>
      <c r="E77" s="19" t="s">
        <v>36</v>
      </c>
      <c r="F77" s="19" t="s">
        <v>36</v>
      </c>
      <c r="G77" s="19" t="s">
        <v>37</v>
      </c>
      <c r="K77" s="19" t="s">
        <v>38</v>
      </c>
      <c r="L77" s="19" t="s">
        <v>39</v>
      </c>
      <c r="M77" s="19" t="s">
        <v>40</v>
      </c>
      <c r="N77" s="19" t="s">
        <v>41</v>
      </c>
      <c r="R77" s="19" t="s">
        <v>52</v>
      </c>
      <c r="T77" s="21">
        <v>42330.49</v>
      </c>
      <c r="U77" s="19" t="s">
        <v>56</v>
      </c>
      <c r="V77" s="19">
        <v>10</v>
      </c>
      <c r="W77" s="19" t="s">
        <v>51</v>
      </c>
      <c r="X77" s="19" t="s">
        <v>324</v>
      </c>
      <c r="Y77" s="19" t="s">
        <v>323</v>
      </c>
      <c r="Z77" s="19" t="s">
        <v>44</v>
      </c>
    </row>
    <row r="78" spans="1:26" x14ac:dyDescent="0.3">
      <c r="A78" s="19" t="s">
        <v>318</v>
      </c>
      <c r="B78" s="20">
        <v>44742</v>
      </c>
      <c r="C78" s="19" t="s">
        <v>35</v>
      </c>
      <c r="D78" s="19" t="s">
        <v>36</v>
      </c>
      <c r="E78" s="19" t="s">
        <v>36</v>
      </c>
      <c r="F78" s="19" t="s">
        <v>36</v>
      </c>
      <c r="G78" s="19" t="s">
        <v>37</v>
      </c>
      <c r="K78" s="19" t="s">
        <v>38</v>
      </c>
      <c r="L78" s="19" t="s">
        <v>39</v>
      </c>
      <c r="M78" s="19" t="s">
        <v>40</v>
      </c>
      <c r="N78" s="19" t="s">
        <v>41</v>
      </c>
      <c r="R78" s="19" t="s">
        <v>45</v>
      </c>
      <c r="S78" s="21">
        <v>452612.58</v>
      </c>
      <c r="U78" s="19" t="s">
        <v>56</v>
      </c>
      <c r="V78" s="19">
        <v>11</v>
      </c>
      <c r="W78" s="19" t="s">
        <v>53</v>
      </c>
      <c r="X78" s="19" t="s">
        <v>325</v>
      </c>
      <c r="Y78" s="19" t="s">
        <v>326</v>
      </c>
      <c r="Z78" s="19" t="s">
        <v>44</v>
      </c>
    </row>
    <row r="79" spans="1:26" x14ac:dyDescent="0.3">
      <c r="A79" s="19" t="s">
        <v>318</v>
      </c>
      <c r="B79" s="20">
        <v>44742</v>
      </c>
      <c r="C79" s="19" t="s">
        <v>35</v>
      </c>
      <c r="D79" s="19" t="s">
        <v>36</v>
      </c>
      <c r="E79" s="19" t="s">
        <v>36</v>
      </c>
      <c r="F79" s="19" t="s">
        <v>36</v>
      </c>
      <c r="G79" s="19" t="s">
        <v>37</v>
      </c>
      <c r="K79" s="19" t="s">
        <v>38</v>
      </c>
      <c r="L79" s="19" t="s">
        <v>39</v>
      </c>
      <c r="M79" s="19" t="s">
        <v>40</v>
      </c>
      <c r="N79" s="19" t="s">
        <v>41</v>
      </c>
      <c r="R79" s="19" t="s">
        <v>54</v>
      </c>
      <c r="T79" s="21">
        <v>452612.58</v>
      </c>
      <c r="U79" s="19" t="s">
        <v>56</v>
      </c>
      <c r="V79" s="19">
        <v>11</v>
      </c>
      <c r="W79" s="19" t="s">
        <v>53</v>
      </c>
      <c r="X79" s="19" t="s">
        <v>327</v>
      </c>
      <c r="Y79" s="19" t="s">
        <v>326</v>
      </c>
      <c r="Z79" s="19" t="s">
        <v>44</v>
      </c>
    </row>
    <row r="80" spans="1:26" x14ac:dyDescent="0.3">
      <c r="A80" s="19" t="s">
        <v>328</v>
      </c>
      <c r="B80" s="20">
        <v>44743</v>
      </c>
      <c r="C80" s="19" t="s">
        <v>35</v>
      </c>
      <c r="D80" s="19" t="s">
        <v>36</v>
      </c>
      <c r="E80" s="19" t="s">
        <v>36</v>
      </c>
      <c r="F80" s="19" t="s">
        <v>36</v>
      </c>
      <c r="G80" s="19" t="s">
        <v>37</v>
      </c>
      <c r="K80" s="19" t="s">
        <v>38</v>
      </c>
      <c r="L80" s="19" t="s">
        <v>39</v>
      </c>
      <c r="M80" s="19" t="s">
        <v>40</v>
      </c>
      <c r="N80" s="19" t="s">
        <v>41</v>
      </c>
      <c r="R80" s="19" t="s">
        <v>54</v>
      </c>
      <c r="S80" s="21">
        <v>452612.58</v>
      </c>
      <c r="U80" s="19" t="s">
        <v>56</v>
      </c>
      <c r="V80" s="19">
        <v>11</v>
      </c>
      <c r="W80" s="19" t="s">
        <v>55</v>
      </c>
      <c r="X80" s="19" t="s">
        <v>329</v>
      </c>
      <c r="Y80" s="19" t="s">
        <v>330</v>
      </c>
      <c r="Z80" s="19" t="s">
        <v>44</v>
      </c>
    </row>
    <row r="81" spans="1:26" x14ac:dyDescent="0.3">
      <c r="A81" s="19" t="s">
        <v>328</v>
      </c>
      <c r="B81" s="20">
        <v>44743</v>
      </c>
      <c r="C81" s="19" t="s">
        <v>35</v>
      </c>
      <c r="D81" s="19" t="s">
        <v>36</v>
      </c>
      <c r="E81" s="19" t="s">
        <v>36</v>
      </c>
      <c r="F81" s="19" t="s">
        <v>36</v>
      </c>
      <c r="G81" s="19" t="s">
        <v>37</v>
      </c>
      <c r="K81" s="19" t="s">
        <v>38</v>
      </c>
      <c r="L81" s="19" t="s">
        <v>39</v>
      </c>
      <c r="M81" s="19" t="s">
        <v>40</v>
      </c>
      <c r="N81" s="19" t="s">
        <v>41</v>
      </c>
      <c r="R81" s="19" t="s">
        <v>45</v>
      </c>
      <c r="T81" s="21">
        <v>452612.58</v>
      </c>
      <c r="U81" s="19" t="s">
        <v>56</v>
      </c>
      <c r="V81" s="19">
        <v>11</v>
      </c>
      <c r="W81" s="19" t="s">
        <v>55</v>
      </c>
      <c r="X81" s="19" t="s">
        <v>331</v>
      </c>
      <c r="Y81" s="19" t="s">
        <v>330</v>
      </c>
      <c r="Z81" s="19" t="s">
        <v>44</v>
      </c>
    </row>
    <row r="82" spans="1:26" x14ac:dyDescent="0.3">
      <c r="A82" s="19" t="s">
        <v>328</v>
      </c>
      <c r="B82" s="20">
        <v>44773</v>
      </c>
      <c r="C82" s="19" t="s">
        <v>46</v>
      </c>
      <c r="D82" s="19" t="s">
        <v>36</v>
      </c>
      <c r="E82" s="19" t="s">
        <v>36</v>
      </c>
      <c r="F82" s="19" t="s">
        <v>36</v>
      </c>
      <c r="G82" s="19" t="s">
        <v>37</v>
      </c>
      <c r="K82" s="19" t="s">
        <v>38</v>
      </c>
      <c r="L82" s="19" t="s">
        <v>39</v>
      </c>
      <c r="M82" s="19" t="s">
        <v>38</v>
      </c>
      <c r="N82" s="19" t="s">
        <v>41</v>
      </c>
      <c r="R82" s="19" t="s">
        <v>49</v>
      </c>
      <c r="S82" s="21">
        <v>13477.146129999999</v>
      </c>
      <c r="U82" s="19" t="s">
        <v>56</v>
      </c>
      <c r="V82" s="19">
        <v>12</v>
      </c>
      <c r="W82" s="19" t="s">
        <v>57</v>
      </c>
      <c r="X82" s="19" t="s">
        <v>332</v>
      </c>
      <c r="Y82" s="19" t="s">
        <v>333</v>
      </c>
      <c r="Z82" s="19" t="s">
        <v>44</v>
      </c>
    </row>
    <row r="83" spans="1:26" x14ac:dyDescent="0.3">
      <c r="A83" s="19" t="s">
        <v>328</v>
      </c>
      <c r="B83" s="20">
        <v>44773</v>
      </c>
      <c r="C83" s="19" t="s">
        <v>46</v>
      </c>
      <c r="D83" s="19" t="s">
        <v>36</v>
      </c>
      <c r="E83" s="19" t="s">
        <v>36</v>
      </c>
      <c r="F83" s="19" t="s">
        <v>36</v>
      </c>
      <c r="G83" s="19" t="s">
        <v>37</v>
      </c>
      <c r="K83" s="19" t="s">
        <v>38</v>
      </c>
      <c r="L83" s="19" t="s">
        <v>39</v>
      </c>
      <c r="M83" s="19" t="s">
        <v>40</v>
      </c>
      <c r="N83" s="19" t="s">
        <v>41</v>
      </c>
      <c r="R83" s="19" t="s">
        <v>45</v>
      </c>
      <c r="S83" s="21">
        <v>36522.853869999999</v>
      </c>
      <c r="U83" s="19" t="s">
        <v>56</v>
      </c>
      <c r="V83" s="19">
        <v>12</v>
      </c>
      <c r="W83" s="19" t="s">
        <v>57</v>
      </c>
      <c r="X83" s="19" t="s">
        <v>334</v>
      </c>
      <c r="Y83" s="19" t="s">
        <v>333</v>
      </c>
      <c r="Z83" s="19" t="s">
        <v>44</v>
      </c>
    </row>
    <row r="84" spans="1:26" x14ac:dyDescent="0.3">
      <c r="A84" s="19" t="s">
        <v>328</v>
      </c>
      <c r="B84" s="20">
        <v>44773</v>
      </c>
      <c r="C84" s="19" t="s">
        <v>46</v>
      </c>
      <c r="D84" s="19" t="s">
        <v>36</v>
      </c>
      <c r="E84" s="19" t="s">
        <v>36</v>
      </c>
      <c r="F84" s="19" t="s">
        <v>36</v>
      </c>
      <c r="G84" s="19" t="s">
        <v>37</v>
      </c>
      <c r="K84" s="19" t="s">
        <v>38</v>
      </c>
      <c r="L84" s="19" t="s">
        <v>39</v>
      </c>
      <c r="M84" s="19" t="s">
        <v>40</v>
      </c>
      <c r="N84" s="19" t="s">
        <v>41</v>
      </c>
      <c r="R84" s="19" t="s">
        <v>58</v>
      </c>
      <c r="T84" s="21">
        <v>50000</v>
      </c>
      <c r="U84" s="19" t="s">
        <v>56</v>
      </c>
      <c r="V84" s="19">
        <v>12</v>
      </c>
      <c r="W84" s="19" t="s">
        <v>57</v>
      </c>
      <c r="X84" s="19" t="s">
        <v>335</v>
      </c>
      <c r="Y84" s="19" t="s">
        <v>333</v>
      </c>
      <c r="Z84" s="19" t="s">
        <v>44</v>
      </c>
    </row>
    <row r="85" spans="1:26" x14ac:dyDescent="0.3">
      <c r="A85" s="19" t="s">
        <v>336</v>
      </c>
      <c r="B85" s="20">
        <v>44773</v>
      </c>
      <c r="C85" s="19" t="s">
        <v>46</v>
      </c>
      <c r="D85" s="19" t="s">
        <v>36</v>
      </c>
      <c r="E85" s="19" t="s">
        <v>36</v>
      </c>
      <c r="F85" s="19" t="s">
        <v>36</v>
      </c>
      <c r="G85" s="19" t="s">
        <v>37</v>
      </c>
      <c r="K85" s="19" t="s">
        <v>38</v>
      </c>
      <c r="L85" s="19" t="s">
        <v>39</v>
      </c>
      <c r="M85" s="19" t="s">
        <v>40</v>
      </c>
      <c r="N85" s="19" t="s">
        <v>41</v>
      </c>
      <c r="R85" s="19" t="s">
        <v>47</v>
      </c>
      <c r="S85" s="21">
        <v>13264.096149000001</v>
      </c>
      <c r="U85" s="19" t="s">
        <v>56</v>
      </c>
      <c r="V85" s="19">
        <v>8</v>
      </c>
      <c r="W85" s="19" t="s">
        <v>48</v>
      </c>
      <c r="X85" s="19" t="s">
        <v>337</v>
      </c>
      <c r="Y85" s="19" t="s">
        <v>338</v>
      </c>
      <c r="Z85" s="19" t="s">
        <v>44</v>
      </c>
    </row>
    <row r="86" spans="1:26" x14ac:dyDescent="0.3">
      <c r="A86" s="19" t="s">
        <v>336</v>
      </c>
      <c r="B86" s="20">
        <v>44773</v>
      </c>
      <c r="C86" s="19" t="s">
        <v>46</v>
      </c>
      <c r="D86" s="19" t="s">
        <v>36</v>
      </c>
      <c r="E86" s="19" t="s">
        <v>36</v>
      </c>
      <c r="F86" s="19" t="s">
        <v>36</v>
      </c>
      <c r="G86" s="19" t="s">
        <v>37</v>
      </c>
      <c r="K86" s="19" t="s">
        <v>38</v>
      </c>
      <c r="L86" s="19" t="s">
        <v>39</v>
      </c>
      <c r="M86" s="19" t="s">
        <v>38</v>
      </c>
      <c r="N86" s="19" t="s">
        <v>41</v>
      </c>
      <c r="R86" s="19" t="s">
        <v>49</v>
      </c>
      <c r="T86" s="21">
        <v>13264.096149000001</v>
      </c>
      <c r="U86" s="19" t="s">
        <v>56</v>
      </c>
      <c r="V86" s="19">
        <v>8</v>
      </c>
      <c r="W86" s="19" t="s">
        <v>48</v>
      </c>
      <c r="X86" s="19" t="s">
        <v>339</v>
      </c>
      <c r="Y86" s="19" t="s">
        <v>338</v>
      </c>
      <c r="Z86" s="19" t="s">
        <v>44</v>
      </c>
    </row>
    <row r="87" spans="1:26" x14ac:dyDescent="0.3">
      <c r="A87" s="19" t="s">
        <v>336</v>
      </c>
      <c r="B87" s="20">
        <v>44562</v>
      </c>
      <c r="C87" s="19" t="s">
        <v>35</v>
      </c>
      <c r="D87" s="19" t="s">
        <v>36</v>
      </c>
      <c r="E87" s="19" t="s">
        <v>36</v>
      </c>
      <c r="F87" s="19" t="s">
        <v>36</v>
      </c>
      <c r="G87" s="19" t="s">
        <v>37</v>
      </c>
      <c r="K87" s="19" t="s">
        <v>38</v>
      </c>
      <c r="L87" s="19" t="s">
        <v>39</v>
      </c>
      <c r="M87" s="19" t="s">
        <v>40</v>
      </c>
      <c r="N87" s="19" t="s">
        <v>41</v>
      </c>
      <c r="R87" s="19" t="s">
        <v>50</v>
      </c>
      <c r="S87" s="21">
        <v>42330.49</v>
      </c>
      <c r="U87" s="19" t="s">
        <v>56</v>
      </c>
      <c r="V87" s="19">
        <v>10</v>
      </c>
      <c r="W87" s="19" t="s">
        <v>51</v>
      </c>
      <c r="X87" s="19" t="s">
        <v>340</v>
      </c>
      <c r="Y87" s="19" t="s">
        <v>341</v>
      </c>
      <c r="Z87" s="19" t="s">
        <v>44</v>
      </c>
    </row>
    <row r="88" spans="1:26" x14ac:dyDescent="0.3">
      <c r="A88" s="19" t="s">
        <v>336</v>
      </c>
      <c r="B88" s="20">
        <v>44562</v>
      </c>
      <c r="C88" s="19" t="s">
        <v>35</v>
      </c>
      <c r="D88" s="19" t="s">
        <v>36</v>
      </c>
      <c r="E88" s="19" t="s">
        <v>36</v>
      </c>
      <c r="F88" s="19" t="s">
        <v>36</v>
      </c>
      <c r="G88" s="19" t="s">
        <v>37</v>
      </c>
      <c r="K88" s="19" t="s">
        <v>38</v>
      </c>
      <c r="L88" s="19" t="s">
        <v>39</v>
      </c>
      <c r="M88" s="19" t="s">
        <v>40</v>
      </c>
      <c r="N88" s="19" t="s">
        <v>41</v>
      </c>
      <c r="R88" s="19" t="s">
        <v>52</v>
      </c>
      <c r="T88" s="21">
        <v>42330.49</v>
      </c>
      <c r="U88" s="19" t="s">
        <v>56</v>
      </c>
      <c r="V88" s="19">
        <v>10</v>
      </c>
      <c r="W88" s="19" t="s">
        <v>51</v>
      </c>
      <c r="X88" s="19" t="s">
        <v>342</v>
      </c>
      <c r="Y88" s="19" t="s">
        <v>341</v>
      </c>
      <c r="Z88" s="19" t="s">
        <v>44</v>
      </c>
    </row>
    <row r="89" spans="1:26" x14ac:dyDescent="0.3">
      <c r="A89" s="19" t="s">
        <v>336</v>
      </c>
      <c r="B89" s="20">
        <v>44773</v>
      </c>
      <c r="C89" s="19" t="s">
        <v>35</v>
      </c>
      <c r="D89" s="19" t="s">
        <v>36</v>
      </c>
      <c r="E89" s="19" t="s">
        <v>36</v>
      </c>
      <c r="F89" s="19" t="s">
        <v>36</v>
      </c>
      <c r="G89" s="19" t="s">
        <v>37</v>
      </c>
      <c r="K89" s="19" t="s">
        <v>38</v>
      </c>
      <c r="L89" s="19" t="s">
        <v>39</v>
      </c>
      <c r="M89" s="19" t="s">
        <v>40</v>
      </c>
      <c r="N89" s="19" t="s">
        <v>41</v>
      </c>
      <c r="R89" s="19" t="s">
        <v>45</v>
      </c>
      <c r="S89" s="21">
        <v>455252.83</v>
      </c>
      <c r="U89" s="19" t="s">
        <v>56</v>
      </c>
      <c r="V89" s="19">
        <v>11</v>
      </c>
      <c r="W89" s="19" t="s">
        <v>53</v>
      </c>
      <c r="X89" s="19" t="s">
        <v>343</v>
      </c>
      <c r="Y89" s="19" t="s">
        <v>344</v>
      </c>
      <c r="Z89" s="19" t="s">
        <v>44</v>
      </c>
    </row>
    <row r="90" spans="1:26" x14ac:dyDescent="0.3">
      <c r="A90" s="19" t="s">
        <v>336</v>
      </c>
      <c r="B90" s="20">
        <v>44773</v>
      </c>
      <c r="C90" s="19" t="s">
        <v>35</v>
      </c>
      <c r="D90" s="19" t="s">
        <v>36</v>
      </c>
      <c r="E90" s="19" t="s">
        <v>36</v>
      </c>
      <c r="F90" s="19" t="s">
        <v>36</v>
      </c>
      <c r="G90" s="19" t="s">
        <v>37</v>
      </c>
      <c r="K90" s="19" t="s">
        <v>38</v>
      </c>
      <c r="L90" s="19" t="s">
        <v>39</v>
      </c>
      <c r="M90" s="19" t="s">
        <v>40</v>
      </c>
      <c r="N90" s="19" t="s">
        <v>41</v>
      </c>
      <c r="R90" s="19" t="s">
        <v>54</v>
      </c>
      <c r="T90" s="21">
        <v>455252.83</v>
      </c>
      <c r="U90" s="19" t="s">
        <v>56</v>
      </c>
      <c r="V90" s="19">
        <v>11</v>
      </c>
      <c r="W90" s="19" t="s">
        <v>53</v>
      </c>
      <c r="X90" s="19" t="s">
        <v>345</v>
      </c>
      <c r="Y90" s="19" t="s">
        <v>344</v>
      </c>
      <c r="Z90" s="19" t="s">
        <v>44</v>
      </c>
    </row>
    <row r="91" spans="1:26" x14ac:dyDescent="0.3">
      <c r="A91" s="19" t="s">
        <v>346</v>
      </c>
      <c r="B91" s="20">
        <v>44774</v>
      </c>
      <c r="C91" s="19" t="s">
        <v>35</v>
      </c>
      <c r="D91" s="19" t="s">
        <v>36</v>
      </c>
      <c r="E91" s="19" t="s">
        <v>36</v>
      </c>
      <c r="F91" s="19" t="s">
        <v>36</v>
      </c>
      <c r="G91" s="19" t="s">
        <v>37</v>
      </c>
      <c r="K91" s="19" t="s">
        <v>38</v>
      </c>
      <c r="L91" s="19" t="s">
        <v>39</v>
      </c>
      <c r="M91" s="19" t="s">
        <v>40</v>
      </c>
      <c r="N91" s="19" t="s">
        <v>41</v>
      </c>
      <c r="R91" s="19" t="s">
        <v>54</v>
      </c>
      <c r="S91" s="21">
        <v>455252.83</v>
      </c>
      <c r="U91" s="19" t="s">
        <v>56</v>
      </c>
      <c r="V91" s="19">
        <v>11</v>
      </c>
      <c r="W91" s="19" t="s">
        <v>55</v>
      </c>
      <c r="X91" s="19" t="s">
        <v>347</v>
      </c>
      <c r="Y91" s="19" t="s">
        <v>348</v>
      </c>
      <c r="Z91" s="19" t="s">
        <v>44</v>
      </c>
    </row>
    <row r="92" spans="1:26" x14ac:dyDescent="0.3">
      <c r="A92" s="19" t="s">
        <v>346</v>
      </c>
      <c r="B92" s="20">
        <v>44774</v>
      </c>
      <c r="C92" s="19" t="s">
        <v>35</v>
      </c>
      <c r="D92" s="19" t="s">
        <v>36</v>
      </c>
      <c r="E92" s="19" t="s">
        <v>36</v>
      </c>
      <c r="F92" s="19" t="s">
        <v>36</v>
      </c>
      <c r="G92" s="19" t="s">
        <v>37</v>
      </c>
      <c r="K92" s="19" t="s">
        <v>38</v>
      </c>
      <c r="L92" s="19" t="s">
        <v>39</v>
      </c>
      <c r="M92" s="19" t="s">
        <v>40</v>
      </c>
      <c r="N92" s="19" t="s">
        <v>41</v>
      </c>
      <c r="R92" s="19" t="s">
        <v>45</v>
      </c>
      <c r="T92" s="21">
        <v>455252.83</v>
      </c>
      <c r="U92" s="19" t="s">
        <v>56</v>
      </c>
      <c r="V92" s="19">
        <v>11</v>
      </c>
      <c r="W92" s="19" t="s">
        <v>55</v>
      </c>
      <c r="X92" s="19" t="s">
        <v>349</v>
      </c>
      <c r="Y92" s="19" t="s">
        <v>348</v>
      </c>
      <c r="Z92" s="19" t="s">
        <v>44</v>
      </c>
    </row>
    <row r="93" spans="1:26" x14ac:dyDescent="0.3">
      <c r="A93" s="19" t="s">
        <v>346</v>
      </c>
      <c r="B93" s="20">
        <v>44804</v>
      </c>
      <c r="C93" s="19" t="s">
        <v>46</v>
      </c>
      <c r="D93" s="19" t="s">
        <v>36</v>
      </c>
      <c r="E93" s="19" t="s">
        <v>36</v>
      </c>
      <c r="F93" s="19" t="s">
        <v>36</v>
      </c>
      <c r="G93" s="19" t="s">
        <v>37</v>
      </c>
      <c r="K93" s="19" t="s">
        <v>38</v>
      </c>
      <c r="L93" s="19" t="s">
        <v>39</v>
      </c>
      <c r="M93" s="19" t="s">
        <v>38</v>
      </c>
      <c r="N93" s="19" t="s">
        <v>41</v>
      </c>
      <c r="R93" s="19" t="s">
        <v>49</v>
      </c>
      <c r="S93" s="21">
        <v>13264.096149000001</v>
      </c>
      <c r="U93" s="19" t="s">
        <v>56</v>
      </c>
      <c r="V93" s="19">
        <v>12</v>
      </c>
      <c r="W93" s="19" t="s">
        <v>57</v>
      </c>
      <c r="X93" s="19" t="s">
        <v>350</v>
      </c>
      <c r="Y93" s="19" t="s">
        <v>351</v>
      </c>
      <c r="Z93" s="19" t="s">
        <v>44</v>
      </c>
    </row>
    <row r="94" spans="1:26" x14ac:dyDescent="0.3">
      <c r="A94" s="19" t="s">
        <v>346</v>
      </c>
      <c r="B94" s="20">
        <v>44804</v>
      </c>
      <c r="C94" s="19" t="s">
        <v>46</v>
      </c>
      <c r="D94" s="19" t="s">
        <v>36</v>
      </c>
      <c r="E94" s="19" t="s">
        <v>36</v>
      </c>
      <c r="F94" s="19" t="s">
        <v>36</v>
      </c>
      <c r="G94" s="19" t="s">
        <v>37</v>
      </c>
      <c r="K94" s="19" t="s">
        <v>38</v>
      </c>
      <c r="L94" s="19" t="s">
        <v>39</v>
      </c>
      <c r="M94" s="19" t="s">
        <v>40</v>
      </c>
      <c r="N94" s="19" t="s">
        <v>41</v>
      </c>
      <c r="R94" s="19" t="s">
        <v>45</v>
      </c>
      <c r="S94" s="21">
        <v>36735.903851000003</v>
      </c>
      <c r="U94" s="19" t="s">
        <v>56</v>
      </c>
      <c r="V94" s="19">
        <v>12</v>
      </c>
      <c r="W94" s="19" t="s">
        <v>57</v>
      </c>
      <c r="X94" s="19" t="s">
        <v>352</v>
      </c>
      <c r="Y94" s="19" t="s">
        <v>351</v>
      </c>
      <c r="Z94" s="19" t="s">
        <v>44</v>
      </c>
    </row>
    <row r="95" spans="1:26" x14ac:dyDescent="0.3">
      <c r="A95" s="19" t="s">
        <v>346</v>
      </c>
      <c r="B95" s="20">
        <v>44804</v>
      </c>
      <c r="C95" s="19" t="s">
        <v>46</v>
      </c>
      <c r="D95" s="19" t="s">
        <v>36</v>
      </c>
      <c r="E95" s="19" t="s">
        <v>36</v>
      </c>
      <c r="F95" s="19" t="s">
        <v>36</v>
      </c>
      <c r="G95" s="19" t="s">
        <v>37</v>
      </c>
      <c r="K95" s="19" t="s">
        <v>38</v>
      </c>
      <c r="L95" s="19" t="s">
        <v>39</v>
      </c>
      <c r="M95" s="19" t="s">
        <v>40</v>
      </c>
      <c r="N95" s="19" t="s">
        <v>41</v>
      </c>
      <c r="R95" s="19" t="s">
        <v>58</v>
      </c>
      <c r="T95" s="21">
        <v>50000</v>
      </c>
      <c r="U95" s="19" t="s">
        <v>56</v>
      </c>
      <c r="V95" s="19">
        <v>12</v>
      </c>
      <c r="W95" s="19" t="s">
        <v>57</v>
      </c>
      <c r="X95" s="19" t="s">
        <v>353</v>
      </c>
      <c r="Y95" s="19" t="s">
        <v>351</v>
      </c>
      <c r="Z95" s="19" t="s">
        <v>44</v>
      </c>
    </row>
    <row r="96" spans="1:26" x14ac:dyDescent="0.3">
      <c r="A96" s="19" t="s">
        <v>354</v>
      </c>
      <c r="B96" s="20">
        <v>44804</v>
      </c>
      <c r="C96" s="19" t="s">
        <v>46</v>
      </c>
      <c r="D96" s="19" t="s">
        <v>36</v>
      </c>
      <c r="E96" s="19" t="s">
        <v>36</v>
      </c>
      <c r="F96" s="19" t="s">
        <v>36</v>
      </c>
      <c r="G96" s="19" t="s">
        <v>37</v>
      </c>
      <c r="K96" s="19" t="s">
        <v>38</v>
      </c>
      <c r="L96" s="19" t="s">
        <v>39</v>
      </c>
      <c r="M96" s="19" t="s">
        <v>40</v>
      </c>
      <c r="N96" s="19" t="s">
        <v>41</v>
      </c>
      <c r="R96" s="19" t="s">
        <v>47</v>
      </c>
      <c r="S96" s="21">
        <v>13049.803377</v>
      </c>
      <c r="U96" s="19" t="s">
        <v>56</v>
      </c>
      <c r="V96" s="19">
        <v>8</v>
      </c>
      <c r="W96" s="19" t="s">
        <v>48</v>
      </c>
      <c r="X96" s="19" t="s">
        <v>355</v>
      </c>
      <c r="Y96" s="19" t="s">
        <v>356</v>
      </c>
      <c r="Z96" s="19" t="s">
        <v>44</v>
      </c>
    </row>
    <row r="97" spans="1:26" x14ac:dyDescent="0.3">
      <c r="A97" s="19" t="s">
        <v>354</v>
      </c>
      <c r="B97" s="20">
        <v>44804</v>
      </c>
      <c r="C97" s="19" t="s">
        <v>46</v>
      </c>
      <c r="D97" s="19" t="s">
        <v>36</v>
      </c>
      <c r="E97" s="19" t="s">
        <v>36</v>
      </c>
      <c r="F97" s="19" t="s">
        <v>36</v>
      </c>
      <c r="G97" s="19" t="s">
        <v>37</v>
      </c>
      <c r="K97" s="19" t="s">
        <v>38</v>
      </c>
      <c r="L97" s="19" t="s">
        <v>39</v>
      </c>
      <c r="M97" s="19" t="s">
        <v>38</v>
      </c>
      <c r="N97" s="19" t="s">
        <v>41</v>
      </c>
      <c r="R97" s="19" t="s">
        <v>49</v>
      </c>
      <c r="T97" s="21">
        <v>13049.803377</v>
      </c>
      <c r="U97" s="19" t="s">
        <v>56</v>
      </c>
      <c r="V97" s="19">
        <v>8</v>
      </c>
      <c r="W97" s="19" t="s">
        <v>48</v>
      </c>
      <c r="X97" s="19" t="s">
        <v>357</v>
      </c>
      <c r="Y97" s="19" t="s">
        <v>356</v>
      </c>
      <c r="Z97" s="19" t="s">
        <v>44</v>
      </c>
    </row>
    <row r="98" spans="1:26" x14ac:dyDescent="0.3">
      <c r="A98" s="19" t="s">
        <v>354</v>
      </c>
      <c r="B98" s="20">
        <v>44562</v>
      </c>
      <c r="C98" s="19" t="s">
        <v>35</v>
      </c>
      <c r="D98" s="19" t="s">
        <v>36</v>
      </c>
      <c r="E98" s="19" t="s">
        <v>36</v>
      </c>
      <c r="F98" s="19" t="s">
        <v>36</v>
      </c>
      <c r="G98" s="19" t="s">
        <v>37</v>
      </c>
      <c r="K98" s="19" t="s">
        <v>38</v>
      </c>
      <c r="L98" s="19" t="s">
        <v>39</v>
      </c>
      <c r="M98" s="19" t="s">
        <v>40</v>
      </c>
      <c r="N98" s="19" t="s">
        <v>41</v>
      </c>
      <c r="R98" s="19" t="s">
        <v>50</v>
      </c>
      <c r="S98" s="21">
        <v>42330.49</v>
      </c>
      <c r="U98" s="19" t="s">
        <v>56</v>
      </c>
      <c r="V98" s="19">
        <v>10</v>
      </c>
      <c r="W98" s="19" t="s">
        <v>51</v>
      </c>
      <c r="X98" s="19" t="s">
        <v>358</v>
      </c>
      <c r="Y98" s="19" t="s">
        <v>359</v>
      </c>
      <c r="Z98" s="19" t="s">
        <v>44</v>
      </c>
    </row>
    <row r="99" spans="1:26" x14ac:dyDescent="0.3">
      <c r="A99" s="19" t="s">
        <v>354</v>
      </c>
      <c r="B99" s="20">
        <v>44562</v>
      </c>
      <c r="C99" s="19" t="s">
        <v>35</v>
      </c>
      <c r="D99" s="19" t="s">
        <v>36</v>
      </c>
      <c r="E99" s="19" t="s">
        <v>36</v>
      </c>
      <c r="F99" s="19" t="s">
        <v>36</v>
      </c>
      <c r="G99" s="19" t="s">
        <v>37</v>
      </c>
      <c r="K99" s="19" t="s">
        <v>38</v>
      </c>
      <c r="L99" s="19" t="s">
        <v>39</v>
      </c>
      <c r="M99" s="19" t="s">
        <v>40</v>
      </c>
      <c r="N99" s="19" t="s">
        <v>41</v>
      </c>
      <c r="R99" s="19" t="s">
        <v>52</v>
      </c>
      <c r="T99" s="21">
        <v>42330.49</v>
      </c>
      <c r="U99" s="19" t="s">
        <v>56</v>
      </c>
      <c r="V99" s="19">
        <v>10</v>
      </c>
      <c r="W99" s="19" t="s">
        <v>51</v>
      </c>
      <c r="X99" s="19" t="s">
        <v>360</v>
      </c>
      <c r="Y99" s="19" t="s">
        <v>359</v>
      </c>
      <c r="Z99" s="19" t="s">
        <v>44</v>
      </c>
    </row>
    <row r="100" spans="1:26" x14ac:dyDescent="0.3">
      <c r="A100" s="19" t="s">
        <v>354</v>
      </c>
      <c r="B100" s="20">
        <v>44804</v>
      </c>
      <c r="C100" s="19" t="s">
        <v>35</v>
      </c>
      <c r="D100" s="19" t="s">
        <v>36</v>
      </c>
      <c r="E100" s="19" t="s">
        <v>36</v>
      </c>
      <c r="F100" s="19" t="s">
        <v>36</v>
      </c>
      <c r="G100" s="19" t="s">
        <v>37</v>
      </c>
      <c r="K100" s="19" t="s">
        <v>38</v>
      </c>
      <c r="L100" s="19" t="s">
        <v>39</v>
      </c>
      <c r="M100" s="19" t="s">
        <v>40</v>
      </c>
      <c r="N100" s="19" t="s">
        <v>41</v>
      </c>
      <c r="R100" s="19" t="s">
        <v>45</v>
      </c>
      <c r="S100" s="21">
        <v>457908.46</v>
      </c>
      <c r="U100" s="19" t="s">
        <v>56</v>
      </c>
      <c r="V100" s="19">
        <v>11</v>
      </c>
      <c r="W100" s="19" t="s">
        <v>53</v>
      </c>
      <c r="X100" s="19" t="s">
        <v>361</v>
      </c>
      <c r="Y100" s="19" t="s">
        <v>362</v>
      </c>
      <c r="Z100" s="19" t="s">
        <v>44</v>
      </c>
    </row>
    <row r="101" spans="1:26" x14ac:dyDescent="0.3">
      <c r="A101" s="19" t="s">
        <v>354</v>
      </c>
      <c r="B101" s="20">
        <v>44804</v>
      </c>
      <c r="C101" s="19" t="s">
        <v>35</v>
      </c>
      <c r="D101" s="19" t="s">
        <v>36</v>
      </c>
      <c r="E101" s="19" t="s">
        <v>36</v>
      </c>
      <c r="F101" s="19" t="s">
        <v>36</v>
      </c>
      <c r="G101" s="19" t="s">
        <v>37</v>
      </c>
      <c r="K101" s="19" t="s">
        <v>38</v>
      </c>
      <c r="L101" s="19" t="s">
        <v>39</v>
      </c>
      <c r="M101" s="19" t="s">
        <v>40</v>
      </c>
      <c r="N101" s="19" t="s">
        <v>41</v>
      </c>
      <c r="R101" s="19" t="s">
        <v>54</v>
      </c>
      <c r="T101" s="21">
        <v>457908.46</v>
      </c>
      <c r="U101" s="19" t="s">
        <v>56</v>
      </c>
      <c r="V101" s="19">
        <v>11</v>
      </c>
      <c r="W101" s="19" t="s">
        <v>53</v>
      </c>
      <c r="X101" s="19" t="s">
        <v>363</v>
      </c>
      <c r="Y101" s="19" t="s">
        <v>362</v>
      </c>
      <c r="Z101" s="19" t="s">
        <v>44</v>
      </c>
    </row>
    <row r="102" spans="1:26" x14ac:dyDescent="0.3">
      <c r="A102" s="19" t="s">
        <v>364</v>
      </c>
      <c r="B102" s="20">
        <v>44805</v>
      </c>
      <c r="C102" s="19" t="s">
        <v>35</v>
      </c>
      <c r="D102" s="19" t="s">
        <v>36</v>
      </c>
      <c r="E102" s="19" t="s">
        <v>36</v>
      </c>
      <c r="F102" s="19" t="s">
        <v>36</v>
      </c>
      <c r="G102" s="19" t="s">
        <v>37</v>
      </c>
      <c r="K102" s="19" t="s">
        <v>38</v>
      </c>
      <c r="L102" s="19" t="s">
        <v>39</v>
      </c>
      <c r="M102" s="19" t="s">
        <v>40</v>
      </c>
      <c r="N102" s="19" t="s">
        <v>41</v>
      </c>
      <c r="R102" s="19" t="s">
        <v>54</v>
      </c>
      <c r="S102" s="21">
        <v>457908.46</v>
      </c>
      <c r="U102" s="19" t="s">
        <v>56</v>
      </c>
      <c r="V102" s="19">
        <v>11</v>
      </c>
      <c r="W102" s="19" t="s">
        <v>55</v>
      </c>
      <c r="X102" s="19" t="s">
        <v>365</v>
      </c>
      <c r="Y102" s="19" t="s">
        <v>366</v>
      </c>
      <c r="Z102" s="19" t="s">
        <v>44</v>
      </c>
    </row>
    <row r="103" spans="1:26" x14ac:dyDescent="0.3">
      <c r="A103" s="19" t="s">
        <v>364</v>
      </c>
      <c r="B103" s="20">
        <v>44805</v>
      </c>
      <c r="C103" s="19" t="s">
        <v>35</v>
      </c>
      <c r="D103" s="19" t="s">
        <v>36</v>
      </c>
      <c r="E103" s="19" t="s">
        <v>36</v>
      </c>
      <c r="F103" s="19" t="s">
        <v>36</v>
      </c>
      <c r="G103" s="19" t="s">
        <v>37</v>
      </c>
      <c r="K103" s="19" t="s">
        <v>38</v>
      </c>
      <c r="L103" s="19" t="s">
        <v>39</v>
      </c>
      <c r="M103" s="19" t="s">
        <v>40</v>
      </c>
      <c r="N103" s="19" t="s">
        <v>41</v>
      </c>
      <c r="R103" s="19" t="s">
        <v>45</v>
      </c>
      <c r="T103" s="21">
        <v>457908.46</v>
      </c>
      <c r="U103" s="19" t="s">
        <v>56</v>
      </c>
      <c r="V103" s="19">
        <v>11</v>
      </c>
      <c r="W103" s="19" t="s">
        <v>55</v>
      </c>
      <c r="X103" s="19" t="s">
        <v>367</v>
      </c>
      <c r="Y103" s="19" t="s">
        <v>366</v>
      </c>
      <c r="Z103" s="19" t="s">
        <v>44</v>
      </c>
    </row>
    <row r="104" spans="1:26" x14ac:dyDescent="0.3">
      <c r="A104" s="19" t="s">
        <v>364</v>
      </c>
      <c r="B104" s="20">
        <v>44834</v>
      </c>
      <c r="C104" s="19" t="s">
        <v>46</v>
      </c>
      <c r="D104" s="19" t="s">
        <v>36</v>
      </c>
      <c r="E104" s="19" t="s">
        <v>36</v>
      </c>
      <c r="F104" s="19" t="s">
        <v>36</v>
      </c>
      <c r="G104" s="19" t="s">
        <v>37</v>
      </c>
      <c r="K104" s="19" t="s">
        <v>38</v>
      </c>
      <c r="L104" s="19" t="s">
        <v>39</v>
      </c>
      <c r="M104" s="19" t="s">
        <v>38</v>
      </c>
      <c r="N104" s="19" t="s">
        <v>41</v>
      </c>
      <c r="R104" s="19" t="s">
        <v>49</v>
      </c>
      <c r="S104" s="21">
        <v>13049.803377</v>
      </c>
      <c r="U104" s="19" t="s">
        <v>56</v>
      </c>
      <c r="V104" s="19">
        <v>12</v>
      </c>
      <c r="W104" s="19" t="s">
        <v>57</v>
      </c>
      <c r="X104" s="19" t="s">
        <v>368</v>
      </c>
      <c r="Y104" s="19" t="s">
        <v>369</v>
      </c>
      <c r="Z104" s="19" t="s">
        <v>44</v>
      </c>
    </row>
    <row r="105" spans="1:26" x14ac:dyDescent="0.3">
      <c r="A105" s="19" t="s">
        <v>364</v>
      </c>
      <c r="B105" s="20">
        <v>44834</v>
      </c>
      <c r="C105" s="19" t="s">
        <v>46</v>
      </c>
      <c r="D105" s="19" t="s">
        <v>36</v>
      </c>
      <c r="E105" s="19" t="s">
        <v>36</v>
      </c>
      <c r="F105" s="19" t="s">
        <v>36</v>
      </c>
      <c r="G105" s="19" t="s">
        <v>37</v>
      </c>
      <c r="K105" s="19" t="s">
        <v>38</v>
      </c>
      <c r="L105" s="19" t="s">
        <v>39</v>
      </c>
      <c r="M105" s="19" t="s">
        <v>40</v>
      </c>
      <c r="N105" s="19" t="s">
        <v>41</v>
      </c>
      <c r="R105" s="19" t="s">
        <v>45</v>
      </c>
      <c r="S105" s="21">
        <v>36950.196623000003</v>
      </c>
      <c r="U105" s="19" t="s">
        <v>56</v>
      </c>
      <c r="V105" s="19">
        <v>12</v>
      </c>
      <c r="W105" s="19" t="s">
        <v>57</v>
      </c>
      <c r="X105" s="19" t="s">
        <v>370</v>
      </c>
      <c r="Y105" s="19" t="s">
        <v>369</v>
      </c>
      <c r="Z105" s="19" t="s">
        <v>44</v>
      </c>
    </row>
    <row r="106" spans="1:26" x14ac:dyDescent="0.3">
      <c r="A106" s="19" t="s">
        <v>364</v>
      </c>
      <c r="B106" s="20">
        <v>44834</v>
      </c>
      <c r="C106" s="19" t="s">
        <v>46</v>
      </c>
      <c r="D106" s="19" t="s">
        <v>36</v>
      </c>
      <c r="E106" s="19" t="s">
        <v>36</v>
      </c>
      <c r="F106" s="19" t="s">
        <v>36</v>
      </c>
      <c r="G106" s="19" t="s">
        <v>37</v>
      </c>
      <c r="K106" s="19" t="s">
        <v>38</v>
      </c>
      <c r="L106" s="19" t="s">
        <v>39</v>
      </c>
      <c r="M106" s="19" t="s">
        <v>40</v>
      </c>
      <c r="N106" s="19" t="s">
        <v>41</v>
      </c>
      <c r="R106" s="19" t="s">
        <v>58</v>
      </c>
      <c r="T106" s="21">
        <v>50000</v>
      </c>
      <c r="U106" s="19" t="s">
        <v>56</v>
      </c>
      <c r="V106" s="19">
        <v>12</v>
      </c>
      <c r="W106" s="19" t="s">
        <v>57</v>
      </c>
      <c r="X106" s="19" t="s">
        <v>371</v>
      </c>
      <c r="Y106" s="19" t="s">
        <v>369</v>
      </c>
      <c r="Z106" s="19" t="s">
        <v>44</v>
      </c>
    </row>
    <row r="107" spans="1:26" x14ac:dyDescent="0.3">
      <c r="A107" s="19" t="s">
        <v>372</v>
      </c>
      <c r="B107" s="20">
        <v>44834</v>
      </c>
      <c r="C107" s="19" t="s">
        <v>46</v>
      </c>
      <c r="D107" s="19" t="s">
        <v>36</v>
      </c>
      <c r="E107" s="19" t="s">
        <v>36</v>
      </c>
      <c r="F107" s="19" t="s">
        <v>36</v>
      </c>
      <c r="G107" s="19" t="s">
        <v>37</v>
      </c>
      <c r="K107" s="19" t="s">
        <v>38</v>
      </c>
      <c r="L107" s="19" t="s">
        <v>39</v>
      </c>
      <c r="M107" s="19" t="s">
        <v>40</v>
      </c>
      <c r="N107" s="19" t="s">
        <v>41</v>
      </c>
      <c r="R107" s="19" t="s">
        <v>47</v>
      </c>
      <c r="S107" s="21">
        <v>12834.260563</v>
      </c>
      <c r="U107" s="19" t="s">
        <v>56</v>
      </c>
      <c r="V107" s="19">
        <v>8</v>
      </c>
      <c r="W107" s="19" t="s">
        <v>48</v>
      </c>
      <c r="X107" s="19" t="s">
        <v>373</v>
      </c>
      <c r="Y107" s="19" t="s">
        <v>374</v>
      </c>
      <c r="Z107" s="19" t="s">
        <v>44</v>
      </c>
    </row>
    <row r="108" spans="1:26" x14ac:dyDescent="0.3">
      <c r="A108" s="19" t="s">
        <v>372</v>
      </c>
      <c r="B108" s="20">
        <v>44834</v>
      </c>
      <c r="C108" s="19" t="s">
        <v>46</v>
      </c>
      <c r="D108" s="19" t="s">
        <v>36</v>
      </c>
      <c r="E108" s="19" t="s">
        <v>36</v>
      </c>
      <c r="F108" s="19" t="s">
        <v>36</v>
      </c>
      <c r="G108" s="19" t="s">
        <v>37</v>
      </c>
      <c r="K108" s="19" t="s">
        <v>38</v>
      </c>
      <c r="L108" s="19" t="s">
        <v>39</v>
      </c>
      <c r="M108" s="19" t="s">
        <v>38</v>
      </c>
      <c r="N108" s="19" t="s">
        <v>41</v>
      </c>
      <c r="R108" s="19" t="s">
        <v>49</v>
      </c>
      <c r="T108" s="21">
        <v>12834.260563</v>
      </c>
      <c r="U108" s="19" t="s">
        <v>56</v>
      </c>
      <c r="V108" s="19">
        <v>8</v>
      </c>
      <c r="W108" s="19" t="s">
        <v>48</v>
      </c>
      <c r="X108" s="19" t="s">
        <v>375</v>
      </c>
      <c r="Y108" s="19" t="s">
        <v>374</v>
      </c>
      <c r="Z108" s="19" t="s">
        <v>44</v>
      </c>
    </row>
    <row r="109" spans="1:26" x14ac:dyDescent="0.3">
      <c r="A109" s="19" t="s">
        <v>372</v>
      </c>
      <c r="B109" s="20">
        <v>44562</v>
      </c>
      <c r="C109" s="19" t="s">
        <v>35</v>
      </c>
      <c r="D109" s="19" t="s">
        <v>36</v>
      </c>
      <c r="E109" s="19" t="s">
        <v>36</v>
      </c>
      <c r="F109" s="19" t="s">
        <v>36</v>
      </c>
      <c r="G109" s="19" t="s">
        <v>37</v>
      </c>
      <c r="K109" s="19" t="s">
        <v>38</v>
      </c>
      <c r="L109" s="19" t="s">
        <v>39</v>
      </c>
      <c r="M109" s="19" t="s">
        <v>40</v>
      </c>
      <c r="N109" s="19" t="s">
        <v>41</v>
      </c>
      <c r="R109" s="19" t="s">
        <v>50</v>
      </c>
      <c r="S109" s="21">
        <v>42330.49</v>
      </c>
      <c r="U109" s="19" t="s">
        <v>56</v>
      </c>
      <c r="V109" s="19">
        <v>10</v>
      </c>
      <c r="W109" s="19" t="s">
        <v>51</v>
      </c>
      <c r="X109" s="19" t="s">
        <v>376</v>
      </c>
      <c r="Y109" s="19" t="s">
        <v>377</v>
      </c>
      <c r="Z109" s="19" t="s">
        <v>44</v>
      </c>
    </row>
    <row r="110" spans="1:26" x14ac:dyDescent="0.3">
      <c r="A110" s="19" t="s">
        <v>372</v>
      </c>
      <c r="B110" s="20">
        <v>44562</v>
      </c>
      <c r="C110" s="19" t="s">
        <v>35</v>
      </c>
      <c r="D110" s="19" t="s">
        <v>36</v>
      </c>
      <c r="E110" s="19" t="s">
        <v>36</v>
      </c>
      <c r="F110" s="19" t="s">
        <v>36</v>
      </c>
      <c r="G110" s="19" t="s">
        <v>37</v>
      </c>
      <c r="K110" s="19" t="s">
        <v>38</v>
      </c>
      <c r="L110" s="19" t="s">
        <v>39</v>
      </c>
      <c r="M110" s="19" t="s">
        <v>40</v>
      </c>
      <c r="N110" s="19" t="s">
        <v>41</v>
      </c>
      <c r="R110" s="19" t="s">
        <v>52</v>
      </c>
      <c r="T110" s="21">
        <v>42330.49</v>
      </c>
      <c r="U110" s="19" t="s">
        <v>56</v>
      </c>
      <c r="V110" s="19">
        <v>10</v>
      </c>
      <c r="W110" s="19" t="s">
        <v>51</v>
      </c>
      <c r="X110" s="19" t="s">
        <v>378</v>
      </c>
      <c r="Y110" s="19" t="s">
        <v>377</v>
      </c>
      <c r="Z110" s="19" t="s">
        <v>44</v>
      </c>
    </row>
    <row r="111" spans="1:26" x14ac:dyDescent="0.3">
      <c r="A111" s="19" t="s">
        <v>372</v>
      </c>
      <c r="B111" s="20">
        <v>44834</v>
      </c>
      <c r="C111" s="19" t="s">
        <v>35</v>
      </c>
      <c r="D111" s="19" t="s">
        <v>36</v>
      </c>
      <c r="E111" s="19" t="s">
        <v>36</v>
      </c>
      <c r="F111" s="19" t="s">
        <v>36</v>
      </c>
      <c r="G111" s="19" t="s">
        <v>37</v>
      </c>
      <c r="K111" s="19" t="s">
        <v>38</v>
      </c>
      <c r="L111" s="19" t="s">
        <v>39</v>
      </c>
      <c r="M111" s="19" t="s">
        <v>40</v>
      </c>
      <c r="N111" s="19" t="s">
        <v>41</v>
      </c>
      <c r="R111" s="19" t="s">
        <v>45</v>
      </c>
      <c r="S111" s="21">
        <v>460579.59</v>
      </c>
      <c r="U111" s="19" t="s">
        <v>56</v>
      </c>
      <c r="V111" s="19">
        <v>11</v>
      </c>
      <c r="W111" s="19" t="s">
        <v>53</v>
      </c>
      <c r="X111" s="19" t="s">
        <v>379</v>
      </c>
      <c r="Y111" s="19" t="s">
        <v>380</v>
      </c>
      <c r="Z111" s="19" t="s">
        <v>44</v>
      </c>
    </row>
    <row r="112" spans="1:26" x14ac:dyDescent="0.3">
      <c r="A112" s="19" t="s">
        <v>372</v>
      </c>
      <c r="B112" s="20">
        <v>44834</v>
      </c>
      <c r="C112" s="19" t="s">
        <v>35</v>
      </c>
      <c r="D112" s="19" t="s">
        <v>36</v>
      </c>
      <c r="E112" s="19" t="s">
        <v>36</v>
      </c>
      <c r="F112" s="19" t="s">
        <v>36</v>
      </c>
      <c r="G112" s="19" t="s">
        <v>37</v>
      </c>
      <c r="K112" s="19" t="s">
        <v>38</v>
      </c>
      <c r="L112" s="19" t="s">
        <v>39</v>
      </c>
      <c r="M112" s="19" t="s">
        <v>40</v>
      </c>
      <c r="N112" s="19" t="s">
        <v>41</v>
      </c>
      <c r="R112" s="19" t="s">
        <v>54</v>
      </c>
      <c r="T112" s="21">
        <v>460579.59</v>
      </c>
      <c r="U112" s="19" t="s">
        <v>56</v>
      </c>
      <c r="V112" s="19">
        <v>11</v>
      </c>
      <c r="W112" s="19" t="s">
        <v>53</v>
      </c>
      <c r="X112" s="19" t="s">
        <v>381</v>
      </c>
      <c r="Y112" s="19" t="s">
        <v>380</v>
      </c>
      <c r="Z112" s="19" t="s">
        <v>44</v>
      </c>
    </row>
    <row r="113" spans="1:26" x14ac:dyDescent="0.3">
      <c r="A113" s="19" t="s">
        <v>34</v>
      </c>
      <c r="B113" s="20">
        <v>44835</v>
      </c>
      <c r="C113" s="19" t="s">
        <v>35</v>
      </c>
      <c r="D113" s="19" t="s">
        <v>36</v>
      </c>
      <c r="E113" s="19" t="s">
        <v>36</v>
      </c>
      <c r="F113" s="19" t="s">
        <v>36</v>
      </c>
      <c r="G113" s="19" t="s">
        <v>37</v>
      </c>
      <c r="K113" s="19" t="s">
        <v>38</v>
      </c>
      <c r="L113" s="19" t="s">
        <v>39</v>
      </c>
      <c r="M113" s="19" t="s">
        <v>40</v>
      </c>
      <c r="N113" s="19" t="s">
        <v>41</v>
      </c>
      <c r="R113" s="19" t="s">
        <v>54</v>
      </c>
      <c r="S113" s="21">
        <v>460579.59</v>
      </c>
      <c r="U113" s="19" t="s">
        <v>56</v>
      </c>
      <c r="V113" s="19">
        <v>11</v>
      </c>
      <c r="W113" s="19" t="s">
        <v>55</v>
      </c>
      <c r="X113" s="19" t="s">
        <v>382</v>
      </c>
      <c r="Y113" s="19" t="s">
        <v>383</v>
      </c>
      <c r="Z113" s="19" t="s">
        <v>44</v>
      </c>
    </row>
    <row r="114" spans="1:26" x14ac:dyDescent="0.3">
      <c r="A114" s="19" t="s">
        <v>34</v>
      </c>
      <c r="B114" s="20">
        <v>44835</v>
      </c>
      <c r="C114" s="19" t="s">
        <v>35</v>
      </c>
      <c r="D114" s="19" t="s">
        <v>36</v>
      </c>
      <c r="E114" s="19" t="s">
        <v>36</v>
      </c>
      <c r="F114" s="19" t="s">
        <v>36</v>
      </c>
      <c r="G114" s="19" t="s">
        <v>37</v>
      </c>
      <c r="K114" s="19" t="s">
        <v>38</v>
      </c>
      <c r="L114" s="19" t="s">
        <v>39</v>
      </c>
      <c r="M114" s="19" t="s">
        <v>40</v>
      </c>
      <c r="N114" s="19" t="s">
        <v>41</v>
      </c>
      <c r="R114" s="19" t="s">
        <v>45</v>
      </c>
      <c r="T114" s="21">
        <v>460579.59</v>
      </c>
      <c r="U114" s="19" t="s">
        <v>56</v>
      </c>
      <c r="V114" s="19">
        <v>11</v>
      </c>
      <c r="W114" s="19" t="s">
        <v>55</v>
      </c>
      <c r="X114" s="19" t="s">
        <v>384</v>
      </c>
      <c r="Y114" s="19" t="s">
        <v>383</v>
      </c>
      <c r="Z114" s="19" t="s">
        <v>44</v>
      </c>
    </row>
    <row r="115" spans="1:26" x14ac:dyDescent="0.3">
      <c r="A115" s="19" t="s">
        <v>34</v>
      </c>
      <c r="B115" s="20">
        <v>44865</v>
      </c>
      <c r="C115" s="19" t="s">
        <v>46</v>
      </c>
      <c r="D115" s="19" t="s">
        <v>36</v>
      </c>
      <c r="E115" s="19" t="s">
        <v>36</v>
      </c>
      <c r="F115" s="19" t="s">
        <v>36</v>
      </c>
      <c r="G115" s="19" t="s">
        <v>37</v>
      </c>
      <c r="K115" s="19" t="s">
        <v>38</v>
      </c>
      <c r="L115" s="19" t="s">
        <v>39</v>
      </c>
      <c r="M115" s="19" t="s">
        <v>38</v>
      </c>
      <c r="N115" s="19" t="s">
        <v>41</v>
      </c>
      <c r="R115" s="19" t="s">
        <v>49</v>
      </c>
      <c r="S115" s="21">
        <v>12834.260563</v>
      </c>
      <c r="U115" s="19" t="s">
        <v>56</v>
      </c>
      <c r="V115" s="19">
        <v>12</v>
      </c>
      <c r="W115" s="19" t="s">
        <v>57</v>
      </c>
      <c r="X115" s="19" t="s">
        <v>385</v>
      </c>
      <c r="Y115" s="19" t="s">
        <v>386</v>
      </c>
      <c r="Z115" s="19" t="s">
        <v>44</v>
      </c>
    </row>
    <row r="116" spans="1:26" x14ac:dyDescent="0.3">
      <c r="A116" s="19" t="s">
        <v>34</v>
      </c>
      <c r="B116" s="20">
        <v>44865</v>
      </c>
      <c r="C116" s="19" t="s">
        <v>46</v>
      </c>
      <c r="D116" s="19" t="s">
        <v>36</v>
      </c>
      <c r="E116" s="19" t="s">
        <v>36</v>
      </c>
      <c r="F116" s="19" t="s">
        <v>36</v>
      </c>
      <c r="G116" s="19" t="s">
        <v>37</v>
      </c>
      <c r="K116" s="19" t="s">
        <v>38</v>
      </c>
      <c r="L116" s="19" t="s">
        <v>39</v>
      </c>
      <c r="M116" s="19" t="s">
        <v>40</v>
      </c>
      <c r="N116" s="19" t="s">
        <v>41</v>
      </c>
      <c r="R116" s="19" t="s">
        <v>45</v>
      </c>
      <c r="S116" s="21">
        <v>37165.739436999997</v>
      </c>
      <c r="U116" s="19" t="s">
        <v>56</v>
      </c>
      <c r="V116" s="19">
        <v>12</v>
      </c>
      <c r="W116" s="19" t="s">
        <v>57</v>
      </c>
      <c r="X116" s="19" t="s">
        <v>387</v>
      </c>
      <c r="Y116" s="19" t="s">
        <v>386</v>
      </c>
      <c r="Z116" s="19" t="s">
        <v>44</v>
      </c>
    </row>
    <row r="117" spans="1:26" x14ac:dyDescent="0.3">
      <c r="A117" s="19" t="s">
        <v>34</v>
      </c>
      <c r="B117" s="20">
        <v>44865</v>
      </c>
      <c r="C117" s="19" t="s">
        <v>46</v>
      </c>
      <c r="D117" s="19" t="s">
        <v>36</v>
      </c>
      <c r="E117" s="19" t="s">
        <v>36</v>
      </c>
      <c r="F117" s="19" t="s">
        <v>36</v>
      </c>
      <c r="G117" s="19" t="s">
        <v>37</v>
      </c>
      <c r="K117" s="19" t="s">
        <v>38</v>
      </c>
      <c r="L117" s="19" t="s">
        <v>39</v>
      </c>
      <c r="M117" s="19" t="s">
        <v>40</v>
      </c>
      <c r="N117" s="19" t="s">
        <v>41</v>
      </c>
      <c r="R117" s="19" t="s">
        <v>58</v>
      </c>
      <c r="T117" s="21">
        <v>50000</v>
      </c>
      <c r="U117" s="19" t="s">
        <v>56</v>
      </c>
      <c r="V117" s="19">
        <v>12</v>
      </c>
      <c r="W117" s="19" t="s">
        <v>57</v>
      </c>
      <c r="X117" s="19" t="s">
        <v>388</v>
      </c>
      <c r="Y117" s="19" t="s">
        <v>386</v>
      </c>
      <c r="Z117" s="19" t="s">
        <v>44</v>
      </c>
    </row>
    <row r="118" spans="1:26" x14ac:dyDescent="0.3">
      <c r="A118" s="19" t="s">
        <v>59</v>
      </c>
      <c r="B118" s="20">
        <v>44865</v>
      </c>
      <c r="C118" s="19" t="s">
        <v>46</v>
      </c>
      <c r="D118" s="19" t="s">
        <v>36</v>
      </c>
      <c r="E118" s="19" t="s">
        <v>36</v>
      </c>
      <c r="F118" s="19" t="s">
        <v>36</v>
      </c>
      <c r="G118" s="19" t="s">
        <v>37</v>
      </c>
      <c r="K118" s="19" t="s">
        <v>38</v>
      </c>
      <c r="L118" s="19" t="s">
        <v>39</v>
      </c>
      <c r="M118" s="19" t="s">
        <v>40</v>
      </c>
      <c r="N118" s="19" t="s">
        <v>41</v>
      </c>
      <c r="R118" s="19" t="s">
        <v>47</v>
      </c>
      <c r="S118" s="21">
        <v>12617.460416</v>
      </c>
      <c r="U118" s="19" t="s">
        <v>56</v>
      </c>
      <c r="V118" s="19">
        <v>8</v>
      </c>
      <c r="W118" s="19" t="s">
        <v>48</v>
      </c>
      <c r="X118" s="19" t="s">
        <v>389</v>
      </c>
      <c r="Y118" s="19" t="s">
        <v>390</v>
      </c>
      <c r="Z118" s="19" t="s">
        <v>44</v>
      </c>
    </row>
    <row r="119" spans="1:26" x14ac:dyDescent="0.3">
      <c r="A119" s="19" t="s">
        <v>59</v>
      </c>
      <c r="B119" s="20">
        <v>44865</v>
      </c>
      <c r="C119" s="19" t="s">
        <v>46</v>
      </c>
      <c r="D119" s="19" t="s">
        <v>36</v>
      </c>
      <c r="E119" s="19" t="s">
        <v>36</v>
      </c>
      <c r="F119" s="19" t="s">
        <v>36</v>
      </c>
      <c r="G119" s="19" t="s">
        <v>37</v>
      </c>
      <c r="K119" s="19" t="s">
        <v>38</v>
      </c>
      <c r="L119" s="19" t="s">
        <v>39</v>
      </c>
      <c r="M119" s="19" t="s">
        <v>38</v>
      </c>
      <c r="N119" s="19" t="s">
        <v>41</v>
      </c>
      <c r="R119" s="19" t="s">
        <v>49</v>
      </c>
      <c r="T119" s="21">
        <v>12617.460416</v>
      </c>
      <c r="U119" s="19" t="s">
        <v>56</v>
      </c>
      <c r="V119" s="19">
        <v>8</v>
      </c>
      <c r="W119" s="19" t="s">
        <v>48</v>
      </c>
      <c r="X119" s="19" t="s">
        <v>391</v>
      </c>
      <c r="Y119" s="19" t="s">
        <v>390</v>
      </c>
      <c r="Z119" s="19" t="s">
        <v>44</v>
      </c>
    </row>
    <row r="120" spans="1:26" x14ac:dyDescent="0.3">
      <c r="A120" s="19" t="s">
        <v>59</v>
      </c>
      <c r="B120" s="20">
        <v>44562</v>
      </c>
      <c r="C120" s="19" t="s">
        <v>35</v>
      </c>
      <c r="D120" s="19" t="s">
        <v>36</v>
      </c>
      <c r="E120" s="19" t="s">
        <v>36</v>
      </c>
      <c r="F120" s="19" t="s">
        <v>36</v>
      </c>
      <c r="G120" s="19" t="s">
        <v>37</v>
      </c>
      <c r="K120" s="19" t="s">
        <v>38</v>
      </c>
      <c r="L120" s="19" t="s">
        <v>39</v>
      </c>
      <c r="M120" s="19" t="s">
        <v>40</v>
      </c>
      <c r="N120" s="19" t="s">
        <v>41</v>
      </c>
      <c r="R120" s="19" t="s">
        <v>50</v>
      </c>
      <c r="S120" s="21">
        <v>42330.49</v>
      </c>
      <c r="U120" s="19" t="s">
        <v>56</v>
      </c>
      <c r="V120" s="19">
        <v>10</v>
      </c>
      <c r="W120" s="19" t="s">
        <v>51</v>
      </c>
      <c r="X120" s="19" t="s">
        <v>392</v>
      </c>
      <c r="Y120" s="19" t="s">
        <v>393</v>
      </c>
      <c r="Z120" s="19" t="s">
        <v>44</v>
      </c>
    </row>
    <row r="121" spans="1:26" x14ac:dyDescent="0.3">
      <c r="A121" s="19" t="s">
        <v>59</v>
      </c>
      <c r="B121" s="20">
        <v>44562</v>
      </c>
      <c r="C121" s="19" t="s">
        <v>35</v>
      </c>
      <c r="D121" s="19" t="s">
        <v>36</v>
      </c>
      <c r="E121" s="19" t="s">
        <v>36</v>
      </c>
      <c r="F121" s="19" t="s">
        <v>36</v>
      </c>
      <c r="G121" s="19" t="s">
        <v>37</v>
      </c>
      <c r="K121" s="19" t="s">
        <v>38</v>
      </c>
      <c r="L121" s="19" t="s">
        <v>39</v>
      </c>
      <c r="M121" s="19" t="s">
        <v>40</v>
      </c>
      <c r="N121" s="19" t="s">
        <v>41</v>
      </c>
      <c r="R121" s="19" t="s">
        <v>52</v>
      </c>
      <c r="T121" s="21">
        <v>42330.49</v>
      </c>
      <c r="U121" s="19" t="s">
        <v>56</v>
      </c>
      <c r="V121" s="19">
        <v>10</v>
      </c>
      <c r="W121" s="19" t="s">
        <v>51</v>
      </c>
      <c r="X121" s="19" t="s">
        <v>394</v>
      </c>
      <c r="Y121" s="19" t="s">
        <v>393</v>
      </c>
      <c r="Z121" s="19" t="s">
        <v>44</v>
      </c>
    </row>
    <row r="122" spans="1:26" x14ac:dyDescent="0.3">
      <c r="A122" s="19" t="s">
        <v>59</v>
      </c>
      <c r="B122" s="20">
        <v>44865</v>
      </c>
      <c r="C122" s="19" t="s">
        <v>35</v>
      </c>
      <c r="D122" s="19" t="s">
        <v>36</v>
      </c>
      <c r="E122" s="19" t="s">
        <v>36</v>
      </c>
      <c r="F122" s="19" t="s">
        <v>36</v>
      </c>
      <c r="G122" s="19" t="s">
        <v>37</v>
      </c>
      <c r="K122" s="19" t="s">
        <v>38</v>
      </c>
      <c r="L122" s="19" t="s">
        <v>39</v>
      </c>
      <c r="M122" s="19" t="s">
        <v>40</v>
      </c>
      <c r="N122" s="19" t="s">
        <v>41</v>
      </c>
      <c r="R122" s="19" t="s">
        <v>45</v>
      </c>
      <c r="S122" s="21">
        <v>463266.31</v>
      </c>
      <c r="U122" s="19" t="s">
        <v>56</v>
      </c>
      <c r="V122" s="19">
        <v>11</v>
      </c>
      <c r="W122" s="19" t="s">
        <v>53</v>
      </c>
      <c r="X122" s="19" t="s">
        <v>395</v>
      </c>
      <c r="Y122" s="19" t="s">
        <v>396</v>
      </c>
      <c r="Z122" s="19" t="s">
        <v>44</v>
      </c>
    </row>
    <row r="123" spans="1:26" x14ac:dyDescent="0.3">
      <c r="A123" s="19" t="s">
        <v>59</v>
      </c>
      <c r="B123" s="20">
        <v>44865</v>
      </c>
      <c r="C123" s="19" t="s">
        <v>35</v>
      </c>
      <c r="D123" s="19" t="s">
        <v>36</v>
      </c>
      <c r="E123" s="19" t="s">
        <v>36</v>
      </c>
      <c r="F123" s="19" t="s">
        <v>36</v>
      </c>
      <c r="G123" s="19" t="s">
        <v>37</v>
      </c>
      <c r="K123" s="19" t="s">
        <v>38</v>
      </c>
      <c r="L123" s="19" t="s">
        <v>39</v>
      </c>
      <c r="M123" s="19" t="s">
        <v>40</v>
      </c>
      <c r="N123" s="19" t="s">
        <v>41</v>
      </c>
      <c r="R123" s="19" t="s">
        <v>54</v>
      </c>
      <c r="T123" s="21">
        <v>463266.31</v>
      </c>
      <c r="U123" s="19" t="s">
        <v>56</v>
      </c>
      <c r="V123" s="19">
        <v>11</v>
      </c>
      <c r="W123" s="19" t="s">
        <v>53</v>
      </c>
      <c r="X123" s="19" t="s">
        <v>397</v>
      </c>
      <c r="Y123" s="19" t="s">
        <v>396</v>
      </c>
      <c r="Z123" s="19" t="s">
        <v>44</v>
      </c>
    </row>
    <row r="124" spans="1:26" x14ac:dyDescent="0.3">
      <c r="A124" s="19" t="s">
        <v>60</v>
      </c>
      <c r="B124" s="20">
        <v>44866</v>
      </c>
      <c r="C124" s="19" t="s">
        <v>35</v>
      </c>
      <c r="D124" s="19" t="s">
        <v>36</v>
      </c>
      <c r="E124" s="19" t="s">
        <v>36</v>
      </c>
      <c r="F124" s="19" t="s">
        <v>36</v>
      </c>
      <c r="G124" s="19" t="s">
        <v>37</v>
      </c>
      <c r="K124" s="19" t="s">
        <v>38</v>
      </c>
      <c r="L124" s="19" t="s">
        <v>39</v>
      </c>
      <c r="M124" s="19" t="s">
        <v>40</v>
      </c>
      <c r="N124" s="19" t="s">
        <v>41</v>
      </c>
      <c r="R124" s="19" t="s">
        <v>54</v>
      </c>
      <c r="S124" s="21">
        <v>463266.31</v>
      </c>
      <c r="U124" s="19" t="s">
        <v>56</v>
      </c>
      <c r="V124" s="19">
        <v>11</v>
      </c>
      <c r="W124" s="19" t="s">
        <v>55</v>
      </c>
      <c r="X124" s="19" t="s">
        <v>398</v>
      </c>
      <c r="Y124" s="19" t="s">
        <v>399</v>
      </c>
      <c r="Z124" s="19" t="s">
        <v>44</v>
      </c>
    </row>
    <row r="125" spans="1:26" x14ac:dyDescent="0.3">
      <c r="A125" s="19" t="s">
        <v>60</v>
      </c>
      <c r="B125" s="20">
        <v>44866</v>
      </c>
      <c r="C125" s="19" t="s">
        <v>35</v>
      </c>
      <c r="D125" s="19" t="s">
        <v>36</v>
      </c>
      <c r="E125" s="19" t="s">
        <v>36</v>
      </c>
      <c r="F125" s="19" t="s">
        <v>36</v>
      </c>
      <c r="G125" s="19" t="s">
        <v>37</v>
      </c>
      <c r="K125" s="19" t="s">
        <v>38</v>
      </c>
      <c r="L125" s="19" t="s">
        <v>39</v>
      </c>
      <c r="M125" s="19" t="s">
        <v>40</v>
      </c>
      <c r="N125" s="19" t="s">
        <v>41</v>
      </c>
      <c r="R125" s="19" t="s">
        <v>45</v>
      </c>
      <c r="T125" s="21">
        <v>463266.31</v>
      </c>
      <c r="U125" s="19" t="s">
        <v>56</v>
      </c>
      <c r="V125" s="19">
        <v>11</v>
      </c>
      <c r="W125" s="19" t="s">
        <v>55</v>
      </c>
      <c r="X125" s="19" t="s">
        <v>400</v>
      </c>
      <c r="Y125" s="19" t="s">
        <v>399</v>
      </c>
      <c r="Z125" s="19" t="s">
        <v>44</v>
      </c>
    </row>
    <row r="126" spans="1:26" x14ac:dyDescent="0.3">
      <c r="A126" s="19" t="s">
        <v>60</v>
      </c>
      <c r="B126" s="20">
        <v>44895</v>
      </c>
      <c r="C126" s="19" t="s">
        <v>46</v>
      </c>
      <c r="D126" s="19" t="s">
        <v>36</v>
      </c>
      <c r="E126" s="19" t="s">
        <v>36</v>
      </c>
      <c r="F126" s="19" t="s">
        <v>36</v>
      </c>
      <c r="G126" s="19" t="s">
        <v>37</v>
      </c>
      <c r="K126" s="19" t="s">
        <v>38</v>
      </c>
      <c r="L126" s="19" t="s">
        <v>39</v>
      </c>
      <c r="M126" s="19" t="s">
        <v>38</v>
      </c>
      <c r="N126" s="19" t="s">
        <v>41</v>
      </c>
      <c r="R126" s="19" t="s">
        <v>49</v>
      </c>
      <c r="S126" s="21">
        <v>12617.460416</v>
      </c>
      <c r="U126" s="19" t="s">
        <v>56</v>
      </c>
      <c r="V126" s="19">
        <v>12</v>
      </c>
      <c r="W126" s="19" t="s">
        <v>57</v>
      </c>
      <c r="X126" s="19" t="s">
        <v>401</v>
      </c>
      <c r="Y126" s="19" t="s">
        <v>402</v>
      </c>
      <c r="Z126" s="19" t="s">
        <v>44</v>
      </c>
    </row>
    <row r="127" spans="1:26" x14ac:dyDescent="0.3">
      <c r="A127" s="19" t="s">
        <v>60</v>
      </c>
      <c r="B127" s="20">
        <v>44895</v>
      </c>
      <c r="C127" s="19" t="s">
        <v>46</v>
      </c>
      <c r="D127" s="19" t="s">
        <v>36</v>
      </c>
      <c r="E127" s="19" t="s">
        <v>36</v>
      </c>
      <c r="F127" s="19" t="s">
        <v>36</v>
      </c>
      <c r="G127" s="19" t="s">
        <v>37</v>
      </c>
      <c r="K127" s="19" t="s">
        <v>38</v>
      </c>
      <c r="L127" s="19" t="s">
        <v>39</v>
      </c>
      <c r="M127" s="19" t="s">
        <v>40</v>
      </c>
      <c r="N127" s="19" t="s">
        <v>41</v>
      </c>
      <c r="R127" s="19" t="s">
        <v>45</v>
      </c>
      <c r="S127" s="21">
        <v>37382.539583999998</v>
      </c>
      <c r="U127" s="19" t="s">
        <v>56</v>
      </c>
      <c r="V127" s="19">
        <v>12</v>
      </c>
      <c r="W127" s="19" t="s">
        <v>57</v>
      </c>
      <c r="X127" s="19" t="s">
        <v>403</v>
      </c>
      <c r="Y127" s="19" t="s">
        <v>402</v>
      </c>
      <c r="Z127" s="19" t="s">
        <v>44</v>
      </c>
    </row>
    <row r="128" spans="1:26" x14ac:dyDescent="0.3">
      <c r="A128" s="19" t="s">
        <v>60</v>
      </c>
      <c r="B128" s="20">
        <v>44895</v>
      </c>
      <c r="C128" s="19" t="s">
        <v>46</v>
      </c>
      <c r="D128" s="19" t="s">
        <v>36</v>
      </c>
      <c r="E128" s="19" t="s">
        <v>36</v>
      </c>
      <c r="F128" s="19" t="s">
        <v>36</v>
      </c>
      <c r="G128" s="19" t="s">
        <v>37</v>
      </c>
      <c r="K128" s="19" t="s">
        <v>38</v>
      </c>
      <c r="L128" s="19" t="s">
        <v>39</v>
      </c>
      <c r="M128" s="19" t="s">
        <v>40</v>
      </c>
      <c r="N128" s="19" t="s">
        <v>41</v>
      </c>
      <c r="R128" s="19" t="s">
        <v>58</v>
      </c>
      <c r="T128" s="21">
        <v>50000</v>
      </c>
      <c r="U128" s="19" t="s">
        <v>56</v>
      </c>
      <c r="V128" s="19">
        <v>12</v>
      </c>
      <c r="W128" s="19" t="s">
        <v>57</v>
      </c>
      <c r="X128" s="19" t="s">
        <v>404</v>
      </c>
      <c r="Y128" s="19" t="s">
        <v>402</v>
      </c>
      <c r="Z128" s="19" t="s">
        <v>44</v>
      </c>
    </row>
    <row r="129" spans="1:26" x14ac:dyDescent="0.3">
      <c r="A129" s="19" t="s">
        <v>61</v>
      </c>
      <c r="B129" s="20">
        <v>44895</v>
      </c>
      <c r="C129" s="19" t="s">
        <v>46</v>
      </c>
      <c r="D129" s="19" t="s">
        <v>36</v>
      </c>
      <c r="E129" s="19" t="s">
        <v>36</v>
      </c>
      <c r="F129" s="19" t="s">
        <v>36</v>
      </c>
      <c r="G129" s="19" t="s">
        <v>37</v>
      </c>
      <c r="K129" s="19" t="s">
        <v>38</v>
      </c>
      <c r="L129" s="19" t="s">
        <v>39</v>
      </c>
      <c r="M129" s="19" t="s">
        <v>40</v>
      </c>
      <c r="N129" s="19" t="s">
        <v>41</v>
      </c>
      <c r="R129" s="19" t="s">
        <v>47</v>
      </c>
      <c r="S129" s="21">
        <v>12399.395602000001</v>
      </c>
      <c r="U129" s="19" t="s">
        <v>56</v>
      </c>
      <c r="V129" s="19">
        <v>8</v>
      </c>
      <c r="W129" s="19" t="s">
        <v>48</v>
      </c>
      <c r="X129" s="19" t="s">
        <v>405</v>
      </c>
      <c r="Y129" s="19" t="s">
        <v>406</v>
      </c>
      <c r="Z129" s="19" t="s">
        <v>44</v>
      </c>
    </row>
    <row r="130" spans="1:26" x14ac:dyDescent="0.3">
      <c r="A130" s="19" t="s">
        <v>61</v>
      </c>
      <c r="B130" s="20">
        <v>44895</v>
      </c>
      <c r="C130" s="19" t="s">
        <v>46</v>
      </c>
      <c r="D130" s="19" t="s">
        <v>36</v>
      </c>
      <c r="E130" s="19" t="s">
        <v>36</v>
      </c>
      <c r="F130" s="19" t="s">
        <v>36</v>
      </c>
      <c r="G130" s="19" t="s">
        <v>37</v>
      </c>
      <c r="K130" s="19" t="s">
        <v>38</v>
      </c>
      <c r="L130" s="19" t="s">
        <v>39</v>
      </c>
      <c r="M130" s="19" t="s">
        <v>38</v>
      </c>
      <c r="N130" s="19" t="s">
        <v>41</v>
      </c>
      <c r="R130" s="19" t="s">
        <v>49</v>
      </c>
      <c r="T130" s="21">
        <v>12399.395602000001</v>
      </c>
      <c r="U130" s="19" t="s">
        <v>56</v>
      </c>
      <c r="V130" s="19">
        <v>8</v>
      </c>
      <c r="W130" s="19" t="s">
        <v>48</v>
      </c>
      <c r="X130" s="19" t="s">
        <v>407</v>
      </c>
      <c r="Y130" s="19" t="s">
        <v>406</v>
      </c>
      <c r="Z130" s="19" t="s">
        <v>44</v>
      </c>
    </row>
    <row r="131" spans="1:26" x14ac:dyDescent="0.3">
      <c r="A131" s="19" t="s">
        <v>61</v>
      </c>
      <c r="B131" s="20">
        <v>44562</v>
      </c>
      <c r="C131" s="19" t="s">
        <v>35</v>
      </c>
      <c r="D131" s="19" t="s">
        <v>36</v>
      </c>
      <c r="E131" s="19" t="s">
        <v>36</v>
      </c>
      <c r="F131" s="19" t="s">
        <v>36</v>
      </c>
      <c r="G131" s="19" t="s">
        <v>37</v>
      </c>
      <c r="K131" s="19" t="s">
        <v>38</v>
      </c>
      <c r="L131" s="19" t="s">
        <v>39</v>
      </c>
      <c r="M131" s="19" t="s">
        <v>40</v>
      </c>
      <c r="N131" s="19" t="s">
        <v>41</v>
      </c>
      <c r="R131" s="19" t="s">
        <v>50</v>
      </c>
      <c r="S131" s="21">
        <v>42330.49</v>
      </c>
      <c r="U131" s="19" t="s">
        <v>56</v>
      </c>
      <c r="V131" s="19">
        <v>10</v>
      </c>
      <c r="W131" s="19" t="s">
        <v>51</v>
      </c>
      <c r="X131" s="19" t="s">
        <v>408</v>
      </c>
      <c r="Y131" s="19" t="s">
        <v>409</v>
      </c>
      <c r="Z131" s="19" t="s">
        <v>44</v>
      </c>
    </row>
    <row r="132" spans="1:26" x14ac:dyDescent="0.3">
      <c r="A132" s="19" t="s">
        <v>61</v>
      </c>
      <c r="B132" s="20">
        <v>44562</v>
      </c>
      <c r="C132" s="19" t="s">
        <v>35</v>
      </c>
      <c r="D132" s="19" t="s">
        <v>36</v>
      </c>
      <c r="E132" s="19" t="s">
        <v>36</v>
      </c>
      <c r="F132" s="19" t="s">
        <v>36</v>
      </c>
      <c r="G132" s="19" t="s">
        <v>37</v>
      </c>
      <c r="K132" s="19" t="s">
        <v>38</v>
      </c>
      <c r="L132" s="19" t="s">
        <v>39</v>
      </c>
      <c r="M132" s="19" t="s">
        <v>40</v>
      </c>
      <c r="N132" s="19" t="s">
        <v>41</v>
      </c>
      <c r="R132" s="19" t="s">
        <v>52</v>
      </c>
      <c r="T132" s="21">
        <v>42330.49</v>
      </c>
      <c r="U132" s="19" t="s">
        <v>56</v>
      </c>
      <c r="V132" s="19">
        <v>10</v>
      </c>
      <c r="W132" s="19" t="s">
        <v>51</v>
      </c>
      <c r="X132" s="19" t="s">
        <v>410</v>
      </c>
      <c r="Y132" s="19" t="s">
        <v>409</v>
      </c>
      <c r="Z132" s="19" t="s">
        <v>44</v>
      </c>
    </row>
    <row r="133" spans="1:26" x14ac:dyDescent="0.3">
      <c r="A133" s="19" t="s">
        <v>61</v>
      </c>
      <c r="B133" s="20">
        <v>44895</v>
      </c>
      <c r="C133" s="19" t="s">
        <v>35</v>
      </c>
      <c r="D133" s="19" t="s">
        <v>36</v>
      </c>
      <c r="E133" s="19" t="s">
        <v>36</v>
      </c>
      <c r="F133" s="19" t="s">
        <v>36</v>
      </c>
      <c r="G133" s="19" t="s">
        <v>37</v>
      </c>
      <c r="K133" s="19" t="s">
        <v>38</v>
      </c>
      <c r="L133" s="19" t="s">
        <v>39</v>
      </c>
      <c r="M133" s="19" t="s">
        <v>40</v>
      </c>
      <c r="N133" s="19" t="s">
        <v>41</v>
      </c>
      <c r="R133" s="19" t="s">
        <v>45</v>
      </c>
      <c r="S133" s="21">
        <v>465968.7</v>
      </c>
      <c r="U133" s="19" t="s">
        <v>56</v>
      </c>
      <c r="V133" s="19">
        <v>11</v>
      </c>
      <c r="W133" s="19" t="s">
        <v>53</v>
      </c>
      <c r="X133" s="19" t="s">
        <v>411</v>
      </c>
      <c r="Y133" s="19" t="s">
        <v>412</v>
      </c>
      <c r="Z133" s="19" t="s">
        <v>44</v>
      </c>
    </row>
    <row r="134" spans="1:26" x14ac:dyDescent="0.3">
      <c r="A134" s="19" t="s">
        <v>61</v>
      </c>
      <c r="B134" s="20">
        <v>44895</v>
      </c>
      <c r="C134" s="19" t="s">
        <v>35</v>
      </c>
      <c r="D134" s="19" t="s">
        <v>36</v>
      </c>
      <c r="E134" s="19" t="s">
        <v>36</v>
      </c>
      <c r="F134" s="19" t="s">
        <v>36</v>
      </c>
      <c r="G134" s="19" t="s">
        <v>37</v>
      </c>
      <c r="K134" s="19" t="s">
        <v>38</v>
      </c>
      <c r="L134" s="19" t="s">
        <v>39</v>
      </c>
      <c r="M134" s="19" t="s">
        <v>40</v>
      </c>
      <c r="N134" s="19" t="s">
        <v>41</v>
      </c>
      <c r="R134" s="19" t="s">
        <v>54</v>
      </c>
      <c r="T134" s="21">
        <v>465968.7</v>
      </c>
      <c r="U134" s="19" t="s">
        <v>56</v>
      </c>
      <c r="V134" s="19">
        <v>11</v>
      </c>
      <c r="W134" s="19" t="s">
        <v>53</v>
      </c>
      <c r="X134" s="19" t="s">
        <v>413</v>
      </c>
      <c r="Y134" s="19" t="s">
        <v>412</v>
      </c>
      <c r="Z134" s="19" t="s">
        <v>44</v>
      </c>
    </row>
    <row r="135" spans="1:26" x14ac:dyDescent="0.3">
      <c r="A135" s="19" t="s">
        <v>62</v>
      </c>
      <c r="B135" s="20">
        <v>44896</v>
      </c>
      <c r="C135" s="19" t="s">
        <v>35</v>
      </c>
      <c r="D135" s="19" t="s">
        <v>36</v>
      </c>
      <c r="E135" s="19" t="s">
        <v>36</v>
      </c>
      <c r="F135" s="19" t="s">
        <v>36</v>
      </c>
      <c r="G135" s="19" t="s">
        <v>37</v>
      </c>
      <c r="K135" s="19" t="s">
        <v>38</v>
      </c>
      <c r="L135" s="19" t="s">
        <v>39</v>
      </c>
      <c r="M135" s="19" t="s">
        <v>40</v>
      </c>
      <c r="N135" s="19" t="s">
        <v>41</v>
      </c>
      <c r="R135" s="19" t="s">
        <v>54</v>
      </c>
      <c r="S135" s="21">
        <v>465968.7</v>
      </c>
      <c r="U135" s="19" t="s">
        <v>56</v>
      </c>
      <c r="V135" s="19">
        <v>11</v>
      </c>
      <c r="W135" s="19" t="s">
        <v>55</v>
      </c>
      <c r="X135" s="19" t="s">
        <v>414</v>
      </c>
      <c r="Y135" s="19" t="s">
        <v>415</v>
      </c>
      <c r="Z135" s="19" t="s">
        <v>44</v>
      </c>
    </row>
    <row r="136" spans="1:26" x14ac:dyDescent="0.3">
      <c r="A136" s="19" t="s">
        <v>62</v>
      </c>
      <c r="B136" s="20">
        <v>44896</v>
      </c>
      <c r="C136" s="19" t="s">
        <v>35</v>
      </c>
      <c r="D136" s="19" t="s">
        <v>36</v>
      </c>
      <c r="E136" s="19" t="s">
        <v>36</v>
      </c>
      <c r="F136" s="19" t="s">
        <v>36</v>
      </c>
      <c r="G136" s="19" t="s">
        <v>37</v>
      </c>
      <c r="K136" s="19" t="s">
        <v>38</v>
      </c>
      <c r="L136" s="19" t="s">
        <v>39</v>
      </c>
      <c r="M136" s="19" t="s">
        <v>40</v>
      </c>
      <c r="N136" s="19" t="s">
        <v>41</v>
      </c>
      <c r="R136" s="19" t="s">
        <v>45</v>
      </c>
      <c r="T136" s="21">
        <v>465968.7</v>
      </c>
      <c r="U136" s="19" t="s">
        <v>56</v>
      </c>
      <c r="V136" s="19">
        <v>11</v>
      </c>
      <c r="W136" s="19" t="s">
        <v>55</v>
      </c>
      <c r="X136" s="19" t="s">
        <v>416</v>
      </c>
      <c r="Y136" s="19" t="s">
        <v>415</v>
      </c>
      <c r="Z136" s="19" t="s">
        <v>44</v>
      </c>
    </row>
    <row r="137" spans="1:26" x14ac:dyDescent="0.3">
      <c r="A137" s="19" t="s">
        <v>62</v>
      </c>
      <c r="B137" s="20">
        <v>44926</v>
      </c>
      <c r="C137" s="19" t="s">
        <v>46</v>
      </c>
      <c r="D137" s="19" t="s">
        <v>36</v>
      </c>
      <c r="E137" s="19" t="s">
        <v>36</v>
      </c>
      <c r="F137" s="19" t="s">
        <v>36</v>
      </c>
      <c r="G137" s="19" t="s">
        <v>37</v>
      </c>
      <c r="K137" s="19" t="s">
        <v>38</v>
      </c>
      <c r="L137" s="19" t="s">
        <v>39</v>
      </c>
      <c r="M137" s="19" t="s">
        <v>38</v>
      </c>
      <c r="N137" s="19" t="s">
        <v>41</v>
      </c>
      <c r="R137" s="19" t="s">
        <v>49</v>
      </c>
      <c r="S137" s="21">
        <v>12399.395602000001</v>
      </c>
      <c r="U137" s="19" t="s">
        <v>56</v>
      </c>
      <c r="V137" s="19">
        <v>12</v>
      </c>
      <c r="W137" s="19" t="s">
        <v>57</v>
      </c>
      <c r="X137" s="19" t="s">
        <v>417</v>
      </c>
      <c r="Y137" s="19" t="s">
        <v>418</v>
      </c>
      <c r="Z137" s="19" t="s">
        <v>44</v>
      </c>
    </row>
    <row r="138" spans="1:26" x14ac:dyDescent="0.3">
      <c r="A138" s="19" t="s">
        <v>62</v>
      </c>
      <c r="B138" s="20">
        <v>44926</v>
      </c>
      <c r="C138" s="19" t="s">
        <v>46</v>
      </c>
      <c r="D138" s="19" t="s">
        <v>36</v>
      </c>
      <c r="E138" s="19" t="s">
        <v>36</v>
      </c>
      <c r="F138" s="19" t="s">
        <v>36</v>
      </c>
      <c r="G138" s="19" t="s">
        <v>37</v>
      </c>
      <c r="K138" s="19" t="s">
        <v>38</v>
      </c>
      <c r="L138" s="19" t="s">
        <v>39</v>
      </c>
      <c r="M138" s="19" t="s">
        <v>40</v>
      </c>
      <c r="N138" s="19" t="s">
        <v>41</v>
      </c>
      <c r="R138" s="19" t="s">
        <v>45</v>
      </c>
      <c r="S138" s="21">
        <v>37600.604398000003</v>
      </c>
      <c r="U138" s="19" t="s">
        <v>56</v>
      </c>
      <c r="V138" s="19">
        <v>12</v>
      </c>
      <c r="W138" s="19" t="s">
        <v>57</v>
      </c>
      <c r="X138" s="19" t="s">
        <v>419</v>
      </c>
      <c r="Y138" s="19" t="s">
        <v>418</v>
      </c>
      <c r="Z138" s="19" t="s">
        <v>44</v>
      </c>
    </row>
    <row r="139" spans="1:26" x14ac:dyDescent="0.3">
      <c r="A139" s="19" t="s">
        <v>62</v>
      </c>
      <c r="B139" s="20">
        <v>44926</v>
      </c>
      <c r="C139" s="19" t="s">
        <v>46</v>
      </c>
      <c r="D139" s="19" t="s">
        <v>36</v>
      </c>
      <c r="E139" s="19" t="s">
        <v>36</v>
      </c>
      <c r="F139" s="19" t="s">
        <v>36</v>
      </c>
      <c r="G139" s="19" t="s">
        <v>37</v>
      </c>
      <c r="K139" s="19" t="s">
        <v>38</v>
      </c>
      <c r="L139" s="19" t="s">
        <v>39</v>
      </c>
      <c r="M139" s="19" t="s">
        <v>40</v>
      </c>
      <c r="N139" s="19" t="s">
        <v>41</v>
      </c>
      <c r="R139" s="19" t="s">
        <v>58</v>
      </c>
      <c r="T139" s="21">
        <v>50000</v>
      </c>
      <c r="U139" s="19" t="s">
        <v>56</v>
      </c>
      <c r="V139" s="19">
        <v>12</v>
      </c>
      <c r="W139" s="19" t="s">
        <v>57</v>
      </c>
      <c r="X139" s="19" t="s">
        <v>420</v>
      </c>
      <c r="Y139" s="19" t="s">
        <v>418</v>
      </c>
      <c r="Z139" s="19" t="s">
        <v>44</v>
      </c>
    </row>
    <row r="140" spans="1:26" x14ac:dyDescent="0.3">
      <c r="A140" s="19" t="s">
        <v>63</v>
      </c>
      <c r="B140" s="20">
        <v>44926</v>
      </c>
      <c r="C140" s="19" t="s">
        <v>46</v>
      </c>
      <c r="D140" s="19" t="s">
        <v>36</v>
      </c>
      <c r="E140" s="19" t="s">
        <v>36</v>
      </c>
      <c r="F140" s="19" t="s">
        <v>36</v>
      </c>
      <c r="G140" s="19" t="s">
        <v>37</v>
      </c>
      <c r="K140" s="19" t="s">
        <v>38</v>
      </c>
      <c r="L140" s="19" t="s">
        <v>39</v>
      </c>
      <c r="M140" s="19" t="s">
        <v>40</v>
      </c>
      <c r="N140" s="19" t="s">
        <v>41</v>
      </c>
      <c r="R140" s="19" t="s">
        <v>47</v>
      </c>
      <c r="S140" s="21">
        <v>12180.058743</v>
      </c>
      <c r="U140" s="19" t="s">
        <v>56</v>
      </c>
      <c r="V140" s="19">
        <v>8</v>
      </c>
      <c r="W140" s="19" t="s">
        <v>48</v>
      </c>
      <c r="X140" s="19" t="s">
        <v>421</v>
      </c>
      <c r="Y140" s="19" t="s">
        <v>422</v>
      </c>
      <c r="Z140" s="19" t="s">
        <v>44</v>
      </c>
    </row>
    <row r="141" spans="1:26" x14ac:dyDescent="0.3">
      <c r="A141" s="19" t="s">
        <v>63</v>
      </c>
      <c r="B141" s="20">
        <v>44926</v>
      </c>
      <c r="C141" s="19" t="s">
        <v>46</v>
      </c>
      <c r="D141" s="19" t="s">
        <v>36</v>
      </c>
      <c r="E141" s="19" t="s">
        <v>36</v>
      </c>
      <c r="F141" s="19" t="s">
        <v>36</v>
      </c>
      <c r="G141" s="19" t="s">
        <v>37</v>
      </c>
      <c r="K141" s="19" t="s">
        <v>38</v>
      </c>
      <c r="L141" s="19" t="s">
        <v>39</v>
      </c>
      <c r="M141" s="19" t="s">
        <v>38</v>
      </c>
      <c r="N141" s="19" t="s">
        <v>41</v>
      </c>
      <c r="R141" s="19" t="s">
        <v>49</v>
      </c>
      <c r="T141" s="21">
        <v>12180.058743</v>
      </c>
      <c r="U141" s="19" t="s">
        <v>56</v>
      </c>
      <c r="V141" s="19">
        <v>8</v>
      </c>
      <c r="W141" s="19" t="s">
        <v>48</v>
      </c>
      <c r="X141" s="19" t="s">
        <v>423</v>
      </c>
      <c r="Y141" s="19" t="s">
        <v>422</v>
      </c>
      <c r="Z141" s="19" t="s">
        <v>44</v>
      </c>
    </row>
    <row r="142" spans="1:26" x14ac:dyDescent="0.3">
      <c r="A142" s="19" t="s">
        <v>63</v>
      </c>
      <c r="B142" s="20">
        <v>44562</v>
      </c>
      <c r="C142" s="19" t="s">
        <v>35</v>
      </c>
      <c r="D142" s="19" t="s">
        <v>36</v>
      </c>
      <c r="E142" s="19" t="s">
        <v>36</v>
      </c>
      <c r="F142" s="19" t="s">
        <v>36</v>
      </c>
      <c r="G142" s="19" t="s">
        <v>37</v>
      </c>
      <c r="K142" s="19" t="s">
        <v>38</v>
      </c>
      <c r="L142" s="19" t="s">
        <v>39</v>
      </c>
      <c r="M142" s="19" t="s">
        <v>40</v>
      </c>
      <c r="N142" s="19" t="s">
        <v>41</v>
      </c>
      <c r="R142" s="19" t="s">
        <v>50</v>
      </c>
      <c r="S142" s="21">
        <v>42330.49</v>
      </c>
      <c r="U142" s="19" t="s">
        <v>56</v>
      </c>
      <c r="V142" s="19">
        <v>10</v>
      </c>
      <c r="W142" s="19" t="s">
        <v>51</v>
      </c>
      <c r="X142" s="19" t="s">
        <v>424</v>
      </c>
      <c r="Y142" s="19" t="s">
        <v>425</v>
      </c>
      <c r="Z142" s="19" t="s">
        <v>44</v>
      </c>
    </row>
    <row r="143" spans="1:26" x14ac:dyDescent="0.3">
      <c r="A143" s="19" t="s">
        <v>63</v>
      </c>
      <c r="B143" s="20">
        <v>44562</v>
      </c>
      <c r="C143" s="19" t="s">
        <v>35</v>
      </c>
      <c r="D143" s="19" t="s">
        <v>36</v>
      </c>
      <c r="E143" s="19" t="s">
        <v>36</v>
      </c>
      <c r="F143" s="19" t="s">
        <v>36</v>
      </c>
      <c r="G143" s="19" t="s">
        <v>37</v>
      </c>
      <c r="K143" s="19" t="s">
        <v>38</v>
      </c>
      <c r="L143" s="19" t="s">
        <v>39</v>
      </c>
      <c r="M143" s="19" t="s">
        <v>40</v>
      </c>
      <c r="N143" s="19" t="s">
        <v>41</v>
      </c>
      <c r="R143" s="19" t="s">
        <v>52</v>
      </c>
      <c r="T143" s="21">
        <v>42330.49</v>
      </c>
      <c r="U143" s="19" t="s">
        <v>56</v>
      </c>
      <c r="V143" s="19">
        <v>10</v>
      </c>
      <c r="W143" s="19" t="s">
        <v>51</v>
      </c>
      <c r="X143" s="19" t="s">
        <v>426</v>
      </c>
      <c r="Y143" s="19" t="s">
        <v>425</v>
      </c>
      <c r="Z143" s="19" t="s">
        <v>44</v>
      </c>
    </row>
    <row r="144" spans="1:26" x14ac:dyDescent="0.3">
      <c r="A144" s="19" t="s">
        <v>63</v>
      </c>
      <c r="B144" s="20">
        <v>44926</v>
      </c>
      <c r="C144" s="19" t="s">
        <v>35</v>
      </c>
      <c r="D144" s="19" t="s">
        <v>36</v>
      </c>
      <c r="E144" s="19" t="s">
        <v>36</v>
      </c>
      <c r="F144" s="19" t="s">
        <v>36</v>
      </c>
      <c r="G144" s="19" t="s">
        <v>37</v>
      </c>
      <c r="K144" s="19" t="s">
        <v>38</v>
      </c>
      <c r="L144" s="19" t="s">
        <v>39</v>
      </c>
      <c r="M144" s="19" t="s">
        <v>40</v>
      </c>
      <c r="N144" s="19" t="s">
        <v>41</v>
      </c>
      <c r="R144" s="19" t="s">
        <v>45</v>
      </c>
      <c r="S144" s="21">
        <v>468686.85</v>
      </c>
      <c r="U144" s="19" t="s">
        <v>56</v>
      </c>
      <c r="V144" s="19">
        <v>11</v>
      </c>
      <c r="W144" s="19" t="s">
        <v>53</v>
      </c>
      <c r="X144" s="19" t="s">
        <v>427</v>
      </c>
      <c r="Y144" s="19" t="s">
        <v>428</v>
      </c>
      <c r="Z144" s="19" t="s">
        <v>44</v>
      </c>
    </row>
    <row r="145" spans="1:26" x14ac:dyDescent="0.3">
      <c r="A145" s="19" t="s">
        <v>63</v>
      </c>
      <c r="B145" s="20">
        <v>44926</v>
      </c>
      <c r="C145" s="19" t="s">
        <v>35</v>
      </c>
      <c r="D145" s="19" t="s">
        <v>36</v>
      </c>
      <c r="E145" s="19" t="s">
        <v>36</v>
      </c>
      <c r="F145" s="19" t="s">
        <v>36</v>
      </c>
      <c r="G145" s="19" t="s">
        <v>37</v>
      </c>
      <c r="K145" s="19" t="s">
        <v>38</v>
      </c>
      <c r="L145" s="19" t="s">
        <v>39</v>
      </c>
      <c r="M145" s="19" t="s">
        <v>40</v>
      </c>
      <c r="N145" s="19" t="s">
        <v>41</v>
      </c>
      <c r="R145" s="19" t="s">
        <v>54</v>
      </c>
      <c r="T145" s="21">
        <v>468686.85</v>
      </c>
      <c r="U145" s="19" t="s">
        <v>56</v>
      </c>
      <c r="V145" s="19">
        <v>11</v>
      </c>
      <c r="W145" s="19" t="s">
        <v>53</v>
      </c>
      <c r="X145" s="19" t="s">
        <v>429</v>
      </c>
      <c r="Y145" s="19" t="s">
        <v>428</v>
      </c>
      <c r="Z145" s="19" t="s">
        <v>44</v>
      </c>
    </row>
    <row r="146" spans="1:26" x14ac:dyDescent="0.3">
      <c r="A146" s="19" t="s">
        <v>64</v>
      </c>
      <c r="B146" s="20">
        <v>44927</v>
      </c>
      <c r="C146" s="19" t="s">
        <v>35</v>
      </c>
      <c r="D146" s="19" t="s">
        <v>36</v>
      </c>
      <c r="E146" s="19" t="s">
        <v>36</v>
      </c>
      <c r="F146" s="19" t="s">
        <v>36</v>
      </c>
      <c r="G146" s="19" t="s">
        <v>37</v>
      </c>
      <c r="K146" s="19" t="s">
        <v>38</v>
      </c>
      <c r="L146" s="19" t="s">
        <v>39</v>
      </c>
      <c r="M146" s="19" t="s">
        <v>40</v>
      </c>
      <c r="N146" s="19" t="s">
        <v>41</v>
      </c>
      <c r="R146" s="19" t="s">
        <v>54</v>
      </c>
      <c r="S146" s="21">
        <v>468686.85</v>
      </c>
      <c r="U146" s="19" t="s">
        <v>56</v>
      </c>
      <c r="V146" s="19">
        <v>11</v>
      </c>
      <c r="W146" s="19" t="s">
        <v>55</v>
      </c>
      <c r="X146" s="19" t="s">
        <v>430</v>
      </c>
      <c r="Y146" s="19" t="s">
        <v>431</v>
      </c>
      <c r="Z146" s="19" t="s">
        <v>44</v>
      </c>
    </row>
    <row r="147" spans="1:26" x14ac:dyDescent="0.3">
      <c r="A147" s="19" t="s">
        <v>64</v>
      </c>
      <c r="B147" s="20">
        <v>44927</v>
      </c>
      <c r="C147" s="19" t="s">
        <v>35</v>
      </c>
      <c r="D147" s="19" t="s">
        <v>36</v>
      </c>
      <c r="E147" s="19" t="s">
        <v>36</v>
      </c>
      <c r="F147" s="19" t="s">
        <v>36</v>
      </c>
      <c r="G147" s="19" t="s">
        <v>37</v>
      </c>
      <c r="K147" s="19" t="s">
        <v>38</v>
      </c>
      <c r="L147" s="19" t="s">
        <v>39</v>
      </c>
      <c r="M147" s="19" t="s">
        <v>40</v>
      </c>
      <c r="N147" s="19" t="s">
        <v>41</v>
      </c>
      <c r="R147" s="19" t="s">
        <v>45</v>
      </c>
      <c r="T147" s="21">
        <v>468686.85</v>
      </c>
      <c r="U147" s="19" t="s">
        <v>56</v>
      </c>
      <c r="V147" s="19">
        <v>11</v>
      </c>
      <c r="W147" s="19" t="s">
        <v>55</v>
      </c>
      <c r="X147" s="19" t="s">
        <v>432</v>
      </c>
      <c r="Y147" s="19" t="s">
        <v>431</v>
      </c>
      <c r="Z147" s="19" t="s">
        <v>44</v>
      </c>
    </row>
    <row r="148" spans="1:26" x14ac:dyDescent="0.3">
      <c r="A148" s="19" t="s">
        <v>64</v>
      </c>
      <c r="B148" s="20">
        <v>44957</v>
      </c>
      <c r="C148" s="19" t="s">
        <v>46</v>
      </c>
      <c r="D148" s="19" t="s">
        <v>36</v>
      </c>
      <c r="E148" s="19" t="s">
        <v>36</v>
      </c>
      <c r="F148" s="19" t="s">
        <v>36</v>
      </c>
      <c r="G148" s="19" t="s">
        <v>37</v>
      </c>
      <c r="K148" s="19" t="s">
        <v>38</v>
      </c>
      <c r="L148" s="19" t="s">
        <v>39</v>
      </c>
      <c r="M148" s="19" t="s">
        <v>38</v>
      </c>
      <c r="N148" s="19" t="s">
        <v>41</v>
      </c>
      <c r="R148" s="19" t="s">
        <v>49</v>
      </c>
      <c r="S148" s="21">
        <v>12180.058743</v>
      </c>
      <c r="U148" s="19" t="s">
        <v>56</v>
      </c>
      <c r="V148" s="19">
        <v>12</v>
      </c>
      <c r="W148" s="19" t="s">
        <v>57</v>
      </c>
      <c r="X148" s="19" t="s">
        <v>433</v>
      </c>
      <c r="Y148" s="19" t="s">
        <v>434</v>
      </c>
      <c r="Z148" s="19" t="s">
        <v>44</v>
      </c>
    </row>
    <row r="149" spans="1:26" x14ac:dyDescent="0.3">
      <c r="A149" s="19" t="s">
        <v>64</v>
      </c>
      <c r="B149" s="20">
        <v>44957</v>
      </c>
      <c r="C149" s="19" t="s">
        <v>46</v>
      </c>
      <c r="D149" s="19" t="s">
        <v>36</v>
      </c>
      <c r="E149" s="19" t="s">
        <v>36</v>
      </c>
      <c r="F149" s="19" t="s">
        <v>36</v>
      </c>
      <c r="G149" s="19" t="s">
        <v>37</v>
      </c>
      <c r="K149" s="19" t="s">
        <v>38</v>
      </c>
      <c r="L149" s="19" t="s">
        <v>39</v>
      </c>
      <c r="M149" s="19" t="s">
        <v>40</v>
      </c>
      <c r="N149" s="19" t="s">
        <v>41</v>
      </c>
      <c r="R149" s="19" t="s">
        <v>45</v>
      </c>
      <c r="S149" s="21">
        <v>37819.941256999999</v>
      </c>
      <c r="U149" s="19" t="s">
        <v>56</v>
      </c>
      <c r="V149" s="19">
        <v>12</v>
      </c>
      <c r="W149" s="19" t="s">
        <v>57</v>
      </c>
      <c r="X149" s="19" t="s">
        <v>435</v>
      </c>
      <c r="Y149" s="19" t="s">
        <v>434</v>
      </c>
      <c r="Z149" s="19" t="s">
        <v>44</v>
      </c>
    </row>
    <row r="150" spans="1:26" x14ac:dyDescent="0.3">
      <c r="A150" s="19" t="s">
        <v>64</v>
      </c>
      <c r="B150" s="20">
        <v>44957</v>
      </c>
      <c r="C150" s="19" t="s">
        <v>46</v>
      </c>
      <c r="D150" s="19" t="s">
        <v>36</v>
      </c>
      <c r="E150" s="19" t="s">
        <v>36</v>
      </c>
      <c r="F150" s="19" t="s">
        <v>36</v>
      </c>
      <c r="G150" s="19" t="s">
        <v>37</v>
      </c>
      <c r="K150" s="19" t="s">
        <v>38</v>
      </c>
      <c r="L150" s="19" t="s">
        <v>39</v>
      </c>
      <c r="M150" s="19" t="s">
        <v>40</v>
      </c>
      <c r="N150" s="19" t="s">
        <v>41</v>
      </c>
      <c r="R150" s="19" t="s">
        <v>58</v>
      </c>
      <c r="T150" s="21">
        <v>50000</v>
      </c>
      <c r="U150" s="19" t="s">
        <v>56</v>
      </c>
      <c r="V150" s="19">
        <v>12</v>
      </c>
      <c r="W150" s="19" t="s">
        <v>57</v>
      </c>
      <c r="X150" s="19" t="s">
        <v>436</v>
      </c>
      <c r="Y150" s="19" t="s">
        <v>434</v>
      </c>
      <c r="Z150" s="19" t="s">
        <v>44</v>
      </c>
    </row>
    <row r="151" spans="1:26" x14ac:dyDescent="0.3">
      <c r="A151" s="19" t="s">
        <v>65</v>
      </c>
      <c r="B151" s="20">
        <v>44957</v>
      </c>
      <c r="C151" s="19" t="s">
        <v>46</v>
      </c>
      <c r="D151" s="19" t="s">
        <v>36</v>
      </c>
      <c r="E151" s="19" t="s">
        <v>36</v>
      </c>
      <c r="F151" s="19" t="s">
        <v>36</v>
      </c>
      <c r="G151" s="19" t="s">
        <v>37</v>
      </c>
      <c r="K151" s="19" t="s">
        <v>38</v>
      </c>
      <c r="L151" s="19" t="s">
        <v>39</v>
      </c>
      <c r="M151" s="19" t="s">
        <v>40</v>
      </c>
      <c r="N151" s="19" t="s">
        <v>41</v>
      </c>
      <c r="R151" s="19" t="s">
        <v>47</v>
      </c>
      <c r="S151" s="21">
        <v>11959.442419000001</v>
      </c>
      <c r="U151" s="19" t="s">
        <v>56</v>
      </c>
      <c r="V151" s="19">
        <v>8</v>
      </c>
      <c r="W151" s="19" t="s">
        <v>48</v>
      </c>
      <c r="X151" s="19" t="s">
        <v>437</v>
      </c>
      <c r="Y151" s="19" t="s">
        <v>438</v>
      </c>
      <c r="Z151" s="19" t="s">
        <v>44</v>
      </c>
    </row>
    <row r="152" spans="1:26" x14ac:dyDescent="0.3">
      <c r="A152" s="19" t="s">
        <v>65</v>
      </c>
      <c r="B152" s="20">
        <v>44957</v>
      </c>
      <c r="C152" s="19" t="s">
        <v>46</v>
      </c>
      <c r="D152" s="19" t="s">
        <v>36</v>
      </c>
      <c r="E152" s="19" t="s">
        <v>36</v>
      </c>
      <c r="F152" s="19" t="s">
        <v>36</v>
      </c>
      <c r="G152" s="19" t="s">
        <v>37</v>
      </c>
      <c r="K152" s="19" t="s">
        <v>38</v>
      </c>
      <c r="L152" s="19" t="s">
        <v>39</v>
      </c>
      <c r="M152" s="19" t="s">
        <v>38</v>
      </c>
      <c r="N152" s="19" t="s">
        <v>41</v>
      </c>
      <c r="R152" s="19" t="s">
        <v>49</v>
      </c>
      <c r="T152" s="21">
        <v>11959.442419000001</v>
      </c>
      <c r="U152" s="19" t="s">
        <v>56</v>
      </c>
      <c r="V152" s="19">
        <v>8</v>
      </c>
      <c r="W152" s="19" t="s">
        <v>48</v>
      </c>
      <c r="X152" s="19" t="s">
        <v>439</v>
      </c>
      <c r="Y152" s="19" t="s">
        <v>438</v>
      </c>
      <c r="Z152" s="19" t="s">
        <v>44</v>
      </c>
    </row>
    <row r="153" spans="1:26" x14ac:dyDescent="0.3">
      <c r="A153" s="19" t="s">
        <v>65</v>
      </c>
      <c r="B153" s="20">
        <v>44562</v>
      </c>
      <c r="C153" s="19" t="s">
        <v>35</v>
      </c>
      <c r="D153" s="19" t="s">
        <v>36</v>
      </c>
      <c r="E153" s="19" t="s">
        <v>36</v>
      </c>
      <c r="F153" s="19" t="s">
        <v>36</v>
      </c>
      <c r="G153" s="19" t="s">
        <v>37</v>
      </c>
      <c r="K153" s="19" t="s">
        <v>38</v>
      </c>
      <c r="L153" s="19" t="s">
        <v>39</v>
      </c>
      <c r="M153" s="19" t="s">
        <v>40</v>
      </c>
      <c r="N153" s="19" t="s">
        <v>41</v>
      </c>
      <c r="R153" s="19" t="s">
        <v>50</v>
      </c>
      <c r="S153" s="21">
        <v>42330.5</v>
      </c>
      <c r="U153" s="19" t="s">
        <v>56</v>
      </c>
      <c r="V153" s="19">
        <v>10</v>
      </c>
      <c r="W153" s="19" t="s">
        <v>51</v>
      </c>
      <c r="X153" s="19" t="s">
        <v>440</v>
      </c>
      <c r="Y153" s="19" t="s">
        <v>441</v>
      </c>
      <c r="Z153" s="19" t="s">
        <v>44</v>
      </c>
    </row>
    <row r="154" spans="1:26" x14ac:dyDescent="0.3">
      <c r="A154" s="19" t="s">
        <v>65</v>
      </c>
      <c r="B154" s="20">
        <v>44562</v>
      </c>
      <c r="C154" s="19" t="s">
        <v>35</v>
      </c>
      <c r="D154" s="19" t="s">
        <v>36</v>
      </c>
      <c r="E154" s="19" t="s">
        <v>36</v>
      </c>
      <c r="F154" s="19" t="s">
        <v>36</v>
      </c>
      <c r="G154" s="19" t="s">
        <v>37</v>
      </c>
      <c r="K154" s="19" t="s">
        <v>38</v>
      </c>
      <c r="L154" s="19" t="s">
        <v>39</v>
      </c>
      <c r="M154" s="19" t="s">
        <v>40</v>
      </c>
      <c r="N154" s="19" t="s">
        <v>41</v>
      </c>
      <c r="R154" s="19" t="s">
        <v>52</v>
      </c>
      <c r="T154" s="21">
        <v>42330.5</v>
      </c>
      <c r="U154" s="19" t="s">
        <v>56</v>
      </c>
      <c r="V154" s="19">
        <v>10</v>
      </c>
      <c r="W154" s="19" t="s">
        <v>51</v>
      </c>
      <c r="X154" s="19" t="s">
        <v>442</v>
      </c>
      <c r="Y154" s="19" t="s">
        <v>441</v>
      </c>
      <c r="Z154" s="19" t="s">
        <v>44</v>
      </c>
    </row>
    <row r="155" spans="1:26" x14ac:dyDescent="0.3">
      <c r="A155" s="19" t="s">
        <v>65</v>
      </c>
      <c r="B155" s="20">
        <v>44957</v>
      </c>
      <c r="C155" s="19" t="s">
        <v>35</v>
      </c>
      <c r="D155" s="19" t="s">
        <v>36</v>
      </c>
      <c r="E155" s="19" t="s">
        <v>36</v>
      </c>
      <c r="F155" s="19" t="s">
        <v>36</v>
      </c>
      <c r="G155" s="19" t="s">
        <v>37</v>
      </c>
      <c r="K155" s="19" t="s">
        <v>38</v>
      </c>
      <c r="L155" s="19" t="s">
        <v>39</v>
      </c>
      <c r="M155" s="19" t="s">
        <v>40</v>
      </c>
      <c r="N155" s="19" t="s">
        <v>41</v>
      </c>
      <c r="R155" s="19" t="s">
        <v>45</v>
      </c>
      <c r="S155" s="21">
        <v>471420.85</v>
      </c>
      <c r="U155" s="19" t="s">
        <v>56</v>
      </c>
      <c r="V155" s="19">
        <v>11</v>
      </c>
      <c r="W155" s="19" t="s">
        <v>53</v>
      </c>
      <c r="X155" s="19" t="s">
        <v>443</v>
      </c>
      <c r="Y155" s="19" t="s">
        <v>444</v>
      </c>
      <c r="Z155" s="19" t="s">
        <v>44</v>
      </c>
    </row>
    <row r="156" spans="1:26" x14ac:dyDescent="0.3">
      <c r="A156" s="19" t="s">
        <v>65</v>
      </c>
      <c r="B156" s="20">
        <v>44957</v>
      </c>
      <c r="C156" s="19" t="s">
        <v>35</v>
      </c>
      <c r="D156" s="19" t="s">
        <v>36</v>
      </c>
      <c r="E156" s="19" t="s">
        <v>36</v>
      </c>
      <c r="F156" s="19" t="s">
        <v>36</v>
      </c>
      <c r="G156" s="19" t="s">
        <v>37</v>
      </c>
      <c r="K156" s="19" t="s">
        <v>38</v>
      </c>
      <c r="L156" s="19" t="s">
        <v>39</v>
      </c>
      <c r="M156" s="19" t="s">
        <v>40</v>
      </c>
      <c r="N156" s="19" t="s">
        <v>41</v>
      </c>
      <c r="R156" s="19" t="s">
        <v>54</v>
      </c>
      <c r="T156" s="21">
        <v>471420.85</v>
      </c>
      <c r="U156" s="19" t="s">
        <v>56</v>
      </c>
      <c r="V156" s="19">
        <v>11</v>
      </c>
      <c r="W156" s="19" t="s">
        <v>53</v>
      </c>
      <c r="X156" s="19" t="s">
        <v>445</v>
      </c>
      <c r="Y156" s="19" t="s">
        <v>444</v>
      </c>
      <c r="Z156" s="19" t="s">
        <v>44</v>
      </c>
    </row>
    <row r="157" spans="1:26" x14ac:dyDescent="0.3">
      <c r="A157" s="19" t="s">
        <v>66</v>
      </c>
      <c r="B157" s="20">
        <v>44958</v>
      </c>
      <c r="C157" s="19" t="s">
        <v>35</v>
      </c>
      <c r="D157" s="19" t="s">
        <v>36</v>
      </c>
      <c r="E157" s="19" t="s">
        <v>36</v>
      </c>
      <c r="F157" s="19" t="s">
        <v>36</v>
      </c>
      <c r="G157" s="19" t="s">
        <v>37</v>
      </c>
      <c r="K157" s="19" t="s">
        <v>38</v>
      </c>
      <c r="L157" s="19" t="s">
        <v>39</v>
      </c>
      <c r="M157" s="19" t="s">
        <v>40</v>
      </c>
      <c r="N157" s="19" t="s">
        <v>41</v>
      </c>
      <c r="R157" s="19" t="s">
        <v>54</v>
      </c>
      <c r="S157" s="21">
        <v>471420.85</v>
      </c>
      <c r="U157" s="19" t="s">
        <v>56</v>
      </c>
      <c r="V157" s="19">
        <v>11</v>
      </c>
      <c r="W157" s="19" t="s">
        <v>55</v>
      </c>
      <c r="X157" s="19" t="s">
        <v>446</v>
      </c>
      <c r="Y157" s="19" t="s">
        <v>447</v>
      </c>
      <c r="Z157" s="19" t="s">
        <v>44</v>
      </c>
    </row>
    <row r="158" spans="1:26" x14ac:dyDescent="0.3">
      <c r="A158" s="19" t="s">
        <v>66</v>
      </c>
      <c r="B158" s="20">
        <v>44958</v>
      </c>
      <c r="C158" s="19" t="s">
        <v>35</v>
      </c>
      <c r="D158" s="19" t="s">
        <v>36</v>
      </c>
      <c r="E158" s="19" t="s">
        <v>36</v>
      </c>
      <c r="F158" s="19" t="s">
        <v>36</v>
      </c>
      <c r="G158" s="19" t="s">
        <v>37</v>
      </c>
      <c r="K158" s="19" t="s">
        <v>38</v>
      </c>
      <c r="L158" s="19" t="s">
        <v>39</v>
      </c>
      <c r="M158" s="19" t="s">
        <v>40</v>
      </c>
      <c r="N158" s="19" t="s">
        <v>41</v>
      </c>
      <c r="R158" s="19" t="s">
        <v>45</v>
      </c>
      <c r="T158" s="21">
        <v>471420.85</v>
      </c>
      <c r="U158" s="19" t="s">
        <v>56</v>
      </c>
      <c r="V158" s="19">
        <v>11</v>
      </c>
      <c r="W158" s="19" t="s">
        <v>55</v>
      </c>
      <c r="X158" s="19" t="s">
        <v>448</v>
      </c>
      <c r="Y158" s="19" t="s">
        <v>447</v>
      </c>
      <c r="Z158" s="19" t="s">
        <v>44</v>
      </c>
    </row>
    <row r="159" spans="1:26" x14ac:dyDescent="0.3">
      <c r="A159" s="19" t="s">
        <v>66</v>
      </c>
      <c r="B159" s="20">
        <v>44985</v>
      </c>
      <c r="C159" s="19" t="s">
        <v>46</v>
      </c>
      <c r="D159" s="19" t="s">
        <v>36</v>
      </c>
      <c r="E159" s="19" t="s">
        <v>36</v>
      </c>
      <c r="F159" s="19" t="s">
        <v>36</v>
      </c>
      <c r="G159" s="19" t="s">
        <v>37</v>
      </c>
      <c r="K159" s="19" t="s">
        <v>38</v>
      </c>
      <c r="L159" s="19" t="s">
        <v>39</v>
      </c>
      <c r="M159" s="19" t="s">
        <v>38</v>
      </c>
      <c r="N159" s="19" t="s">
        <v>41</v>
      </c>
      <c r="R159" s="19" t="s">
        <v>49</v>
      </c>
      <c r="S159" s="21">
        <v>11959.442419000001</v>
      </c>
      <c r="U159" s="19" t="s">
        <v>56</v>
      </c>
      <c r="V159" s="19">
        <v>12</v>
      </c>
      <c r="W159" s="19" t="s">
        <v>57</v>
      </c>
      <c r="X159" s="19" t="s">
        <v>449</v>
      </c>
      <c r="Y159" s="19" t="s">
        <v>450</v>
      </c>
      <c r="Z159" s="19" t="s">
        <v>44</v>
      </c>
    </row>
    <row r="160" spans="1:26" x14ac:dyDescent="0.3">
      <c r="A160" s="19" t="s">
        <v>66</v>
      </c>
      <c r="B160" s="20">
        <v>44985</v>
      </c>
      <c r="C160" s="19" t="s">
        <v>46</v>
      </c>
      <c r="D160" s="19" t="s">
        <v>36</v>
      </c>
      <c r="E160" s="19" t="s">
        <v>36</v>
      </c>
      <c r="F160" s="19" t="s">
        <v>36</v>
      </c>
      <c r="G160" s="19" t="s">
        <v>37</v>
      </c>
      <c r="K160" s="19" t="s">
        <v>38</v>
      </c>
      <c r="L160" s="19" t="s">
        <v>39</v>
      </c>
      <c r="M160" s="19" t="s">
        <v>40</v>
      </c>
      <c r="N160" s="19" t="s">
        <v>41</v>
      </c>
      <c r="R160" s="19" t="s">
        <v>45</v>
      </c>
      <c r="S160" s="21">
        <v>38040.557581000001</v>
      </c>
      <c r="U160" s="19" t="s">
        <v>56</v>
      </c>
      <c r="V160" s="19">
        <v>12</v>
      </c>
      <c r="W160" s="19" t="s">
        <v>57</v>
      </c>
      <c r="X160" s="19" t="s">
        <v>451</v>
      </c>
      <c r="Y160" s="19" t="s">
        <v>450</v>
      </c>
      <c r="Z160" s="19" t="s">
        <v>44</v>
      </c>
    </row>
    <row r="161" spans="1:26" x14ac:dyDescent="0.3">
      <c r="A161" s="19" t="s">
        <v>66</v>
      </c>
      <c r="B161" s="20">
        <v>44985</v>
      </c>
      <c r="C161" s="19" t="s">
        <v>46</v>
      </c>
      <c r="D161" s="19" t="s">
        <v>36</v>
      </c>
      <c r="E161" s="19" t="s">
        <v>36</v>
      </c>
      <c r="F161" s="19" t="s">
        <v>36</v>
      </c>
      <c r="G161" s="19" t="s">
        <v>37</v>
      </c>
      <c r="K161" s="19" t="s">
        <v>38</v>
      </c>
      <c r="L161" s="19" t="s">
        <v>39</v>
      </c>
      <c r="M161" s="19" t="s">
        <v>40</v>
      </c>
      <c r="N161" s="19" t="s">
        <v>41</v>
      </c>
      <c r="R161" s="19" t="s">
        <v>58</v>
      </c>
      <c r="T161" s="21">
        <v>50000</v>
      </c>
      <c r="U161" s="19" t="s">
        <v>56</v>
      </c>
      <c r="V161" s="19">
        <v>12</v>
      </c>
      <c r="W161" s="19" t="s">
        <v>57</v>
      </c>
      <c r="X161" s="19" t="s">
        <v>452</v>
      </c>
      <c r="Y161" s="19" t="s">
        <v>450</v>
      </c>
      <c r="Z161" s="19" t="s">
        <v>44</v>
      </c>
    </row>
    <row r="162" spans="1:26" x14ac:dyDescent="0.3">
      <c r="A162" s="19" t="s">
        <v>67</v>
      </c>
      <c r="B162" s="20">
        <v>44985</v>
      </c>
      <c r="C162" s="19" t="s">
        <v>46</v>
      </c>
      <c r="D162" s="19" t="s">
        <v>36</v>
      </c>
      <c r="E162" s="19" t="s">
        <v>36</v>
      </c>
      <c r="F162" s="19" t="s">
        <v>36</v>
      </c>
      <c r="G162" s="19" t="s">
        <v>37</v>
      </c>
      <c r="K162" s="19" t="s">
        <v>38</v>
      </c>
      <c r="L162" s="19" t="s">
        <v>39</v>
      </c>
      <c r="M162" s="19" t="s">
        <v>40</v>
      </c>
      <c r="N162" s="19" t="s">
        <v>41</v>
      </c>
      <c r="R162" s="19" t="s">
        <v>47</v>
      </c>
      <c r="S162" s="21">
        <v>11737.539167000001</v>
      </c>
      <c r="U162" s="19" t="s">
        <v>56</v>
      </c>
      <c r="V162" s="19">
        <v>8</v>
      </c>
      <c r="W162" s="19" t="s">
        <v>48</v>
      </c>
      <c r="X162" s="19" t="s">
        <v>453</v>
      </c>
      <c r="Y162" s="19" t="s">
        <v>454</v>
      </c>
      <c r="Z162" s="19" t="s">
        <v>44</v>
      </c>
    </row>
    <row r="163" spans="1:26" x14ac:dyDescent="0.3">
      <c r="A163" s="19" t="s">
        <v>67</v>
      </c>
      <c r="B163" s="20">
        <v>44985</v>
      </c>
      <c r="C163" s="19" t="s">
        <v>46</v>
      </c>
      <c r="D163" s="19" t="s">
        <v>36</v>
      </c>
      <c r="E163" s="19" t="s">
        <v>36</v>
      </c>
      <c r="F163" s="19" t="s">
        <v>36</v>
      </c>
      <c r="G163" s="19" t="s">
        <v>37</v>
      </c>
      <c r="K163" s="19" t="s">
        <v>38</v>
      </c>
      <c r="L163" s="19" t="s">
        <v>39</v>
      </c>
      <c r="M163" s="19" t="s">
        <v>38</v>
      </c>
      <c r="N163" s="19" t="s">
        <v>41</v>
      </c>
      <c r="R163" s="19" t="s">
        <v>49</v>
      </c>
      <c r="T163" s="21">
        <v>11737.539167000001</v>
      </c>
      <c r="U163" s="19" t="s">
        <v>56</v>
      </c>
      <c r="V163" s="19">
        <v>8</v>
      </c>
      <c r="W163" s="19" t="s">
        <v>48</v>
      </c>
      <c r="X163" s="19" t="s">
        <v>455</v>
      </c>
      <c r="Y163" s="19" t="s">
        <v>454</v>
      </c>
      <c r="Z163" s="19" t="s">
        <v>44</v>
      </c>
    </row>
    <row r="164" spans="1:26" x14ac:dyDescent="0.3">
      <c r="A164" s="19" t="s">
        <v>67</v>
      </c>
      <c r="B164" s="20">
        <v>44562</v>
      </c>
      <c r="C164" s="19" t="s">
        <v>35</v>
      </c>
      <c r="D164" s="19" t="s">
        <v>36</v>
      </c>
      <c r="E164" s="19" t="s">
        <v>36</v>
      </c>
      <c r="F164" s="19" t="s">
        <v>36</v>
      </c>
      <c r="G164" s="19" t="s">
        <v>37</v>
      </c>
      <c r="K164" s="19" t="s">
        <v>38</v>
      </c>
      <c r="L164" s="19" t="s">
        <v>39</v>
      </c>
      <c r="M164" s="19" t="s">
        <v>40</v>
      </c>
      <c r="N164" s="19" t="s">
        <v>41</v>
      </c>
      <c r="R164" s="19" t="s">
        <v>50</v>
      </c>
      <c r="S164" s="21">
        <v>42330.49</v>
      </c>
      <c r="U164" s="19" t="s">
        <v>56</v>
      </c>
      <c r="V164" s="19">
        <v>10</v>
      </c>
      <c r="W164" s="19" t="s">
        <v>51</v>
      </c>
      <c r="X164" s="19" t="s">
        <v>456</v>
      </c>
      <c r="Y164" s="19" t="s">
        <v>457</v>
      </c>
      <c r="Z164" s="19" t="s">
        <v>44</v>
      </c>
    </row>
    <row r="165" spans="1:26" x14ac:dyDescent="0.3">
      <c r="A165" s="19" t="s">
        <v>67</v>
      </c>
      <c r="B165" s="20">
        <v>44562</v>
      </c>
      <c r="C165" s="19" t="s">
        <v>35</v>
      </c>
      <c r="D165" s="19" t="s">
        <v>36</v>
      </c>
      <c r="E165" s="19" t="s">
        <v>36</v>
      </c>
      <c r="F165" s="19" t="s">
        <v>36</v>
      </c>
      <c r="G165" s="19" t="s">
        <v>37</v>
      </c>
      <c r="K165" s="19" t="s">
        <v>38</v>
      </c>
      <c r="L165" s="19" t="s">
        <v>39</v>
      </c>
      <c r="M165" s="19" t="s">
        <v>40</v>
      </c>
      <c r="N165" s="19" t="s">
        <v>41</v>
      </c>
      <c r="R165" s="19" t="s">
        <v>52</v>
      </c>
      <c r="T165" s="21">
        <v>42330.49</v>
      </c>
      <c r="U165" s="19" t="s">
        <v>56</v>
      </c>
      <c r="V165" s="19">
        <v>10</v>
      </c>
      <c r="W165" s="19" t="s">
        <v>51</v>
      </c>
      <c r="X165" s="19" t="s">
        <v>458</v>
      </c>
      <c r="Y165" s="19" t="s">
        <v>457</v>
      </c>
      <c r="Z165" s="19" t="s">
        <v>44</v>
      </c>
    </row>
    <row r="166" spans="1:26" x14ac:dyDescent="0.3">
      <c r="A166" s="19" t="s">
        <v>67</v>
      </c>
      <c r="B166" s="20">
        <v>44985</v>
      </c>
      <c r="C166" s="19" t="s">
        <v>35</v>
      </c>
      <c r="D166" s="19" t="s">
        <v>36</v>
      </c>
      <c r="E166" s="19" t="s">
        <v>36</v>
      </c>
      <c r="F166" s="19" t="s">
        <v>36</v>
      </c>
      <c r="G166" s="19" t="s">
        <v>37</v>
      </c>
      <c r="K166" s="19" t="s">
        <v>38</v>
      </c>
      <c r="L166" s="19" t="s">
        <v>39</v>
      </c>
      <c r="M166" s="19" t="s">
        <v>40</v>
      </c>
      <c r="N166" s="19" t="s">
        <v>41</v>
      </c>
      <c r="R166" s="19" t="s">
        <v>45</v>
      </c>
      <c r="S166" s="21">
        <v>474170.81</v>
      </c>
      <c r="U166" s="19" t="s">
        <v>56</v>
      </c>
      <c r="V166" s="19">
        <v>11</v>
      </c>
      <c r="W166" s="19" t="s">
        <v>53</v>
      </c>
      <c r="X166" s="19" t="s">
        <v>459</v>
      </c>
      <c r="Y166" s="19" t="s">
        <v>460</v>
      </c>
      <c r="Z166" s="19" t="s">
        <v>44</v>
      </c>
    </row>
    <row r="167" spans="1:26" x14ac:dyDescent="0.3">
      <c r="A167" s="19" t="s">
        <v>67</v>
      </c>
      <c r="B167" s="20">
        <v>44985</v>
      </c>
      <c r="C167" s="19" t="s">
        <v>35</v>
      </c>
      <c r="D167" s="19" t="s">
        <v>36</v>
      </c>
      <c r="E167" s="19" t="s">
        <v>36</v>
      </c>
      <c r="F167" s="19" t="s">
        <v>36</v>
      </c>
      <c r="G167" s="19" t="s">
        <v>37</v>
      </c>
      <c r="K167" s="19" t="s">
        <v>38</v>
      </c>
      <c r="L167" s="19" t="s">
        <v>39</v>
      </c>
      <c r="M167" s="19" t="s">
        <v>40</v>
      </c>
      <c r="N167" s="19" t="s">
        <v>41</v>
      </c>
      <c r="R167" s="19" t="s">
        <v>54</v>
      </c>
      <c r="T167" s="21">
        <v>474170.81</v>
      </c>
      <c r="U167" s="19" t="s">
        <v>56</v>
      </c>
      <c r="V167" s="19">
        <v>11</v>
      </c>
      <c r="W167" s="19" t="s">
        <v>53</v>
      </c>
      <c r="X167" s="19" t="s">
        <v>461</v>
      </c>
      <c r="Y167" s="19" t="s">
        <v>460</v>
      </c>
      <c r="Z167" s="19" t="s">
        <v>44</v>
      </c>
    </row>
    <row r="168" spans="1:26" x14ac:dyDescent="0.3">
      <c r="A168" s="19" t="s">
        <v>68</v>
      </c>
      <c r="B168" s="20">
        <v>44986</v>
      </c>
      <c r="C168" s="19" t="s">
        <v>35</v>
      </c>
      <c r="D168" s="19" t="s">
        <v>36</v>
      </c>
      <c r="E168" s="19" t="s">
        <v>36</v>
      </c>
      <c r="F168" s="19" t="s">
        <v>36</v>
      </c>
      <c r="G168" s="19" t="s">
        <v>37</v>
      </c>
      <c r="K168" s="19" t="s">
        <v>38</v>
      </c>
      <c r="L168" s="19" t="s">
        <v>39</v>
      </c>
      <c r="M168" s="19" t="s">
        <v>40</v>
      </c>
      <c r="N168" s="19" t="s">
        <v>41</v>
      </c>
      <c r="R168" s="19" t="s">
        <v>54</v>
      </c>
      <c r="S168" s="21">
        <v>474170.81</v>
      </c>
      <c r="U168" s="19" t="s">
        <v>56</v>
      </c>
      <c r="V168" s="19">
        <v>11</v>
      </c>
      <c r="W168" s="19" t="s">
        <v>55</v>
      </c>
      <c r="X168" s="19" t="s">
        <v>462</v>
      </c>
      <c r="Y168" s="19" t="s">
        <v>463</v>
      </c>
      <c r="Z168" s="19" t="s">
        <v>44</v>
      </c>
    </row>
    <row r="169" spans="1:26" x14ac:dyDescent="0.3">
      <c r="A169" s="19" t="s">
        <v>68</v>
      </c>
      <c r="B169" s="20">
        <v>44986</v>
      </c>
      <c r="C169" s="19" t="s">
        <v>35</v>
      </c>
      <c r="D169" s="19" t="s">
        <v>36</v>
      </c>
      <c r="E169" s="19" t="s">
        <v>36</v>
      </c>
      <c r="F169" s="19" t="s">
        <v>36</v>
      </c>
      <c r="G169" s="19" t="s">
        <v>37</v>
      </c>
      <c r="K169" s="19" t="s">
        <v>38</v>
      </c>
      <c r="L169" s="19" t="s">
        <v>39</v>
      </c>
      <c r="M169" s="19" t="s">
        <v>40</v>
      </c>
      <c r="N169" s="19" t="s">
        <v>41</v>
      </c>
      <c r="R169" s="19" t="s">
        <v>45</v>
      </c>
      <c r="T169" s="21">
        <v>474170.81</v>
      </c>
      <c r="U169" s="19" t="s">
        <v>56</v>
      </c>
      <c r="V169" s="19">
        <v>11</v>
      </c>
      <c r="W169" s="19" t="s">
        <v>55</v>
      </c>
      <c r="X169" s="19" t="s">
        <v>464</v>
      </c>
      <c r="Y169" s="19" t="s">
        <v>463</v>
      </c>
      <c r="Z169" s="19" t="s">
        <v>44</v>
      </c>
    </row>
    <row r="170" spans="1:26" x14ac:dyDescent="0.3">
      <c r="A170" s="19" t="s">
        <v>68</v>
      </c>
      <c r="B170" s="20">
        <v>45016</v>
      </c>
      <c r="C170" s="19" t="s">
        <v>46</v>
      </c>
      <c r="D170" s="19" t="s">
        <v>36</v>
      </c>
      <c r="E170" s="19" t="s">
        <v>36</v>
      </c>
      <c r="F170" s="19" t="s">
        <v>36</v>
      </c>
      <c r="G170" s="19" t="s">
        <v>37</v>
      </c>
      <c r="K170" s="19" t="s">
        <v>38</v>
      </c>
      <c r="L170" s="19" t="s">
        <v>39</v>
      </c>
      <c r="M170" s="19" t="s">
        <v>38</v>
      </c>
      <c r="N170" s="19" t="s">
        <v>41</v>
      </c>
      <c r="R170" s="19" t="s">
        <v>49</v>
      </c>
      <c r="S170" s="21">
        <v>11737.539167000001</v>
      </c>
      <c r="U170" s="19" t="s">
        <v>56</v>
      </c>
      <c r="V170" s="19">
        <v>12</v>
      </c>
      <c r="W170" s="19" t="s">
        <v>57</v>
      </c>
      <c r="X170" s="19" t="s">
        <v>465</v>
      </c>
      <c r="Y170" s="19" t="s">
        <v>466</v>
      </c>
      <c r="Z170" s="19" t="s">
        <v>44</v>
      </c>
    </row>
    <row r="171" spans="1:26" x14ac:dyDescent="0.3">
      <c r="A171" s="19" t="s">
        <v>68</v>
      </c>
      <c r="B171" s="20">
        <v>45016</v>
      </c>
      <c r="C171" s="19" t="s">
        <v>46</v>
      </c>
      <c r="D171" s="19" t="s">
        <v>36</v>
      </c>
      <c r="E171" s="19" t="s">
        <v>36</v>
      </c>
      <c r="F171" s="19" t="s">
        <v>36</v>
      </c>
      <c r="G171" s="19" t="s">
        <v>37</v>
      </c>
      <c r="K171" s="19" t="s">
        <v>38</v>
      </c>
      <c r="L171" s="19" t="s">
        <v>39</v>
      </c>
      <c r="M171" s="19" t="s">
        <v>40</v>
      </c>
      <c r="N171" s="19" t="s">
        <v>41</v>
      </c>
      <c r="R171" s="19" t="s">
        <v>45</v>
      </c>
      <c r="S171" s="21">
        <v>38262.460832999997</v>
      </c>
      <c r="U171" s="19" t="s">
        <v>56</v>
      </c>
      <c r="V171" s="19">
        <v>12</v>
      </c>
      <c r="W171" s="19" t="s">
        <v>57</v>
      </c>
      <c r="X171" s="19" t="s">
        <v>467</v>
      </c>
      <c r="Y171" s="19" t="s">
        <v>466</v>
      </c>
      <c r="Z171" s="19" t="s">
        <v>44</v>
      </c>
    </row>
    <row r="172" spans="1:26" x14ac:dyDescent="0.3">
      <c r="A172" s="19" t="s">
        <v>68</v>
      </c>
      <c r="B172" s="20">
        <v>45016</v>
      </c>
      <c r="C172" s="19" t="s">
        <v>46</v>
      </c>
      <c r="D172" s="19" t="s">
        <v>36</v>
      </c>
      <c r="E172" s="19" t="s">
        <v>36</v>
      </c>
      <c r="F172" s="19" t="s">
        <v>36</v>
      </c>
      <c r="G172" s="19" t="s">
        <v>37</v>
      </c>
      <c r="K172" s="19" t="s">
        <v>38</v>
      </c>
      <c r="L172" s="19" t="s">
        <v>39</v>
      </c>
      <c r="M172" s="19" t="s">
        <v>40</v>
      </c>
      <c r="N172" s="19" t="s">
        <v>41</v>
      </c>
      <c r="R172" s="19" t="s">
        <v>58</v>
      </c>
      <c r="T172" s="21">
        <v>50000</v>
      </c>
      <c r="U172" s="19" t="s">
        <v>56</v>
      </c>
      <c r="V172" s="19">
        <v>12</v>
      </c>
      <c r="W172" s="19" t="s">
        <v>57</v>
      </c>
      <c r="X172" s="19" t="s">
        <v>468</v>
      </c>
      <c r="Y172" s="19" t="s">
        <v>466</v>
      </c>
      <c r="Z172" s="19" t="s">
        <v>44</v>
      </c>
    </row>
    <row r="173" spans="1:26" x14ac:dyDescent="0.3">
      <c r="A173" s="19" t="s">
        <v>69</v>
      </c>
      <c r="B173" s="20">
        <v>45016</v>
      </c>
      <c r="C173" s="19" t="s">
        <v>46</v>
      </c>
      <c r="D173" s="19" t="s">
        <v>36</v>
      </c>
      <c r="E173" s="19" t="s">
        <v>36</v>
      </c>
      <c r="F173" s="19" t="s">
        <v>36</v>
      </c>
      <c r="G173" s="19" t="s">
        <v>37</v>
      </c>
      <c r="K173" s="19" t="s">
        <v>38</v>
      </c>
      <c r="L173" s="19" t="s">
        <v>39</v>
      </c>
      <c r="M173" s="19" t="s">
        <v>40</v>
      </c>
      <c r="N173" s="19" t="s">
        <v>41</v>
      </c>
      <c r="R173" s="19" t="s">
        <v>47</v>
      </c>
      <c r="S173" s="21">
        <v>11514.341478</v>
      </c>
      <c r="U173" s="19" t="s">
        <v>56</v>
      </c>
      <c r="V173" s="19">
        <v>8</v>
      </c>
      <c r="W173" s="19" t="s">
        <v>48</v>
      </c>
      <c r="X173" s="19" t="s">
        <v>469</v>
      </c>
      <c r="Y173" s="19" t="s">
        <v>470</v>
      </c>
      <c r="Z173" s="19" t="s">
        <v>44</v>
      </c>
    </row>
    <row r="174" spans="1:26" x14ac:dyDescent="0.3">
      <c r="A174" s="19" t="s">
        <v>69</v>
      </c>
      <c r="B174" s="20">
        <v>45016</v>
      </c>
      <c r="C174" s="19" t="s">
        <v>46</v>
      </c>
      <c r="D174" s="19" t="s">
        <v>36</v>
      </c>
      <c r="E174" s="19" t="s">
        <v>36</v>
      </c>
      <c r="F174" s="19" t="s">
        <v>36</v>
      </c>
      <c r="G174" s="19" t="s">
        <v>37</v>
      </c>
      <c r="K174" s="19" t="s">
        <v>38</v>
      </c>
      <c r="L174" s="19" t="s">
        <v>39</v>
      </c>
      <c r="M174" s="19" t="s">
        <v>38</v>
      </c>
      <c r="N174" s="19" t="s">
        <v>41</v>
      </c>
      <c r="R174" s="19" t="s">
        <v>49</v>
      </c>
      <c r="T174" s="21">
        <v>11514.341478</v>
      </c>
      <c r="U174" s="19" t="s">
        <v>56</v>
      </c>
      <c r="V174" s="19">
        <v>8</v>
      </c>
      <c r="W174" s="19" t="s">
        <v>48</v>
      </c>
      <c r="X174" s="19" t="s">
        <v>471</v>
      </c>
      <c r="Y174" s="19" t="s">
        <v>470</v>
      </c>
      <c r="Z174" s="19" t="s">
        <v>44</v>
      </c>
    </row>
    <row r="175" spans="1:26" x14ac:dyDescent="0.3">
      <c r="A175" s="19" t="s">
        <v>69</v>
      </c>
      <c r="B175" s="20">
        <v>44562</v>
      </c>
      <c r="C175" s="19" t="s">
        <v>35</v>
      </c>
      <c r="D175" s="19" t="s">
        <v>36</v>
      </c>
      <c r="E175" s="19" t="s">
        <v>36</v>
      </c>
      <c r="F175" s="19" t="s">
        <v>36</v>
      </c>
      <c r="G175" s="19" t="s">
        <v>37</v>
      </c>
      <c r="K175" s="19" t="s">
        <v>38</v>
      </c>
      <c r="L175" s="19" t="s">
        <v>39</v>
      </c>
      <c r="M175" s="19" t="s">
        <v>40</v>
      </c>
      <c r="N175" s="19" t="s">
        <v>41</v>
      </c>
      <c r="R175" s="19" t="s">
        <v>50</v>
      </c>
      <c r="S175" s="21">
        <v>42330.49</v>
      </c>
      <c r="U175" s="19" t="s">
        <v>56</v>
      </c>
      <c r="V175" s="19">
        <v>10</v>
      </c>
      <c r="W175" s="19" t="s">
        <v>51</v>
      </c>
      <c r="X175" s="19" t="s">
        <v>472</v>
      </c>
      <c r="Y175" s="19" t="s">
        <v>473</v>
      </c>
      <c r="Z175" s="19" t="s">
        <v>44</v>
      </c>
    </row>
    <row r="176" spans="1:26" x14ac:dyDescent="0.3">
      <c r="A176" s="19" t="s">
        <v>69</v>
      </c>
      <c r="B176" s="20">
        <v>44562</v>
      </c>
      <c r="C176" s="19" t="s">
        <v>35</v>
      </c>
      <c r="D176" s="19" t="s">
        <v>36</v>
      </c>
      <c r="E176" s="19" t="s">
        <v>36</v>
      </c>
      <c r="F176" s="19" t="s">
        <v>36</v>
      </c>
      <c r="G176" s="19" t="s">
        <v>37</v>
      </c>
      <c r="K176" s="19" t="s">
        <v>38</v>
      </c>
      <c r="L176" s="19" t="s">
        <v>39</v>
      </c>
      <c r="M176" s="19" t="s">
        <v>40</v>
      </c>
      <c r="N176" s="19" t="s">
        <v>41</v>
      </c>
      <c r="R176" s="19" t="s">
        <v>52</v>
      </c>
      <c r="T176" s="21">
        <v>42330.49</v>
      </c>
      <c r="U176" s="19" t="s">
        <v>56</v>
      </c>
      <c r="V176" s="19">
        <v>10</v>
      </c>
      <c r="W176" s="19" t="s">
        <v>51</v>
      </c>
      <c r="X176" s="19" t="s">
        <v>474</v>
      </c>
      <c r="Y176" s="19" t="s">
        <v>473</v>
      </c>
      <c r="Z176" s="19" t="s">
        <v>44</v>
      </c>
    </row>
    <row r="177" spans="1:26" x14ac:dyDescent="0.3">
      <c r="A177" s="19" t="s">
        <v>69</v>
      </c>
      <c r="B177" s="20">
        <v>45016</v>
      </c>
      <c r="C177" s="19" t="s">
        <v>35</v>
      </c>
      <c r="D177" s="19" t="s">
        <v>36</v>
      </c>
      <c r="E177" s="19" t="s">
        <v>36</v>
      </c>
      <c r="F177" s="19" t="s">
        <v>36</v>
      </c>
      <c r="G177" s="19" t="s">
        <v>37</v>
      </c>
      <c r="K177" s="19" t="s">
        <v>38</v>
      </c>
      <c r="L177" s="19" t="s">
        <v>39</v>
      </c>
      <c r="M177" s="19" t="s">
        <v>40</v>
      </c>
      <c r="N177" s="19" t="s">
        <v>41</v>
      </c>
      <c r="R177" s="19" t="s">
        <v>45</v>
      </c>
      <c r="S177" s="21">
        <v>476936.81</v>
      </c>
      <c r="U177" s="19" t="s">
        <v>56</v>
      </c>
      <c r="V177" s="19">
        <v>11</v>
      </c>
      <c r="W177" s="19" t="s">
        <v>53</v>
      </c>
      <c r="X177" s="19" t="s">
        <v>475</v>
      </c>
      <c r="Y177" s="19" t="s">
        <v>476</v>
      </c>
      <c r="Z177" s="19" t="s">
        <v>44</v>
      </c>
    </row>
    <row r="178" spans="1:26" x14ac:dyDescent="0.3">
      <c r="A178" s="19" t="s">
        <v>69</v>
      </c>
      <c r="B178" s="20">
        <v>45016</v>
      </c>
      <c r="C178" s="19" t="s">
        <v>35</v>
      </c>
      <c r="D178" s="19" t="s">
        <v>36</v>
      </c>
      <c r="E178" s="19" t="s">
        <v>36</v>
      </c>
      <c r="F178" s="19" t="s">
        <v>36</v>
      </c>
      <c r="G178" s="19" t="s">
        <v>37</v>
      </c>
      <c r="K178" s="19" t="s">
        <v>38</v>
      </c>
      <c r="L178" s="19" t="s">
        <v>39</v>
      </c>
      <c r="M178" s="19" t="s">
        <v>40</v>
      </c>
      <c r="N178" s="19" t="s">
        <v>41</v>
      </c>
      <c r="R178" s="19" t="s">
        <v>54</v>
      </c>
      <c r="T178" s="21">
        <v>476936.81</v>
      </c>
      <c r="U178" s="19" t="s">
        <v>56</v>
      </c>
      <c r="V178" s="19">
        <v>11</v>
      </c>
      <c r="W178" s="19" t="s">
        <v>53</v>
      </c>
      <c r="X178" s="19" t="s">
        <v>477</v>
      </c>
      <c r="Y178" s="19" t="s">
        <v>476</v>
      </c>
      <c r="Z178" s="19" t="s">
        <v>44</v>
      </c>
    </row>
    <row r="179" spans="1:26" x14ac:dyDescent="0.3">
      <c r="A179" s="19" t="s">
        <v>70</v>
      </c>
      <c r="B179" s="20">
        <v>45017</v>
      </c>
      <c r="C179" s="19" t="s">
        <v>35</v>
      </c>
      <c r="D179" s="19" t="s">
        <v>36</v>
      </c>
      <c r="E179" s="19" t="s">
        <v>36</v>
      </c>
      <c r="F179" s="19" t="s">
        <v>36</v>
      </c>
      <c r="G179" s="19" t="s">
        <v>37</v>
      </c>
      <c r="K179" s="19" t="s">
        <v>38</v>
      </c>
      <c r="L179" s="19" t="s">
        <v>39</v>
      </c>
      <c r="M179" s="19" t="s">
        <v>40</v>
      </c>
      <c r="N179" s="19" t="s">
        <v>41</v>
      </c>
      <c r="R179" s="19" t="s">
        <v>54</v>
      </c>
      <c r="S179" s="21">
        <v>476936.81</v>
      </c>
      <c r="U179" s="19" t="s">
        <v>56</v>
      </c>
      <c r="V179" s="19">
        <v>11</v>
      </c>
      <c r="W179" s="19" t="s">
        <v>55</v>
      </c>
      <c r="X179" s="19" t="s">
        <v>478</v>
      </c>
      <c r="Y179" s="19" t="s">
        <v>479</v>
      </c>
      <c r="Z179" s="19" t="s">
        <v>44</v>
      </c>
    </row>
    <row r="180" spans="1:26" x14ac:dyDescent="0.3">
      <c r="A180" s="19" t="s">
        <v>70</v>
      </c>
      <c r="B180" s="20">
        <v>45017</v>
      </c>
      <c r="C180" s="19" t="s">
        <v>35</v>
      </c>
      <c r="D180" s="19" t="s">
        <v>36</v>
      </c>
      <c r="E180" s="19" t="s">
        <v>36</v>
      </c>
      <c r="F180" s="19" t="s">
        <v>36</v>
      </c>
      <c r="G180" s="19" t="s">
        <v>37</v>
      </c>
      <c r="K180" s="19" t="s">
        <v>38</v>
      </c>
      <c r="L180" s="19" t="s">
        <v>39</v>
      </c>
      <c r="M180" s="19" t="s">
        <v>40</v>
      </c>
      <c r="N180" s="19" t="s">
        <v>41</v>
      </c>
      <c r="R180" s="19" t="s">
        <v>45</v>
      </c>
      <c r="T180" s="21">
        <v>476936.81</v>
      </c>
      <c r="U180" s="19" t="s">
        <v>56</v>
      </c>
      <c r="V180" s="19">
        <v>11</v>
      </c>
      <c r="W180" s="19" t="s">
        <v>55</v>
      </c>
      <c r="X180" s="19" t="s">
        <v>480</v>
      </c>
      <c r="Y180" s="19" t="s">
        <v>479</v>
      </c>
      <c r="Z180" s="19" t="s">
        <v>44</v>
      </c>
    </row>
    <row r="181" spans="1:26" x14ac:dyDescent="0.3">
      <c r="A181" s="19" t="s">
        <v>70</v>
      </c>
      <c r="B181" s="20">
        <v>45046</v>
      </c>
      <c r="C181" s="19" t="s">
        <v>46</v>
      </c>
      <c r="D181" s="19" t="s">
        <v>36</v>
      </c>
      <c r="E181" s="19" t="s">
        <v>36</v>
      </c>
      <c r="F181" s="19" t="s">
        <v>36</v>
      </c>
      <c r="G181" s="19" t="s">
        <v>37</v>
      </c>
      <c r="K181" s="19" t="s">
        <v>38</v>
      </c>
      <c r="L181" s="19" t="s">
        <v>39</v>
      </c>
      <c r="M181" s="19" t="s">
        <v>38</v>
      </c>
      <c r="N181" s="19" t="s">
        <v>41</v>
      </c>
      <c r="R181" s="19" t="s">
        <v>49</v>
      </c>
      <c r="S181" s="21">
        <v>11514.341478</v>
      </c>
      <c r="U181" s="19" t="s">
        <v>56</v>
      </c>
      <c r="V181" s="19">
        <v>12</v>
      </c>
      <c r="W181" s="19" t="s">
        <v>57</v>
      </c>
      <c r="X181" s="19" t="s">
        <v>481</v>
      </c>
      <c r="Y181" s="19" t="s">
        <v>482</v>
      </c>
      <c r="Z181" s="19" t="s">
        <v>44</v>
      </c>
    </row>
    <row r="182" spans="1:26" x14ac:dyDescent="0.3">
      <c r="A182" s="19" t="s">
        <v>70</v>
      </c>
      <c r="B182" s="20">
        <v>45046</v>
      </c>
      <c r="C182" s="19" t="s">
        <v>46</v>
      </c>
      <c r="D182" s="19" t="s">
        <v>36</v>
      </c>
      <c r="E182" s="19" t="s">
        <v>36</v>
      </c>
      <c r="F182" s="19" t="s">
        <v>36</v>
      </c>
      <c r="G182" s="19" t="s">
        <v>37</v>
      </c>
      <c r="K182" s="19" t="s">
        <v>38</v>
      </c>
      <c r="L182" s="19" t="s">
        <v>39</v>
      </c>
      <c r="M182" s="19" t="s">
        <v>40</v>
      </c>
      <c r="N182" s="19" t="s">
        <v>41</v>
      </c>
      <c r="R182" s="19" t="s">
        <v>45</v>
      </c>
      <c r="S182" s="21">
        <v>38485.658521999998</v>
      </c>
      <c r="U182" s="19" t="s">
        <v>56</v>
      </c>
      <c r="V182" s="19">
        <v>12</v>
      </c>
      <c r="W182" s="19" t="s">
        <v>57</v>
      </c>
      <c r="X182" s="19" t="s">
        <v>483</v>
      </c>
      <c r="Y182" s="19" t="s">
        <v>482</v>
      </c>
      <c r="Z182" s="19" t="s">
        <v>44</v>
      </c>
    </row>
    <row r="183" spans="1:26" x14ac:dyDescent="0.3">
      <c r="A183" s="19" t="s">
        <v>70</v>
      </c>
      <c r="B183" s="20">
        <v>45046</v>
      </c>
      <c r="C183" s="19" t="s">
        <v>46</v>
      </c>
      <c r="D183" s="19" t="s">
        <v>36</v>
      </c>
      <c r="E183" s="19" t="s">
        <v>36</v>
      </c>
      <c r="F183" s="19" t="s">
        <v>36</v>
      </c>
      <c r="G183" s="19" t="s">
        <v>37</v>
      </c>
      <c r="K183" s="19" t="s">
        <v>38</v>
      </c>
      <c r="L183" s="19" t="s">
        <v>39</v>
      </c>
      <c r="M183" s="19" t="s">
        <v>40</v>
      </c>
      <c r="N183" s="19" t="s">
        <v>41</v>
      </c>
      <c r="R183" s="19" t="s">
        <v>58</v>
      </c>
      <c r="T183" s="21">
        <v>50000</v>
      </c>
      <c r="U183" s="19" t="s">
        <v>56</v>
      </c>
      <c r="V183" s="19">
        <v>12</v>
      </c>
      <c r="W183" s="19" t="s">
        <v>57</v>
      </c>
      <c r="X183" s="19" t="s">
        <v>484</v>
      </c>
      <c r="Y183" s="19" t="s">
        <v>482</v>
      </c>
      <c r="Z183" s="19" t="s">
        <v>44</v>
      </c>
    </row>
    <row r="184" spans="1:26" x14ac:dyDescent="0.3">
      <c r="A184" s="19" t="s">
        <v>71</v>
      </c>
      <c r="B184" s="20">
        <v>45046</v>
      </c>
      <c r="C184" s="19" t="s">
        <v>46</v>
      </c>
      <c r="D184" s="19" t="s">
        <v>36</v>
      </c>
      <c r="E184" s="19" t="s">
        <v>36</v>
      </c>
      <c r="F184" s="19" t="s">
        <v>36</v>
      </c>
      <c r="G184" s="19" t="s">
        <v>37</v>
      </c>
      <c r="K184" s="19" t="s">
        <v>38</v>
      </c>
      <c r="L184" s="19" t="s">
        <v>39</v>
      </c>
      <c r="M184" s="19" t="s">
        <v>40</v>
      </c>
      <c r="N184" s="19" t="s">
        <v>41</v>
      </c>
      <c r="R184" s="19" t="s">
        <v>47</v>
      </c>
      <c r="S184" s="21">
        <v>11289.841804</v>
      </c>
      <c r="U184" s="19" t="s">
        <v>56</v>
      </c>
      <c r="V184" s="19">
        <v>8</v>
      </c>
      <c r="W184" s="19" t="s">
        <v>48</v>
      </c>
      <c r="X184" s="19" t="s">
        <v>485</v>
      </c>
      <c r="Y184" s="19" t="s">
        <v>486</v>
      </c>
      <c r="Z184" s="19" t="s">
        <v>44</v>
      </c>
    </row>
    <row r="185" spans="1:26" x14ac:dyDescent="0.3">
      <c r="A185" s="19" t="s">
        <v>71</v>
      </c>
      <c r="B185" s="20">
        <v>45046</v>
      </c>
      <c r="C185" s="19" t="s">
        <v>46</v>
      </c>
      <c r="D185" s="19" t="s">
        <v>36</v>
      </c>
      <c r="E185" s="19" t="s">
        <v>36</v>
      </c>
      <c r="F185" s="19" t="s">
        <v>36</v>
      </c>
      <c r="G185" s="19" t="s">
        <v>37</v>
      </c>
      <c r="K185" s="19" t="s">
        <v>38</v>
      </c>
      <c r="L185" s="19" t="s">
        <v>39</v>
      </c>
      <c r="M185" s="19" t="s">
        <v>38</v>
      </c>
      <c r="N185" s="19" t="s">
        <v>41</v>
      </c>
      <c r="R185" s="19" t="s">
        <v>49</v>
      </c>
      <c r="T185" s="21">
        <v>11289.841804</v>
      </c>
      <c r="U185" s="19" t="s">
        <v>56</v>
      </c>
      <c r="V185" s="19">
        <v>8</v>
      </c>
      <c r="W185" s="19" t="s">
        <v>48</v>
      </c>
      <c r="X185" s="19" t="s">
        <v>487</v>
      </c>
      <c r="Y185" s="19" t="s">
        <v>486</v>
      </c>
      <c r="Z185" s="19" t="s">
        <v>44</v>
      </c>
    </row>
    <row r="186" spans="1:26" x14ac:dyDescent="0.3">
      <c r="A186" s="19" t="s">
        <v>71</v>
      </c>
      <c r="B186" s="20">
        <v>44562</v>
      </c>
      <c r="C186" s="19" t="s">
        <v>35</v>
      </c>
      <c r="D186" s="19" t="s">
        <v>36</v>
      </c>
      <c r="E186" s="19" t="s">
        <v>36</v>
      </c>
      <c r="F186" s="19" t="s">
        <v>36</v>
      </c>
      <c r="G186" s="19" t="s">
        <v>37</v>
      </c>
      <c r="K186" s="19" t="s">
        <v>38</v>
      </c>
      <c r="L186" s="19" t="s">
        <v>39</v>
      </c>
      <c r="M186" s="19" t="s">
        <v>40</v>
      </c>
      <c r="N186" s="19" t="s">
        <v>41</v>
      </c>
      <c r="R186" s="19" t="s">
        <v>50</v>
      </c>
      <c r="S186" s="21">
        <v>42330.49</v>
      </c>
      <c r="U186" s="19" t="s">
        <v>56</v>
      </c>
      <c r="V186" s="19">
        <v>10</v>
      </c>
      <c r="W186" s="19" t="s">
        <v>51</v>
      </c>
      <c r="X186" s="19" t="s">
        <v>488</v>
      </c>
      <c r="Y186" s="19" t="s">
        <v>489</v>
      </c>
      <c r="Z186" s="19" t="s">
        <v>44</v>
      </c>
    </row>
    <row r="187" spans="1:26" x14ac:dyDescent="0.3">
      <c r="A187" s="19" t="s">
        <v>71</v>
      </c>
      <c r="B187" s="20">
        <v>44562</v>
      </c>
      <c r="C187" s="19" t="s">
        <v>35</v>
      </c>
      <c r="D187" s="19" t="s">
        <v>36</v>
      </c>
      <c r="E187" s="19" t="s">
        <v>36</v>
      </c>
      <c r="F187" s="19" t="s">
        <v>36</v>
      </c>
      <c r="G187" s="19" t="s">
        <v>37</v>
      </c>
      <c r="K187" s="19" t="s">
        <v>38</v>
      </c>
      <c r="L187" s="19" t="s">
        <v>39</v>
      </c>
      <c r="M187" s="19" t="s">
        <v>40</v>
      </c>
      <c r="N187" s="19" t="s">
        <v>41</v>
      </c>
      <c r="R187" s="19" t="s">
        <v>52</v>
      </c>
      <c r="T187" s="21">
        <v>42330.49</v>
      </c>
      <c r="U187" s="19" t="s">
        <v>56</v>
      </c>
      <c r="V187" s="19">
        <v>10</v>
      </c>
      <c r="W187" s="19" t="s">
        <v>51</v>
      </c>
      <c r="X187" s="19" t="s">
        <v>490</v>
      </c>
      <c r="Y187" s="19" t="s">
        <v>489</v>
      </c>
      <c r="Z187" s="19" t="s">
        <v>44</v>
      </c>
    </row>
    <row r="188" spans="1:26" x14ac:dyDescent="0.3">
      <c r="A188" s="19" t="s">
        <v>71</v>
      </c>
      <c r="B188" s="20">
        <v>45046</v>
      </c>
      <c r="C188" s="19" t="s">
        <v>35</v>
      </c>
      <c r="D188" s="19" t="s">
        <v>36</v>
      </c>
      <c r="E188" s="19" t="s">
        <v>36</v>
      </c>
      <c r="F188" s="19" t="s">
        <v>36</v>
      </c>
      <c r="G188" s="19" t="s">
        <v>37</v>
      </c>
      <c r="K188" s="19" t="s">
        <v>38</v>
      </c>
      <c r="L188" s="19" t="s">
        <v>39</v>
      </c>
      <c r="M188" s="19" t="s">
        <v>40</v>
      </c>
      <c r="N188" s="19" t="s">
        <v>41</v>
      </c>
      <c r="R188" s="19" t="s">
        <v>45</v>
      </c>
      <c r="S188" s="21">
        <v>479718.94</v>
      </c>
      <c r="U188" s="19" t="s">
        <v>56</v>
      </c>
      <c r="V188" s="19">
        <v>11</v>
      </c>
      <c r="W188" s="19" t="s">
        <v>53</v>
      </c>
      <c r="X188" s="19" t="s">
        <v>491</v>
      </c>
      <c r="Y188" s="19" t="s">
        <v>492</v>
      </c>
      <c r="Z188" s="19" t="s">
        <v>44</v>
      </c>
    </row>
    <row r="189" spans="1:26" x14ac:dyDescent="0.3">
      <c r="A189" s="19" t="s">
        <v>71</v>
      </c>
      <c r="B189" s="20">
        <v>45046</v>
      </c>
      <c r="C189" s="19" t="s">
        <v>35</v>
      </c>
      <c r="D189" s="19" t="s">
        <v>36</v>
      </c>
      <c r="E189" s="19" t="s">
        <v>36</v>
      </c>
      <c r="F189" s="19" t="s">
        <v>36</v>
      </c>
      <c r="G189" s="19" t="s">
        <v>37</v>
      </c>
      <c r="K189" s="19" t="s">
        <v>38</v>
      </c>
      <c r="L189" s="19" t="s">
        <v>39</v>
      </c>
      <c r="M189" s="19" t="s">
        <v>40</v>
      </c>
      <c r="N189" s="19" t="s">
        <v>41</v>
      </c>
      <c r="R189" s="19" t="s">
        <v>54</v>
      </c>
      <c r="T189" s="21">
        <v>479718.94</v>
      </c>
      <c r="U189" s="19" t="s">
        <v>56</v>
      </c>
      <c r="V189" s="19">
        <v>11</v>
      </c>
      <c r="W189" s="19" t="s">
        <v>53</v>
      </c>
      <c r="X189" s="19" t="s">
        <v>493</v>
      </c>
      <c r="Y189" s="19" t="s">
        <v>492</v>
      </c>
      <c r="Z189" s="19" t="s">
        <v>44</v>
      </c>
    </row>
    <row r="190" spans="1:26" x14ac:dyDescent="0.3">
      <c r="A190" s="19" t="s">
        <v>72</v>
      </c>
      <c r="B190" s="20">
        <v>45047</v>
      </c>
      <c r="C190" s="19" t="s">
        <v>35</v>
      </c>
      <c r="D190" s="19" t="s">
        <v>36</v>
      </c>
      <c r="E190" s="19" t="s">
        <v>36</v>
      </c>
      <c r="F190" s="19" t="s">
        <v>36</v>
      </c>
      <c r="G190" s="19" t="s">
        <v>37</v>
      </c>
      <c r="K190" s="19" t="s">
        <v>38</v>
      </c>
      <c r="L190" s="19" t="s">
        <v>39</v>
      </c>
      <c r="M190" s="19" t="s">
        <v>40</v>
      </c>
      <c r="N190" s="19" t="s">
        <v>41</v>
      </c>
      <c r="R190" s="19" t="s">
        <v>54</v>
      </c>
      <c r="S190" s="21">
        <v>479718.94</v>
      </c>
      <c r="U190" s="19" t="s">
        <v>56</v>
      </c>
      <c r="V190" s="19">
        <v>11</v>
      </c>
      <c r="W190" s="19" t="s">
        <v>55</v>
      </c>
      <c r="X190" s="19" t="s">
        <v>494</v>
      </c>
      <c r="Y190" s="19" t="s">
        <v>495</v>
      </c>
      <c r="Z190" s="19" t="s">
        <v>44</v>
      </c>
    </row>
    <row r="191" spans="1:26" x14ac:dyDescent="0.3">
      <c r="A191" s="19" t="s">
        <v>72</v>
      </c>
      <c r="B191" s="20">
        <v>45047</v>
      </c>
      <c r="C191" s="19" t="s">
        <v>35</v>
      </c>
      <c r="D191" s="19" t="s">
        <v>36</v>
      </c>
      <c r="E191" s="19" t="s">
        <v>36</v>
      </c>
      <c r="F191" s="19" t="s">
        <v>36</v>
      </c>
      <c r="G191" s="19" t="s">
        <v>37</v>
      </c>
      <c r="K191" s="19" t="s">
        <v>38</v>
      </c>
      <c r="L191" s="19" t="s">
        <v>39</v>
      </c>
      <c r="M191" s="19" t="s">
        <v>40</v>
      </c>
      <c r="N191" s="19" t="s">
        <v>41</v>
      </c>
      <c r="R191" s="19" t="s">
        <v>45</v>
      </c>
      <c r="T191" s="21">
        <v>479718.94</v>
      </c>
      <c r="U191" s="19" t="s">
        <v>56</v>
      </c>
      <c r="V191" s="19">
        <v>11</v>
      </c>
      <c r="W191" s="19" t="s">
        <v>55</v>
      </c>
      <c r="X191" s="19" t="s">
        <v>496</v>
      </c>
      <c r="Y191" s="19" t="s">
        <v>495</v>
      </c>
      <c r="Z191" s="19" t="s">
        <v>44</v>
      </c>
    </row>
    <row r="192" spans="1:26" x14ac:dyDescent="0.3">
      <c r="A192" s="19" t="s">
        <v>72</v>
      </c>
      <c r="B192" s="20">
        <v>45077</v>
      </c>
      <c r="C192" s="19" t="s">
        <v>46</v>
      </c>
      <c r="D192" s="19" t="s">
        <v>36</v>
      </c>
      <c r="E192" s="19" t="s">
        <v>36</v>
      </c>
      <c r="F192" s="19" t="s">
        <v>36</v>
      </c>
      <c r="G192" s="19" t="s">
        <v>37</v>
      </c>
      <c r="K192" s="19" t="s">
        <v>38</v>
      </c>
      <c r="L192" s="19" t="s">
        <v>39</v>
      </c>
      <c r="M192" s="19" t="s">
        <v>38</v>
      </c>
      <c r="N192" s="19" t="s">
        <v>41</v>
      </c>
      <c r="R192" s="19" t="s">
        <v>49</v>
      </c>
      <c r="S192" s="21">
        <v>11289.841804</v>
      </c>
      <c r="U192" s="19" t="s">
        <v>56</v>
      </c>
      <c r="V192" s="19">
        <v>12</v>
      </c>
      <c r="W192" s="19" t="s">
        <v>57</v>
      </c>
      <c r="X192" s="19" t="s">
        <v>497</v>
      </c>
      <c r="Y192" s="19" t="s">
        <v>498</v>
      </c>
      <c r="Z192" s="19" t="s">
        <v>44</v>
      </c>
    </row>
    <row r="193" spans="1:26" x14ac:dyDescent="0.3">
      <c r="A193" s="19" t="s">
        <v>72</v>
      </c>
      <c r="B193" s="20">
        <v>45077</v>
      </c>
      <c r="C193" s="19" t="s">
        <v>46</v>
      </c>
      <c r="D193" s="19" t="s">
        <v>36</v>
      </c>
      <c r="E193" s="19" t="s">
        <v>36</v>
      </c>
      <c r="F193" s="19" t="s">
        <v>36</v>
      </c>
      <c r="G193" s="19" t="s">
        <v>37</v>
      </c>
      <c r="K193" s="19" t="s">
        <v>38</v>
      </c>
      <c r="L193" s="19" t="s">
        <v>39</v>
      </c>
      <c r="M193" s="19" t="s">
        <v>40</v>
      </c>
      <c r="N193" s="19" t="s">
        <v>41</v>
      </c>
      <c r="R193" s="19" t="s">
        <v>45</v>
      </c>
      <c r="S193" s="21">
        <v>38710.158195999997</v>
      </c>
      <c r="U193" s="19" t="s">
        <v>56</v>
      </c>
      <c r="V193" s="19">
        <v>12</v>
      </c>
      <c r="W193" s="19" t="s">
        <v>57</v>
      </c>
      <c r="X193" s="19" t="s">
        <v>499</v>
      </c>
      <c r="Y193" s="19" t="s">
        <v>498</v>
      </c>
      <c r="Z193" s="19" t="s">
        <v>44</v>
      </c>
    </row>
    <row r="194" spans="1:26" x14ac:dyDescent="0.3">
      <c r="A194" s="19" t="s">
        <v>72</v>
      </c>
      <c r="B194" s="20">
        <v>45077</v>
      </c>
      <c r="C194" s="19" t="s">
        <v>46</v>
      </c>
      <c r="D194" s="19" t="s">
        <v>36</v>
      </c>
      <c r="E194" s="19" t="s">
        <v>36</v>
      </c>
      <c r="F194" s="19" t="s">
        <v>36</v>
      </c>
      <c r="G194" s="19" t="s">
        <v>37</v>
      </c>
      <c r="K194" s="19" t="s">
        <v>38</v>
      </c>
      <c r="L194" s="19" t="s">
        <v>39</v>
      </c>
      <c r="M194" s="19" t="s">
        <v>40</v>
      </c>
      <c r="N194" s="19" t="s">
        <v>41</v>
      </c>
      <c r="R194" s="19" t="s">
        <v>58</v>
      </c>
      <c r="T194" s="21">
        <v>50000</v>
      </c>
      <c r="U194" s="19" t="s">
        <v>56</v>
      </c>
      <c r="V194" s="19">
        <v>12</v>
      </c>
      <c r="W194" s="19" t="s">
        <v>57</v>
      </c>
      <c r="X194" s="19" t="s">
        <v>500</v>
      </c>
      <c r="Y194" s="19" t="s">
        <v>498</v>
      </c>
      <c r="Z194" s="19" t="s">
        <v>44</v>
      </c>
    </row>
    <row r="195" spans="1:26" x14ac:dyDescent="0.3">
      <c r="A195" s="19" t="s">
        <v>73</v>
      </c>
      <c r="B195" s="20">
        <v>45077</v>
      </c>
      <c r="C195" s="19" t="s">
        <v>46</v>
      </c>
      <c r="D195" s="19" t="s">
        <v>36</v>
      </c>
      <c r="E195" s="19" t="s">
        <v>36</v>
      </c>
      <c r="F195" s="19" t="s">
        <v>36</v>
      </c>
      <c r="G195" s="19" t="s">
        <v>37</v>
      </c>
      <c r="K195" s="19" t="s">
        <v>38</v>
      </c>
      <c r="L195" s="19" t="s">
        <v>39</v>
      </c>
      <c r="M195" s="19" t="s">
        <v>40</v>
      </c>
      <c r="N195" s="19" t="s">
        <v>41</v>
      </c>
      <c r="R195" s="19" t="s">
        <v>47</v>
      </c>
      <c r="S195" s="21">
        <v>11064.032547999999</v>
      </c>
      <c r="U195" s="19" t="s">
        <v>56</v>
      </c>
      <c r="V195" s="19">
        <v>8</v>
      </c>
      <c r="W195" s="19" t="s">
        <v>48</v>
      </c>
      <c r="X195" s="19" t="s">
        <v>501</v>
      </c>
      <c r="Y195" s="19" t="s">
        <v>502</v>
      </c>
      <c r="Z195" s="19" t="s">
        <v>44</v>
      </c>
    </row>
    <row r="196" spans="1:26" x14ac:dyDescent="0.3">
      <c r="A196" s="19" t="s">
        <v>73</v>
      </c>
      <c r="B196" s="20">
        <v>45077</v>
      </c>
      <c r="C196" s="19" t="s">
        <v>46</v>
      </c>
      <c r="D196" s="19" t="s">
        <v>36</v>
      </c>
      <c r="E196" s="19" t="s">
        <v>36</v>
      </c>
      <c r="F196" s="19" t="s">
        <v>36</v>
      </c>
      <c r="G196" s="19" t="s">
        <v>37</v>
      </c>
      <c r="K196" s="19" t="s">
        <v>38</v>
      </c>
      <c r="L196" s="19" t="s">
        <v>39</v>
      </c>
      <c r="M196" s="19" t="s">
        <v>38</v>
      </c>
      <c r="N196" s="19" t="s">
        <v>41</v>
      </c>
      <c r="R196" s="19" t="s">
        <v>49</v>
      </c>
      <c r="T196" s="21">
        <v>11064.032547999999</v>
      </c>
      <c r="U196" s="19" t="s">
        <v>56</v>
      </c>
      <c r="V196" s="19">
        <v>8</v>
      </c>
      <c r="W196" s="19" t="s">
        <v>48</v>
      </c>
      <c r="X196" s="19" t="s">
        <v>503</v>
      </c>
      <c r="Y196" s="19" t="s">
        <v>502</v>
      </c>
      <c r="Z196" s="19" t="s">
        <v>44</v>
      </c>
    </row>
    <row r="197" spans="1:26" x14ac:dyDescent="0.3">
      <c r="A197" s="19" t="s">
        <v>73</v>
      </c>
      <c r="B197" s="20">
        <v>44562</v>
      </c>
      <c r="C197" s="19" t="s">
        <v>35</v>
      </c>
      <c r="D197" s="19" t="s">
        <v>36</v>
      </c>
      <c r="E197" s="19" t="s">
        <v>36</v>
      </c>
      <c r="F197" s="19" t="s">
        <v>36</v>
      </c>
      <c r="G197" s="19" t="s">
        <v>37</v>
      </c>
      <c r="K197" s="19" t="s">
        <v>38</v>
      </c>
      <c r="L197" s="19" t="s">
        <v>39</v>
      </c>
      <c r="M197" s="19" t="s">
        <v>40</v>
      </c>
      <c r="N197" s="19" t="s">
        <v>41</v>
      </c>
      <c r="R197" s="19" t="s">
        <v>50</v>
      </c>
      <c r="S197" s="21">
        <v>42330.49</v>
      </c>
      <c r="U197" s="19" t="s">
        <v>56</v>
      </c>
      <c r="V197" s="19">
        <v>10</v>
      </c>
      <c r="W197" s="19" t="s">
        <v>51</v>
      </c>
      <c r="X197" s="19" t="s">
        <v>504</v>
      </c>
      <c r="Y197" s="19" t="s">
        <v>505</v>
      </c>
      <c r="Z197" s="19" t="s">
        <v>44</v>
      </c>
    </row>
    <row r="198" spans="1:26" x14ac:dyDescent="0.3">
      <c r="A198" s="19" t="s">
        <v>73</v>
      </c>
      <c r="B198" s="20">
        <v>44562</v>
      </c>
      <c r="C198" s="19" t="s">
        <v>35</v>
      </c>
      <c r="D198" s="19" t="s">
        <v>36</v>
      </c>
      <c r="E198" s="19" t="s">
        <v>36</v>
      </c>
      <c r="F198" s="19" t="s">
        <v>36</v>
      </c>
      <c r="G198" s="19" t="s">
        <v>37</v>
      </c>
      <c r="K198" s="19" t="s">
        <v>38</v>
      </c>
      <c r="L198" s="19" t="s">
        <v>39</v>
      </c>
      <c r="M198" s="19" t="s">
        <v>40</v>
      </c>
      <c r="N198" s="19" t="s">
        <v>41</v>
      </c>
      <c r="R198" s="19" t="s">
        <v>52</v>
      </c>
      <c r="T198" s="21">
        <v>42330.49</v>
      </c>
      <c r="U198" s="19" t="s">
        <v>56</v>
      </c>
      <c r="V198" s="19">
        <v>10</v>
      </c>
      <c r="W198" s="19" t="s">
        <v>51</v>
      </c>
      <c r="X198" s="19" t="s">
        <v>506</v>
      </c>
      <c r="Y198" s="19" t="s">
        <v>505</v>
      </c>
      <c r="Z198" s="19" t="s">
        <v>44</v>
      </c>
    </row>
    <row r="199" spans="1:26" x14ac:dyDescent="0.3">
      <c r="A199" s="19" t="s">
        <v>73</v>
      </c>
      <c r="B199" s="20">
        <v>45077</v>
      </c>
      <c r="C199" s="19" t="s">
        <v>35</v>
      </c>
      <c r="D199" s="19" t="s">
        <v>36</v>
      </c>
      <c r="E199" s="19" t="s">
        <v>36</v>
      </c>
      <c r="F199" s="19" t="s">
        <v>36</v>
      </c>
      <c r="G199" s="19" t="s">
        <v>37</v>
      </c>
      <c r="K199" s="19" t="s">
        <v>38</v>
      </c>
      <c r="L199" s="19" t="s">
        <v>39</v>
      </c>
      <c r="M199" s="19" t="s">
        <v>40</v>
      </c>
      <c r="N199" s="19" t="s">
        <v>41</v>
      </c>
      <c r="R199" s="19" t="s">
        <v>45</v>
      </c>
      <c r="S199" s="21">
        <v>482517.29</v>
      </c>
      <c r="U199" s="19" t="s">
        <v>56</v>
      </c>
      <c r="V199" s="19">
        <v>11</v>
      </c>
      <c r="W199" s="19" t="s">
        <v>53</v>
      </c>
      <c r="X199" s="19" t="s">
        <v>507</v>
      </c>
      <c r="Y199" s="19" t="s">
        <v>508</v>
      </c>
      <c r="Z199" s="19" t="s">
        <v>44</v>
      </c>
    </row>
    <row r="200" spans="1:26" x14ac:dyDescent="0.3">
      <c r="A200" s="19" t="s">
        <v>73</v>
      </c>
      <c r="B200" s="20">
        <v>45077</v>
      </c>
      <c r="C200" s="19" t="s">
        <v>35</v>
      </c>
      <c r="D200" s="19" t="s">
        <v>36</v>
      </c>
      <c r="E200" s="19" t="s">
        <v>36</v>
      </c>
      <c r="F200" s="19" t="s">
        <v>36</v>
      </c>
      <c r="G200" s="19" t="s">
        <v>37</v>
      </c>
      <c r="K200" s="19" t="s">
        <v>38</v>
      </c>
      <c r="L200" s="19" t="s">
        <v>39</v>
      </c>
      <c r="M200" s="19" t="s">
        <v>40</v>
      </c>
      <c r="N200" s="19" t="s">
        <v>41</v>
      </c>
      <c r="R200" s="19" t="s">
        <v>54</v>
      </c>
      <c r="T200" s="21">
        <v>482517.29</v>
      </c>
      <c r="U200" s="19" t="s">
        <v>56</v>
      </c>
      <c r="V200" s="19">
        <v>11</v>
      </c>
      <c r="W200" s="19" t="s">
        <v>53</v>
      </c>
      <c r="X200" s="19" t="s">
        <v>509</v>
      </c>
      <c r="Y200" s="19" t="s">
        <v>508</v>
      </c>
      <c r="Z200" s="19" t="s">
        <v>44</v>
      </c>
    </row>
    <row r="201" spans="1:26" x14ac:dyDescent="0.3">
      <c r="A201" s="19" t="s">
        <v>74</v>
      </c>
      <c r="B201" s="20">
        <v>45078</v>
      </c>
      <c r="C201" s="19" t="s">
        <v>35</v>
      </c>
      <c r="D201" s="19" t="s">
        <v>36</v>
      </c>
      <c r="E201" s="19" t="s">
        <v>36</v>
      </c>
      <c r="F201" s="19" t="s">
        <v>36</v>
      </c>
      <c r="G201" s="19" t="s">
        <v>37</v>
      </c>
      <c r="K201" s="19" t="s">
        <v>38</v>
      </c>
      <c r="L201" s="19" t="s">
        <v>39</v>
      </c>
      <c r="M201" s="19" t="s">
        <v>40</v>
      </c>
      <c r="N201" s="19" t="s">
        <v>41</v>
      </c>
      <c r="R201" s="19" t="s">
        <v>54</v>
      </c>
      <c r="S201" s="21">
        <v>482517.29</v>
      </c>
      <c r="U201" s="19" t="s">
        <v>56</v>
      </c>
      <c r="V201" s="19">
        <v>11</v>
      </c>
      <c r="W201" s="19" t="s">
        <v>55</v>
      </c>
      <c r="X201" s="19" t="s">
        <v>510</v>
      </c>
      <c r="Y201" s="19" t="s">
        <v>511</v>
      </c>
      <c r="Z201" s="19" t="s">
        <v>44</v>
      </c>
    </row>
    <row r="202" spans="1:26" x14ac:dyDescent="0.3">
      <c r="A202" s="19" t="s">
        <v>74</v>
      </c>
      <c r="B202" s="20">
        <v>45078</v>
      </c>
      <c r="C202" s="19" t="s">
        <v>35</v>
      </c>
      <c r="D202" s="19" t="s">
        <v>36</v>
      </c>
      <c r="E202" s="19" t="s">
        <v>36</v>
      </c>
      <c r="F202" s="19" t="s">
        <v>36</v>
      </c>
      <c r="G202" s="19" t="s">
        <v>37</v>
      </c>
      <c r="K202" s="19" t="s">
        <v>38</v>
      </c>
      <c r="L202" s="19" t="s">
        <v>39</v>
      </c>
      <c r="M202" s="19" t="s">
        <v>40</v>
      </c>
      <c r="N202" s="19" t="s">
        <v>41</v>
      </c>
      <c r="R202" s="19" t="s">
        <v>45</v>
      </c>
      <c r="T202" s="21">
        <v>482517.29</v>
      </c>
      <c r="U202" s="19" t="s">
        <v>56</v>
      </c>
      <c r="V202" s="19">
        <v>11</v>
      </c>
      <c r="W202" s="19" t="s">
        <v>55</v>
      </c>
      <c r="X202" s="19" t="s">
        <v>512</v>
      </c>
      <c r="Y202" s="19" t="s">
        <v>511</v>
      </c>
      <c r="Z202" s="19" t="s">
        <v>44</v>
      </c>
    </row>
    <row r="203" spans="1:26" x14ac:dyDescent="0.3">
      <c r="A203" s="19" t="s">
        <v>74</v>
      </c>
      <c r="B203" s="20">
        <v>45107</v>
      </c>
      <c r="C203" s="19" t="s">
        <v>46</v>
      </c>
      <c r="D203" s="19" t="s">
        <v>36</v>
      </c>
      <c r="E203" s="19" t="s">
        <v>36</v>
      </c>
      <c r="F203" s="19" t="s">
        <v>36</v>
      </c>
      <c r="G203" s="19" t="s">
        <v>37</v>
      </c>
      <c r="K203" s="19" t="s">
        <v>38</v>
      </c>
      <c r="L203" s="19" t="s">
        <v>39</v>
      </c>
      <c r="M203" s="19" t="s">
        <v>38</v>
      </c>
      <c r="N203" s="19" t="s">
        <v>41</v>
      </c>
      <c r="R203" s="19" t="s">
        <v>49</v>
      </c>
      <c r="S203" s="21">
        <v>11064.032547999999</v>
      </c>
      <c r="U203" s="19" t="s">
        <v>56</v>
      </c>
      <c r="V203" s="19">
        <v>12</v>
      </c>
      <c r="W203" s="19" t="s">
        <v>57</v>
      </c>
      <c r="X203" s="19" t="s">
        <v>513</v>
      </c>
      <c r="Y203" s="19" t="s">
        <v>514</v>
      </c>
      <c r="Z203" s="19" t="s">
        <v>44</v>
      </c>
    </row>
    <row r="204" spans="1:26" x14ac:dyDescent="0.3">
      <c r="A204" s="19" t="s">
        <v>74</v>
      </c>
      <c r="B204" s="20">
        <v>45107</v>
      </c>
      <c r="C204" s="19" t="s">
        <v>46</v>
      </c>
      <c r="D204" s="19" t="s">
        <v>36</v>
      </c>
      <c r="E204" s="19" t="s">
        <v>36</v>
      </c>
      <c r="F204" s="19" t="s">
        <v>36</v>
      </c>
      <c r="G204" s="19" t="s">
        <v>37</v>
      </c>
      <c r="K204" s="19" t="s">
        <v>38</v>
      </c>
      <c r="L204" s="19" t="s">
        <v>39</v>
      </c>
      <c r="M204" s="19" t="s">
        <v>40</v>
      </c>
      <c r="N204" s="19" t="s">
        <v>41</v>
      </c>
      <c r="R204" s="19" t="s">
        <v>45</v>
      </c>
      <c r="S204" s="21">
        <v>38935.967451999997</v>
      </c>
      <c r="U204" s="19" t="s">
        <v>56</v>
      </c>
      <c r="V204" s="19">
        <v>12</v>
      </c>
      <c r="W204" s="19" t="s">
        <v>57</v>
      </c>
      <c r="X204" s="19" t="s">
        <v>515</v>
      </c>
      <c r="Y204" s="19" t="s">
        <v>514</v>
      </c>
      <c r="Z204" s="19" t="s">
        <v>44</v>
      </c>
    </row>
    <row r="205" spans="1:26" x14ac:dyDescent="0.3">
      <c r="A205" s="19" t="s">
        <v>74</v>
      </c>
      <c r="B205" s="20">
        <v>45107</v>
      </c>
      <c r="C205" s="19" t="s">
        <v>46</v>
      </c>
      <c r="D205" s="19" t="s">
        <v>36</v>
      </c>
      <c r="E205" s="19" t="s">
        <v>36</v>
      </c>
      <c r="F205" s="19" t="s">
        <v>36</v>
      </c>
      <c r="G205" s="19" t="s">
        <v>37</v>
      </c>
      <c r="K205" s="19" t="s">
        <v>38</v>
      </c>
      <c r="L205" s="19" t="s">
        <v>39</v>
      </c>
      <c r="M205" s="19" t="s">
        <v>40</v>
      </c>
      <c r="N205" s="19" t="s">
        <v>41</v>
      </c>
      <c r="R205" s="19" t="s">
        <v>58</v>
      </c>
      <c r="T205" s="21">
        <v>50000</v>
      </c>
      <c r="U205" s="19" t="s">
        <v>56</v>
      </c>
      <c r="V205" s="19">
        <v>12</v>
      </c>
      <c r="W205" s="19" t="s">
        <v>57</v>
      </c>
      <c r="X205" s="19" t="s">
        <v>516</v>
      </c>
      <c r="Y205" s="19" t="s">
        <v>514</v>
      </c>
      <c r="Z205" s="19" t="s">
        <v>44</v>
      </c>
    </row>
    <row r="206" spans="1:26" x14ac:dyDescent="0.3">
      <c r="A206" s="19" t="s">
        <v>75</v>
      </c>
      <c r="B206" s="20">
        <v>45107</v>
      </c>
      <c r="C206" s="19" t="s">
        <v>46</v>
      </c>
      <c r="D206" s="19" t="s">
        <v>36</v>
      </c>
      <c r="E206" s="19" t="s">
        <v>36</v>
      </c>
      <c r="F206" s="19" t="s">
        <v>36</v>
      </c>
      <c r="G206" s="19" t="s">
        <v>37</v>
      </c>
      <c r="K206" s="19" t="s">
        <v>38</v>
      </c>
      <c r="L206" s="19" t="s">
        <v>39</v>
      </c>
      <c r="M206" s="19" t="s">
        <v>40</v>
      </c>
      <c r="N206" s="19" t="s">
        <v>41</v>
      </c>
      <c r="R206" s="19" t="s">
        <v>47</v>
      </c>
      <c r="S206" s="21">
        <v>10836.906070999999</v>
      </c>
      <c r="U206" s="19" t="s">
        <v>56</v>
      </c>
      <c r="V206" s="19">
        <v>8</v>
      </c>
      <c r="W206" s="19" t="s">
        <v>48</v>
      </c>
      <c r="X206" s="19" t="s">
        <v>517</v>
      </c>
      <c r="Y206" s="19" t="s">
        <v>518</v>
      </c>
      <c r="Z206" s="19" t="s">
        <v>44</v>
      </c>
    </row>
    <row r="207" spans="1:26" x14ac:dyDescent="0.3">
      <c r="A207" s="19" t="s">
        <v>75</v>
      </c>
      <c r="B207" s="20">
        <v>45107</v>
      </c>
      <c r="C207" s="19" t="s">
        <v>46</v>
      </c>
      <c r="D207" s="19" t="s">
        <v>36</v>
      </c>
      <c r="E207" s="19" t="s">
        <v>36</v>
      </c>
      <c r="F207" s="19" t="s">
        <v>36</v>
      </c>
      <c r="G207" s="19" t="s">
        <v>37</v>
      </c>
      <c r="K207" s="19" t="s">
        <v>38</v>
      </c>
      <c r="L207" s="19" t="s">
        <v>39</v>
      </c>
      <c r="M207" s="19" t="s">
        <v>38</v>
      </c>
      <c r="N207" s="19" t="s">
        <v>41</v>
      </c>
      <c r="R207" s="19" t="s">
        <v>49</v>
      </c>
      <c r="T207" s="21">
        <v>10836.906070999999</v>
      </c>
      <c r="U207" s="19" t="s">
        <v>56</v>
      </c>
      <c r="V207" s="19">
        <v>8</v>
      </c>
      <c r="W207" s="19" t="s">
        <v>48</v>
      </c>
      <c r="X207" s="19" t="s">
        <v>519</v>
      </c>
      <c r="Y207" s="19" t="s">
        <v>518</v>
      </c>
      <c r="Z207" s="19" t="s">
        <v>44</v>
      </c>
    </row>
    <row r="208" spans="1:26" x14ac:dyDescent="0.3">
      <c r="A208" s="19" t="s">
        <v>75</v>
      </c>
      <c r="B208" s="20">
        <v>44562</v>
      </c>
      <c r="C208" s="19" t="s">
        <v>35</v>
      </c>
      <c r="D208" s="19" t="s">
        <v>36</v>
      </c>
      <c r="E208" s="19" t="s">
        <v>36</v>
      </c>
      <c r="F208" s="19" t="s">
        <v>36</v>
      </c>
      <c r="G208" s="19" t="s">
        <v>37</v>
      </c>
      <c r="K208" s="19" t="s">
        <v>38</v>
      </c>
      <c r="L208" s="19" t="s">
        <v>39</v>
      </c>
      <c r="M208" s="19" t="s">
        <v>40</v>
      </c>
      <c r="N208" s="19" t="s">
        <v>41</v>
      </c>
      <c r="R208" s="19" t="s">
        <v>50</v>
      </c>
      <c r="S208" s="21">
        <v>42330.49</v>
      </c>
      <c r="U208" s="19" t="s">
        <v>56</v>
      </c>
      <c r="V208" s="19">
        <v>10</v>
      </c>
      <c r="W208" s="19" t="s">
        <v>51</v>
      </c>
      <c r="X208" s="19" t="s">
        <v>520</v>
      </c>
      <c r="Y208" s="19" t="s">
        <v>521</v>
      </c>
      <c r="Z208" s="19" t="s">
        <v>44</v>
      </c>
    </row>
    <row r="209" spans="1:26" x14ac:dyDescent="0.3">
      <c r="A209" s="19" t="s">
        <v>75</v>
      </c>
      <c r="B209" s="20">
        <v>44562</v>
      </c>
      <c r="C209" s="19" t="s">
        <v>35</v>
      </c>
      <c r="D209" s="19" t="s">
        <v>36</v>
      </c>
      <c r="E209" s="19" t="s">
        <v>36</v>
      </c>
      <c r="F209" s="19" t="s">
        <v>36</v>
      </c>
      <c r="G209" s="19" t="s">
        <v>37</v>
      </c>
      <c r="K209" s="19" t="s">
        <v>38</v>
      </c>
      <c r="L209" s="19" t="s">
        <v>39</v>
      </c>
      <c r="M209" s="19" t="s">
        <v>40</v>
      </c>
      <c r="N209" s="19" t="s">
        <v>41</v>
      </c>
      <c r="R209" s="19" t="s">
        <v>52</v>
      </c>
      <c r="T209" s="21">
        <v>42330.49</v>
      </c>
      <c r="U209" s="19" t="s">
        <v>56</v>
      </c>
      <c r="V209" s="19">
        <v>10</v>
      </c>
      <c r="W209" s="19" t="s">
        <v>51</v>
      </c>
      <c r="X209" s="19" t="s">
        <v>522</v>
      </c>
      <c r="Y209" s="19" t="s">
        <v>521</v>
      </c>
      <c r="Z209" s="19" t="s">
        <v>44</v>
      </c>
    </row>
    <row r="210" spans="1:26" x14ac:dyDescent="0.3">
      <c r="A210" s="19" t="s">
        <v>75</v>
      </c>
      <c r="B210" s="20">
        <v>45107</v>
      </c>
      <c r="C210" s="19" t="s">
        <v>35</v>
      </c>
      <c r="D210" s="19" t="s">
        <v>36</v>
      </c>
      <c r="E210" s="19" t="s">
        <v>36</v>
      </c>
      <c r="F210" s="19" t="s">
        <v>36</v>
      </c>
      <c r="G210" s="19" t="s">
        <v>37</v>
      </c>
      <c r="K210" s="19" t="s">
        <v>38</v>
      </c>
      <c r="L210" s="19" t="s">
        <v>39</v>
      </c>
      <c r="M210" s="19" t="s">
        <v>40</v>
      </c>
      <c r="N210" s="19" t="s">
        <v>41</v>
      </c>
      <c r="R210" s="19" t="s">
        <v>45</v>
      </c>
      <c r="S210" s="21">
        <v>485331.99</v>
      </c>
      <c r="U210" s="19" t="s">
        <v>56</v>
      </c>
      <c r="V210" s="19">
        <v>11</v>
      </c>
      <c r="W210" s="19" t="s">
        <v>53</v>
      </c>
      <c r="X210" s="19" t="s">
        <v>523</v>
      </c>
      <c r="Y210" s="19" t="s">
        <v>524</v>
      </c>
      <c r="Z210" s="19" t="s">
        <v>44</v>
      </c>
    </row>
    <row r="211" spans="1:26" x14ac:dyDescent="0.3">
      <c r="A211" s="19" t="s">
        <v>75</v>
      </c>
      <c r="B211" s="20">
        <v>45107</v>
      </c>
      <c r="C211" s="19" t="s">
        <v>35</v>
      </c>
      <c r="D211" s="19" t="s">
        <v>36</v>
      </c>
      <c r="E211" s="19" t="s">
        <v>36</v>
      </c>
      <c r="F211" s="19" t="s">
        <v>36</v>
      </c>
      <c r="G211" s="19" t="s">
        <v>37</v>
      </c>
      <c r="K211" s="19" t="s">
        <v>38</v>
      </c>
      <c r="L211" s="19" t="s">
        <v>39</v>
      </c>
      <c r="M211" s="19" t="s">
        <v>40</v>
      </c>
      <c r="N211" s="19" t="s">
        <v>41</v>
      </c>
      <c r="R211" s="19" t="s">
        <v>54</v>
      </c>
      <c r="T211" s="21">
        <v>485331.99</v>
      </c>
      <c r="U211" s="19" t="s">
        <v>56</v>
      </c>
      <c r="V211" s="19">
        <v>11</v>
      </c>
      <c r="W211" s="19" t="s">
        <v>53</v>
      </c>
      <c r="X211" s="19" t="s">
        <v>525</v>
      </c>
      <c r="Y211" s="19" t="s">
        <v>524</v>
      </c>
      <c r="Z211" s="19" t="s">
        <v>44</v>
      </c>
    </row>
    <row r="212" spans="1:26" x14ac:dyDescent="0.3">
      <c r="A212" s="19" t="s">
        <v>76</v>
      </c>
      <c r="B212" s="20">
        <v>45108</v>
      </c>
      <c r="C212" s="19" t="s">
        <v>35</v>
      </c>
      <c r="D212" s="19" t="s">
        <v>36</v>
      </c>
      <c r="E212" s="19" t="s">
        <v>36</v>
      </c>
      <c r="F212" s="19" t="s">
        <v>36</v>
      </c>
      <c r="G212" s="19" t="s">
        <v>37</v>
      </c>
      <c r="K212" s="19" t="s">
        <v>38</v>
      </c>
      <c r="L212" s="19" t="s">
        <v>39</v>
      </c>
      <c r="M212" s="19" t="s">
        <v>40</v>
      </c>
      <c r="N212" s="19" t="s">
        <v>41</v>
      </c>
      <c r="R212" s="19" t="s">
        <v>54</v>
      </c>
      <c r="S212" s="21">
        <v>485331.99</v>
      </c>
      <c r="U212" s="19" t="s">
        <v>56</v>
      </c>
      <c r="V212" s="19">
        <v>11</v>
      </c>
      <c r="W212" s="19" t="s">
        <v>55</v>
      </c>
      <c r="X212" s="19" t="s">
        <v>526</v>
      </c>
      <c r="Y212" s="19" t="s">
        <v>527</v>
      </c>
      <c r="Z212" s="19" t="s">
        <v>44</v>
      </c>
    </row>
    <row r="213" spans="1:26" x14ac:dyDescent="0.3">
      <c r="A213" s="19" t="s">
        <v>76</v>
      </c>
      <c r="B213" s="20">
        <v>45108</v>
      </c>
      <c r="C213" s="19" t="s">
        <v>35</v>
      </c>
      <c r="D213" s="19" t="s">
        <v>36</v>
      </c>
      <c r="E213" s="19" t="s">
        <v>36</v>
      </c>
      <c r="F213" s="19" t="s">
        <v>36</v>
      </c>
      <c r="G213" s="19" t="s">
        <v>37</v>
      </c>
      <c r="K213" s="19" t="s">
        <v>38</v>
      </c>
      <c r="L213" s="19" t="s">
        <v>39</v>
      </c>
      <c r="M213" s="19" t="s">
        <v>40</v>
      </c>
      <c r="N213" s="19" t="s">
        <v>41</v>
      </c>
      <c r="R213" s="19" t="s">
        <v>45</v>
      </c>
      <c r="T213" s="21">
        <v>485331.99</v>
      </c>
      <c r="U213" s="19" t="s">
        <v>56</v>
      </c>
      <c r="V213" s="19">
        <v>11</v>
      </c>
      <c r="W213" s="19" t="s">
        <v>55</v>
      </c>
      <c r="X213" s="19" t="s">
        <v>528</v>
      </c>
      <c r="Y213" s="19" t="s">
        <v>527</v>
      </c>
      <c r="Z213" s="19" t="s">
        <v>44</v>
      </c>
    </row>
    <row r="214" spans="1:26" x14ac:dyDescent="0.3">
      <c r="A214" s="19" t="s">
        <v>76</v>
      </c>
      <c r="B214" s="20">
        <v>45138</v>
      </c>
      <c r="C214" s="19" t="s">
        <v>46</v>
      </c>
      <c r="D214" s="19" t="s">
        <v>36</v>
      </c>
      <c r="E214" s="19" t="s">
        <v>36</v>
      </c>
      <c r="F214" s="19" t="s">
        <v>36</v>
      </c>
      <c r="G214" s="19" t="s">
        <v>37</v>
      </c>
      <c r="K214" s="19" t="s">
        <v>38</v>
      </c>
      <c r="L214" s="19" t="s">
        <v>39</v>
      </c>
      <c r="M214" s="19" t="s">
        <v>38</v>
      </c>
      <c r="N214" s="19" t="s">
        <v>41</v>
      </c>
      <c r="R214" s="19" t="s">
        <v>49</v>
      </c>
      <c r="S214" s="21">
        <v>10836.906070999999</v>
      </c>
      <c r="U214" s="19" t="s">
        <v>56</v>
      </c>
      <c r="V214" s="19">
        <v>12</v>
      </c>
      <c r="W214" s="19" t="s">
        <v>57</v>
      </c>
      <c r="X214" s="19" t="s">
        <v>529</v>
      </c>
      <c r="Y214" s="19" t="s">
        <v>530</v>
      </c>
      <c r="Z214" s="19" t="s">
        <v>44</v>
      </c>
    </row>
    <row r="215" spans="1:26" x14ac:dyDescent="0.3">
      <c r="A215" s="19" t="s">
        <v>76</v>
      </c>
      <c r="B215" s="20">
        <v>45138</v>
      </c>
      <c r="C215" s="19" t="s">
        <v>46</v>
      </c>
      <c r="D215" s="19" t="s">
        <v>36</v>
      </c>
      <c r="E215" s="19" t="s">
        <v>36</v>
      </c>
      <c r="F215" s="19" t="s">
        <v>36</v>
      </c>
      <c r="G215" s="19" t="s">
        <v>37</v>
      </c>
      <c r="K215" s="19" t="s">
        <v>38</v>
      </c>
      <c r="L215" s="19" t="s">
        <v>39</v>
      </c>
      <c r="M215" s="19" t="s">
        <v>40</v>
      </c>
      <c r="N215" s="19" t="s">
        <v>41</v>
      </c>
      <c r="R215" s="19" t="s">
        <v>45</v>
      </c>
      <c r="S215" s="21">
        <v>39163.093929000002</v>
      </c>
      <c r="U215" s="19" t="s">
        <v>56</v>
      </c>
      <c r="V215" s="19">
        <v>12</v>
      </c>
      <c r="W215" s="19" t="s">
        <v>57</v>
      </c>
      <c r="X215" s="19" t="s">
        <v>531</v>
      </c>
      <c r="Y215" s="19" t="s">
        <v>530</v>
      </c>
      <c r="Z215" s="19" t="s">
        <v>44</v>
      </c>
    </row>
    <row r="216" spans="1:26" x14ac:dyDescent="0.3">
      <c r="A216" s="19" t="s">
        <v>76</v>
      </c>
      <c r="B216" s="20">
        <v>45138</v>
      </c>
      <c r="C216" s="19" t="s">
        <v>46</v>
      </c>
      <c r="D216" s="19" t="s">
        <v>36</v>
      </c>
      <c r="E216" s="19" t="s">
        <v>36</v>
      </c>
      <c r="F216" s="19" t="s">
        <v>36</v>
      </c>
      <c r="G216" s="19" t="s">
        <v>37</v>
      </c>
      <c r="K216" s="19" t="s">
        <v>38</v>
      </c>
      <c r="L216" s="19" t="s">
        <v>39</v>
      </c>
      <c r="M216" s="19" t="s">
        <v>40</v>
      </c>
      <c r="N216" s="19" t="s">
        <v>41</v>
      </c>
      <c r="R216" s="19" t="s">
        <v>58</v>
      </c>
      <c r="T216" s="21">
        <v>50000</v>
      </c>
      <c r="U216" s="19" t="s">
        <v>56</v>
      </c>
      <c r="V216" s="19">
        <v>12</v>
      </c>
      <c r="W216" s="19" t="s">
        <v>57</v>
      </c>
      <c r="X216" s="19" t="s">
        <v>532</v>
      </c>
      <c r="Y216" s="19" t="s">
        <v>530</v>
      </c>
      <c r="Z216" s="19" t="s">
        <v>44</v>
      </c>
    </row>
    <row r="217" spans="1:26" x14ac:dyDescent="0.3">
      <c r="A217" s="19" t="s">
        <v>77</v>
      </c>
      <c r="B217" s="20">
        <v>45138</v>
      </c>
      <c r="C217" s="19" t="s">
        <v>46</v>
      </c>
      <c r="D217" s="19" t="s">
        <v>36</v>
      </c>
      <c r="E217" s="19" t="s">
        <v>36</v>
      </c>
      <c r="F217" s="19" t="s">
        <v>36</v>
      </c>
      <c r="G217" s="19" t="s">
        <v>37</v>
      </c>
      <c r="K217" s="19" t="s">
        <v>38</v>
      </c>
      <c r="L217" s="19" t="s">
        <v>39</v>
      </c>
      <c r="M217" s="19" t="s">
        <v>40</v>
      </c>
      <c r="N217" s="19" t="s">
        <v>41</v>
      </c>
      <c r="R217" s="19" t="s">
        <v>47</v>
      </c>
      <c r="S217" s="21">
        <v>10608.454689</v>
      </c>
      <c r="U217" s="19" t="s">
        <v>56</v>
      </c>
      <c r="V217" s="19">
        <v>8</v>
      </c>
      <c r="W217" s="19" t="s">
        <v>48</v>
      </c>
      <c r="X217" s="19" t="s">
        <v>533</v>
      </c>
      <c r="Y217" s="19" t="s">
        <v>534</v>
      </c>
      <c r="Z217" s="19" t="s">
        <v>44</v>
      </c>
    </row>
    <row r="218" spans="1:26" x14ac:dyDescent="0.3">
      <c r="A218" s="19" t="s">
        <v>77</v>
      </c>
      <c r="B218" s="20">
        <v>45138</v>
      </c>
      <c r="C218" s="19" t="s">
        <v>46</v>
      </c>
      <c r="D218" s="19" t="s">
        <v>36</v>
      </c>
      <c r="E218" s="19" t="s">
        <v>36</v>
      </c>
      <c r="F218" s="19" t="s">
        <v>36</v>
      </c>
      <c r="G218" s="19" t="s">
        <v>37</v>
      </c>
      <c r="K218" s="19" t="s">
        <v>38</v>
      </c>
      <c r="L218" s="19" t="s">
        <v>39</v>
      </c>
      <c r="M218" s="19" t="s">
        <v>38</v>
      </c>
      <c r="N218" s="19" t="s">
        <v>41</v>
      </c>
      <c r="R218" s="19" t="s">
        <v>49</v>
      </c>
      <c r="T218" s="21">
        <v>10608.454689</v>
      </c>
      <c r="U218" s="19" t="s">
        <v>56</v>
      </c>
      <c r="V218" s="19">
        <v>8</v>
      </c>
      <c r="W218" s="19" t="s">
        <v>48</v>
      </c>
      <c r="X218" s="19" t="s">
        <v>535</v>
      </c>
      <c r="Y218" s="19" t="s">
        <v>534</v>
      </c>
      <c r="Z218" s="19" t="s">
        <v>44</v>
      </c>
    </row>
    <row r="219" spans="1:26" x14ac:dyDescent="0.3">
      <c r="A219" s="19" t="s">
        <v>77</v>
      </c>
      <c r="B219" s="20">
        <v>44562</v>
      </c>
      <c r="C219" s="19" t="s">
        <v>35</v>
      </c>
      <c r="D219" s="19" t="s">
        <v>36</v>
      </c>
      <c r="E219" s="19" t="s">
        <v>36</v>
      </c>
      <c r="F219" s="19" t="s">
        <v>36</v>
      </c>
      <c r="G219" s="19" t="s">
        <v>37</v>
      </c>
      <c r="K219" s="19" t="s">
        <v>38</v>
      </c>
      <c r="L219" s="19" t="s">
        <v>39</v>
      </c>
      <c r="M219" s="19" t="s">
        <v>40</v>
      </c>
      <c r="N219" s="19" t="s">
        <v>41</v>
      </c>
      <c r="R219" s="19" t="s">
        <v>50</v>
      </c>
      <c r="S219" s="21">
        <v>42330.49</v>
      </c>
      <c r="U219" s="19" t="s">
        <v>56</v>
      </c>
      <c r="V219" s="19">
        <v>10</v>
      </c>
      <c r="W219" s="19" t="s">
        <v>51</v>
      </c>
      <c r="X219" s="19" t="s">
        <v>536</v>
      </c>
      <c r="Y219" s="19" t="s">
        <v>537</v>
      </c>
      <c r="Z219" s="19" t="s">
        <v>44</v>
      </c>
    </row>
    <row r="220" spans="1:26" x14ac:dyDescent="0.3">
      <c r="A220" s="19" t="s">
        <v>77</v>
      </c>
      <c r="B220" s="20">
        <v>44562</v>
      </c>
      <c r="C220" s="19" t="s">
        <v>35</v>
      </c>
      <c r="D220" s="19" t="s">
        <v>36</v>
      </c>
      <c r="E220" s="19" t="s">
        <v>36</v>
      </c>
      <c r="F220" s="19" t="s">
        <v>36</v>
      </c>
      <c r="G220" s="19" t="s">
        <v>37</v>
      </c>
      <c r="K220" s="19" t="s">
        <v>38</v>
      </c>
      <c r="L220" s="19" t="s">
        <v>39</v>
      </c>
      <c r="M220" s="19" t="s">
        <v>40</v>
      </c>
      <c r="N220" s="19" t="s">
        <v>41</v>
      </c>
      <c r="R220" s="19" t="s">
        <v>52</v>
      </c>
      <c r="T220" s="21">
        <v>42330.49</v>
      </c>
      <c r="U220" s="19" t="s">
        <v>56</v>
      </c>
      <c r="V220" s="19">
        <v>10</v>
      </c>
      <c r="W220" s="19" t="s">
        <v>51</v>
      </c>
      <c r="X220" s="19" t="s">
        <v>538</v>
      </c>
      <c r="Y220" s="19" t="s">
        <v>537</v>
      </c>
      <c r="Z220" s="19" t="s">
        <v>44</v>
      </c>
    </row>
    <row r="221" spans="1:26" x14ac:dyDescent="0.3">
      <c r="A221" s="19" t="s">
        <v>77</v>
      </c>
      <c r="B221" s="20">
        <v>45138</v>
      </c>
      <c r="C221" s="19" t="s">
        <v>35</v>
      </c>
      <c r="D221" s="19" t="s">
        <v>36</v>
      </c>
      <c r="E221" s="19" t="s">
        <v>36</v>
      </c>
      <c r="F221" s="19" t="s">
        <v>36</v>
      </c>
      <c r="G221" s="19" t="s">
        <v>37</v>
      </c>
      <c r="K221" s="19" t="s">
        <v>38</v>
      </c>
      <c r="L221" s="19" t="s">
        <v>39</v>
      </c>
      <c r="M221" s="19" t="s">
        <v>40</v>
      </c>
      <c r="N221" s="19" t="s">
        <v>41</v>
      </c>
      <c r="R221" s="19" t="s">
        <v>45</v>
      </c>
      <c r="S221" s="21">
        <v>488163.08</v>
      </c>
      <c r="U221" s="19" t="s">
        <v>56</v>
      </c>
      <c r="V221" s="19">
        <v>11</v>
      </c>
      <c r="W221" s="19" t="s">
        <v>53</v>
      </c>
      <c r="X221" s="19" t="s">
        <v>539</v>
      </c>
      <c r="Y221" s="19" t="s">
        <v>540</v>
      </c>
      <c r="Z221" s="19" t="s">
        <v>44</v>
      </c>
    </row>
    <row r="222" spans="1:26" x14ac:dyDescent="0.3">
      <c r="A222" s="19" t="s">
        <v>77</v>
      </c>
      <c r="B222" s="20">
        <v>45138</v>
      </c>
      <c r="C222" s="19" t="s">
        <v>35</v>
      </c>
      <c r="D222" s="19" t="s">
        <v>36</v>
      </c>
      <c r="E222" s="19" t="s">
        <v>36</v>
      </c>
      <c r="F222" s="19" t="s">
        <v>36</v>
      </c>
      <c r="G222" s="19" t="s">
        <v>37</v>
      </c>
      <c r="K222" s="19" t="s">
        <v>38</v>
      </c>
      <c r="L222" s="19" t="s">
        <v>39</v>
      </c>
      <c r="M222" s="19" t="s">
        <v>40</v>
      </c>
      <c r="N222" s="19" t="s">
        <v>41</v>
      </c>
      <c r="R222" s="19" t="s">
        <v>54</v>
      </c>
      <c r="T222" s="21">
        <v>488163.08</v>
      </c>
      <c r="U222" s="19" t="s">
        <v>56</v>
      </c>
      <c r="V222" s="19">
        <v>11</v>
      </c>
      <c r="W222" s="19" t="s">
        <v>53</v>
      </c>
      <c r="X222" s="19" t="s">
        <v>541</v>
      </c>
      <c r="Y222" s="19" t="s">
        <v>540</v>
      </c>
      <c r="Z222" s="19" t="s">
        <v>44</v>
      </c>
    </row>
    <row r="223" spans="1:26" x14ac:dyDescent="0.3">
      <c r="A223" s="19" t="s">
        <v>78</v>
      </c>
      <c r="B223" s="20">
        <v>45139</v>
      </c>
      <c r="C223" s="19" t="s">
        <v>35</v>
      </c>
      <c r="D223" s="19" t="s">
        <v>36</v>
      </c>
      <c r="E223" s="19" t="s">
        <v>36</v>
      </c>
      <c r="F223" s="19" t="s">
        <v>36</v>
      </c>
      <c r="G223" s="19" t="s">
        <v>37</v>
      </c>
      <c r="K223" s="19" t="s">
        <v>38</v>
      </c>
      <c r="L223" s="19" t="s">
        <v>39</v>
      </c>
      <c r="M223" s="19" t="s">
        <v>40</v>
      </c>
      <c r="N223" s="19" t="s">
        <v>41</v>
      </c>
      <c r="R223" s="19" t="s">
        <v>54</v>
      </c>
      <c r="S223" s="21">
        <v>488163.08</v>
      </c>
      <c r="U223" s="19" t="s">
        <v>56</v>
      </c>
      <c r="V223" s="19">
        <v>11</v>
      </c>
      <c r="W223" s="19" t="s">
        <v>55</v>
      </c>
      <c r="X223" s="19" t="s">
        <v>542</v>
      </c>
      <c r="Y223" s="19" t="s">
        <v>543</v>
      </c>
      <c r="Z223" s="19" t="s">
        <v>44</v>
      </c>
    </row>
    <row r="224" spans="1:26" x14ac:dyDescent="0.3">
      <c r="A224" s="19" t="s">
        <v>78</v>
      </c>
      <c r="B224" s="20">
        <v>45139</v>
      </c>
      <c r="C224" s="19" t="s">
        <v>35</v>
      </c>
      <c r="D224" s="19" t="s">
        <v>36</v>
      </c>
      <c r="E224" s="19" t="s">
        <v>36</v>
      </c>
      <c r="F224" s="19" t="s">
        <v>36</v>
      </c>
      <c r="G224" s="19" t="s">
        <v>37</v>
      </c>
      <c r="K224" s="19" t="s">
        <v>38</v>
      </c>
      <c r="L224" s="19" t="s">
        <v>39</v>
      </c>
      <c r="M224" s="19" t="s">
        <v>40</v>
      </c>
      <c r="N224" s="19" t="s">
        <v>41</v>
      </c>
      <c r="R224" s="19" t="s">
        <v>45</v>
      </c>
      <c r="T224" s="21">
        <v>488163.08</v>
      </c>
      <c r="U224" s="19" t="s">
        <v>56</v>
      </c>
      <c r="V224" s="19">
        <v>11</v>
      </c>
      <c r="W224" s="19" t="s">
        <v>55</v>
      </c>
      <c r="X224" s="19" t="s">
        <v>544</v>
      </c>
      <c r="Y224" s="19" t="s">
        <v>543</v>
      </c>
      <c r="Z224" s="19" t="s">
        <v>44</v>
      </c>
    </row>
    <row r="225" spans="1:26" x14ac:dyDescent="0.3">
      <c r="A225" s="19" t="s">
        <v>78</v>
      </c>
      <c r="B225" s="20">
        <v>45169</v>
      </c>
      <c r="C225" s="19" t="s">
        <v>46</v>
      </c>
      <c r="D225" s="19" t="s">
        <v>36</v>
      </c>
      <c r="E225" s="19" t="s">
        <v>36</v>
      </c>
      <c r="F225" s="19" t="s">
        <v>36</v>
      </c>
      <c r="G225" s="19" t="s">
        <v>37</v>
      </c>
      <c r="K225" s="19" t="s">
        <v>38</v>
      </c>
      <c r="L225" s="19" t="s">
        <v>39</v>
      </c>
      <c r="M225" s="19" t="s">
        <v>38</v>
      </c>
      <c r="N225" s="19" t="s">
        <v>41</v>
      </c>
      <c r="R225" s="19" t="s">
        <v>49</v>
      </c>
      <c r="S225" s="21">
        <v>10608.454689</v>
      </c>
      <c r="U225" s="19" t="s">
        <v>56</v>
      </c>
      <c r="V225" s="19">
        <v>12</v>
      </c>
      <c r="W225" s="19" t="s">
        <v>57</v>
      </c>
      <c r="X225" s="19" t="s">
        <v>545</v>
      </c>
      <c r="Y225" s="19" t="s">
        <v>546</v>
      </c>
      <c r="Z225" s="19" t="s">
        <v>44</v>
      </c>
    </row>
    <row r="226" spans="1:26" x14ac:dyDescent="0.3">
      <c r="A226" s="19" t="s">
        <v>78</v>
      </c>
      <c r="B226" s="20">
        <v>45169</v>
      </c>
      <c r="C226" s="19" t="s">
        <v>46</v>
      </c>
      <c r="D226" s="19" t="s">
        <v>36</v>
      </c>
      <c r="E226" s="19" t="s">
        <v>36</v>
      </c>
      <c r="F226" s="19" t="s">
        <v>36</v>
      </c>
      <c r="G226" s="19" t="s">
        <v>37</v>
      </c>
      <c r="K226" s="19" t="s">
        <v>38</v>
      </c>
      <c r="L226" s="19" t="s">
        <v>39</v>
      </c>
      <c r="M226" s="19" t="s">
        <v>40</v>
      </c>
      <c r="N226" s="19" t="s">
        <v>41</v>
      </c>
      <c r="R226" s="19" t="s">
        <v>45</v>
      </c>
      <c r="S226" s="21">
        <v>39391.545311000002</v>
      </c>
      <c r="U226" s="19" t="s">
        <v>56</v>
      </c>
      <c r="V226" s="19">
        <v>12</v>
      </c>
      <c r="W226" s="19" t="s">
        <v>57</v>
      </c>
      <c r="X226" s="19" t="s">
        <v>547</v>
      </c>
      <c r="Y226" s="19" t="s">
        <v>546</v>
      </c>
      <c r="Z226" s="19" t="s">
        <v>44</v>
      </c>
    </row>
    <row r="227" spans="1:26" x14ac:dyDescent="0.3">
      <c r="A227" s="19" t="s">
        <v>78</v>
      </c>
      <c r="B227" s="20">
        <v>45169</v>
      </c>
      <c r="C227" s="19" t="s">
        <v>46</v>
      </c>
      <c r="D227" s="19" t="s">
        <v>36</v>
      </c>
      <c r="E227" s="19" t="s">
        <v>36</v>
      </c>
      <c r="F227" s="19" t="s">
        <v>36</v>
      </c>
      <c r="G227" s="19" t="s">
        <v>37</v>
      </c>
      <c r="K227" s="19" t="s">
        <v>38</v>
      </c>
      <c r="L227" s="19" t="s">
        <v>39</v>
      </c>
      <c r="M227" s="19" t="s">
        <v>40</v>
      </c>
      <c r="N227" s="19" t="s">
        <v>41</v>
      </c>
      <c r="R227" s="19" t="s">
        <v>58</v>
      </c>
      <c r="T227" s="21">
        <v>50000</v>
      </c>
      <c r="U227" s="19" t="s">
        <v>56</v>
      </c>
      <c r="V227" s="19">
        <v>12</v>
      </c>
      <c r="W227" s="19" t="s">
        <v>57</v>
      </c>
      <c r="X227" s="19" t="s">
        <v>548</v>
      </c>
      <c r="Y227" s="19" t="s">
        <v>546</v>
      </c>
      <c r="Z227" s="19" t="s">
        <v>44</v>
      </c>
    </row>
    <row r="228" spans="1:26" x14ac:dyDescent="0.3">
      <c r="A228" s="19" t="s">
        <v>79</v>
      </c>
      <c r="B228" s="20">
        <v>45169</v>
      </c>
      <c r="C228" s="19" t="s">
        <v>46</v>
      </c>
      <c r="D228" s="19" t="s">
        <v>36</v>
      </c>
      <c r="E228" s="19" t="s">
        <v>36</v>
      </c>
      <c r="F228" s="19" t="s">
        <v>36</v>
      </c>
      <c r="G228" s="19" t="s">
        <v>37</v>
      </c>
      <c r="K228" s="19" t="s">
        <v>38</v>
      </c>
      <c r="L228" s="19" t="s">
        <v>39</v>
      </c>
      <c r="M228" s="19" t="s">
        <v>40</v>
      </c>
      <c r="N228" s="19" t="s">
        <v>41</v>
      </c>
      <c r="R228" s="19" t="s">
        <v>47</v>
      </c>
      <c r="S228" s="21">
        <v>10378.670674999999</v>
      </c>
      <c r="U228" s="19" t="s">
        <v>56</v>
      </c>
      <c r="V228" s="19">
        <v>8</v>
      </c>
      <c r="W228" s="19" t="s">
        <v>48</v>
      </c>
      <c r="X228" s="19" t="s">
        <v>549</v>
      </c>
      <c r="Y228" s="19" t="s">
        <v>550</v>
      </c>
      <c r="Z228" s="19" t="s">
        <v>44</v>
      </c>
    </row>
    <row r="229" spans="1:26" x14ac:dyDescent="0.3">
      <c r="A229" s="19" t="s">
        <v>79</v>
      </c>
      <c r="B229" s="20">
        <v>45169</v>
      </c>
      <c r="C229" s="19" t="s">
        <v>46</v>
      </c>
      <c r="D229" s="19" t="s">
        <v>36</v>
      </c>
      <c r="E229" s="19" t="s">
        <v>36</v>
      </c>
      <c r="F229" s="19" t="s">
        <v>36</v>
      </c>
      <c r="G229" s="19" t="s">
        <v>37</v>
      </c>
      <c r="K229" s="19" t="s">
        <v>38</v>
      </c>
      <c r="L229" s="19" t="s">
        <v>39</v>
      </c>
      <c r="M229" s="19" t="s">
        <v>38</v>
      </c>
      <c r="N229" s="19" t="s">
        <v>41</v>
      </c>
      <c r="R229" s="19" t="s">
        <v>49</v>
      </c>
      <c r="T229" s="21">
        <v>10378.670674999999</v>
      </c>
      <c r="U229" s="19" t="s">
        <v>56</v>
      </c>
      <c r="V229" s="19">
        <v>8</v>
      </c>
      <c r="W229" s="19" t="s">
        <v>48</v>
      </c>
      <c r="X229" s="19" t="s">
        <v>551</v>
      </c>
      <c r="Y229" s="19" t="s">
        <v>550</v>
      </c>
      <c r="Z229" s="19" t="s">
        <v>44</v>
      </c>
    </row>
    <row r="230" spans="1:26" x14ac:dyDescent="0.3">
      <c r="A230" s="19" t="s">
        <v>79</v>
      </c>
      <c r="B230" s="20">
        <v>44562</v>
      </c>
      <c r="C230" s="19" t="s">
        <v>35</v>
      </c>
      <c r="D230" s="19" t="s">
        <v>36</v>
      </c>
      <c r="E230" s="19" t="s">
        <v>36</v>
      </c>
      <c r="F230" s="19" t="s">
        <v>36</v>
      </c>
      <c r="G230" s="19" t="s">
        <v>37</v>
      </c>
      <c r="K230" s="19" t="s">
        <v>38</v>
      </c>
      <c r="L230" s="19" t="s">
        <v>39</v>
      </c>
      <c r="M230" s="19" t="s">
        <v>40</v>
      </c>
      <c r="N230" s="19" t="s">
        <v>41</v>
      </c>
      <c r="R230" s="19" t="s">
        <v>50</v>
      </c>
      <c r="S230" s="21">
        <v>42330.49</v>
      </c>
      <c r="U230" s="19" t="s">
        <v>56</v>
      </c>
      <c r="V230" s="19">
        <v>10</v>
      </c>
      <c r="W230" s="19" t="s">
        <v>51</v>
      </c>
      <c r="X230" s="19" t="s">
        <v>552</v>
      </c>
      <c r="Y230" s="19" t="s">
        <v>553</v>
      </c>
      <c r="Z230" s="19" t="s">
        <v>44</v>
      </c>
    </row>
    <row r="231" spans="1:26" x14ac:dyDescent="0.3">
      <c r="A231" s="19" t="s">
        <v>79</v>
      </c>
      <c r="B231" s="20">
        <v>44562</v>
      </c>
      <c r="C231" s="19" t="s">
        <v>35</v>
      </c>
      <c r="D231" s="19" t="s">
        <v>36</v>
      </c>
      <c r="E231" s="19" t="s">
        <v>36</v>
      </c>
      <c r="F231" s="19" t="s">
        <v>36</v>
      </c>
      <c r="G231" s="19" t="s">
        <v>37</v>
      </c>
      <c r="K231" s="19" t="s">
        <v>38</v>
      </c>
      <c r="L231" s="19" t="s">
        <v>39</v>
      </c>
      <c r="M231" s="19" t="s">
        <v>40</v>
      </c>
      <c r="N231" s="19" t="s">
        <v>41</v>
      </c>
      <c r="R231" s="19" t="s">
        <v>52</v>
      </c>
      <c r="T231" s="21">
        <v>42330.49</v>
      </c>
      <c r="U231" s="19" t="s">
        <v>56</v>
      </c>
      <c r="V231" s="19">
        <v>10</v>
      </c>
      <c r="W231" s="19" t="s">
        <v>51</v>
      </c>
      <c r="X231" s="19" t="s">
        <v>554</v>
      </c>
      <c r="Y231" s="19" t="s">
        <v>553</v>
      </c>
      <c r="Z231" s="19" t="s">
        <v>44</v>
      </c>
    </row>
    <row r="232" spans="1:26" x14ac:dyDescent="0.3">
      <c r="A232" s="19" t="s">
        <v>79</v>
      </c>
      <c r="B232" s="20">
        <v>45169</v>
      </c>
      <c r="C232" s="19" t="s">
        <v>35</v>
      </c>
      <c r="D232" s="19" t="s">
        <v>36</v>
      </c>
      <c r="E232" s="19" t="s">
        <v>36</v>
      </c>
      <c r="F232" s="19" t="s">
        <v>36</v>
      </c>
      <c r="G232" s="19" t="s">
        <v>37</v>
      </c>
      <c r="K232" s="19" t="s">
        <v>38</v>
      </c>
      <c r="L232" s="19" t="s">
        <v>39</v>
      </c>
      <c r="M232" s="19" t="s">
        <v>40</v>
      </c>
      <c r="N232" s="19" t="s">
        <v>41</v>
      </c>
      <c r="R232" s="19" t="s">
        <v>45</v>
      </c>
      <c r="S232" s="21">
        <v>491010.7</v>
      </c>
      <c r="U232" s="19" t="s">
        <v>56</v>
      </c>
      <c r="V232" s="19">
        <v>11</v>
      </c>
      <c r="W232" s="19" t="s">
        <v>53</v>
      </c>
      <c r="X232" s="19" t="s">
        <v>555</v>
      </c>
      <c r="Y232" s="19" t="s">
        <v>556</v>
      </c>
      <c r="Z232" s="19" t="s">
        <v>44</v>
      </c>
    </row>
    <row r="233" spans="1:26" x14ac:dyDescent="0.3">
      <c r="A233" s="19" t="s">
        <v>79</v>
      </c>
      <c r="B233" s="20">
        <v>45169</v>
      </c>
      <c r="C233" s="19" t="s">
        <v>35</v>
      </c>
      <c r="D233" s="19" t="s">
        <v>36</v>
      </c>
      <c r="E233" s="19" t="s">
        <v>36</v>
      </c>
      <c r="F233" s="19" t="s">
        <v>36</v>
      </c>
      <c r="G233" s="19" t="s">
        <v>37</v>
      </c>
      <c r="K233" s="19" t="s">
        <v>38</v>
      </c>
      <c r="L233" s="19" t="s">
        <v>39</v>
      </c>
      <c r="M233" s="19" t="s">
        <v>40</v>
      </c>
      <c r="N233" s="19" t="s">
        <v>41</v>
      </c>
      <c r="R233" s="19" t="s">
        <v>54</v>
      </c>
      <c r="T233" s="21">
        <v>491010.7</v>
      </c>
      <c r="U233" s="19" t="s">
        <v>56</v>
      </c>
      <c r="V233" s="19">
        <v>11</v>
      </c>
      <c r="W233" s="19" t="s">
        <v>53</v>
      </c>
      <c r="X233" s="19" t="s">
        <v>557</v>
      </c>
      <c r="Y233" s="19" t="s">
        <v>556</v>
      </c>
      <c r="Z233" s="19" t="s">
        <v>44</v>
      </c>
    </row>
    <row r="234" spans="1:26" x14ac:dyDescent="0.3">
      <c r="A234" s="19" t="s">
        <v>80</v>
      </c>
      <c r="B234" s="20">
        <v>45170</v>
      </c>
      <c r="C234" s="19" t="s">
        <v>35</v>
      </c>
      <c r="D234" s="19" t="s">
        <v>36</v>
      </c>
      <c r="E234" s="19" t="s">
        <v>36</v>
      </c>
      <c r="F234" s="19" t="s">
        <v>36</v>
      </c>
      <c r="G234" s="19" t="s">
        <v>37</v>
      </c>
      <c r="K234" s="19" t="s">
        <v>38</v>
      </c>
      <c r="L234" s="19" t="s">
        <v>39</v>
      </c>
      <c r="M234" s="19" t="s">
        <v>40</v>
      </c>
      <c r="N234" s="19" t="s">
        <v>41</v>
      </c>
      <c r="R234" s="19" t="s">
        <v>54</v>
      </c>
      <c r="S234" s="21">
        <v>491010.7</v>
      </c>
      <c r="U234" s="19" t="s">
        <v>56</v>
      </c>
      <c r="V234" s="19">
        <v>11</v>
      </c>
      <c r="W234" s="19" t="s">
        <v>55</v>
      </c>
      <c r="X234" s="19" t="s">
        <v>558</v>
      </c>
      <c r="Y234" s="19" t="s">
        <v>559</v>
      </c>
      <c r="Z234" s="19" t="s">
        <v>44</v>
      </c>
    </row>
    <row r="235" spans="1:26" x14ac:dyDescent="0.3">
      <c r="A235" s="19" t="s">
        <v>80</v>
      </c>
      <c r="B235" s="20">
        <v>45170</v>
      </c>
      <c r="C235" s="19" t="s">
        <v>35</v>
      </c>
      <c r="D235" s="19" t="s">
        <v>36</v>
      </c>
      <c r="E235" s="19" t="s">
        <v>36</v>
      </c>
      <c r="F235" s="19" t="s">
        <v>36</v>
      </c>
      <c r="G235" s="19" t="s">
        <v>37</v>
      </c>
      <c r="K235" s="19" t="s">
        <v>38</v>
      </c>
      <c r="L235" s="19" t="s">
        <v>39</v>
      </c>
      <c r="M235" s="19" t="s">
        <v>40</v>
      </c>
      <c r="N235" s="19" t="s">
        <v>41</v>
      </c>
      <c r="R235" s="19" t="s">
        <v>45</v>
      </c>
      <c r="T235" s="21">
        <v>491010.7</v>
      </c>
      <c r="U235" s="19" t="s">
        <v>56</v>
      </c>
      <c r="V235" s="19">
        <v>11</v>
      </c>
      <c r="W235" s="19" t="s">
        <v>55</v>
      </c>
      <c r="X235" s="19" t="s">
        <v>560</v>
      </c>
      <c r="Y235" s="19" t="s">
        <v>559</v>
      </c>
      <c r="Z235" s="19" t="s">
        <v>44</v>
      </c>
    </row>
    <row r="236" spans="1:26" x14ac:dyDescent="0.3">
      <c r="A236" s="19" t="s">
        <v>80</v>
      </c>
      <c r="B236" s="20">
        <v>45199</v>
      </c>
      <c r="C236" s="19" t="s">
        <v>46</v>
      </c>
      <c r="D236" s="19" t="s">
        <v>36</v>
      </c>
      <c r="E236" s="19" t="s">
        <v>36</v>
      </c>
      <c r="F236" s="19" t="s">
        <v>36</v>
      </c>
      <c r="G236" s="19" t="s">
        <v>37</v>
      </c>
      <c r="K236" s="19" t="s">
        <v>38</v>
      </c>
      <c r="L236" s="19" t="s">
        <v>39</v>
      </c>
      <c r="M236" s="19" t="s">
        <v>38</v>
      </c>
      <c r="N236" s="19" t="s">
        <v>41</v>
      </c>
      <c r="R236" s="19" t="s">
        <v>49</v>
      </c>
      <c r="S236" s="21">
        <v>10378.670674999999</v>
      </c>
      <c r="U236" s="19" t="s">
        <v>56</v>
      </c>
      <c r="V236" s="19">
        <v>12</v>
      </c>
      <c r="W236" s="19" t="s">
        <v>57</v>
      </c>
      <c r="X236" s="19" t="s">
        <v>561</v>
      </c>
      <c r="Y236" s="19" t="s">
        <v>562</v>
      </c>
      <c r="Z236" s="19" t="s">
        <v>44</v>
      </c>
    </row>
    <row r="237" spans="1:26" x14ac:dyDescent="0.3">
      <c r="A237" s="19" t="s">
        <v>80</v>
      </c>
      <c r="B237" s="20">
        <v>45199</v>
      </c>
      <c r="C237" s="19" t="s">
        <v>46</v>
      </c>
      <c r="D237" s="19" t="s">
        <v>36</v>
      </c>
      <c r="E237" s="19" t="s">
        <v>36</v>
      </c>
      <c r="F237" s="19" t="s">
        <v>36</v>
      </c>
      <c r="G237" s="19" t="s">
        <v>37</v>
      </c>
      <c r="K237" s="19" t="s">
        <v>38</v>
      </c>
      <c r="L237" s="19" t="s">
        <v>39</v>
      </c>
      <c r="M237" s="19" t="s">
        <v>40</v>
      </c>
      <c r="N237" s="19" t="s">
        <v>41</v>
      </c>
      <c r="R237" s="19" t="s">
        <v>45</v>
      </c>
      <c r="S237" s="21">
        <v>39621.329324999999</v>
      </c>
      <c r="U237" s="19" t="s">
        <v>56</v>
      </c>
      <c r="V237" s="19">
        <v>12</v>
      </c>
      <c r="W237" s="19" t="s">
        <v>57</v>
      </c>
      <c r="X237" s="19" t="s">
        <v>563</v>
      </c>
      <c r="Y237" s="19" t="s">
        <v>562</v>
      </c>
      <c r="Z237" s="19" t="s">
        <v>44</v>
      </c>
    </row>
    <row r="238" spans="1:26" x14ac:dyDescent="0.3">
      <c r="A238" s="19" t="s">
        <v>80</v>
      </c>
      <c r="B238" s="20">
        <v>45199</v>
      </c>
      <c r="C238" s="19" t="s">
        <v>46</v>
      </c>
      <c r="D238" s="19" t="s">
        <v>36</v>
      </c>
      <c r="E238" s="19" t="s">
        <v>36</v>
      </c>
      <c r="F238" s="19" t="s">
        <v>36</v>
      </c>
      <c r="G238" s="19" t="s">
        <v>37</v>
      </c>
      <c r="K238" s="19" t="s">
        <v>38</v>
      </c>
      <c r="L238" s="19" t="s">
        <v>39</v>
      </c>
      <c r="M238" s="19" t="s">
        <v>40</v>
      </c>
      <c r="N238" s="19" t="s">
        <v>41</v>
      </c>
      <c r="R238" s="19" t="s">
        <v>58</v>
      </c>
      <c r="T238" s="21">
        <v>50000</v>
      </c>
      <c r="U238" s="19" t="s">
        <v>56</v>
      </c>
      <c r="V238" s="19">
        <v>12</v>
      </c>
      <c r="W238" s="19" t="s">
        <v>57</v>
      </c>
      <c r="X238" s="19" t="s">
        <v>564</v>
      </c>
      <c r="Y238" s="19" t="s">
        <v>562</v>
      </c>
      <c r="Z238" s="19" t="s">
        <v>44</v>
      </c>
    </row>
    <row r="239" spans="1:26" x14ac:dyDescent="0.3">
      <c r="A239" s="19" t="s">
        <v>81</v>
      </c>
      <c r="B239" s="20">
        <v>45199</v>
      </c>
      <c r="C239" s="19" t="s">
        <v>46</v>
      </c>
      <c r="D239" s="19" t="s">
        <v>36</v>
      </c>
      <c r="E239" s="19" t="s">
        <v>36</v>
      </c>
      <c r="F239" s="19" t="s">
        <v>36</v>
      </c>
      <c r="G239" s="19" t="s">
        <v>37</v>
      </c>
      <c r="K239" s="19" t="s">
        <v>38</v>
      </c>
      <c r="L239" s="19" t="s">
        <v>39</v>
      </c>
      <c r="M239" s="19" t="s">
        <v>40</v>
      </c>
      <c r="N239" s="19" t="s">
        <v>41</v>
      </c>
      <c r="R239" s="19" t="s">
        <v>47</v>
      </c>
      <c r="S239" s="21">
        <v>10147.546254000001</v>
      </c>
      <c r="U239" s="19" t="s">
        <v>56</v>
      </c>
      <c r="V239" s="19">
        <v>8</v>
      </c>
      <c r="W239" s="19" t="s">
        <v>48</v>
      </c>
      <c r="X239" s="19" t="s">
        <v>565</v>
      </c>
      <c r="Y239" s="19" t="s">
        <v>566</v>
      </c>
      <c r="Z239" s="19" t="s">
        <v>44</v>
      </c>
    </row>
    <row r="240" spans="1:26" x14ac:dyDescent="0.3">
      <c r="A240" s="19" t="s">
        <v>81</v>
      </c>
      <c r="B240" s="20">
        <v>45199</v>
      </c>
      <c r="C240" s="19" t="s">
        <v>46</v>
      </c>
      <c r="D240" s="19" t="s">
        <v>36</v>
      </c>
      <c r="E240" s="19" t="s">
        <v>36</v>
      </c>
      <c r="F240" s="19" t="s">
        <v>36</v>
      </c>
      <c r="G240" s="19" t="s">
        <v>37</v>
      </c>
      <c r="K240" s="19" t="s">
        <v>38</v>
      </c>
      <c r="L240" s="19" t="s">
        <v>39</v>
      </c>
      <c r="M240" s="19" t="s">
        <v>38</v>
      </c>
      <c r="N240" s="19" t="s">
        <v>41</v>
      </c>
      <c r="R240" s="19" t="s">
        <v>49</v>
      </c>
      <c r="T240" s="21">
        <v>10147.546254000001</v>
      </c>
      <c r="U240" s="19" t="s">
        <v>56</v>
      </c>
      <c r="V240" s="19">
        <v>8</v>
      </c>
      <c r="W240" s="19" t="s">
        <v>48</v>
      </c>
      <c r="X240" s="19" t="s">
        <v>567</v>
      </c>
      <c r="Y240" s="19" t="s">
        <v>566</v>
      </c>
      <c r="Z240" s="19" t="s">
        <v>44</v>
      </c>
    </row>
    <row r="241" spans="1:26" x14ac:dyDescent="0.3">
      <c r="A241" s="19" t="s">
        <v>81</v>
      </c>
      <c r="B241" s="20">
        <v>44562</v>
      </c>
      <c r="C241" s="19" t="s">
        <v>35</v>
      </c>
      <c r="D241" s="19" t="s">
        <v>36</v>
      </c>
      <c r="E241" s="19" t="s">
        <v>36</v>
      </c>
      <c r="F241" s="19" t="s">
        <v>36</v>
      </c>
      <c r="G241" s="19" t="s">
        <v>37</v>
      </c>
      <c r="K241" s="19" t="s">
        <v>38</v>
      </c>
      <c r="L241" s="19" t="s">
        <v>39</v>
      </c>
      <c r="M241" s="19" t="s">
        <v>40</v>
      </c>
      <c r="N241" s="19" t="s">
        <v>41</v>
      </c>
      <c r="R241" s="19" t="s">
        <v>50</v>
      </c>
      <c r="S241" s="21">
        <v>42330.49</v>
      </c>
      <c r="U241" s="19" t="s">
        <v>56</v>
      </c>
      <c r="V241" s="19">
        <v>10</v>
      </c>
      <c r="W241" s="19" t="s">
        <v>51</v>
      </c>
      <c r="X241" s="19" t="s">
        <v>568</v>
      </c>
      <c r="Y241" s="19" t="s">
        <v>569</v>
      </c>
      <c r="Z241" s="19" t="s">
        <v>44</v>
      </c>
    </row>
    <row r="242" spans="1:26" x14ac:dyDescent="0.3">
      <c r="A242" s="19" t="s">
        <v>81</v>
      </c>
      <c r="B242" s="20">
        <v>44562</v>
      </c>
      <c r="C242" s="19" t="s">
        <v>35</v>
      </c>
      <c r="D242" s="19" t="s">
        <v>36</v>
      </c>
      <c r="E242" s="19" t="s">
        <v>36</v>
      </c>
      <c r="F242" s="19" t="s">
        <v>36</v>
      </c>
      <c r="G242" s="19" t="s">
        <v>37</v>
      </c>
      <c r="K242" s="19" t="s">
        <v>38</v>
      </c>
      <c r="L242" s="19" t="s">
        <v>39</v>
      </c>
      <c r="M242" s="19" t="s">
        <v>40</v>
      </c>
      <c r="N242" s="19" t="s">
        <v>41</v>
      </c>
      <c r="R242" s="19" t="s">
        <v>52</v>
      </c>
      <c r="T242" s="21">
        <v>42330.49</v>
      </c>
      <c r="U242" s="19" t="s">
        <v>56</v>
      </c>
      <c r="V242" s="19">
        <v>10</v>
      </c>
      <c r="W242" s="19" t="s">
        <v>51</v>
      </c>
      <c r="X242" s="19" t="s">
        <v>570</v>
      </c>
      <c r="Y242" s="19" t="s">
        <v>569</v>
      </c>
      <c r="Z242" s="19" t="s">
        <v>44</v>
      </c>
    </row>
    <row r="243" spans="1:26" x14ac:dyDescent="0.3">
      <c r="A243" s="19" t="s">
        <v>81</v>
      </c>
      <c r="B243" s="20">
        <v>45199</v>
      </c>
      <c r="C243" s="19" t="s">
        <v>35</v>
      </c>
      <c r="D243" s="19" t="s">
        <v>36</v>
      </c>
      <c r="E243" s="19" t="s">
        <v>36</v>
      </c>
      <c r="F243" s="19" t="s">
        <v>36</v>
      </c>
      <c r="G243" s="19" t="s">
        <v>37</v>
      </c>
      <c r="K243" s="19" t="s">
        <v>38</v>
      </c>
      <c r="L243" s="19" t="s">
        <v>39</v>
      </c>
      <c r="M243" s="19" t="s">
        <v>40</v>
      </c>
      <c r="N243" s="19" t="s">
        <v>41</v>
      </c>
      <c r="R243" s="19" t="s">
        <v>45</v>
      </c>
      <c r="S243" s="21">
        <v>493874.94</v>
      </c>
      <c r="U243" s="19" t="s">
        <v>56</v>
      </c>
      <c r="V243" s="19">
        <v>11</v>
      </c>
      <c r="W243" s="19" t="s">
        <v>53</v>
      </c>
      <c r="X243" s="19" t="s">
        <v>571</v>
      </c>
      <c r="Y243" s="19" t="s">
        <v>572</v>
      </c>
      <c r="Z243" s="19" t="s">
        <v>44</v>
      </c>
    </row>
    <row r="244" spans="1:26" x14ac:dyDescent="0.3">
      <c r="A244" s="19" t="s">
        <v>81</v>
      </c>
      <c r="B244" s="20">
        <v>45199</v>
      </c>
      <c r="C244" s="19" t="s">
        <v>35</v>
      </c>
      <c r="D244" s="19" t="s">
        <v>36</v>
      </c>
      <c r="E244" s="19" t="s">
        <v>36</v>
      </c>
      <c r="F244" s="19" t="s">
        <v>36</v>
      </c>
      <c r="G244" s="19" t="s">
        <v>37</v>
      </c>
      <c r="K244" s="19" t="s">
        <v>38</v>
      </c>
      <c r="L244" s="19" t="s">
        <v>39</v>
      </c>
      <c r="M244" s="19" t="s">
        <v>40</v>
      </c>
      <c r="N244" s="19" t="s">
        <v>41</v>
      </c>
      <c r="R244" s="19" t="s">
        <v>54</v>
      </c>
      <c r="T244" s="21">
        <v>493874.94</v>
      </c>
      <c r="U244" s="19" t="s">
        <v>56</v>
      </c>
      <c r="V244" s="19">
        <v>11</v>
      </c>
      <c r="W244" s="19" t="s">
        <v>53</v>
      </c>
      <c r="X244" s="19" t="s">
        <v>573</v>
      </c>
      <c r="Y244" s="19" t="s">
        <v>572</v>
      </c>
      <c r="Z244" s="19" t="s">
        <v>44</v>
      </c>
    </row>
    <row r="245" spans="1:26" x14ac:dyDescent="0.3">
      <c r="A245" s="19" t="s">
        <v>82</v>
      </c>
      <c r="B245" s="20">
        <v>45200</v>
      </c>
      <c r="C245" s="19" t="s">
        <v>35</v>
      </c>
      <c r="D245" s="19" t="s">
        <v>36</v>
      </c>
      <c r="E245" s="19" t="s">
        <v>36</v>
      </c>
      <c r="F245" s="19" t="s">
        <v>36</v>
      </c>
      <c r="G245" s="19" t="s">
        <v>37</v>
      </c>
      <c r="K245" s="19" t="s">
        <v>38</v>
      </c>
      <c r="L245" s="19" t="s">
        <v>39</v>
      </c>
      <c r="M245" s="19" t="s">
        <v>40</v>
      </c>
      <c r="N245" s="19" t="s">
        <v>41</v>
      </c>
      <c r="R245" s="19" t="s">
        <v>54</v>
      </c>
      <c r="S245" s="21">
        <v>493874.94</v>
      </c>
      <c r="U245" s="19" t="s">
        <v>56</v>
      </c>
      <c r="V245" s="19">
        <v>11</v>
      </c>
      <c r="W245" s="19" t="s">
        <v>55</v>
      </c>
      <c r="X245" s="19" t="s">
        <v>574</v>
      </c>
      <c r="Y245" s="19" t="s">
        <v>575</v>
      </c>
      <c r="Z245" s="19" t="s">
        <v>44</v>
      </c>
    </row>
    <row r="246" spans="1:26" x14ac:dyDescent="0.3">
      <c r="A246" s="19" t="s">
        <v>82</v>
      </c>
      <c r="B246" s="20">
        <v>45200</v>
      </c>
      <c r="C246" s="19" t="s">
        <v>35</v>
      </c>
      <c r="D246" s="19" t="s">
        <v>36</v>
      </c>
      <c r="E246" s="19" t="s">
        <v>36</v>
      </c>
      <c r="F246" s="19" t="s">
        <v>36</v>
      </c>
      <c r="G246" s="19" t="s">
        <v>37</v>
      </c>
      <c r="K246" s="19" t="s">
        <v>38</v>
      </c>
      <c r="L246" s="19" t="s">
        <v>39</v>
      </c>
      <c r="M246" s="19" t="s">
        <v>40</v>
      </c>
      <c r="N246" s="19" t="s">
        <v>41</v>
      </c>
      <c r="R246" s="19" t="s">
        <v>45</v>
      </c>
      <c r="T246" s="21">
        <v>493874.94</v>
      </c>
      <c r="U246" s="19" t="s">
        <v>56</v>
      </c>
      <c r="V246" s="19">
        <v>11</v>
      </c>
      <c r="W246" s="19" t="s">
        <v>55</v>
      </c>
      <c r="X246" s="19" t="s">
        <v>576</v>
      </c>
      <c r="Y246" s="19" t="s">
        <v>575</v>
      </c>
      <c r="Z246" s="19" t="s">
        <v>44</v>
      </c>
    </row>
    <row r="247" spans="1:26" x14ac:dyDescent="0.3">
      <c r="A247" s="19" t="s">
        <v>82</v>
      </c>
      <c r="B247" s="20">
        <v>45230</v>
      </c>
      <c r="C247" s="19" t="s">
        <v>46</v>
      </c>
      <c r="D247" s="19" t="s">
        <v>36</v>
      </c>
      <c r="E247" s="19" t="s">
        <v>36</v>
      </c>
      <c r="F247" s="19" t="s">
        <v>36</v>
      </c>
      <c r="G247" s="19" t="s">
        <v>37</v>
      </c>
      <c r="K247" s="19" t="s">
        <v>38</v>
      </c>
      <c r="L247" s="19" t="s">
        <v>39</v>
      </c>
      <c r="M247" s="19" t="s">
        <v>38</v>
      </c>
      <c r="N247" s="19" t="s">
        <v>41</v>
      </c>
      <c r="R247" s="19" t="s">
        <v>49</v>
      </c>
      <c r="S247" s="21">
        <v>10147.546254000001</v>
      </c>
      <c r="U247" s="19" t="s">
        <v>56</v>
      </c>
      <c r="V247" s="19">
        <v>12</v>
      </c>
      <c r="W247" s="19" t="s">
        <v>57</v>
      </c>
      <c r="X247" s="19" t="s">
        <v>577</v>
      </c>
      <c r="Y247" s="19" t="s">
        <v>578</v>
      </c>
      <c r="Z247" s="19" t="s">
        <v>44</v>
      </c>
    </row>
    <row r="248" spans="1:26" x14ac:dyDescent="0.3">
      <c r="A248" s="19" t="s">
        <v>82</v>
      </c>
      <c r="B248" s="20">
        <v>45230</v>
      </c>
      <c r="C248" s="19" t="s">
        <v>46</v>
      </c>
      <c r="D248" s="19" t="s">
        <v>36</v>
      </c>
      <c r="E248" s="19" t="s">
        <v>36</v>
      </c>
      <c r="F248" s="19" t="s">
        <v>36</v>
      </c>
      <c r="G248" s="19" t="s">
        <v>37</v>
      </c>
      <c r="K248" s="19" t="s">
        <v>38</v>
      </c>
      <c r="L248" s="19" t="s">
        <v>39</v>
      </c>
      <c r="M248" s="19" t="s">
        <v>40</v>
      </c>
      <c r="N248" s="19" t="s">
        <v>41</v>
      </c>
      <c r="R248" s="19" t="s">
        <v>45</v>
      </c>
      <c r="S248" s="21">
        <v>39852.453745999999</v>
      </c>
      <c r="U248" s="19" t="s">
        <v>56</v>
      </c>
      <c r="V248" s="19">
        <v>12</v>
      </c>
      <c r="W248" s="19" t="s">
        <v>57</v>
      </c>
      <c r="X248" s="19" t="s">
        <v>579</v>
      </c>
      <c r="Y248" s="19" t="s">
        <v>578</v>
      </c>
      <c r="Z248" s="19" t="s">
        <v>44</v>
      </c>
    </row>
    <row r="249" spans="1:26" x14ac:dyDescent="0.3">
      <c r="A249" s="19" t="s">
        <v>82</v>
      </c>
      <c r="B249" s="20">
        <v>45230</v>
      </c>
      <c r="C249" s="19" t="s">
        <v>46</v>
      </c>
      <c r="D249" s="19" t="s">
        <v>36</v>
      </c>
      <c r="E249" s="19" t="s">
        <v>36</v>
      </c>
      <c r="F249" s="19" t="s">
        <v>36</v>
      </c>
      <c r="G249" s="19" t="s">
        <v>37</v>
      </c>
      <c r="K249" s="19" t="s">
        <v>38</v>
      </c>
      <c r="L249" s="19" t="s">
        <v>39</v>
      </c>
      <c r="M249" s="19" t="s">
        <v>40</v>
      </c>
      <c r="N249" s="19" t="s">
        <v>41</v>
      </c>
      <c r="R249" s="19" t="s">
        <v>58</v>
      </c>
      <c r="T249" s="21">
        <v>50000</v>
      </c>
      <c r="U249" s="19" t="s">
        <v>56</v>
      </c>
      <c r="V249" s="19">
        <v>12</v>
      </c>
      <c r="W249" s="19" t="s">
        <v>57</v>
      </c>
      <c r="X249" s="19" t="s">
        <v>580</v>
      </c>
      <c r="Y249" s="19" t="s">
        <v>578</v>
      </c>
      <c r="Z249" s="19" t="s">
        <v>44</v>
      </c>
    </row>
    <row r="250" spans="1:26" x14ac:dyDescent="0.3">
      <c r="A250" s="19" t="s">
        <v>83</v>
      </c>
      <c r="B250" s="20">
        <v>45230</v>
      </c>
      <c r="C250" s="19" t="s">
        <v>46</v>
      </c>
      <c r="D250" s="19" t="s">
        <v>36</v>
      </c>
      <c r="E250" s="19" t="s">
        <v>36</v>
      </c>
      <c r="F250" s="19" t="s">
        <v>36</v>
      </c>
      <c r="G250" s="19" t="s">
        <v>37</v>
      </c>
      <c r="K250" s="19" t="s">
        <v>38</v>
      </c>
      <c r="L250" s="19" t="s">
        <v>39</v>
      </c>
      <c r="M250" s="19" t="s">
        <v>40</v>
      </c>
      <c r="N250" s="19" t="s">
        <v>41</v>
      </c>
      <c r="R250" s="19" t="s">
        <v>47</v>
      </c>
      <c r="S250" s="21">
        <v>9915.0736070000003</v>
      </c>
      <c r="U250" s="19" t="s">
        <v>56</v>
      </c>
      <c r="V250" s="19">
        <v>8</v>
      </c>
      <c r="W250" s="19" t="s">
        <v>48</v>
      </c>
      <c r="X250" s="19" t="s">
        <v>581</v>
      </c>
      <c r="Y250" s="19" t="s">
        <v>582</v>
      </c>
      <c r="Z250" s="19" t="s">
        <v>44</v>
      </c>
    </row>
    <row r="251" spans="1:26" x14ac:dyDescent="0.3">
      <c r="A251" s="19" t="s">
        <v>83</v>
      </c>
      <c r="B251" s="20">
        <v>45230</v>
      </c>
      <c r="C251" s="19" t="s">
        <v>46</v>
      </c>
      <c r="D251" s="19" t="s">
        <v>36</v>
      </c>
      <c r="E251" s="19" t="s">
        <v>36</v>
      </c>
      <c r="F251" s="19" t="s">
        <v>36</v>
      </c>
      <c r="G251" s="19" t="s">
        <v>37</v>
      </c>
      <c r="K251" s="19" t="s">
        <v>38</v>
      </c>
      <c r="L251" s="19" t="s">
        <v>39</v>
      </c>
      <c r="M251" s="19" t="s">
        <v>38</v>
      </c>
      <c r="N251" s="19" t="s">
        <v>41</v>
      </c>
      <c r="R251" s="19" t="s">
        <v>49</v>
      </c>
      <c r="T251" s="21">
        <v>9915.0736070000003</v>
      </c>
      <c r="U251" s="19" t="s">
        <v>56</v>
      </c>
      <c r="V251" s="19">
        <v>8</v>
      </c>
      <c r="W251" s="19" t="s">
        <v>48</v>
      </c>
      <c r="X251" s="19" t="s">
        <v>583</v>
      </c>
      <c r="Y251" s="19" t="s">
        <v>582</v>
      </c>
      <c r="Z251" s="19" t="s">
        <v>44</v>
      </c>
    </row>
    <row r="252" spans="1:26" x14ac:dyDescent="0.3">
      <c r="A252" s="19" t="s">
        <v>83</v>
      </c>
      <c r="B252" s="20">
        <v>44562</v>
      </c>
      <c r="C252" s="19" t="s">
        <v>35</v>
      </c>
      <c r="D252" s="19" t="s">
        <v>36</v>
      </c>
      <c r="E252" s="19" t="s">
        <v>36</v>
      </c>
      <c r="F252" s="19" t="s">
        <v>36</v>
      </c>
      <c r="G252" s="19" t="s">
        <v>37</v>
      </c>
      <c r="K252" s="19" t="s">
        <v>38</v>
      </c>
      <c r="L252" s="19" t="s">
        <v>39</v>
      </c>
      <c r="M252" s="19" t="s">
        <v>40</v>
      </c>
      <c r="N252" s="19" t="s">
        <v>41</v>
      </c>
      <c r="R252" s="19" t="s">
        <v>50</v>
      </c>
      <c r="S252" s="21">
        <v>42330.49</v>
      </c>
      <c r="U252" s="19" t="s">
        <v>56</v>
      </c>
      <c r="V252" s="19">
        <v>10</v>
      </c>
      <c r="W252" s="19" t="s">
        <v>51</v>
      </c>
      <c r="X252" s="19" t="s">
        <v>584</v>
      </c>
      <c r="Y252" s="19" t="s">
        <v>585</v>
      </c>
      <c r="Z252" s="19" t="s">
        <v>44</v>
      </c>
    </row>
    <row r="253" spans="1:26" x14ac:dyDescent="0.3">
      <c r="A253" s="19" t="s">
        <v>83</v>
      </c>
      <c r="B253" s="20">
        <v>44562</v>
      </c>
      <c r="C253" s="19" t="s">
        <v>35</v>
      </c>
      <c r="D253" s="19" t="s">
        <v>36</v>
      </c>
      <c r="E253" s="19" t="s">
        <v>36</v>
      </c>
      <c r="F253" s="19" t="s">
        <v>36</v>
      </c>
      <c r="G253" s="19" t="s">
        <v>37</v>
      </c>
      <c r="K253" s="19" t="s">
        <v>38</v>
      </c>
      <c r="L253" s="19" t="s">
        <v>39</v>
      </c>
      <c r="M253" s="19" t="s">
        <v>40</v>
      </c>
      <c r="N253" s="19" t="s">
        <v>41</v>
      </c>
      <c r="R253" s="19" t="s">
        <v>52</v>
      </c>
      <c r="T253" s="21">
        <v>42330.49</v>
      </c>
      <c r="U253" s="19" t="s">
        <v>56</v>
      </c>
      <c r="V253" s="19">
        <v>10</v>
      </c>
      <c r="W253" s="19" t="s">
        <v>51</v>
      </c>
      <c r="X253" s="19" t="s">
        <v>586</v>
      </c>
      <c r="Y253" s="19" t="s">
        <v>585</v>
      </c>
      <c r="Z253" s="19" t="s">
        <v>44</v>
      </c>
    </row>
    <row r="254" spans="1:26" x14ac:dyDescent="0.3">
      <c r="A254" s="19" t="s">
        <v>83</v>
      </c>
      <c r="B254" s="20">
        <v>45230</v>
      </c>
      <c r="C254" s="19" t="s">
        <v>35</v>
      </c>
      <c r="D254" s="19" t="s">
        <v>36</v>
      </c>
      <c r="E254" s="19" t="s">
        <v>36</v>
      </c>
      <c r="F254" s="19" t="s">
        <v>36</v>
      </c>
      <c r="G254" s="19" t="s">
        <v>37</v>
      </c>
      <c r="K254" s="19" t="s">
        <v>38</v>
      </c>
      <c r="L254" s="19" t="s">
        <v>39</v>
      </c>
      <c r="M254" s="19" t="s">
        <v>40</v>
      </c>
      <c r="N254" s="19" t="s">
        <v>41</v>
      </c>
      <c r="R254" s="19" t="s">
        <v>45</v>
      </c>
      <c r="S254" s="21">
        <v>496755.86</v>
      </c>
      <c r="U254" s="19" t="s">
        <v>56</v>
      </c>
      <c r="V254" s="19">
        <v>11</v>
      </c>
      <c r="W254" s="19" t="s">
        <v>53</v>
      </c>
      <c r="X254" s="19" t="s">
        <v>587</v>
      </c>
      <c r="Y254" s="19" t="s">
        <v>588</v>
      </c>
      <c r="Z254" s="19" t="s">
        <v>44</v>
      </c>
    </row>
    <row r="255" spans="1:26" x14ac:dyDescent="0.3">
      <c r="A255" s="19" t="s">
        <v>83</v>
      </c>
      <c r="B255" s="20">
        <v>45230</v>
      </c>
      <c r="C255" s="19" t="s">
        <v>35</v>
      </c>
      <c r="D255" s="19" t="s">
        <v>36</v>
      </c>
      <c r="E255" s="19" t="s">
        <v>36</v>
      </c>
      <c r="F255" s="19" t="s">
        <v>36</v>
      </c>
      <c r="G255" s="19" t="s">
        <v>37</v>
      </c>
      <c r="K255" s="19" t="s">
        <v>38</v>
      </c>
      <c r="L255" s="19" t="s">
        <v>39</v>
      </c>
      <c r="M255" s="19" t="s">
        <v>40</v>
      </c>
      <c r="N255" s="19" t="s">
        <v>41</v>
      </c>
      <c r="R255" s="19" t="s">
        <v>54</v>
      </c>
      <c r="T255" s="21">
        <v>496755.86</v>
      </c>
      <c r="U255" s="19" t="s">
        <v>56</v>
      </c>
      <c r="V255" s="19">
        <v>11</v>
      </c>
      <c r="W255" s="19" t="s">
        <v>53</v>
      </c>
      <c r="X255" s="19" t="s">
        <v>589</v>
      </c>
      <c r="Y255" s="19" t="s">
        <v>588</v>
      </c>
      <c r="Z255" s="19" t="s">
        <v>44</v>
      </c>
    </row>
    <row r="256" spans="1:26" x14ac:dyDescent="0.3">
      <c r="A256" s="19" t="s">
        <v>84</v>
      </c>
      <c r="B256" s="20">
        <v>45231</v>
      </c>
      <c r="C256" s="19" t="s">
        <v>35</v>
      </c>
      <c r="D256" s="19" t="s">
        <v>36</v>
      </c>
      <c r="E256" s="19" t="s">
        <v>36</v>
      </c>
      <c r="F256" s="19" t="s">
        <v>36</v>
      </c>
      <c r="G256" s="19" t="s">
        <v>37</v>
      </c>
      <c r="K256" s="19" t="s">
        <v>38</v>
      </c>
      <c r="L256" s="19" t="s">
        <v>39</v>
      </c>
      <c r="M256" s="19" t="s">
        <v>40</v>
      </c>
      <c r="N256" s="19" t="s">
        <v>41</v>
      </c>
      <c r="R256" s="19" t="s">
        <v>54</v>
      </c>
      <c r="S256" s="21">
        <v>496755.86</v>
      </c>
      <c r="U256" s="19" t="s">
        <v>56</v>
      </c>
      <c r="V256" s="19">
        <v>11</v>
      </c>
      <c r="W256" s="19" t="s">
        <v>55</v>
      </c>
      <c r="X256" s="19" t="s">
        <v>590</v>
      </c>
      <c r="Y256" s="19" t="s">
        <v>591</v>
      </c>
      <c r="Z256" s="19" t="s">
        <v>44</v>
      </c>
    </row>
    <row r="257" spans="1:26" x14ac:dyDescent="0.3">
      <c r="A257" s="19" t="s">
        <v>84</v>
      </c>
      <c r="B257" s="20">
        <v>45231</v>
      </c>
      <c r="C257" s="19" t="s">
        <v>35</v>
      </c>
      <c r="D257" s="19" t="s">
        <v>36</v>
      </c>
      <c r="E257" s="19" t="s">
        <v>36</v>
      </c>
      <c r="F257" s="19" t="s">
        <v>36</v>
      </c>
      <c r="G257" s="19" t="s">
        <v>37</v>
      </c>
      <c r="K257" s="19" t="s">
        <v>38</v>
      </c>
      <c r="L257" s="19" t="s">
        <v>39</v>
      </c>
      <c r="M257" s="19" t="s">
        <v>40</v>
      </c>
      <c r="N257" s="19" t="s">
        <v>41</v>
      </c>
      <c r="R257" s="19" t="s">
        <v>45</v>
      </c>
      <c r="T257" s="21">
        <v>496755.86</v>
      </c>
      <c r="U257" s="19" t="s">
        <v>56</v>
      </c>
      <c r="V257" s="19">
        <v>11</v>
      </c>
      <c r="W257" s="19" t="s">
        <v>55</v>
      </c>
      <c r="X257" s="19" t="s">
        <v>592</v>
      </c>
      <c r="Y257" s="19" t="s">
        <v>591</v>
      </c>
      <c r="Z257" s="19" t="s">
        <v>44</v>
      </c>
    </row>
    <row r="258" spans="1:26" x14ac:dyDescent="0.3">
      <c r="A258" s="19" t="s">
        <v>84</v>
      </c>
      <c r="B258" s="20">
        <v>45260</v>
      </c>
      <c r="C258" s="19" t="s">
        <v>46</v>
      </c>
      <c r="D258" s="19" t="s">
        <v>36</v>
      </c>
      <c r="E258" s="19" t="s">
        <v>36</v>
      </c>
      <c r="F258" s="19" t="s">
        <v>36</v>
      </c>
      <c r="G258" s="19" t="s">
        <v>37</v>
      </c>
      <c r="K258" s="19" t="s">
        <v>38</v>
      </c>
      <c r="L258" s="19" t="s">
        <v>39</v>
      </c>
      <c r="M258" s="19" t="s">
        <v>38</v>
      </c>
      <c r="N258" s="19" t="s">
        <v>41</v>
      </c>
      <c r="R258" s="19" t="s">
        <v>49</v>
      </c>
      <c r="S258" s="21">
        <v>9915.0736070000003</v>
      </c>
      <c r="U258" s="19" t="s">
        <v>56</v>
      </c>
      <c r="V258" s="19">
        <v>12</v>
      </c>
      <c r="W258" s="19" t="s">
        <v>57</v>
      </c>
      <c r="X258" s="19" t="s">
        <v>593</v>
      </c>
      <c r="Y258" s="19" t="s">
        <v>594</v>
      </c>
      <c r="Z258" s="19" t="s">
        <v>44</v>
      </c>
    </row>
    <row r="259" spans="1:26" x14ac:dyDescent="0.3">
      <c r="A259" s="19" t="s">
        <v>84</v>
      </c>
      <c r="B259" s="20">
        <v>45260</v>
      </c>
      <c r="C259" s="19" t="s">
        <v>46</v>
      </c>
      <c r="D259" s="19" t="s">
        <v>36</v>
      </c>
      <c r="E259" s="19" t="s">
        <v>36</v>
      </c>
      <c r="F259" s="19" t="s">
        <v>36</v>
      </c>
      <c r="G259" s="19" t="s">
        <v>37</v>
      </c>
      <c r="K259" s="19" t="s">
        <v>38</v>
      </c>
      <c r="L259" s="19" t="s">
        <v>39</v>
      </c>
      <c r="M259" s="19" t="s">
        <v>40</v>
      </c>
      <c r="N259" s="19" t="s">
        <v>41</v>
      </c>
      <c r="R259" s="19" t="s">
        <v>45</v>
      </c>
      <c r="S259" s="21">
        <v>40084.926393000002</v>
      </c>
      <c r="U259" s="19" t="s">
        <v>56</v>
      </c>
      <c r="V259" s="19">
        <v>12</v>
      </c>
      <c r="W259" s="19" t="s">
        <v>57</v>
      </c>
      <c r="X259" s="19" t="s">
        <v>595</v>
      </c>
      <c r="Y259" s="19" t="s">
        <v>594</v>
      </c>
      <c r="Z259" s="19" t="s">
        <v>44</v>
      </c>
    </row>
    <row r="260" spans="1:26" x14ac:dyDescent="0.3">
      <c r="A260" s="19" t="s">
        <v>84</v>
      </c>
      <c r="B260" s="20">
        <v>45260</v>
      </c>
      <c r="C260" s="19" t="s">
        <v>46</v>
      </c>
      <c r="D260" s="19" t="s">
        <v>36</v>
      </c>
      <c r="E260" s="19" t="s">
        <v>36</v>
      </c>
      <c r="F260" s="19" t="s">
        <v>36</v>
      </c>
      <c r="G260" s="19" t="s">
        <v>37</v>
      </c>
      <c r="K260" s="19" t="s">
        <v>38</v>
      </c>
      <c r="L260" s="19" t="s">
        <v>39</v>
      </c>
      <c r="M260" s="19" t="s">
        <v>40</v>
      </c>
      <c r="N260" s="19" t="s">
        <v>41</v>
      </c>
      <c r="R260" s="19" t="s">
        <v>58</v>
      </c>
      <c r="T260" s="21">
        <v>50000</v>
      </c>
      <c r="U260" s="19" t="s">
        <v>56</v>
      </c>
      <c r="V260" s="19">
        <v>12</v>
      </c>
      <c r="W260" s="19" t="s">
        <v>57</v>
      </c>
      <c r="X260" s="19" t="s">
        <v>596</v>
      </c>
      <c r="Y260" s="19" t="s">
        <v>594</v>
      </c>
      <c r="Z260" s="19" t="s">
        <v>44</v>
      </c>
    </row>
    <row r="261" spans="1:26" x14ac:dyDescent="0.3">
      <c r="A261" s="19" t="s">
        <v>85</v>
      </c>
      <c r="B261" s="20">
        <v>45260</v>
      </c>
      <c r="C261" s="19" t="s">
        <v>46</v>
      </c>
      <c r="D261" s="19" t="s">
        <v>36</v>
      </c>
      <c r="E261" s="19" t="s">
        <v>36</v>
      </c>
      <c r="F261" s="19" t="s">
        <v>36</v>
      </c>
      <c r="G261" s="19" t="s">
        <v>37</v>
      </c>
      <c r="K261" s="19" t="s">
        <v>38</v>
      </c>
      <c r="L261" s="19" t="s">
        <v>39</v>
      </c>
      <c r="M261" s="19" t="s">
        <v>40</v>
      </c>
      <c r="N261" s="19" t="s">
        <v>41</v>
      </c>
      <c r="R261" s="19" t="s">
        <v>47</v>
      </c>
      <c r="S261" s="21">
        <v>9681.2448700000004</v>
      </c>
      <c r="U261" s="19" t="s">
        <v>56</v>
      </c>
      <c r="V261" s="19">
        <v>8</v>
      </c>
      <c r="W261" s="19" t="s">
        <v>48</v>
      </c>
      <c r="X261" s="19" t="s">
        <v>597</v>
      </c>
      <c r="Y261" s="19" t="s">
        <v>598</v>
      </c>
      <c r="Z261" s="19" t="s">
        <v>44</v>
      </c>
    </row>
    <row r="262" spans="1:26" x14ac:dyDescent="0.3">
      <c r="A262" s="19" t="s">
        <v>85</v>
      </c>
      <c r="B262" s="20">
        <v>45260</v>
      </c>
      <c r="C262" s="19" t="s">
        <v>46</v>
      </c>
      <c r="D262" s="19" t="s">
        <v>36</v>
      </c>
      <c r="E262" s="19" t="s">
        <v>36</v>
      </c>
      <c r="F262" s="19" t="s">
        <v>36</v>
      </c>
      <c r="G262" s="19" t="s">
        <v>37</v>
      </c>
      <c r="K262" s="19" t="s">
        <v>38</v>
      </c>
      <c r="L262" s="19" t="s">
        <v>39</v>
      </c>
      <c r="M262" s="19" t="s">
        <v>38</v>
      </c>
      <c r="N262" s="19" t="s">
        <v>41</v>
      </c>
      <c r="R262" s="19" t="s">
        <v>49</v>
      </c>
      <c r="T262" s="21">
        <v>9681.2448700000004</v>
      </c>
      <c r="U262" s="19" t="s">
        <v>56</v>
      </c>
      <c r="V262" s="19">
        <v>8</v>
      </c>
      <c r="W262" s="19" t="s">
        <v>48</v>
      </c>
      <c r="X262" s="19" t="s">
        <v>599</v>
      </c>
      <c r="Y262" s="19" t="s">
        <v>598</v>
      </c>
      <c r="Z262" s="19" t="s">
        <v>44</v>
      </c>
    </row>
    <row r="263" spans="1:26" x14ac:dyDescent="0.3">
      <c r="A263" s="19" t="s">
        <v>85</v>
      </c>
      <c r="B263" s="20">
        <v>44562</v>
      </c>
      <c r="C263" s="19" t="s">
        <v>35</v>
      </c>
      <c r="D263" s="19" t="s">
        <v>36</v>
      </c>
      <c r="E263" s="19" t="s">
        <v>36</v>
      </c>
      <c r="F263" s="19" t="s">
        <v>36</v>
      </c>
      <c r="G263" s="19" t="s">
        <v>37</v>
      </c>
      <c r="K263" s="19" t="s">
        <v>38</v>
      </c>
      <c r="L263" s="19" t="s">
        <v>39</v>
      </c>
      <c r="M263" s="19" t="s">
        <v>40</v>
      </c>
      <c r="N263" s="19" t="s">
        <v>41</v>
      </c>
      <c r="R263" s="19" t="s">
        <v>50</v>
      </c>
      <c r="S263" s="21">
        <v>42330.49</v>
      </c>
      <c r="U263" s="19" t="s">
        <v>56</v>
      </c>
      <c r="V263" s="19">
        <v>10</v>
      </c>
      <c r="W263" s="19" t="s">
        <v>51</v>
      </c>
      <c r="X263" s="19" t="s">
        <v>600</v>
      </c>
      <c r="Y263" s="19" t="s">
        <v>601</v>
      </c>
      <c r="Z263" s="19" t="s">
        <v>44</v>
      </c>
    </row>
    <row r="264" spans="1:26" x14ac:dyDescent="0.3">
      <c r="A264" s="19" t="s">
        <v>85</v>
      </c>
      <c r="B264" s="20">
        <v>44562</v>
      </c>
      <c r="C264" s="19" t="s">
        <v>35</v>
      </c>
      <c r="D264" s="19" t="s">
        <v>36</v>
      </c>
      <c r="E264" s="19" t="s">
        <v>36</v>
      </c>
      <c r="F264" s="19" t="s">
        <v>36</v>
      </c>
      <c r="G264" s="19" t="s">
        <v>37</v>
      </c>
      <c r="K264" s="19" t="s">
        <v>38</v>
      </c>
      <c r="L264" s="19" t="s">
        <v>39</v>
      </c>
      <c r="M264" s="19" t="s">
        <v>40</v>
      </c>
      <c r="N264" s="19" t="s">
        <v>41</v>
      </c>
      <c r="R264" s="19" t="s">
        <v>52</v>
      </c>
      <c r="T264" s="21">
        <v>42330.49</v>
      </c>
      <c r="U264" s="19" t="s">
        <v>56</v>
      </c>
      <c r="V264" s="19">
        <v>10</v>
      </c>
      <c r="W264" s="19" t="s">
        <v>51</v>
      </c>
      <c r="X264" s="19" t="s">
        <v>602</v>
      </c>
      <c r="Y264" s="19" t="s">
        <v>601</v>
      </c>
      <c r="Z264" s="19" t="s">
        <v>44</v>
      </c>
    </row>
    <row r="265" spans="1:26" x14ac:dyDescent="0.3">
      <c r="A265" s="19" t="s">
        <v>85</v>
      </c>
      <c r="B265" s="20">
        <v>45260</v>
      </c>
      <c r="C265" s="19" t="s">
        <v>35</v>
      </c>
      <c r="D265" s="19" t="s">
        <v>36</v>
      </c>
      <c r="E265" s="19" t="s">
        <v>36</v>
      </c>
      <c r="F265" s="19" t="s">
        <v>36</v>
      </c>
      <c r="G265" s="19" t="s">
        <v>37</v>
      </c>
      <c r="K265" s="19" t="s">
        <v>38</v>
      </c>
      <c r="L265" s="19" t="s">
        <v>39</v>
      </c>
      <c r="M265" s="19" t="s">
        <v>40</v>
      </c>
      <c r="N265" s="19" t="s">
        <v>41</v>
      </c>
      <c r="R265" s="19" t="s">
        <v>45</v>
      </c>
      <c r="S265" s="21">
        <v>499653.62</v>
      </c>
      <c r="U265" s="19" t="s">
        <v>56</v>
      </c>
      <c r="V265" s="19">
        <v>11</v>
      </c>
      <c r="W265" s="19" t="s">
        <v>53</v>
      </c>
      <c r="X265" s="19" t="s">
        <v>603</v>
      </c>
      <c r="Y265" s="19" t="s">
        <v>604</v>
      </c>
      <c r="Z265" s="19" t="s">
        <v>44</v>
      </c>
    </row>
    <row r="266" spans="1:26" x14ac:dyDescent="0.3">
      <c r="A266" s="19" t="s">
        <v>85</v>
      </c>
      <c r="B266" s="20">
        <v>45260</v>
      </c>
      <c r="C266" s="19" t="s">
        <v>35</v>
      </c>
      <c r="D266" s="19" t="s">
        <v>36</v>
      </c>
      <c r="E266" s="19" t="s">
        <v>36</v>
      </c>
      <c r="F266" s="19" t="s">
        <v>36</v>
      </c>
      <c r="G266" s="19" t="s">
        <v>37</v>
      </c>
      <c r="K266" s="19" t="s">
        <v>38</v>
      </c>
      <c r="L266" s="19" t="s">
        <v>39</v>
      </c>
      <c r="M266" s="19" t="s">
        <v>40</v>
      </c>
      <c r="N266" s="19" t="s">
        <v>41</v>
      </c>
      <c r="R266" s="19" t="s">
        <v>54</v>
      </c>
      <c r="T266" s="21">
        <v>499653.62</v>
      </c>
      <c r="U266" s="19" t="s">
        <v>56</v>
      </c>
      <c r="V266" s="19">
        <v>11</v>
      </c>
      <c r="W266" s="19" t="s">
        <v>53</v>
      </c>
      <c r="X266" s="19" t="s">
        <v>605</v>
      </c>
      <c r="Y266" s="19" t="s">
        <v>604</v>
      </c>
      <c r="Z266" s="19" t="s">
        <v>44</v>
      </c>
    </row>
    <row r="267" spans="1:26" x14ac:dyDescent="0.3">
      <c r="A267" s="19" t="s">
        <v>86</v>
      </c>
      <c r="B267" s="20">
        <v>45261</v>
      </c>
      <c r="C267" s="19" t="s">
        <v>35</v>
      </c>
      <c r="D267" s="19" t="s">
        <v>36</v>
      </c>
      <c r="E267" s="19" t="s">
        <v>36</v>
      </c>
      <c r="F267" s="19" t="s">
        <v>36</v>
      </c>
      <c r="G267" s="19" t="s">
        <v>37</v>
      </c>
      <c r="K267" s="19" t="s">
        <v>38</v>
      </c>
      <c r="L267" s="19" t="s">
        <v>39</v>
      </c>
      <c r="M267" s="19" t="s">
        <v>40</v>
      </c>
      <c r="N267" s="19" t="s">
        <v>41</v>
      </c>
      <c r="R267" s="19" t="s">
        <v>54</v>
      </c>
      <c r="S267" s="21">
        <v>499653.62</v>
      </c>
      <c r="U267" s="19" t="s">
        <v>56</v>
      </c>
      <c r="V267" s="19">
        <v>11</v>
      </c>
      <c r="W267" s="19" t="s">
        <v>55</v>
      </c>
      <c r="X267" s="19" t="s">
        <v>606</v>
      </c>
      <c r="Y267" s="19" t="s">
        <v>607</v>
      </c>
      <c r="Z267" s="19" t="s">
        <v>44</v>
      </c>
    </row>
    <row r="268" spans="1:26" x14ac:dyDescent="0.3">
      <c r="A268" s="19" t="s">
        <v>86</v>
      </c>
      <c r="B268" s="20">
        <v>45261</v>
      </c>
      <c r="C268" s="19" t="s">
        <v>35</v>
      </c>
      <c r="D268" s="19" t="s">
        <v>36</v>
      </c>
      <c r="E268" s="19" t="s">
        <v>36</v>
      </c>
      <c r="F268" s="19" t="s">
        <v>36</v>
      </c>
      <c r="G268" s="19" t="s">
        <v>37</v>
      </c>
      <c r="K268" s="19" t="s">
        <v>38</v>
      </c>
      <c r="L268" s="19" t="s">
        <v>39</v>
      </c>
      <c r="M268" s="19" t="s">
        <v>40</v>
      </c>
      <c r="N268" s="19" t="s">
        <v>41</v>
      </c>
      <c r="R268" s="19" t="s">
        <v>45</v>
      </c>
      <c r="T268" s="21">
        <v>499653.62</v>
      </c>
      <c r="U268" s="19" t="s">
        <v>56</v>
      </c>
      <c r="V268" s="19">
        <v>11</v>
      </c>
      <c r="W268" s="19" t="s">
        <v>55</v>
      </c>
      <c r="X268" s="19" t="s">
        <v>608</v>
      </c>
      <c r="Y268" s="19" t="s">
        <v>607</v>
      </c>
      <c r="Z268" s="19" t="s">
        <v>44</v>
      </c>
    </row>
    <row r="269" spans="1:26" x14ac:dyDescent="0.3">
      <c r="A269" s="19" t="s">
        <v>86</v>
      </c>
      <c r="B269" s="20">
        <v>45291</v>
      </c>
      <c r="C269" s="19" t="s">
        <v>46</v>
      </c>
      <c r="D269" s="19" t="s">
        <v>36</v>
      </c>
      <c r="E269" s="19" t="s">
        <v>36</v>
      </c>
      <c r="F269" s="19" t="s">
        <v>36</v>
      </c>
      <c r="G269" s="19" t="s">
        <v>37</v>
      </c>
      <c r="K269" s="19" t="s">
        <v>38</v>
      </c>
      <c r="L269" s="19" t="s">
        <v>39</v>
      </c>
      <c r="M269" s="19" t="s">
        <v>38</v>
      </c>
      <c r="N269" s="19" t="s">
        <v>41</v>
      </c>
      <c r="R269" s="19" t="s">
        <v>49</v>
      </c>
      <c r="S269" s="21">
        <v>9681.2448700000004</v>
      </c>
      <c r="U269" s="19" t="s">
        <v>56</v>
      </c>
      <c r="V269" s="19">
        <v>12</v>
      </c>
      <c r="W269" s="19" t="s">
        <v>57</v>
      </c>
      <c r="X269" s="19" t="s">
        <v>609</v>
      </c>
      <c r="Y269" s="19" t="s">
        <v>610</v>
      </c>
      <c r="Z269" s="19" t="s">
        <v>44</v>
      </c>
    </row>
    <row r="270" spans="1:26" x14ac:dyDescent="0.3">
      <c r="A270" s="19" t="s">
        <v>86</v>
      </c>
      <c r="B270" s="20">
        <v>45291</v>
      </c>
      <c r="C270" s="19" t="s">
        <v>46</v>
      </c>
      <c r="D270" s="19" t="s">
        <v>36</v>
      </c>
      <c r="E270" s="19" t="s">
        <v>36</v>
      </c>
      <c r="F270" s="19" t="s">
        <v>36</v>
      </c>
      <c r="G270" s="19" t="s">
        <v>37</v>
      </c>
      <c r="K270" s="19" t="s">
        <v>38</v>
      </c>
      <c r="L270" s="19" t="s">
        <v>39</v>
      </c>
      <c r="M270" s="19" t="s">
        <v>40</v>
      </c>
      <c r="N270" s="19" t="s">
        <v>41</v>
      </c>
      <c r="R270" s="19" t="s">
        <v>45</v>
      </c>
      <c r="S270" s="21">
        <v>40318.755129999998</v>
      </c>
      <c r="U270" s="19" t="s">
        <v>56</v>
      </c>
      <c r="V270" s="19">
        <v>12</v>
      </c>
      <c r="W270" s="19" t="s">
        <v>57</v>
      </c>
      <c r="X270" s="19" t="s">
        <v>611</v>
      </c>
      <c r="Y270" s="19" t="s">
        <v>610</v>
      </c>
      <c r="Z270" s="19" t="s">
        <v>44</v>
      </c>
    </row>
    <row r="271" spans="1:26" x14ac:dyDescent="0.3">
      <c r="A271" s="19" t="s">
        <v>86</v>
      </c>
      <c r="B271" s="20">
        <v>45291</v>
      </c>
      <c r="C271" s="19" t="s">
        <v>46</v>
      </c>
      <c r="D271" s="19" t="s">
        <v>36</v>
      </c>
      <c r="E271" s="19" t="s">
        <v>36</v>
      </c>
      <c r="F271" s="19" t="s">
        <v>36</v>
      </c>
      <c r="G271" s="19" t="s">
        <v>37</v>
      </c>
      <c r="K271" s="19" t="s">
        <v>38</v>
      </c>
      <c r="L271" s="19" t="s">
        <v>39</v>
      </c>
      <c r="M271" s="19" t="s">
        <v>40</v>
      </c>
      <c r="N271" s="19" t="s">
        <v>41</v>
      </c>
      <c r="R271" s="19" t="s">
        <v>58</v>
      </c>
      <c r="T271" s="21">
        <v>50000</v>
      </c>
      <c r="U271" s="19" t="s">
        <v>56</v>
      </c>
      <c r="V271" s="19">
        <v>12</v>
      </c>
      <c r="W271" s="19" t="s">
        <v>57</v>
      </c>
      <c r="X271" s="19" t="s">
        <v>612</v>
      </c>
      <c r="Y271" s="19" t="s">
        <v>610</v>
      </c>
      <c r="Z271" s="19" t="s">
        <v>44</v>
      </c>
    </row>
    <row r="272" spans="1:26" x14ac:dyDescent="0.3">
      <c r="A272" s="19" t="s">
        <v>87</v>
      </c>
      <c r="B272" s="20">
        <v>45291</v>
      </c>
      <c r="C272" s="19" t="s">
        <v>46</v>
      </c>
      <c r="D272" s="19" t="s">
        <v>36</v>
      </c>
      <c r="E272" s="19" t="s">
        <v>36</v>
      </c>
      <c r="F272" s="19" t="s">
        <v>36</v>
      </c>
      <c r="G272" s="19" t="s">
        <v>37</v>
      </c>
      <c r="K272" s="19" t="s">
        <v>38</v>
      </c>
      <c r="L272" s="19" t="s">
        <v>39</v>
      </c>
      <c r="M272" s="19" t="s">
        <v>40</v>
      </c>
      <c r="N272" s="19" t="s">
        <v>41</v>
      </c>
      <c r="R272" s="19" t="s">
        <v>47</v>
      </c>
      <c r="S272" s="21">
        <v>9446.0521320000007</v>
      </c>
      <c r="U272" s="19" t="s">
        <v>56</v>
      </c>
      <c r="V272" s="19">
        <v>8</v>
      </c>
      <c r="W272" s="19" t="s">
        <v>48</v>
      </c>
      <c r="X272" s="19" t="s">
        <v>613</v>
      </c>
      <c r="Y272" s="19" t="s">
        <v>614</v>
      </c>
      <c r="Z272" s="19" t="s">
        <v>44</v>
      </c>
    </row>
    <row r="273" spans="1:26" x14ac:dyDescent="0.3">
      <c r="A273" s="19" t="s">
        <v>87</v>
      </c>
      <c r="B273" s="20">
        <v>45291</v>
      </c>
      <c r="C273" s="19" t="s">
        <v>46</v>
      </c>
      <c r="D273" s="19" t="s">
        <v>36</v>
      </c>
      <c r="E273" s="19" t="s">
        <v>36</v>
      </c>
      <c r="F273" s="19" t="s">
        <v>36</v>
      </c>
      <c r="G273" s="19" t="s">
        <v>37</v>
      </c>
      <c r="K273" s="19" t="s">
        <v>38</v>
      </c>
      <c r="L273" s="19" t="s">
        <v>39</v>
      </c>
      <c r="M273" s="19" t="s">
        <v>38</v>
      </c>
      <c r="N273" s="19" t="s">
        <v>41</v>
      </c>
      <c r="R273" s="19" t="s">
        <v>49</v>
      </c>
      <c r="T273" s="21">
        <v>9446.0521320000007</v>
      </c>
      <c r="U273" s="19" t="s">
        <v>56</v>
      </c>
      <c r="V273" s="19">
        <v>8</v>
      </c>
      <c r="W273" s="19" t="s">
        <v>48</v>
      </c>
      <c r="X273" s="19" t="s">
        <v>615</v>
      </c>
      <c r="Y273" s="19" t="s">
        <v>614</v>
      </c>
      <c r="Z273" s="19" t="s">
        <v>44</v>
      </c>
    </row>
    <row r="274" spans="1:26" x14ac:dyDescent="0.3">
      <c r="A274" s="19" t="s">
        <v>87</v>
      </c>
      <c r="B274" s="20">
        <v>44562</v>
      </c>
      <c r="C274" s="19" t="s">
        <v>35</v>
      </c>
      <c r="D274" s="19" t="s">
        <v>36</v>
      </c>
      <c r="E274" s="19" t="s">
        <v>36</v>
      </c>
      <c r="F274" s="19" t="s">
        <v>36</v>
      </c>
      <c r="G274" s="19" t="s">
        <v>37</v>
      </c>
      <c r="K274" s="19" t="s">
        <v>38</v>
      </c>
      <c r="L274" s="19" t="s">
        <v>39</v>
      </c>
      <c r="M274" s="19" t="s">
        <v>40</v>
      </c>
      <c r="N274" s="19" t="s">
        <v>41</v>
      </c>
      <c r="R274" s="19" t="s">
        <v>50</v>
      </c>
      <c r="S274" s="21">
        <v>42330.49</v>
      </c>
      <c r="U274" s="19" t="s">
        <v>56</v>
      </c>
      <c r="V274" s="19">
        <v>10</v>
      </c>
      <c r="W274" s="19" t="s">
        <v>51</v>
      </c>
      <c r="X274" s="19" t="s">
        <v>616</v>
      </c>
      <c r="Y274" s="19" t="s">
        <v>617</v>
      </c>
      <c r="Z274" s="19" t="s">
        <v>44</v>
      </c>
    </row>
    <row r="275" spans="1:26" x14ac:dyDescent="0.3">
      <c r="A275" s="19" t="s">
        <v>87</v>
      </c>
      <c r="B275" s="20">
        <v>44562</v>
      </c>
      <c r="C275" s="19" t="s">
        <v>35</v>
      </c>
      <c r="D275" s="19" t="s">
        <v>36</v>
      </c>
      <c r="E275" s="19" t="s">
        <v>36</v>
      </c>
      <c r="F275" s="19" t="s">
        <v>36</v>
      </c>
      <c r="G275" s="19" t="s">
        <v>37</v>
      </c>
      <c r="K275" s="19" t="s">
        <v>38</v>
      </c>
      <c r="L275" s="19" t="s">
        <v>39</v>
      </c>
      <c r="M275" s="19" t="s">
        <v>40</v>
      </c>
      <c r="N275" s="19" t="s">
        <v>41</v>
      </c>
      <c r="R275" s="19" t="s">
        <v>52</v>
      </c>
      <c r="T275" s="21">
        <v>42330.49</v>
      </c>
      <c r="U275" s="19" t="s">
        <v>56</v>
      </c>
      <c r="V275" s="19">
        <v>10</v>
      </c>
      <c r="W275" s="19" t="s">
        <v>51</v>
      </c>
      <c r="X275" s="19" t="s">
        <v>618</v>
      </c>
      <c r="Y275" s="19" t="s">
        <v>617</v>
      </c>
      <c r="Z275" s="19" t="s">
        <v>44</v>
      </c>
    </row>
    <row r="276" spans="1:26" x14ac:dyDescent="0.3">
      <c r="A276" s="19" t="s">
        <v>87</v>
      </c>
      <c r="B276" s="20">
        <v>45291</v>
      </c>
      <c r="C276" s="19" t="s">
        <v>35</v>
      </c>
      <c r="D276" s="19" t="s">
        <v>36</v>
      </c>
      <c r="E276" s="19" t="s">
        <v>36</v>
      </c>
      <c r="F276" s="19" t="s">
        <v>36</v>
      </c>
      <c r="G276" s="19" t="s">
        <v>37</v>
      </c>
      <c r="K276" s="19" t="s">
        <v>38</v>
      </c>
      <c r="L276" s="19" t="s">
        <v>39</v>
      </c>
      <c r="M276" s="19" t="s">
        <v>40</v>
      </c>
      <c r="N276" s="19" t="s">
        <v>41</v>
      </c>
      <c r="R276" s="19" t="s">
        <v>45</v>
      </c>
      <c r="S276" s="21">
        <v>502568.25</v>
      </c>
      <c r="U276" s="19" t="s">
        <v>56</v>
      </c>
      <c r="V276" s="19">
        <v>11</v>
      </c>
      <c r="W276" s="19" t="s">
        <v>53</v>
      </c>
      <c r="X276" s="19" t="s">
        <v>619</v>
      </c>
      <c r="Y276" s="19" t="s">
        <v>620</v>
      </c>
      <c r="Z276" s="19" t="s">
        <v>44</v>
      </c>
    </row>
    <row r="277" spans="1:26" x14ac:dyDescent="0.3">
      <c r="A277" s="19" t="s">
        <v>87</v>
      </c>
      <c r="B277" s="20">
        <v>45291</v>
      </c>
      <c r="C277" s="19" t="s">
        <v>35</v>
      </c>
      <c r="D277" s="19" t="s">
        <v>36</v>
      </c>
      <c r="E277" s="19" t="s">
        <v>36</v>
      </c>
      <c r="F277" s="19" t="s">
        <v>36</v>
      </c>
      <c r="G277" s="19" t="s">
        <v>37</v>
      </c>
      <c r="K277" s="19" t="s">
        <v>38</v>
      </c>
      <c r="L277" s="19" t="s">
        <v>39</v>
      </c>
      <c r="M277" s="19" t="s">
        <v>40</v>
      </c>
      <c r="N277" s="19" t="s">
        <v>41</v>
      </c>
      <c r="R277" s="19" t="s">
        <v>54</v>
      </c>
      <c r="T277" s="21">
        <v>502568.25</v>
      </c>
      <c r="U277" s="19" t="s">
        <v>56</v>
      </c>
      <c r="V277" s="19">
        <v>11</v>
      </c>
      <c r="W277" s="19" t="s">
        <v>53</v>
      </c>
      <c r="X277" s="19" t="s">
        <v>621</v>
      </c>
      <c r="Y277" s="19" t="s">
        <v>620</v>
      </c>
      <c r="Z277" s="19" t="s">
        <v>44</v>
      </c>
    </row>
    <row r="278" spans="1:26" x14ac:dyDescent="0.3">
      <c r="A278" s="19" t="s">
        <v>88</v>
      </c>
      <c r="B278" s="20">
        <v>45292</v>
      </c>
      <c r="C278" s="19" t="s">
        <v>35</v>
      </c>
      <c r="D278" s="19" t="s">
        <v>36</v>
      </c>
      <c r="E278" s="19" t="s">
        <v>36</v>
      </c>
      <c r="F278" s="19" t="s">
        <v>36</v>
      </c>
      <c r="G278" s="19" t="s">
        <v>37</v>
      </c>
      <c r="K278" s="19" t="s">
        <v>38</v>
      </c>
      <c r="L278" s="19" t="s">
        <v>39</v>
      </c>
      <c r="M278" s="19" t="s">
        <v>40</v>
      </c>
      <c r="N278" s="19" t="s">
        <v>41</v>
      </c>
      <c r="R278" s="19" t="s">
        <v>54</v>
      </c>
      <c r="S278" s="21">
        <v>502568.25</v>
      </c>
      <c r="U278" s="19" t="s">
        <v>56</v>
      </c>
      <c r="V278" s="19">
        <v>11</v>
      </c>
      <c r="W278" s="19" t="s">
        <v>55</v>
      </c>
      <c r="X278" s="19" t="s">
        <v>622</v>
      </c>
      <c r="Y278" s="19" t="s">
        <v>623</v>
      </c>
      <c r="Z278" s="19" t="s">
        <v>44</v>
      </c>
    </row>
    <row r="279" spans="1:26" x14ac:dyDescent="0.3">
      <c r="A279" s="19" t="s">
        <v>88</v>
      </c>
      <c r="B279" s="20">
        <v>45292</v>
      </c>
      <c r="C279" s="19" t="s">
        <v>35</v>
      </c>
      <c r="D279" s="19" t="s">
        <v>36</v>
      </c>
      <c r="E279" s="19" t="s">
        <v>36</v>
      </c>
      <c r="F279" s="19" t="s">
        <v>36</v>
      </c>
      <c r="G279" s="19" t="s">
        <v>37</v>
      </c>
      <c r="K279" s="19" t="s">
        <v>38</v>
      </c>
      <c r="L279" s="19" t="s">
        <v>39</v>
      </c>
      <c r="M279" s="19" t="s">
        <v>40</v>
      </c>
      <c r="N279" s="19" t="s">
        <v>41</v>
      </c>
      <c r="R279" s="19" t="s">
        <v>45</v>
      </c>
      <c r="T279" s="21">
        <v>502568.25</v>
      </c>
      <c r="U279" s="19" t="s">
        <v>56</v>
      </c>
      <c r="V279" s="19">
        <v>11</v>
      </c>
      <c r="W279" s="19" t="s">
        <v>55</v>
      </c>
      <c r="X279" s="19" t="s">
        <v>624</v>
      </c>
      <c r="Y279" s="19" t="s">
        <v>623</v>
      </c>
      <c r="Z279" s="19" t="s">
        <v>44</v>
      </c>
    </row>
    <row r="280" spans="1:26" x14ac:dyDescent="0.3">
      <c r="A280" s="19" t="s">
        <v>88</v>
      </c>
      <c r="B280" s="20">
        <v>45322</v>
      </c>
      <c r="C280" s="19" t="s">
        <v>46</v>
      </c>
      <c r="D280" s="19" t="s">
        <v>36</v>
      </c>
      <c r="E280" s="19" t="s">
        <v>36</v>
      </c>
      <c r="F280" s="19" t="s">
        <v>36</v>
      </c>
      <c r="G280" s="19" t="s">
        <v>37</v>
      </c>
      <c r="K280" s="19" t="s">
        <v>38</v>
      </c>
      <c r="L280" s="19" t="s">
        <v>39</v>
      </c>
      <c r="M280" s="19" t="s">
        <v>38</v>
      </c>
      <c r="N280" s="19" t="s">
        <v>41</v>
      </c>
      <c r="R280" s="19" t="s">
        <v>49</v>
      </c>
      <c r="S280" s="21">
        <v>9446.0521320000007</v>
      </c>
      <c r="U280" s="19" t="s">
        <v>56</v>
      </c>
      <c r="V280" s="19">
        <v>12</v>
      </c>
      <c r="W280" s="19" t="s">
        <v>57</v>
      </c>
      <c r="X280" s="19" t="s">
        <v>625</v>
      </c>
      <c r="Y280" s="19" t="s">
        <v>626</v>
      </c>
      <c r="Z280" s="19" t="s">
        <v>44</v>
      </c>
    </row>
    <row r="281" spans="1:26" x14ac:dyDescent="0.3">
      <c r="A281" s="19" t="s">
        <v>88</v>
      </c>
      <c r="B281" s="20">
        <v>45322</v>
      </c>
      <c r="C281" s="19" t="s">
        <v>46</v>
      </c>
      <c r="D281" s="19" t="s">
        <v>36</v>
      </c>
      <c r="E281" s="19" t="s">
        <v>36</v>
      </c>
      <c r="F281" s="19" t="s">
        <v>36</v>
      </c>
      <c r="G281" s="19" t="s">
        <v>37</v>
      </c>
      <c r="K281" s="19" t="s">
        <v>38</v>
      </c>
      <c r="L281" s="19" t="s">
        <v>39</v>
      </c>
      <c r="M281" s="19" t="s">
        <v>40</v>
      </c>
      <c r="N281" s="19" t="s">
        <v>41</v>
      </c>
      <c r="R281" s="19" t="s">
        <v>45</v>
      </c>
      <c r="S281" s="21">
        <v>40553.947868000003</v>
      </c>
      <c r="U281" s="19" t="s">
        <v>56</v>
      </c>
      <c r="V281" s="19">
        <v>12</v>
      </c>
      <c r="W281" s="19" t="s">
        <v>57</v>
      </c>
      <c r="X281" s="19" t="s">
        <v>627</v>
      </c>
      <c r="Y281" s="19" t="s">
        <v>626</v>
      </c>
      <c r="Z281" s="19" t="s">
        <v>44</v>
      </c>
    </row>
    <row r="282" spans="1:26" x14ac:dyDescent="0.3">
      <c r="A282" s="19" t="s">
        <v>88</v>
      </c>
      <c r="B282" s="20">
        <v>45322</v>
      </c>
      <c r="C282" s="19" t="s">
        <v>46</v>
      </c>
      <c r="D282" s="19" t="s">
        <v>36</v>
      </c>
      <c r="E282" s="19" t="s">
        <v>36</v>
      </c>
      <c r="F282" s="19" t="s">
        <v>36</v>
      </c>
      <c r="G282" s="19" t="s">
        <v>37</v>
      </c>
      <c r="K282" s="19" t="s">
        <v>38</v>
      </c>
      <c r="L282" s="19" t="s">
        <v>39</v>
      </c>
      <c r="M282" s="19" t="s">
        <v>40</v>
      </c>
      <c r="N282" s="19" t="s">
        <v>41</v>
      </c>
      <c r="R282" s="19" t="s">
        <v>58</v>
      </c>
      <c r="T282" s="21">
        <v>50000</v>
      </c>
      <c r="U282" s="19" t="s">
        <v>56</v>
      </c>
      <c r="V282" s="19">
        <v>12</v>
      </c>
      <c r="W282" s="19" t="s">
        <v>57</v>
      </c>
      <c r="X282" s="19" t="s">
        <v>628</v>
      </c>
      <c r="Y282" s="19" t="s">
        <v>626</v>
      </c>
      <c r="Z282" s="19" t="s">
        <v>44</v>
      </c>
    </row>
    <row r="283" spans="1:26" x14ac:dyDescent="0.3">
      <c r="A283" s="19" t="s">
        <v>89</v>
      </c>
      <c r="B283" s="20">
        <v>45322</v>
      </c>
      <c r="C283" s="19" t="s">
        <v>46</v>
      </c>
      <c r="D283" s="19" t="s">
        <v>36</v>
      </c>
      <c r="E283" s="19" t="s">
        <v>36</v>
      </c>
      <c r="F283" s="19" t="s">
        <v>36</v>
      </c>
      <c r="G283" s="19" t="s">
        <v>37</v>
      </c>
      <c r="K283" s="19" t="s">
        <v>38</v>
      </c>
      <c r="L283" s="19" t="s">
        <v>39</v>
      </c>
      <c r="M283" s="19" t="s">
        <v>40</v>
      </c>
      <c r="N283" s="19" t="s">
        <v>41</v>
      </c>
      <c r="R283" s="19" t="s">
        <v>47</v>
      </c>
      <c r="S283" s="21">
        <v>9209.4874359999994</v>
      </c>
      <c r="U283" s="19" t="s">
        <v>56</v>
      </c>
      <c r="V283" s="19">
        <v>8</v>
      </c>
      <c r="W283" s="19" t="s">
        <v>48</v>
      </c>
      <c r="X283" s="19" t="s">
        <v>629</v>
      </c>
      <c r="Y283" s="19" t="s">
        <v>630</v>
      </c>
      <c r="Z283" s="19" t="s">
        <v>44</v>
      </c>
    </row>
    <row r="284" spans="1:26" x14ac:dyDescent="0.3">
      <c r="A284" s="19" t="s">
        <v>89</v>
      </c>
      <c r="B284" s="20">
        <v>45322</v>
      </c>
      <c r="C284" s="19" t="s">
        <v>46</v>
      </c>
      <c r="D284" s="19" t="s">
        <v>36</v>
      </c>
      <c r="E284" s="19" t="s">
        <v>36</v>
      </c>
      <c r="F284" s="19" t="s">
        <v>36</v>
      </c>
      <c r="G284" s="19" t="s">
        <v>37</v>
      </c>
      <c r="K284" s="19" t="s">
        <v>38</v>
      </c>
      <c r="L284" s="19" t="s">
        <v>39</v>
      </c>
      <c r="M284" s="19" t="s">
        <v>38</v>
      </c>
      <c r="N284" s="19" t="s">
        <v>41</v>
      </c>
      <c r="R284" s="19" t="s">
        <v>49</v>
      </c>
      <c r="T284" s="21">
        <v>9209.4874359999994</v>
      </c>
      <c r="U284" s="19" t="s">
        <v>56</v>
      </c>
      <c r="V284" s="19">
        <v>8</v>
      </c>
      <c r="W284" s="19" t="s">
        <v>48</v>
      </c>
      <c r="X284" s="19" t="s">
        <v>631</v>
      </c>
      <c r="Y284" s="19" t="s">
        <v>630</v>
      </c>
      <c r="Z284" s="19" t="s">
        <v>44</v>
      </c>
    </row>
    <row r="285" spans="1:26" x14ac:dyDescent="0.3">
      <c r="A285" s="19" t="s">
        <v>89</v>
      </c>
      <c r="B285" s="20">
        <v>44562</v>
      </c>
      <c r="C285" s="19" t="s">
        <v>35</v>
      </c>
      <c r="D285" s="19" t="s">
        <v>36</v>
      </c>
      <c r="E285" s="19" t="s">
        <v>36</v>
      </c>
      <c r="F285" s="19" t="s">
        <v>36</v>
      </c>
      <c r="G285" s="19" t="s">
        <v>37</v>
      </c>
      <c r="K285" s="19" t="s">
        <v>38</v>
      </c>
      <c r="L285" s="19" t="s">
        <v>39</v>
      </c>
      <c r="M285" s="19" t="s">
        <v>40</v>
      </c>
      <c r="N285" s="19" t="s">
        <v>41</v>
      </c>
      <c r="R285" s="19" t="s">
        <v>50</v>
      </c>
      <c r="S285" s="21">
        <v>42330.49</v>
      </c>
      <c r="U285" s="19" t="s">
        <v>56</v>
      </c>
      <c r="V285" s="19">
        <v>10</v>
      </c>
      <c r="W285" s="19" t="s">
        <v>51</v>
      </c>
      <c r="X285" s="19" t="s">
        <v>632</v>
      </c>
      <c r="Y285" s="19" t="s">
        <v>633</v>
      </c>
      <c r="Z285" s="19" t="s">
        <v>44</v>
      </c>
    </row>
    <row r="286" spans="1:26" x14ac:dyDescent="0.3">
      <c r="A286" s="19" t="s">
        <v>89</v>
      </c>
      <c r="B286" s="20">
        <v>44562</v>
      </c>
      <c r="C286" s="19" t="s">
        <v>35</v>
      </c>
      <c r="D286" s="19" t="s">
        <v>36</v>
      </c>
      <c r="E286" s="19" t="s">
        <v>36</v>
      </c>
      <c r="F286" s="19" t="s">
        <v>36</v>
      </c>
      <c r="G286" s="19" t="s">
        <v>37</v>
      </c>
      <c r="K286" s="19" t="s">
        <v>38</v>
      </c>
      <c r="L286" s="19" t="s">
        <v>39</v>
      </c>
      <c r="M286" s="19" t="s">
        <v>40</v>
      </c>
      <c r="N286" s="19" t="s">
        <v>41</v>
      </c>
      <c r="R286" s="19" t="s">
        <v>52</v>
      </c>
      <c r="T286" s="21">
        <v>42330.49</v>
      </c>
      <c r="U286" s="19" t="s">
        <v>56</v>
      </c>
      <c r="V286" s="19">
        <v>10</v>
      </c>
      <c r="W286" s="19" t="s">
        <v>51</v>
      </c>
      <c r="X286" s="19" t="s">
        <v>634</v>
      </c>
      <c r="Y286" s="19" t="s">
        <v>633</v>
      </c>
      <c r="Z286" s="19" t="s">
        <v>44</v>
      </c>
    </row>
    <row r="287" spans="1:26" x14ac:dyDescent="0.3">
      <c r="A287" s="19" t="s">
        <v>89</v>
      </c>
      <c r="B287" s="20">
        <v>45322</v>
      </c>
      <c r="C287" s="19" t="s">
        <v>35</v>
      </c>
      <c r="D287" s="19" t="s">
        <v>36</v>
      </c>
      <c r="E287" s="19" t="s">
        <v>36</v>
      </c>
      <c r="F287" s="19" t="s">
        <v>36</v>
      </c>
      <c r="G287" s="19" t="s">
        <v>37</v>
      </c>
      <c r="K287" s="19" t="s">
        <v>38</v>
      </c>
      <c r="L287" s="19" t="s">
        <v>39</v>
      </c>
      <c r="M287" s="19" t="s">
        <v>40</v>
      </c>
      <c r="N287" s="19" t="s">
        <v>41</v>
      </c>
      <c r="R287" s="19" t="s">
        <v>45</v>
      </c>
      <c r="S287" s="21">
        <v>505499.91</v>
      </c>
      <c r="U287" s="19" t="s">
        <v>56</v>
      </c>
      <c r="V287" s="19">
        <v>11</v>
      </c>
      <c r="W287" s="19" t="s">
        <v>53</v>
      </c>
      <c r="X287" s="19" t="s">
        <v>635</v>
      </c>
      <c r="Y287" s="19" t="s">
        <v>636</v>
      </c>
      <c r="Z287" s="19" t="s">
        <v>44</v>
      </c>
    </row>
    <row r="288" spans="1:26" x14ac:dyDescent="0.3">
      <c r="A288" s="19" t="s">
        <v>89</v>
      </c>
      <c r="B288" s="20">
        <v>45322</v>
      </c>
      <c r="C288" s="19" t="s">
        <v>35</v>
      </c>
      <c r="D288" s="19" t="s">
        <v>36</v>
      </c>
      <c r="E288" s="19" t="s">
        <v>36</v>
      </c>
      <c r="F288" s="19" t="s">
        <v>36</v>
      </c>
      <c r="G288" s="19" t="s">
        <v>37</v>
      </c>
      <c r="K288" s="19" t="s">
        <v>38</v>
      </c>
      <c r="L288" s="19" t="s">
        <v>39</v>
      </c>
      <c r="M288" s="19" t="s">
        <v>40</v>
      </c>
      <c r="N288" s="19" t="s">
        <v>41</v>
      </c>
      <c r="R288" s="19" t="s">
        <v>54</v>
      </c>
      <c r="T288" s="21">
        <v>505499.91</v>
      </c>
      <c r="U288" s="19" t="s">
        <v>56</v>
      </c>
      <c r="V288" s="19">
        <v>11</v>
      </c>
      <c r="W288" s="19" t="s">
        <v>53</v>
      </c>
      <c r="X288" s="19" t="s">
        <v>637</v>
      </c>
      <c r="Y288" s="19" t="s">
        <v>636</v>
      </c>
      <c r="Z288" s="19" t="s">
        <v>44</v>
      </c>
    </row>
    <row r="289" spans="1:26" x14ac:dyDescent="0.3">
      <c r="A289" s="19" t="s">
        <v>90</v>
      </c>
      <c r="B289" s="20">
        <v>45323</v>
      </c>
      <c r="C289" s="19" t="s">
        <v>35</v>
      </c>
      <c r="D289" s="19" t="s">
        <v>36</v>
      </c>
      <c r="E289" s="19" t="s">
        <v>36</v>
      </c>
      <c r="F289" s="19" t="s">
        <v>36</v>
      </c>
      <c r="G289" s="19" t="s">
        <v>37</v>
      </c>
      <c r="K289" s="19" t="s">
        <v>38</v>
      </c>
      <c r="L289" s="19" t="s">
        <v>39</v>
      </c>
      <c r="M289" s="19" t="s">
        <v>40</v>
      </c>
      <c r="N289" s="19" t="s">
        <v>41</v>
      </c>
      <c r="R289" s="19" t="s">
        <v>54</v>
      </c>
      <c r="S289" s="21">
        <v>505499.91</v>
      </c>
      <c r="U289" s="19" t="s">
        <v>56</v>
      </c>
      <c r="V289" s="19">
        <v>11</v>
      </c>
      <c r="W289" s="19" t="s">
        <v>55</v>
      </c>
      <c r="X289" s="19" t="s">
        <v>638</v>
      </c>
      <c r="Y289" s="19" t="s">
        <v>639</v>
      </c>
      <c r="Z289" s="19" t="s">
        <v>44</v>
      </c>
    </row>
    <row r="290" spans="1:26" x14ac:dyDescent="0.3">
      <c r="A290" s="19" t="s">
        <v>90</v>
      </c>
      <c r="B290" s="20">
        <v>45323</v>
      </c>
      <c r="C290" s="19" t="s">
        <v>35</v>
      </c>
      <c r="D290" s="19" t="s">
        <v>36</v>
      </c>
      <c r="E290" s="19" t="s">
        <v>36</v>
      </c>
      <c r="F290" s="19" t="s">
        <v>36</v>
      </c>
      <c r="G290" s="19" t="s">
        <v>37</v>
      </c>
      <c r="K290" s="19" t="s">
        <v>38</v>
      </c>
      <c r="L290" s="19" t="s">
        <v>39</v>
      </c>
      <c r="M290" s="19" t="s">
        <v>40</v>
      </c>
      <c r="N290" s="19" t="s">
        <v>41</v>
      </c>
      <c r="R290" s="19" t="s">
        <v>45</v>
      </c>
      <c r="T290" s="21">
        <v>505499.91</v>
      </c>
      <c r="U290" s="19" t="s">
        <v>56</v>
      </c>
      <c r="V290" s="19">
        <v>11</v>
      </c>
      <c r="W290" s="19" t="s">
        <v>55</v>
      </c>
      <c r="X290" s="19" t="s">
        <v>640</v>
      </c>
      <c r="Y290" s="19" t="s">
        <v>639</v>
      </c>
      <c r="Z290" s="19" t="s">
        <v>44</v>
      </c>
    </row>
    <row r="291" spans="1:26" x14ac:dyDescent="0.3">
      <c r="A291" s="19" t="s">
        <v>90</v>
      </c>
      <c r="B291" s="20">
        <v>45351</v>
      </c>
      <c r="C291" s="19" t="s">
        <v>46</v>
      </c>
      <c r="D291" s="19" t="s">
        <v>36</v>
      </c>
      <c r="E291" s="19" t="s">
        <v>36</v>
      </c>
      <c r="F291" s="19" t="s">
        <v>36</v>
      </c>
      <c r="G291" s="19" t="s">
        <v>37</v>
      </c>
      <c r="K291" s="19" t="s">
        <v>38</v>
      </c>
      <c r="L291" s="19" t="s">
        <v>39</v>
      </c>
      <c r="M291" s="19" t="s">
        <v>38</v>
      </c>
      <c r="N291" s="19" t="s">
        <v>41</v>
      </c>
      <c r="R291" s="19" t="s">
        <v>49</v>
      </c>
      <c r="S291" s="21">
        <v>9209.4874359999994</v>
      </c>
      <c r="U291" s="19" t="s">
        <v>56</v>
      </c>
      <c r="V291" s="19">
        <v>12</v>
      </c>
      <c r="W291" s="19" t="s">
        <v>57</v>
      </c>
      <c r="X291" s="19" t="s">
        <v>641</v>
      </c>
      <c r="Y291" s="19" t="s">
        <v>642</v>
      </c>
      <c r="Z291" s="19" t="s">
        <v>44</v>
      </c>
    </row>
    <row r="292" spans="1:26" x14ac:dyDescent="0.3">
      <c r="A292" s="19" t="s">
        <v>90</v>
      </c>
      <c r="B292" s="20">
        <v>45351</v>
      </c>
      <c r="C292" s="19" t="s">
        <v>46</v>
      </c>
      <c r="D292" s="19" t="s">
        <v>36</v>
      </c>
      <c r="E292" s="19" t="s">
        <v>36</v>
      </c>
      <c r="F292" s="19" t="s">
        <v>36</v>
      </c>
      <c r="G292" s="19" t="s">
        <v>37</v>
      </c>
      <c r="K292" s="19" t="s">
        <v>38</v>
      </c>
      <c r="L292" s="19" t="s">
        <v>39</v>
      </c>
      <c r="M292" s="19" t="s">
        <v>40</v>
      </c>
      <c r="N292" s="19" t="s">
        <v>41</v>
      </c>
      <c r="R292" s="19" t="s">
        <v>45</v>
      </c>
      <c r="S292" s="21">
        <v>40790.512563999997</v>
      </c>
      <c r="U292" s="19" t="s">
        <v>56</v>
      </c>
      <c r="V292" s="19">
        <v>12</v>
      </c>
      <c r="W292" s="19" t="s">
        <v>57</v>
      </c>
      <c r="X292" s="19" t="s">
        <v>643</v>
      </c>
      <c r="Y292" s="19" t="s">
        <v>642</v>
      </c>
      <c r="Z292" s="19" t="s">
        <v>44</v>
      </c>
    </row>
    <row r="293" spans="1:26" x14ac:dyDescent="0.3">
      <c r="A293" s="19" t="s">
        <v>90</v>
      </c>
      <c r="B293" s="20">
        <v>45351</v>
      </c>
      <c r="C293" s="19" t="s">
        <v>46</v>
      </c>
      <c r="D293" s="19" t="s">
        <v>36</v>
      </c>
      <c r="E293" s="19" t="s">
        <v>36</v>
      </c>
      <c r="F293" s="19" t="s">
        <v>36</v>
      </c>
      <c r="G293" s="19" t="s">
        <v>37</v>
      </c>
      <c r="K293" s="19" t="s">
        <v>38</v>
      </c>
      <c r="L293" s="19" t="s">
        <v>39</v>
      </c>
      <c r="M293" s="19" t="s">
        <v>40</v>
      </c>
      <c r="N293" s="19" t="s">
        <v>41</v>
      </c>
      <c r="R293" s="19" t="s">
        <v>58</v>
      </c>
      <c r="T293" s="21">
        <v>50000</v>
      </c>
      <c r="U293" s="19" t="s">
        <v>56</v>
      </c>
      <c r="V293" s="19">
        <v>12</v>
      </c>
      <c r="W293" s="19" t="s">
        <v>57</v>
      </c>
      <c r="X293" s="19" t="s">
        <v>644</v>
      </c>
      <c r="Y293" s="19" t="s">
        <v>642</v>
      </c>
      <c r="Z293" s="19" t="s">
        <v>44</v>
      </c>
    </row>
    <row r="294" spans="1:26" x14ac:dyDescent="0.3">
      <c r="A294" s="19" t="s">
        <v>91</v>
      </c>
      <c r="B294" s="20">
        <v>45351</v>
      </c>
      <c r="C294" s="19" t="s">
        <v>46</v>
      </c>
      <c r="D294" s="19" t="s">
        <v>36</v>
      </c>
      <c r="E294" s="19" t="s">
        <v>36</v>
      </c>
      <c r="F294" s="19" t="s">
        <v>36</v>
      </c>
      <c r="G294" s="19" t="s">
        <v>37</v>
      </c>
      <c r="K294" s="19" t="s">
        <v>38</v>
      </c>
      <c r="L294" s="19" t="s">
        <v>39</v>
      </c>
      <c r="M294" s="19" t="s">
        <v>40</v>
      </c>
      <c r="N294" s="19" t="s">
        <v>41</v>
      </c>
      <c r="R294" s="19" t="s">
        <v>47</v>
      </c>
      <c r="S294" s="21">
        <v>8971.5427789999994</v>
      </c>
      <c r="U294" s="19" t="s">
        <v>56</v>
      </c>
      <c r="V294" s="19">
        <v>8</v>
      </c>
      <c r="W294" s="19" t="s">
        <v>48</v>
      </c>
      <c r="X294" s="19" t="s">
        <v>645</v>
      </c>
      <c r="Y294" s="19" t="s">
        <v>646</v>
      </c>
      <c r="Z294" s="19" t="s">
        <v>44</v>
      </c>
    </row>
    <row r="295" spans="1:26" x14ac:dyDescent="0.3">
      <c r="A295" s="19" t="s">
        <v>91</v>
      </c>
      <c r="B295" s="20">
        <v>45351</v>
      </c>
      <c r="C295" s="19" t="s">
        <v>46</v>
      </c>
      <c r="D295" s="19" t="s">
        <v>36</v>
      </c>
      <c r="E295" s="19" t="s">
        <v>36</v>
      </c>
      <c r="F295" s="19" t="s">
        <v>36</v>
      </c>
      <c r="G295" s="19" t="s">
        <v>37</v>
      </c>
      <c r="K295" s="19" t="s">
        <v>38</v>
      </c>
      <c r="L295" s="19" t="s">
        <v>39</v>
      </c>
      <c r="M295" s="19" t="s">
        <v>38</v>
      </c>
      <c r="N295" s="19" t="s">
        <v>41</v>
      </c>
      <c r="R295" s="19" t="s">
        <v>49</v>
      </c>
      <c r="T295" s="21">
        <v>8971.5427789999994</v>
      </c>
      <c r="U295" s="19" t="s">
        <v>56</v>
      </c>
      <c r="V295" s="19">
        <v>8</v>
      </c>
      <c r="W295" s="19" t="s">
        <v>48</v>
      </c>
      <c r="X295" s="19" t="s">
        <v>647</v>
      </c>
      <c r="Y295" s="19" t="s">
        <v>646</v>
      </c>
      <c r="Z295" s="19" t="s">
        <v>44</v>
      </c>
    </row>
    <row r="296" spans="1:26" x14ac:dyDescent="0.3">
      <c r="A296" s="19" t="s">
        <v>91</v>
      </c>
      <c r="B296" s="20">
        <v>44562</v>
      </c>
      <c r="C296" s="19" t="s">
        <v>35</v>
      </c>
      <c r="D296" s="19" t="s">
        <v>36</v>
      </c>
      <c r="E296" s="19" t="s">
        <v>36</v>
      </c>
      <c r="F296" s="19" t="s">
        <v>36</v>
      </c>
      <c r="G296" s="19" t="s">
        <v>37</v>
      </c>
      <c r="K296" s="19" t="s">
        <v>38</v>
      </c>
      <c r="L296" s="19" t="s">
        <v>39</v>
      </c>
      <c r="M296" s="19" t="s">
        <v>40</v>
      </c>
      <c r="N296" s="19" t="s">
        <v>41</v>
      </c>
      <c r="R296" s="19" t="s">
        <v>50</v>
      </c>
      <c r="S296" s="21">
        <v>42330.49</v>
      </c>
      <c r="U296" s="19" t="s">
        <v>56</v>
      </c>
      <c r="V296" s="19">
        <v>10</v>
      </c>
      <c r="W296" s="19" t="s">
        <v>51</v>
      </c>
      <c r="X296" s="19" t="s">
        <v>648</v>
      </c>
      <c r="Y296" s="19" t="s">
        <v>649</v>
      </c>
      <c r="Z296" s="19" t="s">
        <v>44</v>
      </c>
    </row>
    <row r="297" spans="1:26" x14ac:dyDescent="0.3">
      <c r="A297" s="19" t="s">
        <v>91</v>
      </c>
      <c r="B297" s="20">
        <v>44562</v>
      </c>
      <c r="C297" s="19" t="s">
        <v>35</v>
      </c>
      <c r="D297" s="19" t="s">
        <v>36</v>
      </c>
      <c r="E297" s="19" t="s">
        <v>36</v>
      </c>
      <c r="F297" s="19" t="s">
        <v>36</v>
      </c>
      <c r="G297" s="19" t="s">
        <v>37</v>
      </c>
      <c r="K297" s="19" t="s">
        <v>38</v>
      </c>
      <c r="L297" s="19" t="s">
        <v>39</v>
      </c>
      <c r="M297" s="19" t="s">
        <v>40</v>
      </c>
      <c r="N297" s="19" t="s">
        <v>41</v>
      </c>
      <c r="R297" s="19" t="s">
        <v>52</v>
      </c>
      <c r="T297" s="21">
        <v>42330.49</v>
      </c>
      <c r="U297" s="19" t="s">
        <v>56</v>
      </c>
      <c r="V297" s="19">
        <v>10</v>
      </c>
      <c r="W297" s="19" t="s">
        <v>51</v>
      </c>
      <c r="X297" s="19" t="s">
        <v>650</v>
      </c>
      <c r="Y297" s="19" t="s">
        <v>649</v>
      </c>
      <c r="Z297" s="19" t="s">
        <v>44</v>
      </c>
    </row>
    <row r="298" spans="1:26" x14ac:dyDescent="0.3">
      <c r="A298" s="19" t="s">
        <v>91</v>
      </c>
      <c r="B298" s="20">
        <v>45351</v>
      </c>
      <c r="C298" s="19" t="s">
        <v>35</v>
      </c>
      <c r="D298" s="19" t="s">
        <v>36</v>
      </c>
      <c r="E298" s="19" t="s">
        <v>36</v>
      </c>
      <c r="F298" s="19" t="s">
        <v>36</v>
      </c>
      <c r="G298" s="19" t="s">
        <v>37</v>
      </c>
      <c r="K298" s="19" t="s">
        <v>38</v>
      </c>
      <c r="L298" s="19" t="s">
        <v>39</v>
      </c>
      <c r="M298" s="19" t="s">
        <v>40</v>
      </c>
      <c r="N298" s="19" t="s">
        <v>41</v>
      </c>
      <c r="R298" s="19" t="s">
        <v>45</v>
      </c>
      <c r="S298" s="21">
        <v>508448.66</v>
      </c>
      <c r="U298" s="19" t="s">
        <v>56</v>
      </c>
      <c r="V298" s="19">
        <v>11</v>
      </c>
      <c r="W298" s="19" t="s">
        <v>53</v>
      </c>
      <c r="X298" s="19" t="s">
        <v>651</v>
      </c>
      <c r="Y298" s="19" t="s">
        <v>652</v>
      </c>
      <c r="Z298" s="19" t="s">
        <v>44</v>
      </c>
    </row>
    <row r="299" spans="1:26" x14ac:dyDescent="0.3">
      <c r="A299" s="19" t="s">
        <v>91</v>
      </c>
      <c r="B299" s="20">
        <v>45351</v>
      </c>
      <c r="C299" s="19" t="s">
        <v>35</v>
      </c>
      <c r="D299" s="19" t="s">
        <v>36</v>
      </c>
      <c r="E299" s="19" t="s">
        <v>36</v>
      </c>
      <c r="F299" s="19" t="s">
        <v>36</v>
      </c>
      <c r="G299" s="19" t="s">
        <v>37</v>
      </c>
      <c r="K299" s="19" t="s">
        <v>38</v>
      </c>
      <c r="L299" s="19" t="s">
        <v>39</v>
      </c>
      <c r="M299" s="19" t="s">
        <v>40</v>
      </c>
      <c r="N299" s="19" t="s">
        <v>41</v>
      </c>
      <c r="R299" s="19" t="s">
        <v>54</v>
      </c>
      <c r="T299" s="21">
        <v>508448.66</v>
      </c>
      <c r="U299" s="19" t="s">
        <v>56</v>
      </c>
      <c r="V299" s="19">
        <v>11</v>
      </c>
      <c r="W299" s="19" t="s">
        <v>53</v>
      </c>
      <c r="X299" s="19" t="s">
        <v>653</v>
      </c>
      <c r="Y299" s="19" t="s">
        <v>652</v>
      </c>
      <c r="Z299" s="19" t="s">
        <v>44</v>
      </c>
    </row>
    <row r="300" spans="1:26" x14ac:dyDescent="0.3">
      <c r="A300" s="19" t="s">
        <v>92</v>
      </c>
      <c r="B300" s="20">
        <v>45352</v>
      </c>
      <c r="C300" s="19" t="s">
        <v>35</v>
      </c>
      <c r="D300" s="19" t="s">
        <v>36</v>
      </c>
      <c r="E300" s="19" t="s">
        <v>36</v>
      </c>
      <c r="F300" s="19" t="s">
        <v>36</v>
      </c>
      <c r="G300" s="19" t="s">
        <v>37</v>
      </c>
      <c r="K300" s="19" t="s">
        <v>38</v>
      </c>
      <c r="L300" s="19" t="s">
        <v>39</v>
      </c>
      <c r="M300" s="19" t="s">
        <v>40</v>
      </c>
      <c r="N300" s="19" t="s">
        <v>41</v>
      </c>
      <c r="R300" s="19" t="s">
        <v>54</v>
      </c>
      <c r="S300" s="21">
        <v>508448.66</v>
      </c>
      <c r="U300" s="19" t="s">
        <v>56</v>
      </c>
      <c r="V300" s="19">
        <v>11</v>
      </c>
      <c r="W300" s="19" t="s">
        <v>55</v>
      </c>
      <c r="X300" s="19" t="s">
        <v>654</v>
      </c>
      <c r="Y300" s="19" t="s">
        <v>655</v>
      </c>
      <c r="Z300" s="19" t="s">
        <v>44</v>
      </c>
    </row>
    <row r="301" spans="1:26" x14ac:dyDescent="0.3">
      <c r="A301" s="19" t="s">
        <v>92</v>
      </c>
      <c r="B301" s="20">
        <v>45352</v>
      </c>
      <c r="C301" s="19" t="s">
        <v>35</v>
      </c>
      <c r="D301" s="19" t="s">
        <v>36</v>
      </c>
      <c r="E301" s="19" t="s">
        <v>36</v>
      </c>
      <c r="F301" s="19" t="s">
        <v>36</v>
      </c>
      <c r="G301" s="19" t="s">
        <v>37</v>
      </c>
      <c r="K301" s="19" t="s">
        <v>38</v>
      </c>
      <c r="L301" s="19" t="s">
        <v>39</v>
      </c>
      <c r="M301" s="19" t="s">
        <v>40</v>
      </c>
      <c r="N301" s="19" t="s">
        <v>41</v>
      </c>
      <c r="R301" s="19" t="s">
        <v>45</v>
      </c>
      <c r="T301" s="21">
        <v>508448.66</v>
      </c>
      <c r="U301" s="19" t="s">
        <v>56</v>
      </c>
      <c r="V301" s="19">
        <v>11</v>
      </c>
      <c r="W301" s="19" t="s">
        <v>55</v>
      </c>
      <c r="X301" s="19" t="s">
        <v>656</v>
      </c>
      <c r="Y301" s="19" t="s">
        <v>655</v>
      </c>
      <c r="Z301" s="19" t="s">
        <v>44</v>
      </c>
    </row>
    <row r="302" spans="1:26" x14ac:dyDescent="0.3">
      <c r="A302" s="19" t="s">
        <v>92</v>
      </c>
      <c r="B302" s="20">
        <v>45382</v>
      </c>
      <c r="C302" s="19" t="s">
        <v>46</v>
      </c>
      <c r="D302" s="19" t="s">
        <v>36</v>
      </c>
      <c r="E302" s="19" t="s">
        <v>36</v>
      </c>
      <c r="F302" s="19" t="s">
        <v>36</v>
      </c>
      <c r="G302" s="19" t="s">
        <v>37</v>
      </c>
      <c r="K302" s="19" t="s">
        <v>38</v>
      </c>
      <c r="L302" s="19" t="s">
        <v>39</v>
      </c>
      <c r="M302" s="19" t="s">
        <v>38</v>
      </c>
      <c r="N302" s="19" t="s">
        <v>41</v>
      </c>
      <c r="R302" s="19" t="s">
        <v>49</v>
      </c>
      <c r="S302" s="21">
        <v>8971.5427789999994</v>
      </c>
      <c r="U302" s="19" t="s">
        <v>56</v>
      </c>
      <c r="V302" s="19">
        <v>12</v>
      </c>
      <c r="W302" s="19" t="s">
        <v>57</v>
      </c>
      <c r="X302" s="19" t="s">
        <v>657</v>
      </c>
      <c r="Y302" s="19" t="s">
        <v>658</v>
      </c>
      <c r="Z302" s="19" t="s">
        <v>44</v>
      </c>
    </row>
    <row r="303" spans="1:26" x14ac:dyDescent="0.3">
      <c r="A303" s="19" t="s">
        <v>92</v>
      </c>
      <c r="B303" s="20">
        <v>45382</v>
      </c>
      <c r="C303" s="19" t="s">
        <v>46</v>
      </c>
      <c r="D303" s="19" t="s">
        <v>36</v>
      </c>
      <c r="E303" s="19" t="s">
        <v>36</v>
      </c>
      <c r="F303" s="19" t="s">
        <v>36</v>
      </c>
      <c r="G303" s="19" t="s">
        <v>37</v>
      </c>
      <c r="K303" s="19" t="s">
        <v>38</v>
      </c>
      <c r="L303" s="19" t="s">
        <v>39</v>
      </c>
      <c r="M303" s="19" t="s">
        <v>40</v>
      </c>
      <c r="N303" s="19" t="s">
        <v>41</v>
      </c>
      <c r="R303" s="19" t="s">
        <v>45</v>
      </c>
      <c r="S303" s="21">
        <v>41028.457220999997</v>
      </c>
      <c r="U303" s="19" t="s">
        <v>56</v>
      </c>
      <c r="V303" s="19">
        <v>12</v>
      </c>
      <c r="W303" s="19" t="s">
        <v>57</v>
      </c>
      <c r="X303" s="19" t="s">
        <v>659</v>
      </c>
      <c r="Y303" s="19" t="s">
        <v>658</v>
      </c>
      <c r="Z303" s="19" t="s">
        <v>44</v>
      </c>
    </row>
    <row r="304" spans="1:26" x14ac:dyDescent="0.3">
      <c r="A304" s="19" t="s">
        <v>92</v>
      </c>
      <c r="B304" s="20">
        <v>45382</v>
      </c>
      <c r="C304" s="19" t="s">
        <v>46</v>
      </c>
      <c r="D304" s="19" t="s">
        <v>36</v>
      </c>
      <c r="E304" s="19" t="s">
        <v>36</v>
      </c>
      <c r="F304" s="19" t="s">
        <v>36</v>
      </c>
      <c r="G304" s="19" t="s">
        <v>37</v>
      </c>
      <c r="K304" s="19" t="s">
        <v>38</v>
      </c>
      <c r="L304" s="19" t="s">
        <v>39</v>
      </c>
      <c r="M304" s="19" t="s">
        <v>40</v>
      </c>
      <c r="N304" s="19" t="s">
        <v>41</v>
      </c>
      <c r="R304" s="19" t="s">
        <v>58</v>
      </c>
      <c r="T304" s="21">
        <v>50000</v>
      </c>
      <c r="U304" s="19" t="s">
        <v>56</v>
      </c>
      <c r="V304" s="19">
        <v>12</v>
      </c>
      <c r="W304" s="19" t="s">
        <v>57</v>
      </c>
      <c r="X304" s="19" t="s">
        <v>660</v>
      </c>
      <c r="Y304" s="19" t="s">
        <v>658</v>
      </c>
      <c r="Z304" s="19" t="s">
        <v>44</v>
      </c>
    </row>
    <row r="305" spans="1:26" x14ac:dyDescent="0.3">
      <c r="A305" s="19" t="s">
        <v>93</v>
      </c>
      <c r="B305" s="20">
        <v>45382</v>
      </c>
      <c r="C305" s="19" t="s">
        <v>46</v>
      </c>
      <c r="D305" s="19" t="s">
        <v>36</v>
      </c>
      <c r="E305" s="19" t="s">
        <v>36</v>
      </c>
      <c r="F305" s="19" t="s">
        <v>36</v>
      </c>
      <c r="G305" s="19" t="s">
        <v>37</v>
      </c>
      <c r="K305" s="19" t="s">
        <v>38</v>
      </c>
      <c r="L305" s="19" t="s">
        <v>39</v>
      </c>
      <c r="M305" s="19" t="s">
        <v>40</v>
      </c>
      <c r="N305" s="19" t="s">
        <v>41</v>
      </c>
      <c r="R305" s="19" t="s">
        <v>47</v>
      </c>
      <c r="S305" s="21">
        <v>8732.2101120000007</v>
      </c>
      <c r="U305" s="19" t="s">
        <v>56</v>
      </c>
      <c r="V305" s="19">
        <v>8</v>
      </c>
      <c r="W305" s="19" t="s">
        <v>48</v>
      </c>
      <c r="X305" s="19" t="s">
        <v>661</v>
      </c>
      <c r="Y305" s="19" t="s">
        <v>662</v>
      </c>
      <c r="Z305" s="19" t="s">
        <v>44</v>
      </c>
    </row>
    <row r="306" spans="1:26" x14ac:dyDescent="0.3">
      <c r="A306" s="19" t="s">
        <v>93</v>
      </c>
      <c r="B306" s="20">
        <v>45382</v>
      </c>
      <c r="C306" s="19" t="s">
        <v>46</v>
      </c>
      <c r="D306" s="19" t="s">
        <v>36</v>
      </c>
      <c r="E306" s="19" t="s">
        <v>36</v>
      </c>
      <c r="F306" s="19" t="s">
        <v>36</v>
      </c>
      <c r="G306" s="19" t="s">
        <v>37</v>
      </c>
      <c r="K306" s="19" t="s">
        <v>38</v>
      </c>
      <c r="L306" s="19" t="s">
        <v>39</v>
      </c>
      <c r="M306" s="19" t="s">
        <v>38</v>
      </c>
      <c r="N306" s="19" t="s">
        <v>41</v>
      </c>
      <c r="R306" s="19" t="s">
        <v>49</v>
      </c>
      <c r="T306" s="21">
        <v>8732.2101120000007</v>
      </c>
      <c r="U306" s="19" t="s">
        <v>56</v>
      </c>
      <c r="V306" s="19">
        <v>8</v>
      </c>
      <c r="W306" s="19" t="s">
        <v>48</v>
      </c>
      <c r="X306" s="19" t="s">
        <v>663</v>
      </c>
      <c r="Y306" s="19" t="s">
        <v>662</v>
      </c>
      <c r="Z306" s="19" t="s">
        <v>44</v>
      </c>
    </row>
    <row r="307" spans="1:26" x14ac:dyDescent="0.3">
      <c r="A307" s="19" t="s">
        <v>93</v>
      </c>
      <c r="B307" s="20">
        <v>44562</v>
      </c>
      <c r="C307" s="19" t="s">
        <v>35</v>
      </c>
      <c r="D307" s="19" t="s">
        <v>36</v>
      </c>
      <c r="E307" s="19" t="s">
        <v>36</v>
      </c>
      <c r="F307" s="19" t="s">
        <v>36</v>
      </c>
      <c r="G307" s="19" t="s">
        <v>37</v>
      </c>
      <c r="K307" s="19" t="s">
        <v>38</v>
      </c>
      <c r="L307" s="19" t="s">
        <v>39</v>
      </c>
      <c r="M307" s="19" t="s">
        <v>40</v>
      </c>
      <c r="N307" s="19" t="s">
        <v>41</v>
      </c>
      <c r="R307" s="19" t="s">
        <v>50</v>
      </c>
      <c r="S307" s="21">
        <v>42330.49</v>
      </c>
      <c r="U307" s="19" t="s">
        <v>56</v>
      </c>
      <c r="V307" s="19">
        <v>10</v>
      </c>
      <c r="W307" s="19" t="s">
        <v>51</v>
      </c>
      <c r="X307" s="19" t="s">
        <v>664</v>
      </c>
      <c r="Y307" s="19" t="s">
        <v>665</v>
      </c>
      <c r="Z307" s="19" t="s">
        <v>44</v>
      </c>
    </row>
    <row r="308" spans="1:26" x14ac:dyDescent="0.3">
      <c r="A308" s="19" t="s">
        <v>93</v>
      </c>
      <c r="B308" s="20">
        <v>44562</v>
      </c>
      <c r="C308" s="19" t="s">
        <v>35</v>
      </c>
      <c r="D308" s="19" t="s">
        <v>36</v>
      </c>
      <c r="E308" s="19" t="s">
        <v>36</v>
      </c>
      <c r="F308" s="19" t="s">
        <v>36</v>
      </c>
      <c r="G308" s="19" t="s">
        <v>37</v>
      </c>
      <c r="K308" s="19" t="s">
        <v>38</v>
      </c>
      <c r="L308" s="19" t="s">
        <v>39</v>
      </c>
      <c r="M308" s="19" t="s">
        <v>40</v>
      </c>
      <c r="N308" s="19" t="s">
        <v>41</v>
      </c>
      <c r="R308" s="19" t="s">
        <v>52</v>
      </c>
      <c r="T308" s="21">
        <v>42330.49</v>
      </c>
      <c r="U308" s="19" t="s">
        <v>56</v>
      </c>
      <c r="V308" s="19">
        <v>10</v>
      </c>
      <c r="W308" s="19" t="s">
        <v>51</v>
      </c>
      <c r="X308" s="19" t="s">
        <v>666</v>
      </c>
      <c r="Y308" s="19" t="s">
        <v>665</v>
      </c>
      <c r="Z308" s="19" t="s">
        <v>44</v>
      </c>
    </row>
    <row r="309" spans="1:26" x14ac:dyDescent="0.3">
      <c r="A309" s="19" t="s">
        <v>93</v>
      </c>
      <c r="B309" s="20">
        <v>45382</v>
      </c>
      <c r="C309" s="19" t="s">
        <v>35</v>
      </c>
      <c r="D309" s="19" t="s">
        <v>36</v>
      </c>
      <c r="E309" s="19" t="s">
        <v>36</v>
      </c>
      <c r="F309" s="19" t="s">
        <v>36</v>
      </c>
      <c r="G309" s="19" t="s">
        <v>37</v>
      </c>
      <c r="K309" s="19" t="s">
        <v>38</v>
      </c>
      <c r="L309" s="19" t="s">
        <v>39</v>
      </c>
      <c r="M309" s="19" t="s">
        <v>40</v>
      </c>
      <c r="N309" s="19" t="s">
        <v>41</v>
      </c>
      <c r="R309" s="19" t="s">
        <v>45</v>
      </c>
      <c r="S309" s="21">
        <v>511414.6</v>
      </c>
      <c r="U309" s="19" t="s">
        <v>56</v>
      </c>
      <c r="V309" s="19">
        <v>11</v>
      </c>
      <c r="W309" s="19" t="s">
        <v>53</v>
      </c>
      <c r="X309" s="19" t="s">
        <v>667</v>
      </c>
      <c r="Y309" s="19" t="s">
        <v>668</v>
      </c>
      <c r="Z309" s="19" t="s">
        <v>44</v>
      </c>
    </row>
    <row r="310" spans="1:26" x14ac:dyDescent="0.3">
      <c r="A310" s="19" t="s">
        <v>93</v>
      </c>
      <c r="B310" s="20">
        <v>45382</v>
      </c>
      <c r="C310" s="19" t="s">
        <v>35</v>
      </c>
      <c r="D310" s="19" t="s">
        <v>36</v>
      </c>
      <c r="E310" s="19" t="s">
        <v>36</v>
      </c>
      <c r="F310" s="19" t="s">
        <v>36</v>
      </c>
      <c r="G310" s="19" t="s">
        <v>37</v>
      </c>
      <c r="K310" s="19" t="s">
        <v>38</v>
      </c>
      <c r="L310" s="19" t="s">
        <v>39</v>
      </c>
      <c r="M310" s="19" t="s">
        <v>40</v>
      </c>
      <c r="N310" s="19" t="s">
        <v>41</v>
      </c>
      <c r="R310" s="19" t="s">
        <v>54</v>
      </c>
      <c r="T310" s="21">
        <v>511414.6</v>
      </c>
      <c r="U310" s="19" t="s">
        <v>56</v>
      </c>
      <c r="V310" s="19">
        <v>11</v>
      </c>
      <c r="W310" s="19" t="s">
        <v>53</v>
      </c>
      <c r="X310" s="19" t="s">
        <v>669</v>
      </c>
      <c r="Y310" s="19" t="s">
        <v>668</v>
      </c>
      <c r="Z310" s="19" t="s">
        <v>44</v>
      </c>
    </row>
    <row r="311" spans="1:26" x14ac:dyDescent="0.3">
      <c r="A311" s="19" t="s">
        <v>94</v>
      </c>
      <c r="B311" s="20">
        <v>45383</v>
      </c>
      <c r="C311" s="19" t="s">
        <v>35</v>
      </c>
      <c r="D311" s="19" t="s">
        <v>36</v>
      </c>
      <c r="E311" s="19" t="s">
        <v>36</v>
      </c>
      <c r="F311" s="19" t="s">
        <v>36</v>
      </c>
      <c r="G311" s="19" t="s">
        <v>37</v>
      </c>
      <c r="K311" s="19" t="s">
        <v>38</v>
      </c>
      <c r="L311" s="19" t="s">
        <v>39</v>
      </c>
      <c r="M311" s="19" t="s">
        <v>40</v>
      </c>
      <c r="N311" s="19" t="s">
        <v>41</v>
      </c>
      <c r="R311" s="19" t="s">
        <v>54</v>
      </c>
      <c r="S311" s="21">
        <v>511414.6</v>
      </c>
      <c r="U311" s="19" t="s">
        <v>56</v>
      </c>
      <c r="V311" s="19">
        <v>11</v>
      </c>
      <c r="W311" s="19" t="s">
        <v>55</v>
      </c>
      <c r="X311" s="19" t="s">
        <v>670</v>
      </c>
      <c r="Y311" s="19" t="s">
        <v>671</v>
      </c>
      <c r="Z311" s="19" t="s">
        <v>44</v>
      </c>
    </row>
    <row r="312" spans="1:26" x14ac:dyDescent="0.3">
      <c r="A312" s="19" t="s">
        <v>94</v>
      </c>
      <c r="B312" s="20">
        <v>45383</v>
      </c>
      <c r="C312" s="19" t="s">
        <v>35</v>
      </c>
      <c r="D312" s="19" t="s">
        <v>36</v>
      </c>
      <c r="E312" s="19" t="s">
        <v>36</v>
      </c>
      <c r="F312" s="19" t="s">
        <v>36</v>
      </c>
      <c r="G312" s="19" t="s">
        <v>37</v>
      </c>
      <c r="K312" s="19" t="s">
        <v>38</v>
      </c>
      <c r="L312" s="19" t="s">
        <v>39</v>
      </c>
      <c r="M312" s="19" t="s">
        <v>40</v>
      </c>
      <c r="N312" s="19" t="s">
        <v>41</v>
      </c>
      <c r="R312" s="19" t="s">
        <v>45</v>
      </c>
      <c r="T312" s="21">
        <v>511414.6</v>
      </c>
      <c r="U312" s="19" t="s">
        <v>56</v>
      </c>
      <c r="V312" s="19">
        <v>11</v>
      </c>
      <c r="W312" s="19" t="s">
        <v>55</v>
      </c>
      <c r="X312" s="19" t="s">
        <v>672</v>
      </c>
      <c r="Y312" s="19" t="s">
        <v>671</v>
      </c>
      <c r="Z312" s="19" t="s">
        <v>44</v>
      </c>
    </row>
    <row r="313" spans="1:26" x14ac:dyDescent="0.3">
      <c r="A313" s="19" t="s">
        <v>94</v>
      </c>
      <c r="B313" s="20">
        <v>45412</v>
      </c>
      <c r="C313" s="19" t="s">
        <v>46</v>
      </c>
      <c r="D313" s="19" t="s">
        <v>36</v>
      </c>
      <c r="E313" s="19" t="s">
        <v>36</v>
      </c>
      <c r="F313" s="19" t="s">
        <v>36</v>
      </c>
      <c r="G313" s="19" t="s">
        <v>37</v>
      </c>
      <c r="K313" s="19" t="s">
        <v>38</v>
      </c>
      <c r="L313" s="19" t="s">
        <v>39</v>
      </c>
      <c r="M313" s="19" t="s">
        <v>38</v>
      </c>
      <c r="N313" s="19" t="s">
        <v>41</v>
      </c>
      <c r="R313" s="19" t="s">
        <v>49</v>
      </c>
      <c r="S313" s="21">
        <v>8732.2101120000007</v>
      </c>
      <c r="U313" s="19" t="s">
        <v>56</v>
      </c>
      <c r="V313" s="19">
        <v>12</v>
      </c>
      <c r="W313" s="19" t="s">
        <v>57</v>
      </c>
      <c r="X313" s="19" t="s">
        <v>673</v>
      </c>
      <c r="Y313" s="19" t="s">
        <v>674</v>
      </c>
      <c r="Z313" s="19" t="s">
        <v>44</v>
      </c>
    </row>
    <row r="314" spans="1:26" x14ac:dyDescent="0.3">
      <c r="A314" s="19" t="s">
        <v>94</v>
      </c>
      <c r="B314" s="20">
        <v>45412</v>
      </c>
      <c r="C314" s="19" t="s">
        <v>46</v>
      </c>
      <c r="D314" s="19" t="s">
        <v>36</v>
      </c>
      <c r="E314" s="19" t="s">
        <v>36</v>
      </c>
      <c r="F314" s="19" t="s">
        <v>36</v>
      </c>
      <c r="G314" s="19" t="s">
        <v>37</v>
      </c>
      <c r="K314" s="19" t="s">
        <v>38</v>
      </c>
      <c r="L314" s="19" t="s">
        <v>39</v>
      </c>
      <c r="M314" s="19" t="s">
        <v>40</v>
      </c>
      <c r="N314" s="19" t="s">
        <v>41</v>
      </c>
      <c r="R314" s="19" t="s">
        <v>45</v>
      </c>
      <c r="S314" s="21">
        <v>41267.789887999999</v>
      </c>
      <c r="U314" s="19" t="s">
        <v>56</v>
      </c>
      <c r="V314" s="19">
        <v>12</v>
      </c>
      <c r="W314" s="19" t="s">
        <v>57</v>
      </c>
      <c r="X314" s="19" t="s">
        <v>675</v>
      </c>
      <c r="Y314" s="19" t="s">
        <v>674</v>
      </c>
      <c r="Z314" s="19" t="s">
        <v>44</v>
      </c>
    </row>
    <row r="315" spans="1:26" x14ac:dyDescent="0.3">
      <c r="A315" s="19" t="s">
        <v>94</v>
      </c>
      <c r="B315" s="20">
        <v>45412</v>
      </c>
      <c r="C315" s="19" t="s">
        <v>46</v>
      </c>
      <c r="D315" s="19" t="s">
        <v>36</v>
      </c>
      <c r="E315" s="19" t="s">
        <v>36</v>
      </c>
      <c r="F315" s="19" t="s">
        <v>36</v>
      </c>
      <c r="G315" s="19" t="s">
        <v>37</v>
      </c>
      <c r="K315" s="19" t="s">
        <v>38</v>
      </c>
      <c r="L315" s="19" t="s">
        <v>39</v>
      </c>
      <c r="M315" s="19" t="s">
        <v>40</v>
      </c>
      <c r="N315" s="19" t="s">
        <v>41</v>
      </c>
      <c r="R315" s="19" t="s">
        <v>58</v>
      </c>
      <c r="T315" s="21">
        <v>50000</v>
      </c>
      <c r="U315" s="19" t="s">
        <v>56</v>
      </c>
      <c r="V315" s="19">
        <v>12</v>
      </c>
      <c r="W315" s="19" t="s">
        <v>57</v>
      </c>
      <c r="X315" s="19" t="s">
        <v>676</v>
      </c>
      <c r="Y315" s="19" t="s">
        <v>674</v>
      </c>
      <c r="Z315" s="19" t="s">
        <v>44</v>
      </c>
    </row>
    <row r="316" spans="1:26" x14ac:dyDescent="0.3">
      <c r="A316" s="19" t="s">
        <v>95</v>
      </c>
      <c r="B316" s="20">
        <v>45412</v>
      </c>
      <c r="C316" s="19" t="s">
        <v>46</v>
      </c>
      <c r="D316" s="19" t="s">
        <v>36</v>
      </c>
      <c r="E316" s="19" t="s">
        <v>36</v>
      </c>
      <c r="F316" s="19" t="s">
        <v>36</v>
      </c>
      <c r="G316" s="19" t="s">
        <v>37</v>
      </c>
      <c r="K316" s="19" t="s">
        <v>38</v>
      </c>
      <c r="L316" s="19" t="s">
        <v>39</v>
      </c>
      <c r="M316" s="19" t="s">
        <v>40</v>
      </c>
      <c r="N316" s="19" t="s">
        <v>41</v>
      </c>
      <c r="R316" s="19" t="s">
        <v>47</v>
      </c>
      <c r="S316" s="21">
        <v>8491.4813379999996</v>
      </c>
      <c r="U316" s="19" t="s">
        <v>56</v>
      </c>
      <c r="V316" s="19">
        <v>8</v>
      </c>
      <c r="W316" s="19" t="s">
        <v>48</v>
      </c>
      <c r="X316" s="19" t="s">
        <v>677</v>
      </c>
      <c r="Y316" s="19" t="s">
        <v>678</v>
      </c>
      <c r="Z316" s="19" t="s">
        <v>44</v>
      </c>
    </row>
    <row r="317" spans="1:26" x14ac:dyDescent="0.3">
      <c r="A317" s="19" t="s">
        <v>95</v>
      </c>
      <c r="B317" s="20">
        <v>45412</v>
      </c>
      <c r="C317" s="19" t="s">
        <v>46</v>
      </c>
      <c r="D317" s="19" t="s">
        <v>36</v>
      </c>
      <c r="E317" s="19" t="s">
        <v>36</v>
      </c>
      <c r="F317" s="19" t="s">
        <v>36</v>
      </c>
      <c r="G317" s="19" t="s">
        <v>37</v>
      </c>
      <c r="K317" s="19" t="s">
        <v>38</v>
      </c>
      <c r="L317" s="19" t="s">
        <v>39</v>
      </c>
      <c r="M317" s="19" t="s">
        <v>38</v>
      </c>
      <c r="N317" s="19" t="s">
        <v>41</v>
      </c>
      <c r="R317" s="19" t="s">
        <v>49</v>
      </c>
      <c r="T317" s="21">
        <v>8491.4813379999996</v>
      </c>
      <c r="U317" s="19" t="s">
        <v>56</v>
      </c>
      <c r="V317" s="19">
        <v>8</v>
      </c>
      <c r="W317" s="19" t="s">
        <v>48</v>
      </c>
      <c r="X317" s="19" t="s">
        <v>679</v>
      </c>
      <c r="Y317" s="19" t="s">
        <v>678</v>
      </c>
      <c r="Z317" s="19" t="s">
        <v>44</v>
      </c>
    </row>
    <row r="318" spans="1:26" x14ac:dyDescent="0.3">
      <c r="A318" s="19" t="s">
        <v>95</v>
      </c>
      <c r="B318" s="20">
        <v>44562</v>
      </c>
      <c r="C318" s="19" t="s">
        <v>35</v>
      </c>
      <c r="D318" s="19" t="s">
        <v>36</v>
      </c>
      <c r="E318" s="19" t="s">
        <v>36</v>
      </c>
      <c r="F318" s="19" t="s">
        <v>36</v>
      </c>
      <c r="G318" s="19" t="s">
        <v>37</v>
      </c>
      <c r="K318" s="19" t="s">
        <v>38</v>
      </c>
      <c r="L318" s="19" t="s">
        <v>39</v>
      </c>
      <c r="M318" s="19" t="s">
        <v>40</v>
      </c>
      <c r="N318" s="19" t="s">
        <v>41</v>
      </c>
      <c r="R318" s="19" t="s">
        <v>50</v>
      </c>
      <c r="S318" s="21">
        <v>42330.49</v>
      </c>
      <c r="U318" s="19" t="s">
        <v>56</v>
      </c>
      <c r="V318" s="19">
        <v>10</v>
      </c>
      <c r="W318" s="19" t="s">
        <v>51</v>
      </c>
      <c r="X318" s="19" t="s">
        <v>680</v>
      </c>
      <c r="Y318" s="19" t="s">
        <v>681</v>
      </c>
      <c r="Z318" s="19" t="s">
        <v>44</v>
      </c>
    </row>
    <row r="319" spans="1:26" x14ac:dyDescent="0.3">
      <c r="A319" s="19" t="s">
        <v>95</v>
      </c>
      <c r="B319" s="20">
        <v>44562</v>
      </c>
      <c r="C319" s="19" t="s">
        <v>35</v>
      </c>
      <c r="D319" s="19" t="s">
        <v>36</v>
      </c>
      <c r="E319" s="19" t="s">
        <v>36</v>
      </c>
      <c r="F319" s="19" t="s">
        <v>36</v>
      </c>
      <c r="G319" s="19" t="s">
        <v>37</v>
      </c>
      <c r="K319" s="19" t="s">
        <v>38</v>
      </c>
      <c r="L319" s="19" t="s">
        <v>39</v>
      </c>
      <c r="M319" s="19" t="s">
        <v>40</v>
      </c>
      <c r="N319" s="19" t="s">
        <v>41</v>
      </c>
      <c r="R319" s="19" t="s">
        <v>52</v>
      </c>
      <c r="T319" s="21">
        <v>42330.49</v>
      </c>
      <c r="U319" s="19" t="s">
        <v>56</v>
      </c>
      <c r="V319" s="19">
        <v>10</v>
      </c>
      <c r="W319" s="19" t="s">
        <v>51</v>
      </c>
      <c r="X319" s="19" t="s">
        <v>682</v>
      </c>
      <c r="Y319" s="19" t="s">
        <v>681</v>
      </c>
      <c r="Z319" s="19" t="s">
        <v>44</v>
      </c>
    </row>
    <row r="320" spans="1:26" x14ac:dyDescent="0.3">
      <c r="A320" s="19" t="s">
        <v>95</v>
      </c>
      <c r="B320" s="20">
        <v>45412</v>
      </c>
      <c r="C320" s="19" t="s">
        <v>35</v>
      </c>
      <c r="D320" s="19" t="s">
        <v>36</v>
      </c>
      <c r="E320" s="19" t="s">
        <v>36</v>
      </c>
      <c r="F320" s="19" t="s">
        <v>36</v>
      </c>
      <c r="G320" s="19" t="s">
        <v>37</v>
      </c>
      <c r="K320" s="19" t="s">
        <v>38</v>
      </c>
      <c r="L320" s="19" t="s">
        <v>39</v>
      </c>
      <c r="M320" s="19" t="s">
        <v>40</v>
      </c>
      <c r="N320" s="19" t="s">
        <v>41</v>
      </c>
      <c r="R320" s="19" t="s">
        <v>45</v>
      </c>
      <c r="S320" s="21">
        <v>514397.86</v>
      </c>
      <c r="U320" s="19" t="s">
        <v>56</v>
      </c>
      <c r="V320" s="19">
        <v>11</v>
      </c>
      <c r="W320" s="19" t="s">
        <v>53</v>
      </c>
      <c r="X320" s="19" t="s">
        <v>683</v>
      </c>
      <c r="Y320" s="19" t="s">
        <v>684</v>
      </c>
      <c r="Z320" s="19" t="s">
        <v>44</v>
      </c>
    </row>
    <row r="321" spans="1:26" x14ac:dyDescent="0.3">
      <c r="A321" s="19" t="s">
        <v>95</v>
      </c>
      <c r="B321" s="20">
        <v>45412</v>
      </c>
      <c r="C321" s="19" t="s">
        <v>35</v>
      </c>
      <c r="D321" s="19" t="s">
        <v>36</v>
      </c>
      <c r="E321" s="19" t="s">
        <v>36</v>
      </c>
      <c r="F321" s="19" t="s">
        <v>36</v>
      </c>
      <c r="G321" s="19" t="s">
        <v>37</v>
      </c>
      <c r="K321" s="19" t="s">
        <v>38</v>
      </c>
      <c r="L321" s="19" t="s">
        <v>39</v>
      </c>
      <c r="M321" s="19" t="s">
        <v>40</v>
      </c>
      <c r="N321" s="19" t="s">
        <v>41</v>
      </c>
      <c r="R321" s="19" t="s">
        <v>54</v>
      </c>
      <c r="T321" s="21">
        <v>514397.86</v>
      </c>
      <c r="U321" s="19" t="s">
        <v>56</v>
      </c>
      <c r="V321" s="19">
        <v>11</v>
      </c>
      <c r="W321" s="19" t="s">
        <v>53</v>
      </c>
      <c r="X321" s="19" t="s">
        <v>685</v>
      </c>
      <c r="Y321" s="19" t="s">
        <v>684</v>
      </c>
      <c r="Z321" s="19" t="s">
        <v>44</v>
      </c>
    </row>
    <row r="322" spans="1:26" x14ac:dyDescent="0.3">
      <c r="A322" s="19" t="s">
        <v>96</v>
      </c>
      <c r="B322" s="20">
        <v>45413</v>
      </c>
      <c r="C322" s="19" t="s">
        <v>35</v>
      </c>
      <c r="D322" s="19" t="s">
        <v>36</v>
      </c>
      <c r="E322" s="19" t="s">
        <v>36</v>
      </c>
      <c r="F322" s="19" t="s">
        <v>36</v>
      </c>
      <c r="G322" s="19" t="s">
        <v>37</v>
      </c>
      <c r="K322" s="19" t="s">
        <v>38</v>
      </c>
      <c r="L322" s="19" t="s">
        <v>39</v>
      </c>
      <c r="M322" s="19" t="s">
        <v>40</v>
      </c>
      <c r="N322" s="19" t="s">
        <v>41</v>
      </c>
      <c r="R322" s="19" t="s">
        <v>54</v>
      </c>
      <c r="S322" s="21">
        <v>514397.86</v>
      </c>
      <c r="U322" s="19" t="s">
        <v>56</v>
      </c>
      <c r="V322" s="19">
        <v>11</v>
      </c>
      <c r="W322" s="19" t="s">
        <v>55</v>
      </c>
      <c r="X322" s="19" t="s">
        <v>686</v>
      </c>
      <c r="Y322" s="19" t="s">
        <v>687</v>
      </c>
      <c r="Z322" s="19" t="s">
        <v>44</v>
      </c>
    </row>
    <row r="323" spans="1:26" x14ac:dyDescent="0.3">
      <c r="A323" s="19" t="s">
        <v>96</v>
      </c>
      <c r="B323" s="20">
        <v>45413</v>
      </c>
      <c r="C323" s="19" t="s">
        <v>35</v>
      </c>
      <c r="D323" s="19" t="s">
        <v>36</v>
      </c>
      <c r="E323" s="19" t="s">
        <v>36</v>
      </c>
      <c r="F323" s="19" t="s">
        <v>36</v>
      </c>
      <c r="G323" s="19" t="s">
        <v>37</v>
      </c>
      <c r="K323" s="19" t="s">
        <v>38</v>
      </c>
      <c r="L323" s="19" t="s">
        <v>39</v>
      </c>
      <c r="M323" s="19" t="s">
        <v>40</v>
      </c>
      <c r="N323" s="19" t="s">
        <v>41</v>
      </c>
      <c r="R323" s="19" t="s">
        <v>45</v>
      </c>
      <c r="T323" s="21">
        <v>514397.86</v>
      </c>
      <c r="U323" s="19" t="s">
        <v>56</v>
      </c>
      <c r="V323" s="19">
        <v>11</v>
      </c>
      <c r="W323" s="19" t="s">
        <v>55</v>
      </c>
      <c r="X323" s="19" t="s">
        <v>688</v>
      </c>
      <c r="Y323" s="19" t="s">
        <v>687</v>
      </c>
      <c r="Z323" s="19" t="s">
        <v>44</v>
      </c>
    </row>
    <row r="324" spans="1:26" x14ac:dyDescent="0.3">
      <c r="A324" s="19" t="s">
        <v>96</v>
      </c>
      <c r="B324" s="20">
        <v>45443</v>
      </c>
      <c r="C324" s="19" t="s">
        <v>46</v>
      </c>
      <c r="D324" s="19" t="s">
        <v>36</v>
      </c>
      <c r="E324" s="19" t="s">
        <v>36</v>
      </c>
      <c r="F324" s="19" t="s">
        <v>36</v>
      </c>
      <c r="G324" s="19" t="s">
        <v>37</v>
      </c>
      <c r="K324" s="19" t="s">
        <v>38</v>
      </c>
      <c r="L324" s="19" t="s">
        <v>39</v>
      </c>
      <c r="M324" s="19" t="s">
        <v>38</v>
      </c>
      <c r="N324" s="19" t="s">
        <v>41</v>
      </c>
      <c r="R324" s="19" t="s">
        <v>49</v>
      </c>
      <c r="S324" s="21">
        <v>8491.4813379999996</v>
      </c>
      <c r="U324" s="19" t="s">
        <v>56</v>
      </c>
      <c r="V324" s="19">
        <v>12</v>
      </c>
      <c r="W324" s="19" t="s">
        <v>57</v>
      </c>
      <c r="X324" s="19" t="s">
        <v>689</v>
      </c>
      <c r="Y324" s="19" t="s">
        <v>690</v>
      </c>
      <c r="Z324" s="19" t="s">
        <v>44</v>
      </c>
    </row>
    <row r="325" spans="1:26" x14ac:dyDescent="0.3">
      <c r="A325" s="19" t="s">
        <v>96</v>
      </c>
      <c r="B325" s="20">
        <v>45443</v>
      </c>
      <c r="C325" s="19" t="s">
        <v>46</v>
      </c>
      <c r="D325" s="19" t="s">
        <v>36</v>
      </c>
      <c r="E325" s="19" t="s">
        <v>36</v>
      </c>
      <c r="F325" s="19" t="s">
        <v>36</v>
      </c>
      <c r="G325" s="19" t="s">
        <v>37</v>
      </c>
      <c r="K325" s="19" t="s">
        <v>38</v>
      </c>
      <c r="L325" s="19" t="s">
        <v>39</v>
      </c>
      <c r="M325" s="19" t="s">
        <v>40</v>
      </c>
      <c r="N325" s="19" t="s">
        <v>41</v>
      </c>
      <c r="R325" s="19" t="s">
        <v>45</v>
      </c>
      <c r="S325" s="21">
        <v>41508.518662000002</v>
      </c>
      <c r="U325" s="19" t="s">
        <v>56</v>
      </c>
      <c r="V325" s="19">
        <v>12</v>
      </c>
      <c r="W325" s="19" t="s">
        <v>57</v>
      </c>
      <c r="X325" s="19" t="s">
        <v>691</v>
      </c>
      <c r="Y325" s="19" t="s">
        <v>690</v>
      </c>
      <c r="Z325" s="19" t="s">
        <v>44</v>
      </c>
    </row>
    <row r="326" spans="1:26" x14ac:dyDescent="0.3">
      <c r="A326" s="19" t="s">
        <v>96</v>
      </c>
      <c r="B326" s="20">
        <v>45443</v>
      </c>
      <c r="C326" s="19" t="s">
        <v>46</v>
      </c>
      <c r="D326" s="19" t="s">
        <v>36</v>
      </c>
      <c r="E326" s="19" t="s">
        <v>36</v>
      </c>
      <c r="F326" s="19" t="s">
        <v>36</v>
      </c>
      <c r="G326" s="19" t="s">
        <v>37</v>
      </c>
      <c r="K326" s="19" t="s">
        <v>38</v>
      </c>
      <c r="L326" s="19" t="s">
        <v>39</v>
      </c>
      <c r="M326" s="19" t="s">
        <v>40</v>
      </c>
      <c r="N326" s="19" t="s">
        <v>41</v>
      </c>
      <c r="R326" s="19" t="s">
        <v>58</v>
      </c>
      <c r="T326" s="21">
        <v>50000</v>
      </c>
      <c r="U326" s="19" t="s">
        <v>56</v>
      </c>
      <c r="V326" s="19">
        <v>12</v>
      </c>
      <c r="W326" s="19" t="s">
        <v>57</v>
      </c>
      <c r="X326" s="19" t="s">
        <v>692</v>
      </c>
      <c r="Y326" s="19" t="s">
        <v>690</v>
      </c>
      <c r="Z326" s="19" t="s">
        <v>44</v>
      </c>
    </row>
    <row r="327" spans="1:26" x14ac:dyDescent="0.3">
      <c r="A327" s="19" t="s">
        <v>97</v>
      </c>
      <c r="B327" s="20">
        <v>45443</v>
      </c>
      <c r="C327" s="19" t="s">
        <v>46</v>
      </c>
      <c r="D327" s="19" t="s">
        <v>36</v>
      </c>
      <c r="E327" s="19" t="s">
        <v>36</v>
      </c>
      <c r="F327" s="19" t="s">
        <v>36</v>
      </c>
      <c r="G327" s="19" t="s">
        <v>37</v>
      </c>
      <c r="K327" s="19" t="s">
        <v>38</v>
      </c>
      <c r="L327" s="19" t="s">
        <v>39</v>
      </c>
      <c r="M327" s="19" t="s">
        <v>40</v>
      </c>
      <c r="N327" s="19" t="s">
        <v>41</v>
      </c>
      <c r="R327" s="19" t="s">
        <v>47</v>
      </c>
      <c r="S327" s="21">
        <v>8249.3483120000001</v>
      </c>
      <c r="U327" s="19" t="s">
        <v>56</v>
      </c>
      <c r="V327" s="19">
        <v>8</v>
      </c>
      <c r="W327" s="19" t="s">
        <v>48</v>
      </c>
      <c r="X327" s="19" t="s">
        <v>693</v>
      </c>
      <c r="Y327" s="19" t="s">
        <v>694</v>
      </c>
      <c r="Z327" s="19" t="s">
        <v>44</v>
      </c>
    </row>
    <row r="328" spans="1:26" x14ac:dyDescent="0.3">
      <c r="A328" s="19" t="s">
        <v>97</v>
      </c>
      <c r="B328" s="20">
        <v>45443</v>
      </c>
      <c r="C328" s="19" t="s">
        <v>46</v>
      </c>
      <c r="D328" s="19" t="s">
        <v>36</v>
      </c>
      <c r="E328" s="19" t="s">
        <v>36</v>
      </c>
      <c r="F328" s="19" t="s">
        <v>36</v>
      </c>
      <c r="G328" s="19" t="s">
        <v>37</v>
      </c>
      <c r="K328" s="19" t="s">
        <v>38</v>
      </c>
      <c r="L328" s="19" t="s">
        <v>39</v>
      </c>
      <c r="M328" s="19" t="s">
        <v>38</v>
      </c>
      <c r="N328" s="19" t="s">
        <v>41</v>
      </c>
      <c r="R328" s="19" t="s">
        <v>49</v>
      </c>
      <c r="T328" s="21">
        <v>8249.3483120000001</v>
      </c>
      <c r="U328" s="19" t="s">
        <v>56</v>
      </c>
      <c r="V328" s="19">
        <v>8</v>
      </c>
      <c r="W328" s="19" t="s">
        <v>48</v>
      </c>
      <c r="X328" s="19" t="s">
        <v>695</v>
      </c>
      <c r="Y328" s="19" t="s">
        <v>694</v>
      </c>
      <c r="Z328" s="19" t="s">
        <v>44</v>
      </c>
    </row>
    <row r="329" spans="1:26" x14ac:dyDescent="0.3">
      <c r="A329" s="19" t="s">
        <v>97</v>
      </c>
      <c r="B329" s="20">
        <v>44562</v>
      </c>
      <c r="C329" s="19" t="s">
        <v>35</v>
      </c>
      <c r="D329" s="19" t="s">
        <v>36</v>
      </c>
      <c r="E329" s="19" t="s">
        <v>36</v>
      </c>
      <c r="F329" s="19" t="s">
        <v>36</v>
      </c>
      <c r="G329" s="19" t="s">
        <v>37</v>
      </c>
      <c r="K329" s="19" t="s">
        <v>38</v>
      </c>
      <c r="L329" s="19" t="s">
        <v>39</v>
      </c>
      <c r="M329" s="19" t="s">
        <v>40</v>
      </c>
      <c r="N329" s="19" t="s">
        <v>41</v>
      </c>
      <c r="R329" s="19" t="s">
        <v>50</v>
      </c>
      <c r="S329" s="21">
        <v>42330.49</v>
      </c>
      <c r="U329" s="19" t="s">
        <v>56</v>
      </c>
      <c r="V329" s="19">
        <v>10</v>
      </c>
      <c r="W329" s="19" t="s">
        <v>51</v>
      </c>
      <c r="X329" s="19" t="s">
        <v>696</v>
      </c>
      <c r="Y329" s="19" t="s">
        <v>697</v>
      </c>
      <c r="Z329" s="19" t="s">
        <v>44</v>
      </c>
    </row>
    <row r="330" spans="1:26" x14ac:dyDescent="0.3">
      <c r="A330" s="19" t="s">
        <v>97</v>
      </c>
      <c r="B330" s="20">
        <v>44562</v>
      </c>
      <c r="C330" s="19" t="s">
        <v>35</v>
      </c>
      <c r="D330" s="19" t="s">
        <v>36</v>
      </c>
      <c r="E330" s="19" t="s">
        <v>36</v>
      </c>
      <c r="F330" s="19" t="s">
        <v>36</v>
      </c>
      <c r="G330" s="19" t="s">
        <v>37</v>
      </c>
      <c r="K330" s="19" t="s">
        <v>38</v>
      </c>
      <c r="L330" s="19" t="s">
        <v>39</v>
      </c>
      <c r="M330" s="19" t="s">
        <v>40</v>
      </c>
      <c r="N330" s="19" t="s">
        <v>41</v>
      </c>
      <c r="R330" s="19" t="s">
        <v>52</v>
      </c>
      <c r="T330" s="21">
        <v>42330.49</v>
      </c>
      <c r="U330" s="19" t="s">
        <v>56</v>
      </c>
      <c r="V330" s="19">
        <v>10</v>
      </c>
      <c r="W330" s="19" t="s">
        <v>51</v>
      </c>
      <c r="X330" s="19" t="s">
        <v>698</v>
      </c>
      <c r="Y330" s="19" t="s">
        <v>697</v>
      </c>
      <c r="Z330" s="19" t="s">
        <v>44</v>
      </c>
    </row>
    <row r="331" spans="1:26" x14ac:dyDescent="0.3">
      <c r="A331" s="19" t="s">
        <v>97</v>
      </c>
      <c r="B331" s="20">
        <v>45443</v>
      </c>
      <c r="C331" s="19" t="s">
        <v>35</v>
      </c>
      <c r="D331" s="19" t="s">
        <v>36</v>
      </c>
      <c r="E331" s="19" t="s">
        <v>36</v>
      </c>
      <c r="F331" s="19" t="s">
        <v>36</v>
      </c>
      <c r="G331" s="19" t="s">
        <v>37</v>
      </c>
      <c r="K331" s="19" t="s">
        <v>38</v>
      </c>
      <c r="L331" s="19" t="s">
        <v>39</v>
      </c>
      <c r="M331" s="19" t="s">
        <v>40</v>
      </c>
      <c r="N331" s="19" t="s">
        <v>41</v>
      </c>
      <c r="R331" s="19" t="s">
        <v>45</v>
      </c>
      <c r="S331" s="21">
        <v>517398.51</v>
      </c>
      <c r="U331" s="19" t="s">
        <v>56</v>
      </c>
      <c r="V331" s="19">
        <v>11</v>
      </c>
      <c r="W331" s="19" t="s">
        <v>53</v>
      </c>
      <c r="X331" s="19" t="s">
        <v>699</v>
      </c>
      <c r="Y331" s="19" t="s">
        <v>700</v>
      </c>
      <c r="Z331" s="19" t="s">
        <v>44</v>
      </c>
    </row>
    <row r="332" spans="1:26" x14ac:dyDescent="0.3">
      <c r="A332" s="19" t="s">
        <v>97</v>
      </c>
      <c r="B332" s="20">
        <v>45443</v>
      </c>
      <c r="C332" s="19" t="s">
        <v>35</v>
      </c>
      <c r="D332" s="19" t="s">
        <v>36</v>
      </c>
      <c r="E332" s="19" t="s">
        <v>36</v>
      </c>
      <c r="F332" s="19" t="s">
        <v>36</v>
      </c>
      <c r="G332" s="19" t="s">
        <v>37</v>
      </c>
      <c r="K332" s="19" t="s">
        <v>38</v>
      </c>
      <c r="L332" s="19" t="s">
        <v>39</v>
      </c>
      <c r="M332" s="19" t="s">
        <v>40</v>
      </c>
      <c r="N332" s="19" t="s">
        <v>41</v>
      </c>
      <c r="R332" s="19" t="s">
        <v>54</v>
      </c>
      <c r="T332" s="21">
        <v>517398.51</v>
      </c>
      <c r="U332" s="19" t="s">
        <v>56</v>
      </c>
      <c r="V332" s="19">
        <v>11</v>
      </c>
      <c r="W332" s="19" t="s">
        <v>53</v>
      </c>
      <c r="X332" s="19" t="s">
        <v>701</v>
      </c>
      <c r="Y332" s="19" t="s">
        <v>700</v>
      </c>
      <c r="Z332" s="19" t="s">
        <v>44</v>
      </c>
    </row>
    <row r="333" spans="1:26" x14ac:dyDescent="0.3">
      <c r="A333" s="19" t="s">
        <v>98</v>
      </c>
      <c r="B333" s="20">
        <v>45444</v>
      </c>
      <c r="C333" s="19" t="s">
        <v>35</v>
      </c>
      <c r="D333" s="19" t="s">
        <v>36</v>
      </c>
      <c r="E333" s="19" t="s">
        <v>36</v>
      </c>
      <c r="F333" s="19" t="s">
        <v>36</v>
      </c>
      <c r="G333" s="19" t="s">
        <v>37</v>
      </c>
      <c r="K333" s="19" t="s">
        <v>38</v>
      </c>
      <c r="L333" s="19" t="s">
        <v>39</v>
      </c>
      <c r="M333" s="19" t="s">
        <v>40</v>
      </c>
      <c r="N333" s="19" t="s">
        <v>41</v>
      </c>
      <c r="R333" s="19" t="s">
        <v>54</v>
      </c>
      <c r="S333" s="21">
        <v>517398.51</v>
      </c>
      <c r="U333" s="19" t="s">
        <v>56</v>
      </c>
      <c r="V333" s="19">
        <v>11</v>
      </c>
      <c r="W333" s="19" t="s">
        <v>55</v>
      </c>
      <c r="X333" s="19" t="s">
        <v>702</v>
      </c>
      <c r="Y333" s="19" t="s">
        <v>703</v>
      </c>
      <c r="Z333" s="19" t="s">
        <v>44</v>
      </c>
    </row>
    <row r="334" spans="1:26" x14ac:dyDescent="0.3">
      <c r="A334" s="19" t="s">
        <v>98</v>
      </c>
      <c r="B334" s="20">
        <v>45444</v>
      </c>
      <c r="C334" s="19" t="s">
        <v>35</v>
      </c>
      <c r="D334" s="19" t="s">
        <v>36</v>
      </c>
      <c r="E334" s="19" t="s">
        <v>36</v>
      </c>
      <c r="F334" s="19" t="s">
        <v>36</v>
      </c>
      <c r="G334" s="19" t="s">
        <v>37</v>
      </c>
      <c r="K334" s="19" t="s">
        <v>38</v>
      </c>
      <c r="L334" s="19" t="s">
        <v>39</v>
      </c>
      <c r="M334" s="19" t="s">
        <v>40</v>
      </c>
      <c r="N334" s="19" t="s">
        <v>41</v>
      </c>
      <c r="R334" s="19" t="s">
        <v>45</v>
      </c>
      <c r="T334" s="21">
        <v>517398.51</v>
      </c>
      <c r="U334" s="19" t="s">
        <v>56</v>
      </c>
      <c r="V334" s="19">
        <v>11</v>
      </c>
      <c r="W334" s="19" t="s">
        <v>55</v>
      </c>
      <c r="X334" s="19" t="s">
        <v>704</v>
      </c>
      <c r="Y334" s="19" t="s">
        <v>703</v>
      </c>
      <c r="Z334" s="19" t="s">
        <v>44</v>
      </c>
    </row>
    <row r="335" spans="1:26" x14ac:dyDescent="0.3">
      <c r="A335" s="19" t="s">
        <v>98</v>
      </c>
      <c r="B335" s="20">
        <v>45473</v>
      </c>
      <c r="C335" s="19" t="s">
        <v>46</v>
      </c>
      <c r="D335" s="19" t="s">
        <v>36</v>
      </c>
      <c r="E335" s="19" t="s">
        <v>36</v>
      </c>
      <c r="F335" s="19" t="s">
        <v>36</v>
      </c>
      <c r="G335" s="19" t="s">
        <v>37</v>
      </c>
      <c r="K335" s="19" t="s">
        <v>38</v>
      </c>
      <c r="L335" s="19" t="s">
        <v>39</v>
      </c>
      <c r="M335" s="19" t="s">
        <v>38</v>
      </c>
      <c r="N335" s="19" t="s">
        <v>41</v>
      </c>
      <c r="R335" s="19" t="s">
        <v>49</v>
      </c>
      <c r="S335" s="21">
        <v>8249.3483120000001</v>
      </c>
      <c r="U335" s="19" t="s">
        <v>56</v>
      </c>
      <c r="V335" s="19">
        <v>12</v>
      </c>
      <c r="W335" s="19" t="s">
        <v>57</v>
      </c>
      <c r="X335" s="19" t="s">
        <v>705</v>
      </c>
      <c r="Y335" s="19" t="s">
        <v>706</v>
      </c>
      <c r="Z335" s="19" t="s">
        <v>44</v>
      </c>
    </row>
    <row r="336" spans="1:26" x14ac:dyDescent="0.3">
      <c r="A336" s="19" t="s">
        <v>98</v>
      </c>
      <c r="B336" s="20">
        <v>45473</v>
      </c>
      <c r="C336" s="19" t="s">
        <v>46</v>
      </c>
      <c r="D336" s="19" t="s">
        <v>36</v>
      </c>
      <c r="E336" s="19" t="s">
        <v>36</v>
      </c>
      <c r="F336" s="19" t="s">
        <v>36</v>
      </c>
      <c r="G336" s="19" t="s">
        <v>37</v>
      </c>
      <c r="K336" s="19" t="s">
        <v>38</v>
      </c>
      <c r="L336" s="19" t="s">
        <v>39</v>
      </c>
      <c r="M336" s="19" t="s">
        <v>40</v>
      </c>
      <c r="N336" s="19" t="s">
        <v>41</v>
      </c>
      <c r="R336" s="19" t="s">
        <v>45</v>
      </c>
      <c r="S336" s="21">
        <v>41750.651687999998</v>
      </c>
      <c r="U336" s="19" t="s">
        <v>56</v>
      </c>
      <c r="V336" s="19">
        <v>12</v>
      </c>
      <c r="W336" s="19" t="s">
        <v>57</v>
      </c>
      <c r="X336" s="19" t="s">
        <v>707</v>
      </c>
      <c r="Y336" s="19" t="s">
        <v>706</v>
      </c>
      <c r="Z336" s="19" t="s">
        <v>44</v>
      </c>
    </row>
    <row r="337" spans="1:26" x14ac:dyDescent="0.3">
      <c r="A337" s="19" t="s">
        <v>98</v>
      </c>
      <c r="B337" s="20">
        <v>45473</v>
      </c>
      <c r="C337" s="19" t="s">
        <v>46</v>
      </c>
      <c r="D337" s="19" t="s">
        <v>36</v>
      </c>
      <c r="E337" s="19" t="s">
        <v>36</v>
      </c>
      <c r="F337" s="19" t="s">
        <v>36</v>
      </c>
      <c r="G337" s="19" t="s">
        <v>37</v>
      </c>
      <c r="K337" s="19" t="s">
        <v>38</v>
      </c>
      <c r="L337" s="19" t="s">
        <v>39</v>
      </c>
      <c r="M337" s="19" t="s">
        <v>40</v>
      </c>
      <c r="N337" s="19" t="s">
        <v>41</v>
      </c>
      <c r="R337" s="19" t="s">
        <v>58</v>
      </c>
      <c r="T337" s="21">
        <v>50000</v>
      </c>
      <c r="U337" s="19" t="s">
        <v>56</v>
      </c>
      <c r="V337" s="19">
        <v>12</v>
      </c>
      <c r="W337" s="19" t="s">
        <v>57</v>
      </c>
      <c r="X337" s="19" t="s">
        <v>708</v>
      </c>
      <c r="Y337" s="19" t="s">
        <v>706</v>
      </c>
      <c r="Z337" s="19" t="s">
        <v>44</v>
      </c>
    </row>
    <row r="338" spans="1:26" x14ac:dyDescent="0.3">
      <c r="A338" s="19" t="s">
        <v>99</v>
      </c>
      <c r="B338" s="20">
        <v>45473</v>
      </c>
      <c r="C338" s="19" t="s">
        <v>46</v>
      </c>
      <c r="D338" s="19" t="s">
        <v>36</v>
      </c>
      <c r="E338" s="19" t="s">
        <v>36</v>
      </c>
      <c r="F338" s="19" t="s">
        <v>36</v>
      </c>
      <c r="G338" s="19" t="s">
        <v>37</v>
      </c>
      <c r="K338" s="19" t="s">
        <v>38</v>
      </c>
      <c r="L338" s="19" t="s">
        <v>39</v>
      </c>
      <c r="M338" s="19" t="s">
        <v>40</v>
      </c>
      <c r="N338" s="19" t="s">
        <v>41</v>
      </c>
      <c r="R338" s="19" t="s">
        <v>47</v>
      </c>
      <c r="S338" s="21">
        <v>8005.8028439999998</v>
      </c>
      <c r="U338" s="19" t="s">
        <v>56</v>
      </c>
      <c r="V338" s="19">
        <v>8</v>
      </c>
      <c r="W338" s="19" t="s">
        <v>48</v>
      </c>
      <c r="X338" s="19" t="s">
        <v>709</v>
      </c>
      <c r="Y338" s="19" t="s">
        <v>710</v>
      </c>
      <c r="Z338" s="19" t="s">
        <v>44</v>
      </c>
    </row>
    <row r="339" spans="1:26" x14ac:dyDescent="0.3">
      <c r="A339" s="19" t="s">
        <v>99</v>
      </c>
      <c r="B339" s="20">
        <v>45473</v>
      </c>
      <c r="C339" s="19" t="s">
        <v>46</v>
      </c>
      <c r="D339" s="19" t="s">
        <v>36</v>
      </c>
      <c r="E339" s="19" t="s">
        <v>36</v>
      </c>
      <c r="F339" s="19" t="s">
        <v>36</v>
      </c>
      <c r="G339" s="19" t="s">
        <v>37</v>
      </c>
      <c r="K339" s="19" t="s">
        <v>38</v>
      </c>
      <c r="L339" s="19" t="s">
        <v>39</v>
      </c>
      <c r="M339" s="19" t="s">
        <v>38</v>
      </c>
      <c r="N339" s="19" t="s">
        <v>41</v>
      </c>
      <c r="R339" s="19" t="s">
        <v>49</v>
      </c>
      <c r="T339" s="21">
        <v>8005.8028439999998</v>
      </c>
      <c r="U339" s="19" t="s">
        <v>56</v>
      </c>
      <c r="V339" s="19">
        <v>8</v>
      </c>
      <c r="W339" s="19" t="s">
        <v>48</v>
      </c>
      <c r="X339" s="19" t="s">
        <v>711</v>
      </c>
      <c r="Y339" s="19" t="s">
        <v>710</v>
      </c>
      <c r="Z339" s="19" t="s">
        <v>44</v>
      </c>
    </row>
    <row r="340" spans="1:26" x14ac:dyDescent="0.3">
      <c r="A340" s="19" t="s">
        <v>99</v>
      </c>
      <c r="B340" s="20">
        <v>44562</v>
      </c>
      <c r="C340" s="19" t="s">
        <v>35</v>
      </c>
      <c r="D340" s="19" t="s">
        <v>36</v>
      </c>
      <c r="E340" s="19" t="s">
        <v>36</v>
      </c>
      <c r="F340" s="19" t="s">
        <v>36</v>
      </c>
      <c r="G340" s="19" t="s">
        <v>37</v>
      </c>
      <c r="K340" s="19" t="s">
        <v>38</v>
      </c>
      <c r="L340" s="19" t="s">
        <v>39</v>
      </c>
      <c r="M340" s="19" t="s">
        <v>40</v>
      </c>
      <c r="N340" s="19" t="s">
        <v>41</v>
      </c>
      <c r="R340" s="19" t="s">
        <v>50</v>
      </c>
      <c r="S340" s="21">
        <v>42330.49</v>
      </c>
      <c r="U340" s="19" t="s">
        <v>56</v>
      </c>
      <c r="V340" s="19">
        <v>10</v>
      </c>
      <c r="W340" s="19" t="s">
        <v>51</v>
      </c>
      <c r="X340" s="19" t="s">
        <v>712</v>
      </c>
      <c r="Y340" s="19" t="s">
        <v>713</v>
      </c>
      <c r="Z340" s="19" t="s">
        <v>44</v>
      </c>
    </row>
    <row r="341" spans="1:26" x14ac:dyDescent="0.3">
      <c r="A341" s="19" t="s">
        <v>99</v>
      </c>
      <c r="B341" s="20">
        <v>44562</v>
      </c>
      <c r="C341" s="19" t="s">
        <v>35</v>
      </c>
      <c r="D341" s="19" t="s">
        <v>36</v>
      </c>
      <c r="E341" s="19" t="s">
        <v>36</v>
      </c>
      <c r="F341" s="19" t="s">
        <v>36</v>
      </c>
      <c r="G341" s="19" t="s">
        <v>37</v>
      </c>
      <c r="K341" s="19" t="s">
        <v>38</v>
      </c>
      <c r="L341" s="19" t="s">
        <v>39</v>
      </c>
      <c r="M341" s="19" t="s">
        <v>40</v>
      </c>
      <c r="N341" s="19" t="s">
        <v>41</v>
      </c>
      <c r="R341" s="19" t="s">
        <v>52</v>
      </c>
      <c r="T341" s="21">
        <v>42330.49</v>
      </c>
      <c r="U341" s="19" t="s">
        <v>56</v>
      </c>
      <c r="V341" s="19">
        <v>10</v>
      </c>
      <c r="W341" s="19" t="s">
        <v>51</v>
      </c>
      <c r="X341" s="19" t="s">
        <v>714</v>
      </c>
      <c r="Y341" s="19" t="s">
        <v>713</v>
      </c>
      <c r="Z341" s="19" t="s">
        <v>44</v>
      </c>
    </row>
    <row r="342" spans="1:26" x14ac:dyDescent="0.3">
      <c r="A342" s="19" t="s">
        <v>99</v>
      </c>
      <c r="B342" s="20">
        <v>45473</v>
      </c>
      <c r="C342" s="19" t="s">
        <v>35</v>
      </c>
      <c r="D342" s="19" t="s">
        <v>36</v>
      </c>
      <c r="E342" s="19" t="s">
        <v>36</v>
      </c>
      <c r="F342" s="19" t="s">
        <v>36</v>
      </c>
      <c r="G342" s="19" t="s">
        <v>37</v>
      </c>
      <c r="K342" s="19" t="s">
        <v>38</v>
      </c>
      <c r="L342" s="19" t="s">
        <v>39</v>
      </c>
      <c r="M342" s="19" t="s">
        <v>40</v>
      </c>
      <c r="N342" s="19" t="s">
        <v>41</v>
      </c>
      <c r="R342" s="19" t="s">
        <v>45</v>
      </c>
      <c r="S342" s="21">
        <v>520416.67</v>
      </c>
      <c r="U342" s="19" t="s">
        <v>56</v>
      </c>
      <c r="V342" s="19">
        <v>11</v>
      </c>
      <c r="W342" s="19" t="s">
        <v>53</v>
      </c>
      <c r="X342" s="19" t="s">
        <v>715</v>
      </c>
      <c r="Y342" s="19" t="s">
        <v>716</v>
      </c>
      <c r="Z342" s="19" t="s">
        <v>44</v>
      </c>
    </row>
    <row r="343" spans="1:26" x14ac:dyDescent="0.3">
      <c r="A343" s="19" t="s">
        <v>99</v>
      </c>
      <c r="B343" s="20">
        <v>45473</v>
      </c>
      <c r="C343" s="19" t="s">
        <v>35</v>
      </c>
      <c r="D343" s="19" t="s">
        <v>36</v>
      </c>
      <c r="E343" s="19" t="s">
        <v>36</v>
      </c>
      <c r="F343" s="19" t="s">
        <v>36</v>
      </c>
      <c r="G343" s="19" t="s">
        <v>37</v>
      </c>
      <c r="K343" s="19" t="s">
        <v>38</v>
      </c>
      <c r="L343" s="19" t="s">
        <v>39</v>
      </c>
      <c r="M343" s="19" t="s">
        <v>40</v>
      </c>
      <c r="N343" s="19" t="s">
        <v>41</v>
      </c>
      <c r="R343" s="19" t="s">
        <v>54</v>
      </c>
      <c r="T343" s="21">
        <v>520416.67</v>
      </c>
      <c r="U343" s="19" t="s">
        <v>56</v>
      </c>
      <c r="V343" s="19">
        <v>11</v>
      </c>
      <c r="W343" s="19" t="s">
        <v>53</v>
      </c>
      <c r="X343" s="19" t="s">
        <v>717</v>
      </c>
      <c r="Y343" s="19" t="s">
        <v>716</v>
      </c>
      <c r="Z343" s="19" t="s">
        <v>44</v>
      </c>
    </row>
    <row r="344" spans="1:26" x14ac:dyDescent="0.3">
      <c r="A344" s="19" t="s">
        <v>100</v>
      </c>
      <c r="B344" s="20">
        <v>45474</v>
      </c>
      <c r="C344" s="19" t="s">
        <v>35</v>
      </c>
      <c r="D344" s="19" t="s">
        <v>36</v>
      </c>
      <c r="E344" s="19" t="s">
        <v>36</v>
      </c>
      <c r="F344" s="19" t="s">
        <v>36</v>
      </c>
      <c r="G344" s="19" t="s">
        <v>37</v>
      </c>
      <c r="K344" s="19" t="s">
        <v>38</v>
      </c>
      <c r="L344" s="19" t="s">
        <v>39</v>
      </c>
      <c r="M344" s="19" t="s">
        <v>40</v>
      </c>
      <c r="N344" s="19" t="s">
        <v>41</v>
      </c>
      <c r="R344" s="19" t="s">
        <v>54</v>
      </c>
      <c r="S344" s="21">
        <v>520416.67</v>
      </c>
      <c r="U344" s="19" t="s">
        <v>56</v>
      </c>
      <c r="V344" s="19">
        <v>11</v>
      </c>
      <c r="W344" s="19" t="s">
        <v>55</v>
      </c>
      <c r="X344" s="19" t="s">
        <v>718</v>
      </c>
      <c r="Y344" s="19" t="s">
        <v>719</v>
      </c>
      <c r="Z344" s="19" t="s">
        <v>44</v>
      </c>
    </row>
    <row r="345" spans="1:26" x14ac:dyDescent="0.3">
      <c r="A345" s="19" t="s">
        <v>100</v>
      </c>
      <c r="B345" s="20">
        <v>45474</v>
      </c>
      <c r="C345" s="19" t="s">
        <v>35</v>
      </c>
      <c r="D345" s="19" t="s">
        <v>36</v>
      </c>
      <c r="E345" s="19" t="s">
        <v>36</v>
      </c>
      <c r="F345" s="19" t="s">
        <v>36</v>
      </c>
      <c r="G345" s="19" t="s">
        <v>37</v>
      </c>
      <c r="K345" s="19" t="s">
        <v>38</v>
      </c>
      <c r="L345" s="19" t="s">
        <v>39</v>
      </c>
      <c r="M345" s="19" t="s">
        <v>40</v>
      </c>
      <c r="N345" s="19" t="s">
        <v>41</v>
      </c>
      <c r="R345" s="19" t="s">
        <v>45</v>
      </c>
      <c r="T345" s="21">
        <v>520416.67</v>
      </c>
      <c r="U345" s="19" t="s">
        <v>56</v>
      </c>
      <c r="V345" s="19">
        <v>11</v>
      </c>
      <c r="W345" s="19" t="s">
        <v>55</v>
      </c>
      <c r="X345" s="19" t="s">
        <v>720</v>
      </c>
      <c r="Y345" s="19" t="s">
        <v>719</v>
      </c>
      <c r="Z345" s="19" t="s">
        <v>44</v>
      </c>
    </row>
    <row r="346" spans="1:26" x14ac:dyDescent="0.3">
      <c r="A346" s="19" t="s">
        <v>100</v>
      </c>
      <c r="B346" s="20">
        <v>45504</v>
      </c>
      <c r="C346" s="19" t="s">
        <v>46</v>
      </c>
      <c r="D346" s="19" t="s">
        <v>36</v>
      </c>
      <c r="E346" s="19" t="s">
        <v>36</v>
      </c>
      <c r="F346" s="19" t="s">
        <v>36</v>
      </c>
      <c r="G346" s="19" t="s">
        <v>37</v>
      </c>
      <c r="K346" s="19" t="s">
        <v>38</v>
      </c>
      <c r="L346" s="19" t="s">
        <v>39</v>
      </c>
      <c r="M346" s="19" t="s">
        <v>38</v>
      </c>
      <c r="N346" s="19" t="s">
        <v>41</v>
      </c>
      <c r="R346" s="19" t="s">
        <v>49</v>
      </c>
      <c r="S346" s="21">
        <v>8005.8028439999998</v>
      </c>
      <c r="U346" s="19" t="s">
        <v>56</v>
      </c>
      <c r="V346" s="19">
        <v>12</v>
      </c>
      <c r="W346" s="19" t="s">
        <v>57</v>
      </c>
      <c r="X346" s="19" t="s">
        <v>721</v>
      </c>
      <c r="Y346" s="19" t="s">
        <v>722</v>
      </c>
      <c r="Z346" s="19" t="s">
        <v>44</v>
      </c>
    </row>
    <row r="347" spans="1:26" x14ac:dyDescent="0.3">
      <c r="A347" s="19" t="s">
        <v>100</v>
      </c>
      <c r="B347" s="20">
        <v>45504</v>
      </c>
      <c r="C347" s="19" t="s">
        <v>46</v>
      </c>
      <c r="D347" s="19" t="s">
        <v>36</v>
      </c>
      <c r="E347" s="19" t="s">
        <v>36</v>
      </c>
      <c r="F347" s="19" t="s">
        <v>36</v>
      </c>
      <c r="G347" s="19" t="s">
        <v>37</v>
      </c>
      <c r="K347" s="19" t="s">
        <v>38</v>
      </c>
      <c r="L347" s="19" t="s">
        <v>39</v>
      </c>
      <c r="M347" s="19" t="s">
        <v>40</v>
      </c>
      <c r="N347" s="19" t="s">
        <v>41</v>
      </c>
      <c r="R347" s="19" t="s">
        <v>45</v>
      </c>
      <c r="S347" s="21">
        <v>41994.197156000002</v>
      </c>
      <c r="U347" s="19" t="s">
        <v>56</v>
      </c>
      <c r="V347" s="19">
        <v>12</v>
      </c>
      <c r="W347" s="19" t="s">
        <v>57</v>
      </c>
      <c r="X347" s="19" t="s">
        <v>723</v>
      </c>
      <c r="Y347" s="19" t="s">
        <v>722</v>
      </c>
      <c r="Z347" s="19" t="s">
        <v>44</v>
      </c>
    </row>
    <row r="348" spans="1:26" x14ac:dyDescent="0.3">
      <c r="A348" s="19" t="s">
        <v>100</v>
      </c>
      <c r="B348" s="20">
        <v>45504</v>
      </c>
      <c r="C348" s="19" t="s">
        <v>46</v>
      </c>
      <c r="D348" s="19" t="s">
        <v>36</v>
      </c>
      <c r="E348" s="19" t="s">
        <v>36</v>
      </c>
      <c r="F348" s="19" t="s">
        <v>36</v>
      </c>
      <c r="G348" s="19" t="s">
        <v>37</v>
      </c>
      <c r="K348" s="19" t="s">
        <v>38</v>
      </c>
      <c r="L348" s="19" t="s">
        <v>39</v>
      </c>
      <c r="M348" s="19" t="s">
        <v>40</v>
      </c>
      <c r="N348" s="19" t="s">
        <v>41</v>
      </c>
      <c r="R348" s="19" t="s">
        <v>58</v>
      </c>
      <c r="T348" s="21">
        <v>50000</v>
      </c>
      <c r="U348" s="19" t="s">
        <v>56</v>
      </c>
      <c r="V348" s="19">
        <v>12</v>
      </c>
      <c r="W348" s="19" t="s">
        <v>57</v>
      </c>
      <c r="X348" s="19" t="s">
        <v>724</v>
      </c>
      <c r="Y348" s="19" t="s">
        <v>722</v>
      </c>
      <c r="Z348" s="19" t="s">
        <v>44</v>
      </c>
    </row>
    <row r="349" spans="1:26" x14ac:dyDescent="0.3">
      <c r="A349" s="19" t="s">
        <v>101</v>
      </c>
      <c r="B349" s="20">
        <v>45504</v>
      </c>
      <c r="C349" s="19" t="s">
        <v>46</v>
      </c>
      <c r="D349" s="19" t="s">
        <v>36</v>
      </c>
      <c r="E349" s="19" t="s">
        <v>36</v>
      </c>
      <c r="F349" s="19" t="s">
        <v>36</v>
      </c>
      <c r="G349" s="19" t="s">
        <v>37</v>
      </c>
      <c r="K349" s="19" t="s">
        <v>38</v>
      </c>
      <c r="L349" s="19" t="s">
        <v>39</v>
      </c>
      <c r="M349" s="19" t="s">
        <v>40</v>
      </c>
      <c r="N349" s="19" t="s">
        <v>41</v>
      </c>
      <c r="R349" s="19" t="s">
        <v>47</v>
      </c>
      <c r="S349" s="21">
        <v>7760.8366939999996</v>
      </c>
      <c r="U349" s="19" t="s">
        <v>56</v>
      </c>
      <c r="V349" s="19">
        <v>8</v>
      </c>
      <c r="W349" s="19" t="s">
        <v>48</v>
      </c>
      <c r="X349" s="19" t="s">
        <v>725</v>
      </c>
      <c r="Y349" s="19" t="s">
        <v>726</v>
      </c>
      <c r="Z349" s="19" t="s">
        <v>44</v>
      </c>
    </row>
    <row r="350" spans="1:26" x14ac:dyDescent="0.3">
      <c r="A350" s="19" t="s">
        <v>101</v>
      </c>
      <c r="B350" s="20">
        <v>45504</v>
      </c>
      <c r="C350" s="19" t="s">
        <v>46</v>
      </c>
      <c r="D350" s="19" t="s">
        <v>36</v>
      </c>
      <c r="E350" s="19" t="s">
        <v>36</v>
      </c>
      <c r="F350" s="19" t="s">
        <v>36</v>
      </c>
      <c r="G350" s="19" t="s">
        <v>37</v>
      </c>
      <c r="K350" s="19" t="s">
        <v>38</v>
      </c>
      <c r="L350" s="19" t="s">
        <v>39</v>
      </c>
      <c r="M350" s="19" t="s">
        <v>38</v>
      </c>
      <c r="N350" s="19" t="s">
        <v>41</v>
      </c>
      <c r="R350" s="19" t="s">
        <v>49</v>
      </c>
      <c r="T350" s="21">
        <v>7760.8366939999996</v>
      </c>
      <c r="U350" s="19" t="s">
        <v>56</v>
      </c>
      <c r="V350" s="19">
        <v>8</v>
      </c>
      <c r="W350" s="19" t="s">
        <v>48</v>
      </c>
      <c r="X350" s="19" t="s">
        <v>727</v>
      </c>
      <c r="Y350" s="19" t="s">
        <v>726</v>
      </c>
      <c r="Z350" s="19" t="s">
        <v>44</v>
      </c>
    </row>
    <row r="351" spans="1:26" x14ac:dyDescent="0.3">
      <c r="A351" s="19" t="s">
        <v>101</v>
      </c>
      <c r="B351" s="20">
        <v>44562</v>
      </c>
      <c r="C351" s="19" t="s">
        <v>35</v>
      </c>
      <c r="D351" s="19" t="s">
        <v>36</v>
      </c>
      <c r="E351" s="19" t="s">
        <v>36</v>
      </c>
      <c r="F351" s="19" t="s">
        <v>36</v>
      </c>
      <c r="G351" s="19" t="s">
        <v>37</v>
      </c>
      <c r="K351" s="19" t="s">
        <v>38</v>
      </c>
      <c r="L351" s="19" t="s">
        <v>39</v>
      </c>
      <c r="M351" s="19" t="s">
        <v>40</v>
      </c>
      <c r="N351" s="19" t="s">
        <v>41</v>
      </c>
      <c r="R351" s="19" t="s">
        <v>50</v>
      </c>
      <c r="S351" s="21">
        <v>42330.49</v>
      </c>
      <c r="U351" s="19" t="s">
        <v>56</v>
      </c>
      <c r="V351" s="19">
        <v>10</v>
      </c>
      <c r="W351" s="19" t="s">
        <v>51</v>
      </c>
      <c r="X351" s="19" t="s">
        <v>728</v>
      </c>
      <c r="Y351" s="19" t="s">
        <v>729</v>
      </c>
      <c r="Z351" s="19" t="s">
        <v>44</v>
      </c>
    </row>
    <row r="352" spans="1:26" x14ac:dyDescent="0.3">
      <c r="A352" s="19" t="s">
        <v>101</v>
      </c>
      <c r="B352" s="20">
        <v>44562</v>
      </c>
      <c r="C352" s="19" t="s">
        <v>35</v>
      </c>
      <c r="D352" s="19" t="s">
        <v>36</v>
      </c>
      <c r="E352" s="19" t="s">
        <v>36</v>
      </c>
      <c r="F352" s="19" t="s">
        <v>36</v>
      </c>
      <c r="G352" s="19" t="s">
        <v>37</v>
      </c>
      <c r="K352" s="19" t="s">
        <v>38</v>
      </c>
      <c r="L352" s="19" t="s">
        <v>39</v>
      </c>
      <c r="M352" s="19" t="s">
        <v>40</v>
      </c>
      <c r="N352" s="19" t="s">
        <v>41</v>
      </c>
      <c r="R352" s="19" t="s">
        <v>52</v>
      </c>
      <c r="T352" s="21">
        <v>42330.49</v>
      </c>
      <c r="U352" s="19" t="s">
        <v>56</v>
      </c>
      <c r="V352" s="19">
        <v>10</v>
      </c>
      <c r="W352" s="19" t="s">
        <v>51</v>
      </c>
      <c r="X352" s="19" t="s">
        <v>730</v>
      </c>
      <c r="Y352" s="19" t="s">
        <v>729</v>
      </c>
      <c r="Z352" s="19" t="s">
        <v>44</v>
      </c>
    </row>
    <row r="353" spans="1:26" x14ac:dyDescent="0.3">
      <c r="A353" s="19" t="s">
        <v>101</v>
      </c>
      <c r="B353" s="20">
        <v>45504</v>
      </c>
      <c r="C353" s="19" t="s">
        <v>35</v>
      </c>
      <c r="D353" s="19" t="s">
        <v>36</v>
      </c>
      <c r="E353" s="19" t="s">
        <v>36</v>
      </c>
      <c r="F353" s="19" t="s">
        <v>36</v>
      </c>
      <c r="G353" s="19" t="s">
        <v>37</v>
      </c>
      <c r="K353" s="19" t="s">
        <v>38</v>
      </c>
      <c r="L353" s="19" t="s">
        <v>39</v>
      </c>
      <c r="M353" s="19" t="s">
        <v>40</v>
      </c>
      <c r="N353" s="19" t="s">
        <v>41</v>
      </c>
      <c r="R353" s="19" t="s">
        <v>45</v>
      </c>
      <c r="S353" s="21">
        <v>523452.43</v>
      </c>
      <c r="U353" s="19" t="s">
        <v>56</v>
      </c>
      <c r="V353" s="19">
        <v>11</v>
      </c>
      <c r="W353" s="19" t="s">
        <v>53</v>
      </c>
      <c r="X353" s="19" t="s">
        <v>731</v>
      </c>
      <c r="Y353" s="19" t="s">
        <v>732</v>
      </c>
      <c r="Z353" s="19" t="s">
        <v>44</v>
      </c>
    </row>
    <row r="354" spans="1:26" x14ac:dyDescent="0.3">
      <c r="A354" s="19" t="s">
        <v>101</v>
      </c>
      <c r="B354" s="20">
        <v>45504</v>
      </c>
      <c r="C354" s="19" t="s">
        <v>35</v>
      </c>
      <c r="D354" s="19" t="s">
        <v>36</v>
      </c>
      <c r="E354" s="19" t="s">
        <v>36</v>
      </c>
      <c r="F354" s="19" t="s">
        <v>36</v>
      </c>
      <c r="G354" s="19" t="s">
        <v>37</v>
      </c>
      <c r="K354" s="19" t="s">
        <v>38</v>
      </c>
      <c r="L354" s="19" t="s">
        <v>39</v>
      </c>
      <c r="M354" s="19" t="s">
        <v>40</v>
      </c>
      <c r="N354" s="19" t="s">
        <v>41</v>
      </c>
      <c r="R354" s="19" t="s">
        <v>54</v>
      </c>
      <c r="T354" s="21">
        <v>523452.43</v>
      </c>
      <c r="U354" s="19" t="s">
        <v>56</v>
      </c>
      <c r="V354" s="19">
        <v>11</v>
      </c>
      <c r="W354" s="19" t="s">
        <v>53</v>
      </c>
      <c r="X354" s="19" t="s">
        <v>733</v>
      </c>
      <c r="Y354" s="19" t="s">
        <v>732</v>
      </c>
      <c r="Z354" s="19" t="s">
        <v>44</v>
      </c>
    </row>
    <row r="355" spans="1:26" x14ac:dyDescent="0.3">
      <c r="A355" s="19" t="s">
        <v>102</v>
      </c>
      <c r="B355" s="20">
        <v>45505</v>
      </c>
      <c r="C355" s="19" t="s">
        <v>35</v>
      </c>
      <c r="D355" s="19" t="s">
        <v>36</v>
      </c>
      <c r="E355" s="19" t="s">
        <v>36</v>
      </c>
      <c r="F355" s="19" t="s">
        <v>36</v>
      </c>
      <c r="G355" s="19" t="s">
        <v>37</v>
      </c>
      <c r="K355" s="19" t="s">
        <v>38</v>
      </c>
      <c r="L355" s="19" t="s">
        <v>39</v>
      </c>
      <c r="M355" s="19" t="s">
        <v>40</v>
      </c>
      <c r="N355" s="19" t="s">
        <v>41</v>
      </c>
      <c r="R355" s="19" t="s">
        <v>54</v>
      </c>
      <c r="S355" s="21">
        <v>523452.43</v>
      </c>
      <c r="U355" s="19" t="s">
        <v>56</v>
      </c>
      <c r="V355" s="19">
        <v>11</v>
      </c>
      <c r="W355" s="19" t="s">
        <v>55</v>
      </c>
      <c r="X355" s="19" t="s">
        <v>734</v>
      </c>
      <c r="Y355" s="19" t="s">
        <v>735</v>
      </c>
      <c r="Z355" s="19" t="s">
        <v>44</v>
      </c>
    </row>
    <row r="356" spans="1:26" x14ac:dyDescent="0.3">
      <c r="A356" s="19" t="s">
        <v>102</v>
      </c>
      <c r="B356" s="20">
        <v>45505</v>
      </c>
      <c r="C356" s="19" t="s">
        <v>35</v>
      </c>
      <c r="D356" s="19" t="s">
        <v>36</v>
      </c>
      <c r="E356" s="19" t="s">
        <v>36</v>
      </c>
      <c r="F356" s="19" t="s">
        <v>36</v>
      </c>
      <c r="G356" s="19" t="s">
        <v>37</v>
      </c>
      <c r="K356" s="19" t="s">
        <v>38</v>
      </c>
      <c r="L356" s="19" t="s">
        <v>39</v>
      </c>
      <c r="M356" s="19" t="s">
        <v>40</v>
      </c>
      <c r="N356" s="19" t="s">
        <v>41</v>
      </c>
      <c r="R356" s="19" t="s">
        <v>45</v>
      </c>
      <c r="T356" s="21">
        <v>523452.43</v>
      </c>
      <c r="U356" s="19" t="s">
        <v>56</v>
      </c>
      <c r="V356" s="19">
        <v>11</v>
      </c>
      <c r="W356" s="19" t="s">
        <v>55</v>
      </c>
      <c r="X356" s="19" t="s">
        <v>736</v>
      </c>
      <c r="Y356" s="19" t="s">
        <v>735</v>
      </c>
      <c r="Z356" s="19" t="s">
        <v>44</v>
      </c>
    </row>
    <row r="357" spans="1:26" x14ac:dyDescent="0.3">
      <c r="A357" s="19" t="s">
        <v>102</v>
      </c>
      <c r="B357" s="20">
        <v>45535</v>
      </c>
      <c r="C357" s="19" t="s">
        <v>46</v>
      </c>
      <c r="D357" s="19" t="s">
        <v>36</v>
      </c>
      <c r="E357" s="19" t="s">
        <v>36</v>
      </c>
      <c r="F357" s="19" t="s">
        <v>36</v>
      </c>
      <c r="G357" s="19" t="s">
        <v>37</v>
      </c>
      <c r="K357" s="19" t="s">
        <v>38</v>
      </c>
      <c r="L357" s="19" t="s">
        <v>39</v>
      </c>
      <c r="M357" s="19" t="s">
        <v>38</v>
      </c>
      <c r="N357" s="19" t="s">
        <v>41</v>
      </c>
      <c r="R357" s="19" t="s">
        <v>49</v>
      </c>
      <c r="S357" s="21">
        <v>7760.8366939999996</v>
      </c>
      <c r="U357" s="19" t="s">
        <v>56</v>
      </c>
      <c r="V357" s="19">
        <v>12</v>
      </c>
      <c r="W357" s="19" t="s">
        <v>57</v>
      </c>
      <c r="X357" s="19" t="s">
        <v>737</v>
      </c>
      <c r="Y357" s="19" t="s">
        <v>738</v>
      </c>
      <c r="Z357" s="19" t="s">
        <v>44</v>
      </c>
    </row>
    <row r="358" spans="1:26" x14ac:dyDescent="0.3">
      <c r="A358" s="19" t="s">
        <v>102</v>
      </c>
      <c r="B358" s="20">
        <v>45535</v>
      </c>
      <c r="C358" s="19" t="s">
        <v>46</v>
      </c>
      <c r="D358" s="19" t="s">
        <v>36</v>
      </c>
      <c r="E358" s="19" t="s">
        <v>36</v>
      </c>
      <c r="F358" s="19" t="s">
        <v>36</v>
      </c>
      <c r="G358" s="19" t="s">
        <v>37</v>
      </c>
      <c r="K358" s="19" t="s">
        <v>38</v>
      </c>
      <c r="L358" s="19" t="s">
        <v>39</v>
      </c>
      <c r="M358" s="19" t="s">
        <v>40</v>
      </c>
      <c r="N358" s="19" t="s">
        <v>41</v>
      </c>
      <c r="R358" s="19" t="s">
        <v>45</v>
      </c>
      <c r="S358" s="21">
        <v>42239.163306000002</v>
      </c>
      <c r="U358" s="19" t="s">
        <v>56</v>
      </c>
      <c r="V358" s="19">
        <v>12</v>
      </c>
      <c r="W358" s="19" t="s">
        <v>57</v>
      </c>
      <c r="X358" s="19" t="s">
        <v>739</v>
      </c>
      <c r="Y358" s="19" t="s">
        <v>738</v>
      </c>
      <c r="Z358" s="19" t="s">
        <v>44</v>
      </c>
    </row>
    <row r="359" spans="1:26" x14ac:dyDescent="0.3">
      <c r="A359" s="19" t="s">
        <v>102</v>
      </c>
      <c r="B359" s="20">
        <v>45535</v>
      </c>
      <c r="C359" s="19" t="s">
        <v>46</v>
      </c>
      <c r="D359" s="19" t="s">
        <v>36</v>
      </c>
      <c r="E359" s="19" t="s">
        <v>36</v>
      </c>
      <c r="F359" s="19" t="s">
        <v>36</v>
      </c>
      <c r="G359" s="19" t="s">
        <v>37</v>
      </c>
      <c r="K359" s="19" t="s">
        <v>38</v>
      </c>
      <c r="L359" s="19" t="s">
        <v>39</v>
      </c>
      <c r="M359" s="19" t="s">
        <v>40</v>
      </c>
      <c r="N359" s="19" t="s">
        <v>41</v>
      </c>
      <c r="R359" s="19" t="s">
        <v>58</v>
      </c>
      <c r="T359" s="21">
        <v>50000</v>
      </c>
      <c r="U359" s="19" t="s">
        <v>56</v>
      </c>
      <c r="V359" s="19">
        <v>12</v>
      </c>
      <c r="W359" s="19" t="s">
        <v>57</v>
      </c>
      <c r="X359" s="19" t="s">
        <v>740</v>
      </c>
      <c r="Y359" s="19" t="s">
        <v>738</v>
      </c>
      <c r="Z359" s="19" t="s">
        <v>44</v>
      </c>
    </row>
    <row r="360" spans="1:26" x14ac:dyDescent="0.3">
      <c r="A360" s="19" t="s">
        <v>103</v>
      </c>
      <c r="B360" s="20">
        <v>45535</v>
      </c>
      <c r="C360" s="19" t="s">
        <v>46</v>
      </c>
      <c r="D360" s="19" t="s">
        <v>36</v>
      </c>
      <c r="E360" s="19" t="s">
        <v>36</v>
      </c>
      <c r="F360" s="19" t="s">
        <v>36</v>
      </c>
      <c r="G360" s="19" t="s">
        <v>37</v>
      </c>
      <c r="K360" s="19" t="s">
        <v>38</v>
      </c>
      <c r="L360" s="19" t="s">
        <v>39</v>
      </c>
      <c r="M360" s="19" t="s">
        <v>40</v>
      </c>
      <c r="N360" s="19" t="s">
        <v>41</v>
      </c>
      <c r="R360" s="19" t="s">
        <v>47</v>
      </c>
      <c r="S360" s="21">
        <v>7514.4415749999998</v>
      </c>
      <c r="U360" s="19" t="s">
        <v>56</v>
      </c>
      <c r="V360" s="19">
        <v>8</v>
      </c>
      <c r="W360" s="19" t="s">
        <v>48</v>
      </c>
      <c r="X360" s="19" t="s">
        <v>741</v>
      </c>
      <c r="Y360" s="19" t="s">
        <v>742</v>
      </c>
      <c r="Z360" s="19" t="s">
        <v>44</v>
      </c>
    </row>
    <row r="361" spans="1:26" x14ac:dyDescent="0.3">
      <c r="A361" s="19" t="s">
        <v>103</v>
      </c>
      <c r="B361" s="20">
        <v>45535</v>
      </c>
      <c r="C361" s="19" t="s">
        <v>46</v>
      </c>
      <c r="D361" s="19" t="s">
        <v>36</v>
      </c>
      <c r="E361" s="19" t="s">
        <v>36</v>
      </c>
      <c r="F361" s="19" t="s">
        <v>36</v>
      </c>
      <c r="G361" s="19" t="s">
        <v>37</v>
      </c>
      <c r="K361" s="19" t="s">
        <v>38</v>
      </c>
      <c r="L361" s="19" t="s">
        <v>39</v>
      </c>
      <c r="M361" s="19" t="s">
        <v>38</v>
      </c>
      <c r="N361" s="19" t="s">
        <v>41</v>
      </c>
      <c r="R361" s="19" t="s">
        <v>49</v>
      </c>
      <c r="T361" s="21">
        <v>7514.4415749999998</v>
      </c>
      <c r="U361" s="19" t="s">
        <v>56</v>
      </c>
      <c r="V361" s="19">
        <v>8</v>
      </c>
      <c r="W361" s="19" t="s">
        <v>48</v>
      </c>
      <c r="X361" s="19" t="s">
        <v>743</v>
      </c>
      <c r="Y361" s="19" t="s">
        <v>742</v>
      </c>
      <c r="Z361" s="19" t="s">
        <v>44</v>
      </c>
    </row>
    <row r="362" spans="1:26" x14ac:dyDescent="0.3">
      <c r="A362" s="19" t="s">
        <v>103</v>
      </c>
      <c r="B362" s="20">
        <v>44562</v>
      </c>
      <c r="C362" s="19" t="s">
        <v>35</v>
      </c>
      <c r="D362" s="19" t="s">
        <v>36</v>
      </c>
      <c r="E362" s="19" t="s">
        <v>36</v>
      </c>
      <c r="F362" s="19" t="s">
        <v>36</v>
      </c>
      <c r="G362" s="19" t="s">
        <v>37</v>
      </c>
      <c r="K362" s="19" t="s">
        <v>38</v>
      </c>
      <c r="L362" s="19" t="s">
        <v>39</v>
      </c>
      <c r="M362" s="19" t="s">
        <v>40</v>
      </c>
      <c r="N362" s="19" t="s">
        <v>41</v>
      </c>
      <c r="R362" s="19" t="s">
        <v>50</v>
      </c>
      <c r="S362" s="21">
        <v>42330.49</v>
      </c>
      <c r="U362" s="19" t="s">
        <v>56</v>
      </c>
      <c r="V362" s="19">
        <v>10</v>
      </c>
      <c r="W362" s="19" t="s">
        <v>51</v>
      </c>
      <c r="X362" s="19" t="s">
        <v>744</v>
      </c>
      <c r="Y362" s="19" t="s">
        <v>745</v>
      </c>
      <c r="Z362" s="19" t="s">
        <v>44</v>
      </c>
    </row>
    <row r="363" spans="1:26" x14ac:dyDescent="0.3">
      <c r="A363" s="19" t="s">
        <v>103</v>
      </c>
      <c r="B363" s="20">
        <v>44562</v>
      </c>
      <c r="C363" s="19" t="s">
        <v>35</v>
      </c>
      <c r="D363" s="19" t="s">
        <v>36</v>
      </c>
      <c r="E363" s="19" t="s">
        <v>36</v>
      </c>
      <c r="F363" s="19" t="s">
        <v>36</v>
      </c>
      <c r="G363" s="19" t="s">
        <v>37</v>
      </c>
      <c r="K363" s="19" t="s">
        <v>38</v>
      </c>
      <c r="L363" s="19" t="s">
        <v>39</v>
      </c>
      <c r="M363" s="19" t="s">
        <v>40</v>
      </c>
      <c r="N363" s="19" t="s">
        <v>41</v>
      </c>
      <c r="R363" s="19" t="s">
        <v>52</v>
      </c>
      <c r="T363" s="21">
        <v>42330.49</v>
      </c>
      <c r="U363" s="19" t="s">
        <v>56</v>
      </c>
      <c r="V363" s="19">
        <v>10</v>
      </c>
      <c r="W363" s="19" t="s">
        <v>51</v>
      </c>
      <c r="X363" s="19" t="s">
        <v>746</v>
      </c>
      <c r="Y363" s="19" t="s">
        <v>745</v>
      </c>
      <c r="Z363" s="19" t="s">
        <v>44</v>
      </c>
    </row>
    <row r="364" spans="1:26" x14ac:dyDescent="0.3">
      <c r="A364" s="19" t="s">
        <v>103</v>
      </c>
      <c r="B364" s="20">
        <v>45535</v>
      </c>
      <c r="C364" s="19" t="s">
        <v>35</v>
      </c>
      <c r="D364" s="19" t="s">
        <v>36</v>
      </c>
      <c r="E364" s="19" t="s">
        <v>36</v>
      </c>
      <c r="F364" s="19" t="s">
        <v>36</v>
      </c>
      <c r="G364" s="19" t="s">
        <v>37</v>
      </c>
      <c r="K364" s="19" t="s">
        <v>38</v>
      </c>
      <c r="L364" s="19" t="s">
        <v>39</v>
      </c>
      <c r="M364" s="19" t="s">
        <v>40</v>
      </c>
      <c r="N364" s="19" t="s">
        <v>41</v>
      </c>
      <c r="R364" s="19" t="s">
        <v>45</v>
      </c>
      <c r="S364" s="21">
        <v>526505.91</v>
      </c>
      <c r="U364" s="19" t="s">
        <v>56</v>
      </c>
      <c r="V364" s="19">
        <v>11</v>
      </c>
      <c r="W364" s="19" t="s">
        <v>53</v>
      </c>
      <c r="X364" s="19" t="s">
        <v>747</v>
      </c>
      <c r="Y364" s="19" t="s">
        <v>748</v>
      </c>
      <c r="Z364" s="19" t="s">
        <v>44</v>
      </c>
    </row>
    <row r="365" spans="1:26" x14ac:dyDescent="0.3">
      <c r="A365" s="19" t="s">
        <v>103</v>
      </c>
      <c r="B365" s="20">
        <v>45535</v>
      </c>
      <c r="C365" s="19" t="s">
        <v>35</v>
      </c>
      <c r="D365" s="19" t="s">
        <v>36</v>
      </c>
      <c r="E365" s="19" t="s">
        <v>36</v>
      </c>
      <c r="F365" s="19" t="s">
        <v>36</v>
      </c>
      <c r="G365" s="19" t="s">
        <v>37</v>
      </c>
      <c r="K365" s="19" t="s">
        <v>38</v>
      </c>
      <c r="L365" s="19" t="s">
        <v>39</v>
      </c>
      <c r="M365" s="19" t="s">
        <v>40</v>
      </c>
      <c r="N365" s="19" t="s">
        <v>41</v>
      </c>
      <c r="R365" s="19" t="s">
        <v>54</v>
      </c>
      <c r="T365" s="21">
        <v>526505.91</v>
      </c>
      <c r="U365" s="19" t="s">
        <v>56</v>
      </c>
      <c r="V365" s="19">
        <v>11</v>
      </c>
      <c r="W365" s="19" t="s">
        <v>53</v>
      </c>
      <c r="X365" s="19" t="s">
        <v>749</v>
      </c>
      <c r="Y365" s="19" t="s">
        <v>748</v>
      </c>
      <c r="Z365" s="19" t="s">
        <v>44</v>
      </c>
    </row>
    <row r="366" spans="1:26" x14ac:dyDescent="0.3">
      <c r="A366" s="19" t="s">
        <v>104</v>
      </c>
      <c r="B366" s="20">
        <v>45536</v>
      </c>
      <c r="C366" s="19" t="s">
        <v>35</v>
      </c>
      <c r="D366" s="19" t="s">
        <v>36</v>
      </c>
      <c r="E366" s="19" t="s">
        <v>36</v>
      </c>
      <c r="F366" s="19" t="s">
        <v>36</v>
      </c>
      <c r="G366" s="19" t="s">
        <v>37</v>
      </c>
      <c r="K366" s="19" t="s">
        <v>38</v>
      </c>
      <c r="L366" s="19" t="s">
        <v>39</v>
      </c>
      <c r="M366" s="19" t="s">
        <v>40</v>
      </c>
      <c r="N366" s="19" t="s">
        <v>41</v>
      </c>
      <c r="R366" s="19" t="s">
        <v>54</v>
      </c>
      <c r="S366" s="21">
        <v>526505.91</v>
      </c>
      <c r="U366" s="19" t="s">
        <v>56</v>
      </c>
      <c r="V366" s="19">
        <v>11</v>
      </c>
      <c r="W366" s="19" t="s">
        <v>55</v>
      </c>
      <c r="X366" s="19" t="s">
        <v>750</v>
      </c>
      <c r="Y366" s="19" t="s">
        <v>751</v>
      </c>
      <c r="Z366" s="19" t="s">
        <v>44</v>
      </c>
    </row>
    <row r="367" spans="1:26" x14ac:dyDescent="0.3">
      <c r="A367" s="19" t="s">
        <v>104</v>
      </c>
      <c r="B367" s="20">
        <v>45536</v>
      </c>
      <c r="C367" s="19" t="s">
        <v>35</v>
      </c>
      <c r="D367" s="19" t="s">
        <v>36</v>
      </c>
      <c r="E367" s="19" t="s">
        <v>36</v>
      </c>
      <c r="F367" s="19" t="s">
        <v>36</v>
      </c>
      <c r="G367" s="19" t="s">
        <v>37</v>
      </c>
      <c r="K367" s="19" t="s">
        <v>38</v>
      </c>
      <c r="L367" s="19" t="s">
        <v>39</v>
      </c>
      <c r="M367" s="19" t="s">
        <v>40</v>
      </c>
      <c r="N367" s="19" t="s">
        <v>41</v>
      </c>
      <c r="R367" s="19" t="s">
        <v>45</v>
      </c>
      <c r="T367" s="21">
        <v>526505.91</v>
      </c>
      <c r="U367" s="19" t="s">
        <v>56</v>
      </c>
      <c r="V367" s="19">
        <v>11</v>
      </c>
      <c r="W367" s="19" t="s">
        <v>55</v>
      </c>
      <c r="X367" s="19" t="s">
        <v>752</v>
      </c>
      <c r="Y367" s="19" t="s">
        <v>751</v>
      </c>
      <c r="Z367" s="19" t="s">
        <v>44</v>
      </c>
    </row>
    <row r="368" spans="1:26" x14ac:dyDescent="0.3">
      <c r="A368" s="19" t="s">
        <v>104</v>
      </c>
      <c r="B368" s="20">
        <v>45565</v>
      </c>
      <c r="C368" s="19" t="s">
        <v>46</v>
      </c>
      <c r="D368" s="19" t="s">
        <v>36</v>
      </c>
      <c r="E368" s="19" t="s">
        <v>36</v>
      </c>
      <c r="F368" s="19" t="s">
        <v>36</v>
      </c>
      <c r="G368" s="19" t="s">
        <v>37</v>
      </c>
      <c r="K368" s="19" t="s">
        <v>38</v>
      </c>
      <c r="L368" s="19" t="s">
        <v>39</v>
      </c>
      <c r="M368" s="19" t="s">
        <v>38</v>
      </c>
      <c r="N368" s="19" t="s">
        <v>41</v>
      </c>
      <c r="R368" s="19" t="s">
        <v>49</v>
      </c>
      <c r="S368" s="21">
        <v>7514.4415749999998</v>
      </c>
      <c r="U368" s="19" t="s">
        <v>56</v>
      </c>
      <c r="V368" s="19">
        <v>12</v>
      </c>
      <c r="W368" s="19" t="s">
        <v>57</v>
      </c>
      <c r="X368" s="19" t="s">
        <v>753</v>
      </c>
      <c r="Y368" s="19" t="s">
        <v>754</v>
      </c>
      <c r="Z368" s="19" t="s">
        <v>44</v>
      </c>
    </row>
    <row r="369" spans="1:26" x14ac:dyDescent="0.3">
      <c r="A369" s="19" t="s">
        <v>104</v>
      </c>
      <c r="B369" s="20">
        <v>45565</v>
      </c>
      <c r="C369" s="19" t="s">
        <v>46</v>
      </c>
      <c r="D369" s="19" t="s">
        <v>36</v>
      </c>
      <c r="E369" s="19" t="s">
        <v>36</v>
      </c>
      <c r="F369" s="19" t="s">
        <v>36</v>
      </c>
      <c r="G369" s="19" t="s">
        <v>37</v>
      </c>
      <c r="K369" s="19" t="s">
        <v>38</v>
      </c>
      <c r="L369" s="19" t="s">
        <v>39</v>
      </c>
      <c r="M369" s="19" t="s">
        <v>40</v>
      </c>
      <c r="N369" s="19" t="s">
        <v>41</v>
      </c>
      <c r="R369" s="19" t="s">
        <v>45</v>
      </c>
      <c r="S369" s="21">
        <v>42485.558425000003</v>
      </c>
      <c r="U369" s="19" t="s">
        <v>56</v>
      </c>
      <c r="V369" s="19">
        <v>12</v>
      </c>
      <c r="W369" s="19" t="s">
        <v>57</v>
      </c>
      <c r="X369" s="19" t="s">
        <v>755</v>
      </c>
      <c r="Y369" s="19" t="s">
        <v>754</v>
      </c>
      <c r="Z369" s="19" t="s">
        <v>44</v>
      </c>
    </row>
    <row r="370" spans="1:26" x14ac:dyDescent="0.3">
      <c r="A370" s="19" t="s">
        <v>104</v>
      </c>
      <c r="B370" s="20">
        <v>45565</v>
      </c>
      <c r="C370" s="19" t="s">
        <v>46</v>
      </c>
      <c r="D370" s="19" t="s">
        <v>36</v>
      </c>
      <c r="E370" s="19" t="s">
        <v>36</v>
      </c>
      <c r="F370" s="19" t="s">
        <v>36</v>
      </c>
      <c r="G370" s="19" t="s">
        <v>37</v>
      </c>
      <c r="K370" s="19" t="s">
        <v>38</v>
      </c>
      <c r="L370" s="19" t="s">
        <v>39</v>
      </c>
      <c r="M370" s="19" t="s">
        <v>40</v>
      </c>
      <c r="N370" s="19" t="s">
        <v>41</v>
      </c>
      <c r="R370" s="19" t="s">
        <v>58</v>
      </c>
      <c r="T370" s="21">
        <v>50000</v>
      </c>
      <c r="U370" s="19" t="s">
        <v>56</v>
      </c>
      <c r="V370" s="19">
        <v>12</v>
      </c>
      <c r="W370" s="19" t="s">
        <v>57</v>
      </c>
      <c r="X370" s="19" t="s">
        <v>756</v>
      </c>
      <c r="Y370" s="19" t="s">
        <v>754</v>
      </c>
      <c r="Z370" s="19" t="s">
        <v>44</v>
      </c>
    </row>
    <row r="371" spans="1:26" x14ac:dyDescent="0.3">
      <c r="A371" s="19" t="s">
        <v>105</v>
      </c>
      <c r="B371" s="20">
        <v>45565</v>
      </c>
      <c r="C371" s="19" t="s">
        <v>46</v>
      </c>
      <c r="D371" s="19" t="s">
        <v>36</v>
      </c>
      <c r="E371" s="19" t="s">
        <v>36</v>
      </c>
      <c r="F371" s="19" t="s">
        <v>36</v>
      </c>
      <c r="G371" s="19" t="s">
        <v>37</v>
      </c>
      <c r="K371" s="19" t="s">
        <v>38</v>
      </c>
      <c r="L371" s="19" t="s">
        <v>39</v>
      </c>
      <c r="M371" s="19" t="s">
        <v>40</v>
      </c>
      <c r="N371" s="19" t="s">
        <v>41</v>
      </c>
      <c r="R371" s="19" t="s">
        <v>47</v>
      </c>
      <c r="S371" s="21">
        <v>7266.6091509999997</v>
      </c>
      <c r="U371" s="19" t="s">
        <v>56</v>
      </c>
      <c r="V371" s="19">
        <v>8</v>
      </c>
      <c r="W371" s="19" t="s">
        <v>48</v>
      </c>
      <c r="X371" s="19" t="s">
        <v>757</v>
      </c>
      <c r="Y371" s="19" t="s">
        <v>758</v>
      </c>
      <c r="Z371" s="19" t="s">
        <v>44</v>
      </c>
    </row>
    <row r="372" spans="1:26" x14ac:dyDescent="0.3">
      <c r="A372" s="19" t="s">
        <v>105</v>
      </c>
      <c r="B372" s="20">
        <v>45565</v>
      </c>
      <c r="C372" s="19" t="s">
        <v>46</v>
      </c>
      <c r="D372" s="19" t="s">
        <v>36</v>
      </c>
      <c r="E372" s="19" t="s">
        <v>36</v>
      </c>
      <c r="F372" s="19" t="s">
        <v>36</v>
      </c>
      <c r="G372" s="19" t="s">
        <v>37</v>
      </c>
      <c r="K372" s="19" t="s">
        <v>38</v>
      </c>
      <c r="L372" s="19" t="s">
        <v>39</v>
      </c>
      <c r="M372" s="19" t="s">
        <v>38</v>
      </c>
      <c r="N372" s="19" t="s">
        <v>41</v>
      </c>
      <c r="R372" s="19" t="s">
        <v>49</v>
      </c>
      <c r="T372" s="21">
        <v>7266.6091509999997</v>
      </c>
      <c r="U372" s="19" t="s">
        <v>56</v>
      </c>
      <c r="V372" s="19">
        <v>8</v>
      </c>
      <c r="W372" s="19" t="s">
        <v>48</v>
      </c>
      <c r="X372" s="19" t="s">
        <v>759</v>
      </c>
      <c r="Y372" s="19" t="s">
        <v>758</v>
      </c>
      <c r="Z372" s="19" t="s">
        <v>44</v>
      </c>
    </row>
    <row r="373" spans="1:26" x14ac:dyDescent="0.3">
      <c r="A373" s="19" t="s">
        <v>105</v>
      </c>
      <c r="B373" s="20">
        <v>44562</v>
      </c>
      <c r="C373" s="19" t="s">
        <v>35</v>
      </c>
      <c r="D373" s="19" t="s">
        <v>36</v>
      </c>
      <c r="E373" s="19" t="s">
        <v>36</v>
      </c>
      <c r="F373" s="19" t="s">
        <v>36</v>
      </c>
      <c r="G373" s="19" t="s">
        <v>37</v>
      </c>
      <c r="K373" s="19" t="s">
        <v>38</v>
      </c>
      <c r="L373" s="19" t="s">
        <v>39</v>
      </c>
      <c r="M373" s="19" t="s">
        <v>40</v>
      </c>
      <c r="N373" s="19" t="s">
        <v>41</v>
      </c>
      <c r="R373" s="19" t="s">
        <v>50</v>
      </c>
      <c r="S373" s="21">
        <v>42330.49</v>
      </c>
      <c r="U373" s="19" t="s">
        <v>56</v>
      </c>
      <c r="V373" s="19">
        <v>10</v>
      </c>
      <c r="W373" s="19" t="s">
        <v>51</v>
      </c>
      <c r="X373" s="19" t="s">
        <v>760</v>
      </c>
      <c r="Y373" s="19" t="s">
        <v>761</v>
      </c>
      <c r="Z373" s="19" t="s">
        <v>44</v>
      </c>
    </row>
    <row r="374" spans="1:26" x14ac:dyDescent="0.3">
      <c r="A374" s="19" t="s">
        <v>105</v>
      </c>
      <c r="B374" s="20">
        <v>44562</v>
      </c>
      <c r="C374" s="19" t="s">
        <v>35</v>
      </c>
      <c r="D374" s="19" t="s">
        <v>36</v>
      </c>
      <c r="E374" s="19" t="s">
        <v>36</v>
      </c>
      <c r="F374" s="19" t="s">
        <v>36</v>
      </c>
      <c r="G374" s="19" t="s">
        <v>37</v>
      </c>
      <c r="K374" s="19" t="s">
        <v>38</v>
      </c>
      <c r="L374" s="19" t="s">
        <v>39</v>
      </c>
      <c r="M374" s="19" t="s">
        <v>40</v>
      </c>
      <c r="N374" s="19" t="s">
        <v>41</v>
      </c>
      <c r="R374" s="19" t="s">
        <v>52</v>
      </c>
      <c r="T374" s="21">
        <v>42330.49</v>
      </c>
      <c r="U374" s="19" t="s">
        <v>56</v>
      </c>
      <c r="V374" s="19">
        <v>10</v>
      </c>
      <c r="W374" s="19" t="s">
        <v>51</v>
      </c>
      <c r="X374" s="19" t="s">
        <v>762</v>
      </c>
      <c r="Y374" s="19" t="s">
        <v>761</v>
      </c>
      <c r="Z374" s="19" t="s">
        <v>44</v>
      </c>
    </row>
    <row r="375" spans="1:26" x14ac:dyDescent="0.3">
      <c r="A375" s="19" t="s">
        <v>105</v>
      </c>
      <c r="B375" s="20">
        <v>45565</v>
      </c>
      <c r="C375" s="19" t="s">
        <v>35</v>
      </c>
      <c r="D375" s="19" t="s">
        <v>36</v>
      </c>
      <c r="E375" s="19" t="s">
        <v>36</v>
      </c>
      <c r="F375" s="19" t="s">
        <v>36</v>
      </c>
      <c r="G375" s="19" t="s">
        <v>37</v>
      </c>
      <c r="K375" s="19" t="s">
        <v>38</v>
      </c>
      <c r="L375" s="19" t="s">
        <v>39</v>
      </c>
      <c r="M375" s="19" t="s">
        <v>40</v>
      </c>
      <c r="N375" s="19" t="s">
        <v>41</v>
      </c>
      <c r="R375" s="19" t="s">
        <v>45</v>
      </c>
      <c r="S375" s="21">
        <v>529577.18999999994</v>
      </c>
      <c r="U375" s="19" t="s">
        <v>56</v>
      </c>
      <c r="V375" s="19">
        <v>11</v>
      </c>
      <c r="W375" s="19" t="s">
        <v>53</v>
      </c>
      <c r="X375" s="19" t="s">
        <v>763</v>
      </c>
      <c r="Y375" s="19" t="s">
        <v>764</v>
      </c>
      <c r="Z375" s="19" t="s">
        <v>44</v>
      </c>
    </row>
    <row r="376" spans="1:26" x14ac:dyDescent="0.3">
      <c r="A376" s="19" t="s">
        <v>105</v>
      </c>
      <c r="B376" s="20">
        <v>45565</v>
      </c>
      <c r="C376" s="19" t="s">
        <v>35</v>
      </c>
      <c r="D376" s="19" t="s">
        <v>36</v>
      </c>
      <c r="E376" s="19" t="s">
        <v>36</v>
      </c>
      <c r="F376" s="19" t="s">
        <v>36</v>
      </c>
      <c r="G376" s="19" t="s">
        <v>37</v>
      </c>
      <c r="K376" s="19" t="s">
        <v>38</v>
      </c>
      <c r="L376" s="19" t="s">
        <v>39</v>
      </c>
      <c r="M376" s="19" t="s">
        <v>40</v>
      </c>
      <c r="N376" s="19" t="s">
        <v>41</v>
      </c>
      <c r="R376" s="19" t="s">
        <v>54</v>
      </c>
      <c r="T376" s="21">
        <v>529577.18999999994</v>
      </c>
      <c r="U376" s="19" t="s">
        <v>56</v>
      </c>
      <c r="V376" s="19">
        <v>11</v>
      </c>
      <c r="W376" s="19" t="s">
        <v>53</v>
      </c>
      <c r="X376" s="19" t="s">
        <v>765</v>
      </c>
      <c r="Y376" s="19" t="s">
        <v>764</v>
      </c>
      <c r="Z376" s="19" t="s">
        <v>44</v>
      </c>
    </row>
    <row r="377" spans="1:26" x14ac:dyDescent="0.3">
      <c r="A377" s="19" t="s">
        <v>106</v>
      </c>
      <c r="B377" s="20">
        <v>45566</v>
      </c>
      <c r="C377" s="19" t="s">
        <v>35</v>
      </c>
      <c r="D377" s="19" t="s">
        <v>36</v>
      </c>
      <c r="E377" s="19" t="s">
        <v>36</v>
      </c>
      <c r="F377" s="19" t="s">
        <v>36</v>
      </c>
      <c r="G377" s="19" t="s">
        <v>37</v>
      </c>
      <c r="K377" s="19" t="s">
        <v>38</v>
      </c>
      <c r="L377" s="19" t="s">
        <v>39</v>
      </c>
      <c r="M377" s="19" t="s">
        <v>40</v>
      </c>
      <c r="N377" s="19" t="s">
        <v>41</v>
      </c>
      <c r="R377" s="19" t="s">
        <v>54</v>
      </c>
      <c r="S377" s="21">
        <v>529577.18999999994</v>
      </c>
      <c r="U377" s="19" t="s">
        <v>56</v>
      </c>
      <c r="V377" s="19">
        <v>11</v>
      </c>
      <c r="W377" s="19" t="s">
        <v>55</v>
      </c>
      <c r="X377" s="19" t="s">
        <v>766</v>
      </c>
      <c r="Y377" s="19" t="s">
        <v>767</v>
      </c>
      <c r="Z377" s="19" t="s">
        <v>44</v>
      </c>
    </row>
    <row r="378" spans="1:26" x14ac:dyDescent="0.3">
      <c r="A378" s="19" t="s">
        <v>106</v>
      </c>
      <c r="B378" s="20">
        <v>45566</v>
      </c>
      <c r="C378" s="19" t="s">
        <v>35</v>
      </c>
      <c r="D378" s="19" t="s">
        <v>36</v>
      </c>
      <c r="E378" s="19" t="s">
        <v>36</v>
      </c>
      <c r="F378" s="19" t="s">
        <v>36</v>
      </c>
      <c r="G378" s="19" t="s">
        <v>37</v>
      </c>
      <c r="K378" s="19" t="s">
        <v>38</v>
      </c>
      <c r="L378" s="19" t="s">
        <v>39</v>
      </c>
      <c r="M378" s="19" t="s">
        <v>40</v>
      </c>
      <c r="N378" s="19" t="s">
        <v>41</v>
      </c>
      <c r="R378" s="19" t="s">
        <v>45</v>
      </c>
      <c r="T378" s="21">
        <v>529577.18999999994</v>
      </c>
      <c r="U378" s="19" t="s">
        <v>56</v>
      </c>
      <c r="V378" s="19">
        <v>11</v>
      </c>
      <c r="W378" s="19" t="s">
        <v>55</v>
      </c>
      <c r="X378" s="19" t="s">
        <v>768</v>
      </c>
      <c r="Y378" s="19" t="s">
        <v>767</v>
      </c>
      <c r="Z378" s="19" t="s">
        <v>44</v>
      </c>
    </row>
    <row r="379" spans="1:26" x14ac:dyDescent="0.3">
      <c r="A379" s="19" t="s">
        <v>106</v>
      </c>
      <c r="B379" s="20">
        <v>45596</v>
      </c>
      <c r="C379" s="19" t="s">
        <v>46</v>
      </c>
      <c r="D379" s="19" t="s">
        <v>36</v>
      </c>
      <c r="E379" s="19" t="s">
        <v>36</v>
      </c>
      <c r="F379" s="19" t="s">
        <v>36</v>
      </c>
      <c r="G379" s="19" t="s">
        <v>37</v>
      </c>
      <c r="K379" s="19" t="s">
        <v>38</v>
      </c>
      <c r="L379" s="19" t="s">
        <v>39</v>
      </c>
      <c r="M379" s="19" t="s">
        <v>38</v>
      </c>
      <c r="N379" s="19" t="s">
        <v>41</v>
      </c>
      <c r="R379" s="19" t="s">
        <v>49</v>
      </c>
      <c r="S379" s="21">
        <v>7266.6091509999997</v>
      </c>
      <c r="U379" s="19" t="s">
        <v>56</v>
      </c>
      <c r="V379" s="19">
        <v>12</v>
      </c>
      <c r="W379" s="19" t="s">
        <v>57</v>
      </c>
      <c r="X379" s="19" t="s">
        <v>769</v>
      </c>
      <c r="Y379" s="19" t="s">
        <v>770</v>
      </c>
      <c r="Z379" s="19" t="s">
        <v>44</v>
      </c>
    </row>
    <row r="380" spans="1:26" x14ac:dyDescent="0.3">
      <c r="A380" s="19" t="s">
        <v>106</v>
      </c>
      <c r="B380" s="20">
        <v>45596</v>
      </c>
      <c r="C380" s="19" t="s">
        <v>46</v>
      </c>
      <c r="D380" s="19" t="s">
        <v>36</v>
      </c>
      <c r="E380" s="19" t="s">
        <v>36</v>
      </c>
      <c r="F380" s="19" t="s">
        <v>36</v>
      </c>
      <c r="G380" s="19" t="s">
        <v>37</v>
      </c>
      <c r="K380" s="19" t="s">
        <v>38</v>
      </c>
      <c r="L380" s="19" t="s">
        <v>39</v>
      </c>
      <c r="M380" s="19" t="s">
        <v>40</v>
      </c>
      <c r="N380" s="19" t="s">
        <v>41</v>
      </c>
      <c r="R380" s="19" t="s">
        <v>45</v>
      </c>
      <c r="S380" s="21">
        <v>42733.390849000003</v>
      </c>
      <c r="U380" s="19" t="s">
        <v>56</v>
      </c>
      <c r="V380" s="19">
        <v>12</v>
      </c>
      <c r="W380" s="19" t="s">
        <v>57</v>
      </c>
      <c r="X380" s="19" t="s">
        <v>771</v>
      </c>
      <c r="Y380" s="19" t="s">
        <v>770</v>
      </c>
      <c r="Z380" s="19" t="s">
        <v>44</v>
      </c>
    </row>
    <row r="381" spans="1:26" x14ac:dyDescent="0.3">
      <c r="A381" s="19" t="s">
        <v>106</v>
      </c>
      <c r="B381" s="20">
        <v>45596</v>
      </c>
      <c r="C381" s="19" t="s">
        <v>46</v>
      </c>
      <c r="D381" s="19" t="s">
        <v>36</v>
      </c>
      <c r="E381" s="19" t="s">
        <v>36</v>
      </c>
      <c r="F381" s="19" t="s">
        <v>36</v>
      </c>
      <c r="G381" s="19" t="s">
        <v>37</v>
      </c>
      <c r="K381" s="19" t="s">
        <v>38</v>
      </c>
      <c r="L381" s="19" t="s">
        <v>39</v>
      </c>
      <c r="M381" s="19" t="s">
        <v>40</v>
      </c>
      <c r="N381" s="19" t="s">
        <v>41</v>
      </c>
      <c r="R381" s="19" t="s">
        <v>58</v>
      </c>
      <c r="T381" s="21">
        <v>50000</v>
      </c>
      <c r="U381" s="19" t="s">
        <v>56</v>
      </c>
      <c r="V381" s="19">
        <v>12</v>
      </c>
      <c r="W381" s="19" t="s">
        <v>57</v>
      </c>
      <c r="X381" s="19" t="s">
        <v>772</v>
      </c>
      <c r="Y381" s="19" t="s">
        <v>770</v>
      </c>
      <c r="Z381" s="19" t="s">
        <v>44</v>
      </c>
    </row>
    <row r="382" spans="1:26" x14ac:dyDescent="0.3">
      <c r="A382" s="19" t="s">
        <v>107</v>
      </c>
      <c r="B382" s="20">
        <v>45596</v>
      </c>
      <c r="C382" s="19" t="s">
        <v>46</v>
      </c>
      <c r="D382" s="19" t="s">
        <v>36</v>
      </c>
      <c r="E382" s="19" t="s">
        <v>36</v>
      </c>
      <c r="F382" s="19" t="s">
        <v>36</v>
      </c>
      <c r="G382" s="19" t="s">
        <v>37</v>
      </c>
      <c r="K382" s="19" t="s">
        <v>38</v>
      </c>
      <c r="L382" s="19" t="s">
        <v>39</v>
      </c>
      <c r="M382" s="19" t="s">
        <v>40</v>
      </c>
      <c r="N382" s="19" t="s">
        <v>41</v>
      </c>
      <c r="R382" s="19" t="s">
        <v>47</v>
      </c>
      <c r="S382" s="21">
        <v>7017.3310369999999</v>
      </c>
      <c r="U382" s="19" t="s">
        <v>56</v>
      </c>
      <c r="V382" s="19">
        <v>8</v>
      </c>
      <c r="W382" s="19" t="s">
        <v>48</v>
      </c>
      <c r="X382" s="19" t="s">
        <v>773</v>
      </c>
      <c r="Y382" s="19" t="s">
        <v>774</v>
      </c>
      <c r="Z382" s="19" t="s">
        <v>44</v>
      </c>
    </row>
    <row r="383" spans="1:26" x14ac:dyDescent="0.3">
      <c r="A383" s="19" t="s">
        <v>107</v>
      </c>
      <c r="B383" s="20">
        <v>45596</v>
      </c>
      <c r="C383" s="19" t="s">
        <v>46</v>
      </c>
      <c r="D383" s="19" t="s">
        <v>36</v>
      </c>
      <c r="E383" s="19" t="s">
        <v>36</v>
      </c>
      <c r="F383" s="19" t="s">
        <v>36</v>
      </c>
      <c r="G383" s="19" t="s">
        <v>37</v>
      </c>
      <c r="K383" s="19" t="s">
        <v>38</v>
      </c>
      <c r="L383" s="19" t="s">
        <v>39</v>
      </c>
      <c r="M383" s="19" t="s">
        <v>38</v>
      </c>
      <c r="N383" s="19" t="s">
        <v>41</v>
      </c>
      <c r="R383" s="19" t="s">
        <v>49</v>
      </c>
      <c r="T383" s="21">
        <v>7017.3310369999999</v>
      </c>
      <c r="U383" s="19" t="s">
        <v>56</v>
      </c>
      <c r="V383" s="19">
        <v>8</v>
      </c>
      <c r="W383" s="19" t="s">
        <v>48</v>
      </c>
      <c r="X383" s="19" t="s">
        <v>775</v>
      </c>
      <c r="Y383" s="19" t="s">
        <v>774</v>
      </c>
      <c r="Z383" s="19" t="s">
        <v>44</v>
      </c>
    </row>
    <row r="384" spans="1:26" x14ac:dyDescent="0.3">
      <c r="A384" s="19" t="s">
        <v>107</v>
      </c>
      <c r="B384" s="20">
        <v>44562</v>
      </c>
      <c r="C384" s="19" t="s">
        <v>35</v>
      </c>
      <c r="D384" s="19" t="s">
        <v>36</v>
      </c>
      <c r="E384" s="19" t="s">
        <v>36</v>
      </c>
      <c r="F384" s="19" t="s">
        <v>36</v>
      </c>
      <c r="G384" s="19" t="s">
        <v>37</v>
      </c>
      <c r="K384" s="19" t="s">
        <v>38</v>
      </c>
      <c r="L384" s="19" t="s">
        <v>39</v>
      </c>
      <c r="M384" s="19" t="s">
        <v>40</v>
      </c>
      <c r="N384" s="19" t="s">
        <v>41</v>
      </c>
      <c r="R384" s="19" t="s">
        <v>50</v>
      </c>
      <c r="S384" s="21">
        <v>42330.49</v>
      </c>
      <c r="U384" s="19" t="s">
        <v>56</v>
      </c>
      <c r="V384" s="19">
        <v>10</v>
      </c>
      <c r="W384" s="19" t="s">
        <v>51</v>
      </c>
      <c r="X384" s="19" t="s">
        <v>776</v>
      </c>
      <c r="Y384" s="19" t="s">
        <v>777</v>
      </c>
      <c r="Z384" s="19" t="s">
        <v>44</v>
      </c>
    </row>
    <row r="385" spans="1:26" x14ac:dyDescent="0.3">
      <c r="A385" s="19" t="s">
        <v>107</v>
      </c>
      <c r="B385" s="20">
        <v>44562</v>
      </c>
      <c r="C385" s="19" t="s">
        <v>35</v>
      </c>
      <c r="D385" s="19" t="s">
        <v>36</v>
      </c>
      <c r="E385" s="19" t="s">
        <v>36</v>
      </c>
      <c r="F385" s="19" t="s">
        <v>36</v>
      </c>
      <c r="G385" s="19" t="s">
        <v>37</v>
      </c>
      <c r="K385" s="19" t="s">
        <v>38</v>
      </c>
      <c r="L385" s="19" t="s">
        <v>39</v>
      </c>
      <c r="M385" s="19" t="s">
        <v>40</v>
      </c>
      <c r="N385" s="19" t="s">
        <v>41</v>
      </c>
      <c r="R385" s="19" t="s">
        <v>52</v>
      </c>
      <c r="T385" s="21">
        <v>42330.49</v>
      </c>
      <c r="U385" s="19" t="s">
        <v>56</v>
      </c>
      <c r="V385" s="19">
        <v>10</v>
      </c>
      <c r="W385" s="19" t="s">
        <v>51</v>
      </c>
      <c r="X385" s="19" t="s">
        <v>778</v>
      </c>
      <c r="Y385" s="19" t="s">
        <v>777</v>
      </c>
      <c r="Z385" s="19" t="s">
        <v>44</v>
      </c>
    </row>
    <row r="386" spans="1:26" x14ac:dyDescent="0.3">
      <c r="A386" s="19" t="s">
        <v>107</v>
      </c>
      <c r="B386" s="20">
        <v>45596</v>
      </c>
      <c r="C386" s="19" t="s">
        <v>35</v>
      </c>
      <c r="D386" s="19" t="s">
        <v>36</v>
      </c>
      <c r="E386" s="19" t="s">
        <v>36</v>
      </c>
      <c r="F386" s="19" t="s">
        <v>36</v>
      </c>
      <c r="G386" s="19" t="s">
        <v>37</v>
      </c>
      <c r="K386" s="19" t="s">
        <v>38</v>
      </c>
      <c r="L386" s="19" t="s">
        <v>39</v>
      </c>
      <c r="M386" s="19" t="s">
        <v>40</v>
      </c>
      <c r="N386" s="19" t="s">
        <v>41</v>
      </c>
      <c r="R386" s="19" t="s">
        <v>45</v>
      </c>
      <c r="S386" s="21">
        <v>532666.39</v>
      </c>
      <c r="U386" s="19" t="s">
        <v>56</v>
      </c>
      <c r="V386" s="19">
        <v>11</v>
      </c>
      <c r="W386" s="19" t="s">
        <v>53</v>
      </c>
      <c r="X386" s="19" t="s">
        <v>779</v>
      </c>
      <c r="Y386" s="19" t="s">
        <v>780</v>
      </c>
      <c r="Z386" s="19" t="s">
        <v>44</v>
      </c>
    </row>
    <row r="387" spans="1:26" x14ac:dyDescent="0.3">
      <c r="A387" s="19" t="s">
        <v>107</v>
      </c>
      <c r="B387" s="20">
        <v>45596</v>
      </c>
      <c r="C387" s="19" t="s">
        <v>35</v>
      </c>
      <c r="D387" s="19" t="s">
        <v>36</v>
      </c>
      <c r="E387" s="19" t="s">
        <v>36</v>
      </c>
      <c r="F387" s="19" t="s">
        <v>36</v>
      </c>
      <c r="G387" s="19" t="s">
        <v>37</v>
      </c>
      <c r="K387" s="19" t="s">
        <v>38</v>
      </c>
      <c r="L387" s="19" t="s">
        <v>39</v>
      </c>
      <c r="M387" s="19" t="s">
        <v>40</v>
      </c>
      <c r="N387" s="19" t="s">
        <v>41</v>
      </c>
      <c r="R387" s="19" t="s">
        <v>54</v>
      </c>
      <c r="T387" s="21">
        <v>532666.39</v>
      </c>
      <c r="U387" s="19" t="s">
        <v>56</v>
      </c>
      <c r="V387" s="19">
        <v>11</v>
      </c>
      <c r="W387" s="19" t="s">
        <v>53</v>
      </c>
      <c r="X387" s="19" t="s">
        <v>781</v>
      </c>
      <c r="Y387" s="19" t="s">
        <v>780</v>
      </c>
      <c r="Z387" s="19" t="s">
        <v>44</v>
      </c>
    </row>
    <row r="388" spans="1:26" x14ac:dyDescent="0.3">
      <c r="A388" s="19" t="s">
        <v>108</v>
      </c>
      <c r="B388" s="20">
        <v>45597</v>
      </c>
      <c r="C388" s="19" t="s">
        <v>35</v>
      </c>
      <c r="D388" s="19" t="s">
        <v>36</v>
      </c>
      <c r="E388" s="19" t="s">
        <v>36</v>
      </c>
      <c r="F388" s="19" t="s">
        <v>36</v>
      </c>
      <c r="G388" s="19" t="s">
        <v>37</v>
      </c>
      <c r="K388" s="19" t="s">
        <v>38</v>
      </c>
      <c r="L388" s="19" t="s">
        <v>39</v>
      </c>
      <c r="M388" s="19" t="s">
        <v>40</v>
      </c>
      <c r="N388" s="19" t="s">
        <v>41</v>
      </c>
      <c r="R388" s="19" t="s">
        <v>54</v>
      </c>
      <c r="S388" s="21">
        <v>532666.39</v>
      </c>
      <c r="U388" s="19" t="s">
        <v>56</v>
      </c>
      <c r="V388" s="19">
        <v>11</v>
      </c>
      <c r="W388" s="19" t="s">
        <v>55</v>
      </c>
      <c r="X388" s="19" t="s">
        <v>782</v>
      </c>
      <c r="Y388" s="19" t="s">
        <v>783</v>
      </c>
      <c r="Z388" s="19" t="s">
        <v>44</v>
      </c>
    </row>
    <row r="389" spans="1:26" x14ac:dyDescent="0.3">
      <c r="A389" s="19" t="s">
        <v>108</v>
      </c>
      <c r="B389" s="20">
        <v>45597</v>
      </c>
      <c r="C389" s="19" t="s">
        <v>35</v>
      </c>
      <c r="D389" s="19" t="s">
        <v>36</v>
      </c>
      <c r="E389" s="19" t="s">
        <v>36</v>
      </c>
      <c r="F389" s="19" t="s">
        <v>36</v>
      </c>
      <c r="G389" s="19" t="s">
        <v>37</v>
      </c>
      <c r="K389" s="19" t="s">
        <v>38</v>
      </c>
      <c r="L389" s="19" t="s">
        <v>39</v>
      </c>
      <c r="M389" s="19" t="s">
        <v>40</v>
      </c>
      <c r="N389" s="19" t="s">
        <v>41</v>
      </c>
      <c r="R389" s="19" t="s">
        <v>45</v>
      </c>
      <c r="T389" s="21">
        <v>532666.39</v>
      </c>
      <c r="U389" s="19" t="s">
        <v>56</v>
      </c>
      <c r="V389" s="19">
        <v>11</v>
      </c>
      <c r="W389" s="19" t="s">
        <v>55</v>
      </c>
      <c r="X389" s="19" t="s">
        <v>784</v>
      </c>
      <c r="Y389" s="19" t="s">
        <v>783</v>
      </c>
      <c r="Z389" s="19" t="s">
        <v>44</v>
      </c>
    </row>
    <row r="390" spans="1:26" x14ac:dyDescent="0.3">
      <c r="A390" s="19" t="s">
        <v>108</v>
      </c>
      <c r="B390" s="20">
        <v>45626</v>
      </c>
      <c r="C390" s="19" t="s">
        <v>46</v>
      </c>
      <c r="D390" s="19" t="s">
        <v>36</v>
      </c>
      <c r="E390" s="19" t="s">
        <v>36</v>
      </c>
      <c r="F390" s="19" t="s">
        <v>36</v>
      </c>
      <c r="G390" s="19" t="s">
        <v>37</v>
      </c>
      <c r="K390" s="19" t="s">
        <v>38</v>
      </c>
      <c r="L390" s="19" t="s">
        <v>39</v>
      </c>
      <c r="M390" s="19" t="s">
        <v>38</v>
      </c>
      <c r="N390" s="19" t="s">
        <v>41</v>
      </c>
      <c r="R390" s="19" t="s">
        <v>49</v>
      </c>
      <c r="S390" s="21">
        <v>7017.3310369999999</v>
      </c>
      <c r="U390" s="19" t="s">
        <v>56</v>
      </c>
      <c r="V390" s="19">
        <v>12</v>
      </c>
      <c r="W390" s="19" t="s">
        <v>57</v>
      </c>
      <c r="X390" s="19" t="s">
        <v>785</v>
      </c>
      <c r="Y390" s="19" t="s">
        <v>786</v>
      </c>
      <c r="Z390" s="19" t="s">
        <v>44</v>
      </c>
    </row>
    <row r="391" spans="1:26" x14ac:dyDescent="0.3">
      <c r="A391" s="19" t="s">
        <v>108</v>
      </c>
      <c r="B391" s="20">
        <v>45626</v>
      </c>
      <c r="C391" s="19" t="s">
        <v>46</v>
      </c>
      <c r="D391" s="19" t="s">
        <v>36</v>
      </c>
      <c r="E391" s="19" t="s">
        <v>36</v>
      </c>
      <c r="F391" s="19" t="s">
        <v>36</v>
      </c>
      <c r="G391" s="19" t="s">
        <v>37</v>
      </c>
      <c r="K391" s="19" t="s">
        <v>38</v>
      </c>
      <c r="L391" s="19" t="s">
        <v>39</v>
      </c>
      <c r="M391" s="19" t="s">
        <v>40</v>
      </c>
      <c r="N391" s="19" t="s">
        <v>41</v>
      </c>
      <c r="R391" s="19" t="s">
        <v>45</v>
      </c>
      <c r="S391" s="21">
        <v>42982.668962999996</v>
      </c>
      <c r="U391" s="19" t="s">
        <v>56</v>
      </c>
      <c r="V391" s="19">
        <v>12</v>
      </c>
      <c r="W391" s="19" t="s">
        <v>57</v>
      </c>
      <c r="X391" s="19" t="s">
        <v>787</v>
      </c>
      <c r="Y391" s="19" t="s">
        <v>786</v>
      </c>
      <c r="Z391" s="19" t="s">
        <v>44</v>
      </c>
    </row>
    <row r="392" spans="1:26" x14ac:dyDescent="0.3">
      <c r="A392" s="19" t="s">
        <v>108</v>
      </c>
      <c r="B392" s="20">
        <v>45626</v>
      </c>
      <c r="C392" s="19" t="s">
        <v>46</v>
      </c>
      <c r="D392" s="19" t="s">
        <v>36</v>
      </c>
      <c r="E392" s="19" t="s">
        <v>36</v>
      </c>
      <c r="F392" s="19" t="s">
        <v>36</v>
      </c>
      <c r="G392" s="19" t="s">
        <v>37</v>
      </c>
      <c r="K392" s="19" t="s">
        <v>38</v>
      </c>
      <c r="L392" s="19" t="s">
        <v>39</v>
      </c>
      <c r="M392" s="19" t="s">
        <v>40</v>
      </c>
      <c r="N392" s="19" t="s">
        <v>41</v>
      </c>
      <c r="R392" s="19" t="s">
        <v>58</v>
      </c>
      <c r="T392" s="21">
        <v>50000</v>
      </c>
      <c r="U392" s="19" t="s">
        <v>56</v>
      </c>
      <c r="V392" s="19">
        <v>12</v>
      </c>
      <c r="W392" s="19" t="s">
        <v>57</v>
      </c>
      <c r="X392" s="19" t="s">
        <v>788</v>
      </c>
      <c r="Y392" s="19" t="s">
        <v>786</v>
      </c>
      <c r="Z392" s="19" t="s">
        <v>44</v>
      </c>
    </row>
    <row r="393" spans="1:26" x14ac:dyDescent="0.3">
      <c r="A393" s="19" t="s">
        <v>109</v>
      </c>
      <c r="B393" s="20">
        <v>45626</v>
      </c>
      <c r="C393" s="19" t="s">
        <v>46</v>
      </c>
      <c r="D393" s="19" t="s">
        <v>36</v>
      </c>
      <c r="E393" s="19" t="s">
        <v>36</v>
      </c>
      <c r="F393" s="19" t="s">
        <v>36</v>
      </c>
      <c r="G393" s="19" t="s">
        <v>37</v>
      </c>
      <c r="K393" s="19" t="s">
        <v>38</v>
      </c>
      <c r="L393" s="19" t="s">
        <v>39</v>
      </c>
      <c r="M393" s="19" t="s">
        <v>40</v>
      </c>
      <c r="N393" s="19" t="s">
        <v>41</v>
      </c>
      <c r="R393" s="19" t="s">
        <v>47</v>
      </c>
      <c r="S393" s="21">
        <v>6766.5988020000004</v>
      </c>
      <c r="U393" s="19" t="s">
        <v>56</v>
      </c>
      <c r="V393" s="19">
        <v>8</v>
      </c>
      <c r="W393" s="19" t="s">
        <v>48</v>
      </c>
      <c r="X393" s="19" t="s">
        <v>789</v>
      </c>
      <c r="Y393" s="19" t="s">
        <v>790</v>
      </c>
      <c r="Z393" s="19" t="s">
        <v>44</v>
      </c>
    </row>
    <row r="394" spans="1:26" x14ac:dyDescent="0.3">
      <c r="A394" s="19" t="s">
        <v>109</v>
      </c>
      <c r="B394" s="20">
        <v>45626</v>
      </c>
      <c r="C394" s="19" t="s">
        <v>46</v>
      </c>
      <c r="D394" s="19" t="s">
        <v>36</v>
      </c>
      <c r="E394" s="19" t="s">
        <v>36</v>
      </c>
      <c r="F394" s="19" t="s">
        <v>36</v>
      </c>
      <c r="G394" s="19" t="s">
        <v>37</v>
      </c>
      <c r="K394" s="19" t="s">
        <v>38</v>
      </c>
      <c r="L394" s="19" t="s">
        <v>39</v>
      </c>
      <c r="M394" s="19" t="s">
        <v>38</v>
      </c>
      <c r="N394" s="19" t="s">
        <v>41</v>
      </c>
      <c r="R394" s="19" t="s">
        <v>49</v>
      </c>
      <c r="T394" s="21">
        <v>6766.5988020000004</v>
      </c>
      <c r="U394" s="19" t="s">
        <v>56</v>
      </c>
      <c r="V394" s="19">
        <v>8</v>
      </c>
      <c r="W394" s="19" t="s">
        <v>48</v>
      </c>
      <c r="X394" s="19" t="s">
        <v>791</v>
      </c>
      <c r="Y394" s="19" t="s">
        <v>790</v>
      </c>
      <c r="Z394" s="19" t="s">
        <v>44</v>
      </c>
    </row>
    <row r="395" spans="1:26" x14ac:dyDescent="0.3">
      <c r="A395" s="19" t="s">
        <v>109</v>
      </c>
      <c r="B395" s="20">
        <v>44562</v>
      </c>
      <c r="C395" s="19" t="s">
        <v>35</v>
      </c>
      <c r="D395" s="19" t="s">
        <v>36</v>
      </c>
      <c r="E395" s="19" t="s">
        <v>36</v>
      </c>
      <c r="F395" s="19" t="s">
        <v>36</v>
      </c>
      <c r="G395" s="19" t="s">
        <v>37</v>
      </c>
      <c r="K395" s="19" t="s">
        <v>38</v>
      </c>
      <c r="L395" s="19" t="s">
        <v>39</v>
      </c>
      <c r="M395" s="19" t="s">
        <v>40</v>
      </c>
      <c r="N395" s="19" t="s">
        <v>41</v>
      </c>
      <c r="R395" s="19" t="s">
        <v>50</v>
      </c>
      <c r="S395" s="21">
        <v>42330.49</v>
      </c>
      <c r="U395" s="19" t="s">
        <v>56</v>
      </c>
      <c r="V395" s="19">
        <v>10</v>
      </c>
      <c r="W395" s="19" t="s">
        <v>51</v>
      </c>
      <c r="X395" s="19" t="s">
        <v>792</v>
      </c>
      <c r="Y395" s="19" t="s">
        <v>793</v>
      </c>
      <c r="Z395" s="19" t="s">
        <v>44</v>
      </c>
    </row>
    <row r="396" spans="1:26" x14ac:dyDescent="0.3">
      <c r="A396" s="19" t="s">
        <v>109</v>
      </c>
      <c r="B396" s="20">
        <v>44562</v>
      </c>
      <c r="C396" s="19" t="s">
        <v>35</v>
      </c>
      <c r="D396" s="19" t="s">
        <v>36</v>
      </c>
      <c r="E396" s="19" t="s">
        <v>36</v>
      </c>
      <c r="F396" s="19" t="s">
        <v>36</v>
      </c>
      <c r="G396" s="19" t="s">
        <v>37</v>
      </c>
      <c r="K396" s="19" t="s">
        <v>38</v>
      </c>
      <c r="L396" s="19" t="s">
        <v>39</v>
      </c>
      <c r="M396" s="19" t="s">
        <v>40</v>
      </c>
      <c r="N396" s="19" t="s">
        <v>41</v>
      </c>
      <c r="R396" s="19" t="s">
        <v>52</v>
      </c>
      <c r="T396" s="21">
        <v>42330.49</v>
      </c>
      <c r="U396" s="19" t="s">
        <v>56</v>
      </c>
      <c r="V396" s="19">
        <v>10</v>
      </c>
      <c r="W396" s="19" t="s">
        <v>51</v>
      </c>
      <c r="X396" s="19" t="s">
        <v>794</v>
      </c>
      <c r="Y396" s="19" t="s">
        <v>793</v>
      </c>
      <c r="Z396" s="19" t="s">
        <v>44</v>
      </c>
    </row>
    <row r="397" spans="1:26" x14ac:dyDescent="0.3">
      <c r="A397" s="19" t="s">
        <v>109</v>
      </c>
      <c r="B397" s="20">
        <v>45626</v>
      </c>
      <c r="C397" s="19" t="s">
        <v>35</v>
      </c>
      <c r="D397" s="19" t="s">
        <v>36</v>
      </c>
      <c r="E397" s="19" t="s">
        <v>36</v>
      </c>
      <c r="F397" s="19" t="s">
        <v>36</v>
      </c>
      <c r="G397" s="19" t="s">
        <v>37</v>
      </c>
      <c r="K397" s="19" t="s">
        <v>38</v>
      </c>
      <c r="L397" s="19" t="s">
        <v>39</v>
      </c>
      <c r="M397" s="19" t="s">
        <v>40</v>
      </c>
      <c r="N397" s="19" t="s">
        <v>41</v>
      </c>
      <c r="R397" s="19" t="s">
        <v>45</v>
      </c>
      <c r="S397" s="21">
        <v>535773.61</v>
      </c>
      <c r="U397" s="19" t="s">
        <v>56</v>
      </c>
      <c r="V397" s="19">
        <v>11</v>
      </c>
      <c r="W397" s="19" t="s">
        <v>53</v>
      </c>
      <c r="X397" s="19" t="s">
        <v>795</v>
      </c>
      <c r="Y397" s="19" t="s">
        <v>796</v>
      </c>
      <c r="Z397" s="19" t="s">
        <v>44</v>
      </c>
    </row>
    <row r="398" spans="1:26" x14ac:dyDescent="0.3">
      <c r="A398" s="19" t="s">
        <v>109</v>
      </c>
      <c r="B398" s="20">
        <v>45626</v>
      </c>
      <c r="C398" s="19" t="s">
        <v>35</v>
      </c>
      <c r="D398" s="19" t="s">
        <v>36</v>
      </c>
      <c r="E398" s="19" t="s">
        <v>36</v>
      </c>
      <c r="F398" s="19" t="s">
        <v>36</v>
      </c>
      <c r="G398" s="19" t="s">
        <v>37</v>
      </c>
      <c r="K398" s="19" t="s">
        <v>38</v>
      </c>
      <c r="L398" s="19" t="s">
        <v>39</v>
      </c>
      <c r="M398" s="19" t="s">
        <v>40</v>
      </c>
      <c r="N398" s="19" t="s">
        <v>41</v>
      </c>
      <c r="R398" s="19" t="s">
        <v>54</v>
      </c>
      <c r="T398" s="21">
        <v>535773.61</v>
      </c>
      <c r="U398" s="19" t="s">
        <v>56</v>
      </c>
      <c r="V398" s="19">
        <v>11</v>
      </c>
      <c r="W398" s="19" t="s">
        <v>53</v>
      </c>
      <c r="X398" s="19" t="s">
        <v>797</v>
      </c>
      <c r="Y398" s="19" t="s">
        <v>796</v>
      </c>
      <c r="Z398" s="19" t="s">
        <v>44</v>
      </c>
    </row>
    <row r="399" spans="1:26" x14ac:dyDescent="0.3">
      <c r="A399" s="19" t="s">
        <v>110</v>
      </c>
      <c r="B399" s="20">
        <v>45627</v>
      </c>
      <c r="C399" s="19" t="s">
        <v>35</v>
      </c>
      <c r="D399" s="19" t="s">
        <v>36</v>
      </c>
      <c r="E399" s="19" t="s">
        <v>36</v>
      </c>
      <c r="F399" s="19" t="s">
        <v>36</v>
      </c>
      <c r="G399" s="19" t="s">
        <v>37</v>
      </c>
      <c r="K399" s="19" t="s">
        <v>38</v>
      </c>
      <c r="L399" s="19" t="s">
        <v>39</v>
      </c>
      <c r="M399" s="19" t="s">
        <v>40</v>
      </c>
      <c r="N399" s="19" t="s">
        <v>41</v>
      </c>
      <c r="R399" s="19" t="s">
        <v>54</v>
      </c>
      <c r="S399" s="21">
        <v>535773.61</v>
      </c>
      <c r="U399" s="19" t="s">
        <v>56</v>
      </c>
      <c r="V399" s="19">
        <v>11</v>
      </c>
      <c r="W399" s="19" t="s">
        <v>55</v>
      </c>
      <c r="X399" s="19" t="s">
        <v>798</v>
      </c>
      <c r="Y399" s="19" t="s">
        <v>799</v>
      </c>
      <c r="Z399" s="19" t="s">
        <v>44</v>
      </c>
    </row>
    <row r="400" spans="1:26" x14ac:dyDescent="0.3">
      <c r="A400" s="19" t="s">
        <v>110</v>
      </c>
      <c r="B400" s="20">
        <v>45627</v>
      </c>
      <c r="C400" s="19" t="s">
        <v>35</v>
      </c>
      <c r="D400" s="19" t="s">
        <v>36</v>
      </c>
      <c r="E400" s="19" t="s">
        <v>36</v>
      </c>
      <c r="F400" s="19" t="s">
        <v>36</v>
      </c>
      <c r="G400" s="19" t="s">
        <v>37</v>
      </c>
      <c r="K400" s="19" t="s">
        <v>38</v>
      </c>
      <c r="L400" s="19" t="s">
        <v>39</v>
      </c>
      <c r="M400" s="19" t="s">
        <v>40</v>
      </c>
      <c r="N400" s="19" t="s">
        <v>41</v>
      </c>
      <c r="R400" s="19" t="s">
        <v>45</v>
      </c>
      <c r="T400" s="21">
        <v>535773.61</v>
      </c>
      <c r="U400" s="19" t="s">
        <v>56</v>
      </c>
      <c r="V400" s="19">
        <v>11</v>
      </c>
      <c r="W400" s="19" t="s">
        <v>55</v>
      </c>
      <c r="X400" s="19" t="s">
        <v>800</v>
      </c>
      <c r="Y400" s="19" t="s">
        <v>799</v>
      </c>
      <c r="Z400" s="19" t="s">
        <v>44</v>
      </c>
    </row>
    <row r="401" spans="1:26" x14ac:dyDescent="0.3">
      <c r="A401" s="19" t="s">
        <v>110</v>
      </c>
      <c r="B401" s="20">
        <v>45657</v>
      </c>
      <c r="C401" s="19" t="s">
        <v>46</v>
      </c>
      <c r="D401" s="19" t="s">
        <v>36</v>
      </c>
      <c r="E401" s="19" t="s">
        <v>36</v>
      </c>
      <c r="F401" s="19" t="s">
        <v>36</v>
      </c>
      <c r="G401" s="19" t="s">
        <v>37</v>
      </c>
      <c r="K401" s="19" t="s">
        <v>38</v>
      </c>
      <c r="L401" s="19" t="s">
        <v>39</v>
      </c>
      <c r="M401" s="19" t="s">
        <v>38</v>
      </c>
      <c r="N401" s="19" t="s">
        <v>41</v>
      </c>
      <c r="R401" s="19" t="s">
        <v>49</v>
      </c>
      <c r="S401" s="21">
        <v>6766.5988020000004</v>
      </c>
      <c r="U401" s="19" t="s">
        <v>56</v>
      </c>
      <c r="V401" s="19">
        <v>12</v>
      </c>
      <c r="W401" s="19" t="s">
        <v>57</v>
      </c>
      <c r="X401" s="19" t="s">
        <v>801</v>
      </c>
      <c r="Y401" s="19" t="s">
        <v>802</v>
      </c>
      <c r="Z401" s="19" t="s">
        <v>44</v>
      </c>
    </row>
    <row r="402" spans="1:26" x14ac:dyDescent="0.3">
      <c r="A402" s="19" t="s">
        <v>110</v>
      </c>
      <c r="B402" s="20">
        <v>45657</v>
      </c>
      <c r="C402" s="19" t="s">
        <v>46</v>
      </c>
      <c r="D402" s="19" t="s">
        <v>36</v>
      </c>
      <c r="E402" s="19" t="s">
        <v>36</v>
      </c>
      <c r="F402" s="19" t="s">
        <v>36</v>
      </c>
      <c r="G402" s="19" t="s">
        <v>37</v>
      </c>
      <c r="K402" s="19" t="s">
        <v>38</v>
      </c>
      <c r="L402" s="19" t="s">
        <v>39</v>
      </c>
      <c r="M402" s="19" t="s">
        <v>40</v>
      </c>
      <c r="N402" s="19" t="s">
        <v>41</v>
      </c>
      <c r="R402" s="19" t="s">
        <v>45</v>
      </c>
      <c r="S402" s="21">
        <v>43233.401198</v>
      </c>
      <c r="U402" s="19" t="s">
        <v>56</v>
      </c>
      <c r="V402" s="19">
        <v>12</v>
      </c>
      <c r="W402" s="19" t="s">
        <v>57</v>
      </c>
      <c r="X402" s="19" t="s">
        <v>803</v>
      </c>
      <c r="Y402" s="19" t="s">
        <v>802</v>
      </c>
      <c r="Z402" s="19" t="s">
        <v>44</v>
      </c>
    </row>
    <row r="403" spans="1:26" x14ac:dyDescent="0.3">
      <c r="A403" s="19" t="s">
        <v>110</v>
      </c>
      <c r="B403" s="20">
        <v>45657</v>
      </c>
      <c r="C403" s="19" t="s">
        <v>46</v>
      </c>
      <c r="D403" s="19" t="s">
        <v>36</v>
      </c>
      <c r="E403" s="19" t="s">
        <v>36</v>
      </c>
      <c r="F403" s="19" t="s">
        <v>36</v>
      </c>
      <c r="G403" s="19" t="s">
        <v>37</v>
      </c>
      <c r="K403" s="19" t="s">
        <v>38</v>
      </c>
      <c r="L403" s="19" t="s">
        <v>39</v>
      </c>
      <c r="M403" s="19" t="s">
        <v>40</v>
      </c>
      <c r="N403" s="19" t="s">
        <v>41</v>
      </c>
      <c r="R403" s="19" t="s">
        <v>58</v>
      </c>
      <c r="T403" s="21">
        <v>50000</v>
      </c>
      <c r="U403" s="19" t="s">
        <v>56</v>
      </c>
      <c r="V403" s="19">
        <v>12</v>
      </c>
      <c r="W403" s="19" t="s">
        <v>57</v>
      </c>
      <c r="X403" s="19" t="s">
        <v>804</v>
      </c>
      <c r="Y403" s="19" t="s">
        <v>802</v>
      </c>
      <c r="Z403" s="19" t="s">
        <v>44</v>
      </c>
    </row>
    <row r="404" spans="1:26" x14ac:dyDescent="0.3">
      <c r="A404" s="19" t="s">
        <v>111</v>
      </c>
      <c r="B404" s="20">
        <v>45657</v>
      </c>
      <c r="C404" s="19" t="s">
        <v>46</v>
      </c>
      <c r="D404" s="19" t="s">
        <v>36</v>
      </c>
      <c r="E404" s="19" t="s">
        <v>36</v>
      </c>
      <c r="F404" s="19" t="s">
        <v>36</v>
      </c>
      <c r="G404" s="19" t="s">
        <v>37</v>
      </c>
      <c r="K404" s="19" t="s">
        <v>38</v>
      </c>
      <c r="L404" s="19" t="s">
        <v>39</v>
      </c>
      <c r="M404" s="19" t="s">
        <v>40</v>
      </c>
      <c r="N404" s="19" t="s">
        <v>41</v>
      </c>
      <c r="R404" s="19" t="s">
        <v>47</v>
      </c>
      <c r="S404" s="21">
        <v>6514.403961</v>
      </c>
      <c r="U404" s="19" t="s">
        <v>56</v>
      </c>
      <c r="V404" s="19">
        <v>8</v>
      </c>
      <c r="W404" s="19" t="s">
        <v>48</v>
      </c>
      <c r="X404" s="19" t="s">
        <v>805</v>
      </c>
      <c r="Y404" s="19" t="s">
        <v>806</v>
      </c>
      <c r="Z404" s="19" t="s">
        <v>44</v>
      </c>
    </row>
    <row r="405" spans="1:26" x14ac:dyDescent="0.3">
      <c r="A405" s="19" t="s">
        <v>111</v>
      </c>
      <c r="B405" s="20">
        <v>45657</v>
      </c>
      <c r="C405" s="19" t="s">
        <v>46</v>
      </c>
      <c r="D405" s="19" t="s">
        <v>36</v>
      </c>
      <c r="E405" s="19" t="s">
        <v>36</v>
      </c>
      <c r="F405" s="19" t="s">
        <v>36</v>
      </c>
      <c r="G405" s="19" t="s">
        <v>37</v>
      </c>
      <c r="K405" s="19" t="s">
        <v>38</v>
      </c>
      <c r="L405" s="19" t="s">
        <v>39</v>
      </c>
      <c r="M405" s="19" t="s">
        <v>38</v>
      </c>
      <c r="N405" s="19" t="s">
        <v>41</v>
      </c>
      <c r="R405" s="19" t="s">
        <v>49</v>
      </c>
      <c r="T405" s="21">
        <v>6514.403961</v>
      </c>
      <c r="U405" s="19" t="s">
        <v>56</v>
      </c>
      <c r="V405" s="19">
        <v>8</v>
      </c>
      <c r="W405" s="19" t="s">
        <v>48</v>
      </c>
      <c r="X405" s="19" t="s">
        <v>807</v>
      </c>
      <c r="Y405" s="19" t="s">
        <v>806</v>
      </c>
      <c r="Z405" s="19" t="s">
        <v>44</v>
      </c>
    </row>
    <row r="406" spans="1:26" x14ac:dyDescent="0.3">
      <c r="A406" s="19" t="s">
        <v>111</v>
      </c>
      <c r="B406" s="20">
        <v>44562</v>
      </c>
      <c r="C406" s="19" t="s">
        <v>35</v>
      </c>
      <c r="D406" s="19" t="s">
        <v>36</v>
      </c>
      <c r="E406" s="19" t="s">
        <v>36</v>
      </c>
      <c r="F406" s="19" t="s">
        <v>36</v>
      </c>
      <c r="G406" s="19" t="s">
        <v>37</v>
      </c>
      <c r="K406" s="19" t="s">
        <v>38</v>
      </c>
      <c r="L406" s="19" t="s">
        <v>39</v>
      </c>
      <c r="M406" s="19" t="s">
        <v>40</v>
      </c>
      <c r="N406" s="19" t="s">
        <v>41</v>
      </c>
      <c r="R406" s="19" t="s">
        <v>50</v>
      </c>
      <c r="S406" s="21">
        <v>42330.49</v>
      </c>
      <c r="U406" s="19" t="s">
        <v>56</v>
      </c>
      <c r="V406" s="19">
        <v>10</v>
      </c>
      <c r="W406" s="19" t="s">
        <v>51</v>
      </c>
      <c r="X406" s="19" t="s">
        <v>808</v>
      </c>
      <c r="Y406" s="19" t="s">
        <v>809</v>
      </c>
      <c r="Z406" s="19" t="s">
        <v>44</v>
      </c>
    </row>
    <row r="407" spans="1:26" x14ac:dyDescent="0.3">
      <c r="A407" s="19" t="s">
        <v>111</v>
      </c>
      <c r="B407" s="20">
        <v>44562</v>
      </c>
      <c r="C407" s="19" t="s">
        <v>35</v>
      </c>
      <c r="D407" s="19" t="s">
        <v>36</v>
      </c>
      <c r="E407" s="19" t="s">
        <v>36</v>
      </c>
      <c r="F407" s="19" t="s">
        <v>36</v>
      </c>
      <c r="G407" s="19" t="s">
        <v>37</v>
      </c>
      <c r="K407" s="19" t="s">
        <v>38</v>
      </c>
      <c r="L407" s="19" t="s">
        <v>39</v>
      </c>
      <c r="M407" s="19" t="s">
        <v>40</v>
      </c>
      <c r="N407" s="19" t="s">
        <v>41</v>
      </c>
      <c r="R407" s="19" t="s">
        <v>52</v>
      </c>
      <c r="T407" s="21">
        <v>42330.49</v>
      </c>
      <c r="U407" s="19" t="s">
        <v>56</v>
      </c>
      <c r="V407" s="19">
        <v>10</v>
      </c>
      <c r="W407" s="19" t="s">
        <v>51</v>
      </c>
      <c r="X407" s="19" t="s">
        <v>810</v>
      </c>
      <c r="Y407" s="19" t="s">
        <v>809</v>
      </c>
      <c r="Z407" s="19" t="s">
        <v>44</v>
      </c>
    </row>
    <row r="408" spans="1:26" x14ac:dyDescent="0.3">
      <c r="A408" s="19" t="s">
        <v>111</v>
      </c>
      <c r="B408" s="20">
        <v>45657</v>
      </c>
      <c r="C408" s="19" t="s">
        <v>35</v>
      </c>
      <c r="D408" s="19" t="s">
        <v>36</v>
      </c>
      <c r="E408" s="19" t="s">
        <v>36</v>
      </c>
      <c r="F408" s="19" t="s">
        <v>36</v>
      </c>
      <c r="G408" s="19" t="s">
        <v>37</v>
      </c>
      <c r="K408" s="19" t="s">
        <v>38</v>
      </c>
      <c r="L408" s="19" t="s">
        <v>39</v>
      </c>
      <c r="M408" s="19" t="s">
        <v>40</v>
      </c>
      <c r="N408" s="19" t="s">
        <v>41</v>
      </c>
      <c r="R408" s="19" t="s">
        <v>45</v>
      </c>
      <c r="S408" s="21">
        <v>538898.96</v>
      </c>
      <c r="U408" s="19" t="s">
        <v>56</v>
      </c>
      <c r="V408" s="19">
        <v>11</v>
      </c>
      <c r="W408" s="19" t="s">
        <v>53</v>
      </c>
      <c r="X408" s="19" t="s">
        <v>811</v>
      </c>
      <c r="Y408" s="19" t="s">
        <v>812</v>
      </c>
      <c r="Z408" s="19" t="s">
        <v>44</v>
      </c>
    </row>
    <row r="409" spans="1:26" x14ac:dyDescent="0.3">
      <c r="A409" s="19" t="s">
        <v>111</v>
      </c>
      <c r="B409" s="20">
        <v>45657</v>
      </c>
      <c r="C409" s="19" t="s">
        <v>35</v>
      </c>
      <c r="D409" s="19" t="s">
        <v>36</v>
      </c>
      <c r="E409" s="19" t="s">
        <v>36</v>
      </c>
      <c r="F409" s="19" t="s">
        <v>36</v>
      </c>
      <c r="G409" s="19" t="s">
        <v>37</v>
      </c>
      <c r="K409" s="19" t="s">
        <v>38</v>
      </c>
      <c r="L409" s="19" t="s">
        <v>39</v>
      </c>
      <c r="M409" s="19" t="s">
        <v>40</v>
      </c>
      <c r="N409" s="19" t="s">
        <v>41</v>
      </c>
      <c r="R409" s="19" t="s">
        <v>54</v>
      </c>
      <c r="T409" s="21">
        <v>538898.96</v>
      </c>
      <c r="U409" s="19" t="s">
        <v>56</v>
      </c>
      <c r="V409" s="19">
        <v>11</v>
      </c>
      <c r="W409" s="19" t="s">
        <v>53</v>
      </c>
      <c r="X409" s="19" t="s">
        <v>813</v>
      </c>
      <c r="Y409" s="19" t="s">
        <v>812</v>
      </c>
      <c r="Z409" s="19" t="s">
        <v>44</v>
      </c>
    </row>
    <row r="410" spans="1:26" x14ac:dyDescent="0.3">
      <c r="A410" s="19" t="s">
        <v>112</v>
      </c>
      <c r="B410" s="20">
        <v>45658</v>
      </c>
      <c r="C410" s="19" t="s">
        <v>35</v>
      </c>
      <c r="D410" s="19" t="s">
        <v>36</v>
      </c>
      <c r="E410" s="19" t="s">
        <v>36</v>
      </c>
      <c r="F410" s="19" t="s">
        <v>36</v>
      </c>
      <c r="G410" s="19" t="s">
        <v>37</v>
      </c>
      <c r="K410" s="19" t="s">
        <v>38</v>
      </c>
      <c r="L410" s="19" t="s">
        <v>39</v>
      </c>
      <c r="M410" s="19" t="s">
        <v>40</v>
      </c>
      <c r="N410" s="19" t="s">
        <v>41</v>
      </c>
      <c r="R410" s="19" t="s">
        <v>54</v>
      </c>
      <c r="S410" s="21">
        <v>538898.96</v>
      </c>
      <c r="U410" s="19" t="s">
        <v>56</v>
      </c>
      <c r="V410" s="19">
        <v>11</v>
      </c>
      <c r="W410" s="19" t="s">
        <v>55</v>
      </c>
      <c r="X410" s="19" t="s">
        <v>814</v>
      </c>
      <c r="Y410" s="19" t="s">
        <v>815</v>
      </c>
      <c r="Z410" s="19" t="s">
        <v>44</v>
      </c>
    </row>
    <row r="411" spans="1:26" x14ac:dyDescent="0.3">
      <c r="A411" s="19" t="s">
        <v>112</v>
      </c>
      <c r="B411" s="20">
        <v>45658</v>
      </c>
      <c r="C411" s="19" t="s">
        <v>35</v>
      </c>
      <c r="D411" s="19" t="s">
        <v>36</v>
      </c>
      <c r="E411" s="19" t="s">
        <v>36</v>
      </c>
      <c r="F411" s="19" t="s">
        <v>36</v>
      </c>
      <c r="G411" s="19" t="s">
        <v>37</v>
      </c>
      <c r="K411" s="19" t="s">
        <v>38</v>
      </c>
      <c r="L411" s="19" t="s">
        <v>39</v>
      </c>
      <c r="M411" s="19" t="s">
        <v>40</v>
      </c>
      <c r="N411" s="19" t="s">
        <v>41</v>
      </c>
      <c r="R411" s="19" t="s">
        <v>45</v>
      </c>
      <c r="T411" s="21">
        <v>538898.96</v>
      </c>
      <c r="U411" s="19" t="s">
        <v>56</v>
      </c>
      <c r="V411" s="19">
        <v>11</v>
      </c>
      <c r="W411" s="19" t="s">
        <v>55</v>
      </c>
      <c r="X411" s="19" t="s">
        <v>816</v>
      </c>
      <c r="Y411" s="19" t="s">
        <v>815</v>
      </c>
      <c r="Z411" s="19" t="s">
        <v>44</v>
      </c>
    </row>
    <row r="412" spans="1:26" x14ac:dyDescent="0.3">
      <c r="A412" s="19" t="s">
        <v>112</v>
      </c>
      <c r="B412" s="20">
        <v>45688</v>
      </c>
      <c r="C412" s="19" t="s">
        <v>46</v>
      </c>
      <c r="D412" s="19" t="s">
        <v>36</v>
      </c>
      <c r="E412" s="19" t="s">
        <v>36</v>
      </c>
      <c r="F412" s="19" t="s">
        <v>36</v>
      </c>
      <c r="G412" s="19" t="s">
        <v>37</v>
      </c>
      <c r="K412" s="19" t="s">
        <v>38</v>
      </c>
      <c r="L412" s="19" t="s">
        <v>39</v>
      </c>
      <c r="M412" s="19" t="s">
        <v>38</v>
      </c>
      <c r="N412" s="19" t="s">
        <v>41</v>
      </c>
      <c r="R412" s="19" t="s">
        <v>49</v>
      </c>
      <c r="S412" s="21">
        <v>6514.403961</v>
      </c>
      <c r="U412" s="19" t="s">
        <v>56</v>
      </c>
      <c r="V412" s="19">
        <v>12</v>
      </c>
      <c r="W412" s="19" t="s">
        <v>57</v>
      </c>
      <c r="X412" s="19" t="s">
        <v>817</v>
      </c>
      <c r="Y412" s="19" t="s">
        <v>818</v>
      </c>
      <c r="Z412" s="19" t="s">
        <v>44</v>
      </c>
    </row>
    <row r="413" spans="1:26" x14ac:dyDescent="0.3">
      <c r="A413" s="19" t="s">
        <v>112</v>
      </c>
      <c r="B413" s="20">
        <v>45688</v>
      </c>
      <c r="C413" s="19" t="s">
        <v>46</v>
      </c>
      <c r="D413" s="19" t="s">
        <v>36</v>
      </c>
      <c r="E413" s="19" t="s">
        <v>36</v>
      </c>
      <c r="F413" s="19" t="s">
        <v>36</v>
      </c>
      <c r="G413" s="19" t="s">
        <v>37</v>
      </c>
      <c r="K413" s="19" t="s">
        <v>38</v>
      </c>
      <c r="L413" s="19" t="s">
        <v>39</v>
      </c>
      <c r="M413" s="19" t="s">
        <v>40</v>
      </c>
      <c r="N413" s="19" t="s">
        <v>41</v>
      </c>
      <c r="R413" s="19" t="s">
        <v>45</v>
      </c>
      <c r="S413" s="21">
        <v>43485.596038999996</v>
      </c>
      <c r="U413" s="19" t="s">
        <v>56</v>
      </c>
      <c r="V413" s="19">
        <v>12</v>
      </c>
      <c r="W413" s="19" t="s">
        <v>57</v>
      </c>
      <c r="X413" s="19" t="s">
        <v>819</v>
      </c>
      <c r="Y413" s="19" t="s">
        <v>818</v>
      </c>
      <c r="Z413" s="19" t="s">
        <v>44</v>
      </c>
    </row>
    <row r="414" spans="1:26" x14ac:dyDescent="0.3">
      <c r="A414" s="19" t="s">
        <v>112</v>
      </c>
      <c r="B414" s="20">
        <v>45688</v>
      </c>
      <c r="C414" s="19" t="s">
        <v>46</v>
      </c>
      <c r="D414" s="19" t="s">
        <v>36</v>
      </c>
      <c r="E414" s="19" t="s">
        <v>36</v>
      </c>
      <c r="F414" s="19" t="s">
        <v>36</v>
      </c>
      <c r="G414" s="19" t="s">
        <v>37</v>
      </c>
      <c r="K414" s="19" t="s">
        <v>38</v>
      </c>
      <c r="L414" s="19" t="s">
        <v>39</v>
      </c>
      <c r="M414" s="19" t="s">
        <v>40</v>
      </c>
      <c r="N414" s="19" t="s">
        <v>41</v>
      </c>
      <c r="R414" s="19" t="s">
        <v>58</v>
      </c>
      <c r="T414" s="21">
        <v>50000</v>
      </c>
      <c r="U414" s="19" t="s">
        <v>56</v>
      </c>
      <c r="V414" s="19">
        <v>12</v>
      </c>
      <c r="W414" s="19" t="s">
        <v>57</v>
      </c>
      <c r="X414" s="19" t="s">
        <v>820</v>
      </c>
      <c r="Y414" s="19" t="s">
        <v>818</v>
      </c>
      <c r="Z414" s="19" t="s">
        <v>44</v>
      </c>
    </row>
    <row r="415" spans="1:26" x14ac:dyDescent="0.3">
      <c r="A415" s="19" t="s">
        <v>113</v>
      </c>
      <c r="B415" s="20">
        <v>45688</v>
      </c>
      <c r="C415" s="19" t="s">
        <v>46</v>
      </c>
      <c r="D415" s="19" t="s">
        <v>36</v>
      </c>
      <c r="E415" s="19" t="s">
        <v>36</v>
      </c>
      <c r="F415" s="19" t="s">
        <v>36</v>
      </c>
      <c r="G415" s="19" t="s">
        <v>37</v>
      </c>
      <c r="K415" s="19" t="s">
        <v>38</v>
      </c>
      <c r="L415" s="19" t="s">
        <v>39</v>
      </c>
      <c r="M415" s="19" t="s">
        <v>40</v>
      </c>
      <c r="N415" s="19" t="s">
        <v>41</v>
      </c>
      <c r="R415" s="19" t="s">
        <v>47</v>
      </c>
      <c r="S415" s="21">
        <v>6260.7379840000003</v>
      </c>
      <c r="U415" s="19" t="s">
        <v>56</v>
      </c>
      <c r="V415" s="19">
        <v>8</v>
      </c>
      <c r="W415" s="19" t="s">
        <v>48</v>
      </c>
      <c r="X415" s="19" t="s">
        <v>821</v>
      </c>
      <c r="Y415" s="19" t="s">
        <v>822</v>
      </c>
      <c r="Z415" s="19" t="s">
        <v>44</v>
      </c>
    </row>
    <row r="416" spans="1:26" x14ac:dyDescent="0.3">
      <c r="A416" s="19" t="s">
        <v>113</v>
      </c>
      <c r="B416" s="20">
        <v>45688</v>
      </c>
      <c r="C416" s="19" t="s">
        <v>46</v>
      </c>
      <c r="D416" s="19" t="s">
        <v>36</v>
      </c>
      <c r="E416" s="19" t="s">
        <v>36</v>
      </c>
      <c r="F416" s="19" t="s">
        <v>36</v>
      </c>
      <c r="G416" s="19" t="s">
        <v>37</v>
      </c>
      <c r="K416" s="19" t="s">
        <v>38</v>
      </c>
      <c r="L416" s="19" t="s">
        <v>39</v>
      </c>
      <c r="M416" s="19" t="s">
        <v>38</v>
      </c>
      <c r="N416" s="19" t="s">
        <v>41</v>
      </c>
      <c r="R416" s="19" t="s">
        <v>49</v>
      </c>
      <c r="T416" s="21">
        <v>6260.7379840000003</v>
      </c>
      <c r="U416" s="19" t="s">
        <v>56</v>
      </c>
      <c r="V416" s="19">
        <v>8</v>
      </c>
      <c r="W416" s="19" t="s">
        <v>48</v>
      </c>
      <c r="X416" s="19" t="s">
        <v>823</v>
      </c>
      <c r="Y416" s="19" t="s">
        <v>822</v>
      </c>
      <c r="Z416" s="19" t="s">
        <v>44</v>
      </c>
    </row>
    <row r="417" spans="1:26" x14ac:dyDescent="0.3">
      <c r="A417" s="19" t="s">
        <v>113</v>
      </c>
      <c r="B417" s="20">
        <v>44562</v>
      </c>
      <c r="C417" s="19" t="s">
        <v>35</v>
      </c>
      <c r="D417" s="19" t="s">
        <v>36</v>
      </c>
      <c r="E417" s="19" t="s">
        <v>36</v>
      </c>
      <c r="F417" s="19" t="s">
        <v>36</v>
      </c>
      <c r="G417" s="19" t="s">
        <v>37</v>
      </c>
      <c r="K417" s="19" t="s">
        <v>38</v>
      </c>
      <c r="L417" s="19" t="s">
        <v>39</v>
      </c>
      <c r="M417" s="19" t="s">
        <v>40</v>
      </c>
      <c r="N417" s="19" t="s">
        <v>41</v>
      </c>
      <c r="R417" s="19" t="s">
        <v>50</v>
      </c>
      <c r="S417" s="21">
        <v>42330.49</v>
      </c>
      <c r="U417" s="19" t="s">
        <v>56</v>
      </c>
      <c r="V417" s="19">
        <v>10</v>
      </c>
      <c r="W417" s="19" t="s">
        <v>51</v>
      </c>
      <c r="X417" s="19" t="s">
        <v>824</v>
      </c>
      <c r="Y417" s="19" t="s">
        <v>825</v>
      </c>
      <c r="Z417" s="19" t="s">
        <v>44</v>
      </c>
    </row>
    <row r="418" spans="1:26" x14ac:dyDescent="0.3">
      <c r="A418" s="19" t="s">
        <v>113</v>
      </c>
      <c r="B418" s="20">
        <v>44562</v>
      </c>
      <c r="C418" s="19" t="s">
        <v>35</v>
      </c>
      <c r="D418" s="19" t="s">
        <v>36</v>
      </c>
      <c r="E418" s="19" t="s">
        <v>36</v>
      </c>
      <c r="F418" s="19" t="s">
        <v>36</v>
      </c>
      <c r="G418" s="19" t="s">
        <v>37</v>
      </c>
      <c r="K418" s="19" t="s">
        <v>38</v>
      </c>
      <c r="L418" s="19" t="s">
        <v>39</v>
      </c>
      <c r="M418" s="19" t="s">
        <v>40</v>
      </c>
      <c r="N418" s="19" t="s">
        <v>41</v>
      </c>
      <c r="R418" s="19" t="s">
        <v>52</v>
      </c>
      <c r="T418" s="21">
        <v>42330.49</v>
      </c>
      <c r="U418" s="19" t="s">
        <v>56</v>
      </c>
      <c r="V418" s="19">
        <v>10</v>
      </c>
      <c r="W418" s="19" t="s">
        <v>51</v>
      </c>
      <c r="X418" s="19" t="s">
        <v>826</v>
      </c>
      <c r="Y418" s="19" t="s">
        <v>825</v>
      </c>
      <c r="Z418" s="19" t="s">
        <v>44</v>
      </c>
    </row>
    <row r="419" spans="1:26" x14ac:dyDescent="0.3">
      <c r="A419" s="19" t="s">
        <v>113</v>
      </c>
      <c r="B419" s="20">
        <v>45688</v>
      </c>
      <c r="C419" s="19" t="s">
        <v>35</v>
      </c>
      <c r="D419" s="19" t="s">
        <v>36</v>
      </c>
      <c r="E419" s="19" t="s">
        <v>36</v>
      </c>
      <c r="F419" s="19" t="s">
        <v>36</v>
      </c>
      <c r="G419" s="19" t="s">
        <v>37</v>
      </c>
      <c r="K419" s="19" t="s">
        <v>38</v>
      </c>
      <c r="L419" s="19" t="s">
        <v>39</v>
      </c>
      <c r="M419" s="19" t="s">
        <v>40</v>
      </c>
      <c r="N419" s="19" t="s">
        <v>41</v>
      </c>
      <c r="R419" s="19" t="s">
        <v>45</v>
      </c>
      <c r="S419" s="21">
        <v>542042.54</v>
      </c>
      <c r="U419" s="19" t="s">
        <v>56</v>
      </c>
      <c r="V419" s="19">
        <v>11</v>
      </c>
      <c r="W419" s="19" t="s">
        <v>53</v>
      </c>
      <c r="X419" s="19" t="s">
        <v>827</v>
      </c>
      <c r="Y419" s="19" t="s">
        <v>828</v>
      </c>
      <c r="Z419" s="19" t="s">
        <v>44</v>
      </c>
    </row>
    <row r="420" spans="1:26" x14ac:dyDescent="0.3">
      <c r="A420" s="19" t="s">
        <v>113</v>
      </c>
      <c r="B420" s="20">
        <v>45688</v>
      </c>
      <c r="C420" s="19" t="s">
        <v>35</v>
      </c>
      <c r="D420" s="19" t="s">
        <v>36</v>
      </c>
      <c r="E420" s="19" t="s">
        <v>36</v>
      </c>
      <c r="F420" s="19" t="s">
        <v>36</v>
      </c>
      <c r="G420" s="19" t="s">
        <v>37</v>
      </c>
      <c r="K420" s="19" t="s">
        <v>38</v>
      </c>
      <c r="L420" s="19" t="s">
        <v>39</v>
      </c>
      <c r="M420" s="19" t="s">
        <v>40</v>
      </c>
      <c r="N420" s="19" t="s">
        <v>41</v>
      </c>
      <c r="R420" s="19" t="s">
        <v>54</v>
      </c>
      <c r="T420" s="21">
        <v>542042.54</v>
      </c>
      <c r="U420" s="19" t="s">
        <v>56</v>
      </c>
      <c r="V420" s="19">
        <v>11</v>
      </c>
      <c r="W420" s="19" t="s">
        <v>53</v>
      </c>
      <c r="X420" s="19" t="s">
        <v>829</v>
      </c>
      <c r="Y420" s="19" t="s">
        <v>828</v>
      </c>
      <c r="Z420" s="19" t="s">
        <v>44</v>
      </c>
    </row>
    <row r="421" spans="1:26" x14ac:dyDescent="0.3">
      <c r="A421" s="19" t="s">
        <v>114</v>
      </c>
      <c r="B421" s="20">
        <v>45689</v>
      </c>
      <c r="C421" s="19" t="s">
        <v>35</v>
      </c>
      <c r="D421" s="19" t="s">
        <v>36</v>
      </c>
      <c r="E421" s="19" t="s">
        <v>36</v>
      </c>
      <c r="F421" s="19" t="s">
        <v>36</v>
      </c>
      <c r="G421" s="19" t="s">
        <v>37</v>
      </c>
      <c r="K421" s="19" t="s">
        <v>38</v>
      </c>
      <c r="L421" s="19" t="s">
        <v>39</v>
      </c>
      <c r="M421" s="19" t="s">
        <v>40</v>
      </c>
      <c r="N421" s="19" t="s">
        <v>41</v>
      </c>
      <c r="R421" s="19" t="s">
        <v>54</v>
      </c>
      <c r="S421" s="21">
        <v>542042.54</v>
      </c>
      <c r="U421" s="19" t="s">
        <v>56</v>
      </c>
      <c r="V421" s="19">
        <v>11</v>
      </c>
      <c r="W421" s="19" t="s">
        <v>55</v>
      </c>
      <c r="X421" s="19" t="s">
        <v>830</v>
      </c>
      <c r="Y421" s="19" t="s">
        <v>831</v>
      </c>
      <c r="Z421" s="19" t="s">
        <v>44</v>
      </c>
    </row>
    <row r="422" spans="1:26" x14ac:dyDescent="0.3">
      <c r="A422" s="19" t="s">
        <v>114</v>
      </c>
      <c r="B422" s="20">
        <v>45689</v>
      </c>
      <c r="C422" s="19" t="s">
        <v>35</v>
      </c>
      <c r="D422" s="19" t="s">
        <v>36</v>
      </c>
      <c r="E422" s="19" t="s">
        <v>36</v>
      </c>
      <c r="F422" s="19" t="s">
        <v>36</v>
      </c>
      <c r="G422" s="19" t="s">
        <v>37</v>
      </c>
      <c r="K422" s="19" t="s">
        <v>38</v>
      </c>
      <c r="L422" s="19" t="s">
        <v>39</v>
      </c>
      <c r="M422" s="19" t="s">
        <v>40</v>
      </c>
      <c r="N422" s="19" t="s">
        <v>41</v>
      </c>
      <c r="R422" s="19" t="s">
        <v>45</v>
      </c>
      <c r="T422" s="21">
        <v>542042.54</v>
      </c>
      <c r="U422" s="19" t="s">
        <v>56</v>
      </c>
      <c r="V422" s="19">
        <v>11</v>
      </c>
      <c r="W422" s="19" t="s">
        <v>55</v>
      </c>
      <c r="X422" s="19" t="s">
        <v>832</v>
      </c>
      <c r="Y422" s="19" t="s">
        <v>831</v>
      </c>
      <c r="Z422" s="19" t="s">
        <v>44</v>
      </c>
    </row>
    <row r="423" spans="1:26" x14ac:dyDescent="0.3">
      <c r="A423" s="19" t="s">
        <v>114</v>
      </c>
      <c r="B423" s="20">
        <v>45716</v>
      </c>
      <c r="C423" s="19" t="s">
        <v>46</v>
      </c>
      <c r="D423" s="19" t="s">
        <v>36</v>
      </c>
      <c r="E423" s="19" t="s">
        <v>36</v>
      </c>
      <c r="F423" s="19" t="s">
        <v>36</v>
      </c>
      <c r="G423" s="19" t="s">
        <v>37</v>
      </c>
      <c r="K423" s="19" t="s">
        <v>38</v>
      </c>
      <c r="L423" s="19" t="s">
        <v>39</v>
      </c>
      <c r="M423" s="19" t="s">
        <v>38</v>
      </c>
      <c r="N423" s="19" t="s">
        <v>41</v>
      </c>
      <c r="R423" s="19" t="s">
        <v>49</v>
      </c>
      <c r="S423" s="21">
        <v>6260.7379840000003</v>
      </c>
      <c r="U423" s="19" t="s">
        <v>56</v>
      </c>
      <c r="V423" s="19">
        <v>12</v>
      </c>
      <c r="W423" s="19" t="s">
        <v>57</v>
      </c>
      <c r="X423" s="19" t="s">
        <v>833</v>
      </c>
      <c r="Y423" s="19" t="s">
        <v>834</v>
      </c>
      <c r="Z423" s="19" t="s">
        <v>44</v>
      </c>
    </row>
    <row r="424" spans="1:26" x14ac:dyDescent="0.3">
      <c r="A424" s="19" t="s">
        <v>114</v>
      </c>
      <c r="B424" s="20">
        <v>45716</v>
      </c>
      <c r="C424" s="19" t="s">
        <v>46</v>
      </c>
      <c r="D424" s="19" t="s">
        <v>36</v>
      </c>
      <c r="E424" s="19" t="s">
        <v>36</v>
      </c>
      <c r="F424" s="19" t="s">
        <v>36</v>
      </c>
      <c r="G424" s="19" t="s">
        <v>37</v>
      </c>
      <c r="K424" s="19" t="s">
        <v>38</v>
      </c>
      <c r="L424" s="19" t="s">
        <v>39</v>
      </c>
      <c r="M424" s="19" t="s">
        <v>40</v>
      </c>
      <c r="N424" s="19" t="s">
        <v>41</v>
      </c>
      <c r="R424" s="19" t="s">
        <v>45</v>
      </c>
      <c r="S424" s="21">
        <v>43739.262016000001</v>
      </c>
      <c r="U424" s="19" t="s">
        <v>56</v>
      </c>
      <c r="V424" s="19">
        <v>12</v>
      </c>
      <c r="W424" s="19" t="s">
        <v>57</v>
      </c>
      <c r="X424" s="19" t="s">
        <v>835</v>
      </c>
      <c r="Y424" s="19" t="s">
        <v>834</v>
      </c>
      <c r="Z424" s="19" t="s">
        <v>44</v>
      </c>
    </row>
    <row r="425" spans="1:26" x14ac:dyDescent="0.3">
      <c r="A425" s="19" t="s">
        <v>114</v>
      </c>
      <c r="B425" s="20">
        <v>45716</v>
      </c>
      <c r="C425" s="19" t="s">
        <v>46</v>
      </c>
      <c r="D425" s="19" t="s">
        <v>36</v>
      </c>
      <c r="E425" s="19" t="s">
        <v>36</v>
      </c>
      <c r="F425" s="19" t="s">
        <v>36</v>
      </c>
      <c r="G425" s="19" t="s">
        <v>37</v>
      </c>
      <c r="K425" s="19" t="s">
        <v>38</v>
      </c>
      <c r="L425" s="19" t="s">
        <v>39</v>
      </c>
      <c r="M425" s="19" t="s">
        <v>40</v>
      </c>
      <c r="N425" s="19" t="s">
        <v>41</v>
      </c>
      <c r="R425" s="19" t="s">
        <v>58</v>
      </c>
      <c r="T425" s="21">
        <v>50000</v>
      </c>
      <c r="U425" s="19" t="s">
        <v>56</v>
      </c>
      <c r="V425" s="19">
        <v>12</v>
      </c>
      <c r="W425" s="19" t="s">
        <v>57</v>
      </c>
      <c r="X425" s="19" t="s">
        <v>836</v>
      </c>
      <c r="Y425" s="19" t="s">
        <v>834</v>
      </c>
      <c r="Z425" s="19" t="s">
        <v>44</v>
      </c>
    </row>
    <row r="426" spans="1:26" x14ac:dyDescent="0.3">
      <c r="A426" s="19" t="s">
        <v>115</v>
      </c>
      <c r="B426" s="20">
        <v>45716</v>
      </c>
      <c r="C426" s="19" t="s">
        <v>46</v>
      </c>
      <c r="D426" s="19" t="s">
        <v>36</v>
      </c>
      <c r="E426" s="19" t="s">
        <v>36</v>
      </c>
      <c r="F426" s="19" t="s">
        <v>36</v>
      </c>
      <c r="G426" s="19" t="s">
        <v>37</v>
      </c>
      <c r="K426" s="19" t="s">
        <v>38</v>
      </c>
      <c r="L426" s="19" t="s">
        <v>39</v>
      </c>
      <c r="M426" s="19" t="s">
        <v>40</v>
      </c>
      <c r="N426" s="19" t="s">
        <v>41</v>
      </c>
      <c r="R426" s="19" t="s">
        <v>47</v>
      </c>
      <c r="S426" s="21">
        <v>6005.5922890000002</v>
      </c>
      <c r="U426" s="19" t="s">
        <v>56</v>
      </c>
      <c r="V426" s="19">
        <v>8</v>
      </c>
      <c r="W426" s="19" t="s">
        <v>48</v>
      </c>
      <c r="X426" s="19" t="s">
        <v>837</v>
      </c>
      <c r="Y426" s="19" t="s">
        <v>838</v>
      </c>
      <c r="Z426" s="19" t="s">
        <v>44</v>
      </c>
    </row>
    <row r="427" spans="1:26" x14ac:dyDescent="0.3">
      <c r="A427" s="19" t="s">
        <v>115</v>
      </c>
      <c r="B427" s="20">
        <v>45716</v>
      </c>
      <c r="C427" s="19" t="s">
        <v>46</v>
      </c>
      <c r="D427" s="19" t="s">
        <v>36</v>
      </c>
      <c r="E427" s="19" t="s">
        <v>36</v>
      </c>
      <c r="F427" s="19" t="s">
        <v>36</v>
      </c>
      <c r="G427" s="19" t="s">
        <v>37</v>
      </c>
      <c r="K427" s="19" t="s">
        <v>38</v>
      </c>
      <c r="L427" s="19" t="s">
        <v>39</v>
      </c>
      <c r="M427" s="19" t="s">
        <v>38</v>
      </c>
      <c r="N427" s="19" t="s">
        <v>41</v>
      </c>
      <c r="R427" s="19" t="s">
        <v>49</v>
      </c>
      <c r="T427" s="21">
        <v>6005.5922890000002</v>
      </c>
      <c r="U427" s="19" t="s">
        <v>56</v>
      </c>
      <c r="V427" s="19">
        <v>8</v>
      </c>
      <c r="W427" s="19" t="s">
        <v>48</v>
      </c>
      <c r="X427" s="19" t="s">
        <v>839</v>
      </c>
      <c r="Y427" s="19" t="s">
        <v>838</v>
      </c>
      <c r="Z427" s="19" t="s">
        <v>44</v>
      </c>
    </row>
    <row r="428" spans="1:26" x14ac:dyDescent="0.3">
      <c r="A428" s="19" t="s">
        <v>115</v>
      </c>
      <c r="B428" s="20">
        <v>44562</v>
      </c>
      <c r="C428" s="19" t="s">
        <v>35</v>
      </c>
      <c r="D428" s="19" t="s">
        <v>36</v>
      </c>
      <c r="E428" s="19" t="s">
        <v>36</v>
      </c>
      <c r="F428" s="19" t="s">
        <v>36</v>
      </c>
      <c r="G428" s="19" t="s">
        <v>37</v>
      </c>
      <c r="K428" s="19" t="s">
        <v>38</v>
      </c>
      <c r="L428" s="19" t="s">
        <v>39</v>
      </c>
      <c r="M428" s="19" t="s">
        <v>40</v>
      </c>
      <c r="N428" s="19" t="s">
        <v>41</v>
      </c>
      <c r="R428" s="19" t="s">
        <v>50</v>
      </c>
      <c r="S428" s="21">
        <v>42330.49</v>
      </c>
      <c r="U428" s="19" t="s">
        <v>56</v>
      </c>
      <c r="V428" s="19">
        <v>10</v>
      </c>
      <c r="W428" s="19" t="s">
        <v>51</v>
      </c>
      <c r="X428" s="19" t="s">
        <v>840</v>
      </c>
      <c r="Y428" s="19" t="s">
        <v>841</v>
      </c>
      <c r="Z428" s="19" t="s">
        <v>44</v>
      </c>
    </row>
    <row r="429" spans="1:26" x14ac:dyDescent="0.3">
      <c r="A429" s="19" t="s">
        <v>115</v>
      </c>
      <c r="B429" s="20">
        <v>44562</v>
      </c>
      <c r="C429" s="19" t="s">
        <v>35</v>
      </c>
      <c r="D429" s="19" t="s">
        <v>36</v>
      </c>
      <c r="E429" s="19" t="s">
        <v>36</v>
      </c>
      <c r="F429" s="19" t="s">
        <v>36</v>
      </c>
      <c r="G429" s="19" t="s">
        <v>37</v>
      </c>
      <c r="K429" s="19" t="s">
        <v>38</v>
      </c>
      <c r="L429" s="19" t="s">
        <v>39</v>
      </c>
      <c r="M429" s="19" t="s">
        <v>40</v>
      </c>
      <c r="N429" s="19" t="s">
        <v>41</v>
      </c>
      <c r="R429" s="19" t="s">
        <v>52</v>
      </c>
      <c r="T429" s="21">
        <v>42330.49</v>
      </c>
      <c r="U429" s="19" t="s">
        <v>56</v>
      </c>
      <c r="V429" s="19">
        <v>10</v>
      </c>
      <c r="W429" s="19" t="s">
        <v>51</v>
      </c>
      <c r="X429" s="19" t="s">
        <v>842</v>
      </c>
      <c r="Y429" s="19" t="s">
        <v>841</v>
      </c>
      <c r="Z429" s="19" t="s">
        <v>44</v>
      </c>
    </row>
    <row r="430" spans="1:26" x14ac:dyDescent="0.3">
      <c r="A430" s="19" t="s">
        <v>115</v>
      </c>
      <c r="B430" s="20">
        <v>45716</v>
      </c>
      <c r="C430" s="19" t="s">
        <v>35</v>
      </c>
      <c r="D430" s="19" t="s">
        <v>36</v>
      </c>
      <c r="E430" s="19" t="s">
        <v>36</v>
      </c>
      <c r="F430" s="19" t="s">
        <v>36</v>
      </c>
      <c r="G430" s="19" t="s">
        <v>37</v>
      </c>
      <c r="K430" s="19" t="s">
        <v>38</v>
      </c>
      <c r="L430" s="19" t="s">
        <v>39</v>
      </c>
      <c r="M430" s="19" t="s">
        <v>40</v>
      </c>
      <c r="N430" s="19" t="s">
        <v>41</v>
      </c>
      <c r="R430" s="19" t="s">
        <v>45</v>
      </c>
      <c r="S430" s="21">
        <v>545204.44999999995</v>
      </c>
      <c r="U430" s="19" t="s">
        <v>56</v>
      </c>
      <c r="V430" s="19">
        <v>11</v>
      </c>
      <c r="W430" s="19" t="s">
        <v>53</v>
      </c>
      <c r="X430" s="19" t="s">
        <v>843</v>
      </c>
      <c r="Y430" s="19" t="s">
        <v>844</v>
      </c>
      <c r="Z430" s="19" t="s">
        <v>44</v>
      </c>
    </row>
    <row r="431" spans="1:26" x14ac:dyDescent="0.3">
      <c r="A431" s="19" t="s">
        <v>115</v>
      </c>
      <c r="B431" s="20">
        <v>45716</v>
      </c>
      <c r="C431" s="19" t="s">
        <v>35</v>
      </c>
      <c r="D431" s="19" t="s">
        <v>36</v>
      </c>
      <c r="E431" s="19" t="s">
        <v>36</v>
      </c>
      <c r="F431" s="19" t="s">
        <v>36</v>
      </c>
      <c r="G431" s="19" t="s">
        <v>37</v>
      </c>
      <c r="K431" s="19" t="s">
        <v>38</v>
      </c>
      <c r="L431" s="19" t="s">
        <v>39</v>
      </c>
      <c r="M431" s="19" t="s">
        <v>40</v>
      </c>
      <c r="N431" s="19" t="s">
        <v>41</v>
      </c>
      <c r="R431" s="19" t="s">
        <v>54</v>
      </c>
      <c r="T431" s="21">
        <v>545204.44999999995</v>
      </c>
      <c r="U431" s="19" t="s">
        <v>56</v>
      </c>
      <c r="V431" s="19">
        <v>11</v>
      </c>
      <c r="W431" s="19" t="s">
        <v>53</v>
      </c>
      <c r="X431" s="19" t="s">
        <v>845</v>
      </c>
      <c r="Y431" s="19" t="s">
        <v>844</v>
      </c>
      <c r="Z431" s="19" t="s">
        <v>44</v>
      </c>
    </row>
    <row r="432" spans="1:26" x14ac:dyDescent="0.3">
      <c r="A432" s="19" t="s">
        <v>116</v>
      </c>
      <c r="B432" s="20">
        <v>45717</v>
      </c>
      <c r="C432" s="19" t="s">
        <v>35</v>
      </c>
      <c r="D432" s="19" t="s">
        <v>36</v>
      </c>
      <c r="E432" s="19" t="s">
        <v>36</v>
      </c>
      <c r="F432" s="19" t="s">
        <v>36</v>
      </c>
      <c r="G432" s="19" t="s">
        <v>37</v>
      </c>
      <c r="K432" s="19" t="s">
        <v>38</v>
      </c>
      <c r="L432" s="19" t="s">
        <v>39</v>
      </c>
      <c r="M432" s="19" t="s">
        <v>40</v>
      </c>
      <c r="N432" s="19" t="s">
        <v>41</v>
      </c>
      <c r="R432" s="19" t="s">
        <v>54</v>
      </c>
      <c r="S432" s="21">
        <v>545204.44999999995</v>
      </c>
      <c r="U432" s="19" t="s">
        <v>56</v>
      </c>
      <c r="V432" s="19">
        <v>11</v>
      </c>
      <c r="W432" s="19" t="s">
        <v>55</v>
      </c>
      <c r="X432" s="19" t="s">
        <v>846</v>
      </c>
      <c r="Y432" s="19" t="s">
        <v>847</v>
      </c>
      <c r="Z432" s="19" t="s">
        <v>44</v>
      </c>
    </row>
    <row r="433" spans="1:26" x14ac:dyDescent="0.3">
      <c r="A433" s="19" t="s">
        <v>116</v>
      </c>
      <c r="B433" s="20">
        <v>45717</v>
      </c>
      <c r="C433" s="19" t="s">
        <v>35</v>
      </c>
      <c r="D433" s="19" t="s">
        <v>36</v>
      </c>
      <c r="E433" s="19" t="s">
        <v>36</v>
      </c>
      <c r="F433" s="19" t="s">
        <v>36</v>
      </c>
      <c r="G433" s="19" t="s">
        <v>37</v>
      </c>
      <c r="K433" s="19" t="s">
        <v>38</v>
      </c>
      <c r="L433" s="19" t="s">
        <v>39</v>
      </c>
      <c r="M433" s="19" t="s">
        <v>40</v>
      </c>
      <c r="N433" s="19" t="s">
        <v>41</v>
      </c>
      <c r="R433" s="19" t="s">
        <v>45</v>
      </c>
      <c r="T433" s="21">
        <v>545204.44999999995</v>
      </c>
      <c r="U433" s="19" t="s">
        <v>56</v>
      </c>
      <c r="V433" s="19">
        <v>11</v>
      </c>
      <c r="W433" s="19" t="s">
        <v>55</v>
      </c>
      <c r="X433" s="19" t="s">
        <v>848</v>
      </c>
      <c r="Y433" s="19" t="s">
        <v>847</v>
      </c>
      <c r="Z433" s="19" t="s">
        <v>44</v>
      </c>
    </row>
    <row r="434" spans="1:26" x14ac:dyDescent="0.3">
      <c r="A434" s="19" t="s">
        <v>116</v>
      </c>
      <c r="B434" s="20">
        <v>45747</v>
      </c>
      <c r="C434" s="19" t="s">
        <v>46</v>
      </c>
      <c r="D434" s="19" t="s">
        <v>36</v>
      </c>
      <c r="E434" s="19" t="s">
        <v>36</v>
      </c>
      <c r="F434" s="19" t="s">
        <v>36</v>
      </c>
      <c r="G434" s="19" t="s">
        <v>37</v>
      </c>
      <c r="K434" s="19" t="s">
        <v>38</v>
      </c>
      <c r="L434" s="19" t="s">
        <v>39</v>
      </c>
      <c r="M434" s="19" t="s">
        <v>38</v>
      </c>
      <c r="N434" s="19" t="s">
        <v>41</v>
      </c>
      <c r="R434" s="19" t="s">
        <v>49</v>
      </c>
      <c r="S434" s="21">
        <v>6005.5922890000002</v>
      </c>
      <c r="U434" s="19" t="s">
        <v>56</v>
      </c>
      <c r="V434" s="19">
        <v>12</v>
      </c>
      <c r="W434" s="19" t="s">
        <v>57</v>
      </c>
      <c r="X434" s="19" t="s">
        <v>849</v>
      </c>
      <c r="Y434" s="19" t="s">
        <v>850</v>
      </c>
      <c r="Z434" s="19" t="s">
        <v>44</v>
      </c>
    </row>
    <row r="435" spans="1:26" x14ac:dyDescent="0.3">
      <c r="A435" s="19" t="s">
        <v>116</v>
      </c>
      <c r="B435" s="20">
        <v>45747</v>
      </c>
      <c r="C435" s="19" t="s">
        <v>46</v>
      </c>
      <c r="D435" s="19" t="s">
        <v>36</v>
      </c>
      <c r="E435" s="19" t="s">
        <v>36</v>
      </c>
      <c r="F435" s="19" t="s">
        <v>36</v>
      </c>
      <c r="G435" s="19" t="s">
        <v>37</v>
      </c>
      <c r="K435" s="19" t="s">
        <v>38</v>
      </c>
      <c r="L435" s="19" t="s">
        <v>39</v>
      </c>
      <c r="M435" s="19" t="s">
        <v>40</v>
      </c>
      <c r="N435" s="19" t="s">
        <v>41</v>
      </c>
      <c r="R435" s="19" t="s">
        <v>45</v>
      </c>
      <c r="S435" s="21">
        <v>43994.407711</v>
      </c>
      <c r="U435" s="19" t="s">
        <v>56</v>
      </c>
      <c r="V435" s="19">
        <v>12</v>
      </c>
      <c r="W435" s="19" t="s">
        <v>57</v>
      </c>
      <c r="X435" s="19" t="s">
        <v>851</v>
      </c>
      <c r="Y435" s="19" t="s">
        <v>850</v>
      </c>
      <c r="Z435" s="19" t="s">
        <v>44</v>
      </c>
    </row>
    <row r="436" spans="1:26" x14ac:dyDescent="0.3">
      <c r="A436" s="19" t="s">
        <v>116</v>
      </c>
      <c r="B436" s="20">
        <v>45747</v>
      </c>
      <c r="C436" s="19" t="s">
        <v>46</v>
      </c>
      <c r="D436" s="19" t="s">
        <v>36</v>
      </c>
      <c r="E436" s="19" t="s">
        <v>36</v>
      </c>
      <c r="F436" s="19" t="s">
        <v>36</v>
      </c>
      <c r="G436" s="19" t="s">
        <v>37</v>
      </c>
      <c r="K436" s="19" t="s">
        <v>38</v>
      </c>
      <c r="L436" s="19" t="s">
        <v>39</v>
      </c>
      <c r="M436" s="19" t="s">
        <v>40</v>
      </c>
      <c r="N436" s="19" t="s">
        <v>41</v>
      </c>
      <c r="R436" s="19" t="s">
        <v>58</v>
      </c>
      <c r="T436" s="21">
        <v>50000</v>
      </c>
      <c r="U436" s="19" t="s">
        <v>56</v>
      </c>
      <c r="V436" s="19">
        <v>12</v>
      </c>
      <c r="W436" s="19" t="s">
        <v>57</v>
      </c>
      <c r="X436" s="19" t="s">
        <v>852</v>
      </c>
      <c r="Y436" s="19" t="s">
        <v>850</v>
      </c>
      <c r="Z436" s="19" t="s">
        <v>44</v>
      </c>
    </row>
    <row r="437" spans="1:26" x14ac:dyDescent="0.3">
      <c r="A437" s="19" t="s">
        <v>117</v>
      </c>
      <c r="B437" s="20">
        <v>45747</v>
      </c>
      <c r="C437" s="19" t="s">
        <v>46</v>
      </c>
      <c r="D437" s="19" t="s">
        <v>36</v>
      </c>
      <c r="E437" s="19" t="s">
        <v>36</v>
      </c>
      <c r="F437" s="19" t="s">
        <v>36</v>
      </c>
      <c r="G437" s="19" t="s">
        <v>37</v>
      </c>
      <c r="K437" s="19" t="s">
        <v>38</v>
      </c>
      <c r="L437" s="19" t="s">
        <v>39</v>
      </c>
      <c r="M437" s="19" t="s">
        <v>40</v>
      </c>
      <c r="N437" s="19" t="s">
        <v>41</v>
      </c>
      <c r="R437" s="19" t="s">
        <v>47</v>
      </c>
      <c r="S437" s="21">
        <v>5748.9582440000004</v>
      </c>
      <c r="U437" s="19" t="s">
        <v>56</v>
      </c>
      <c r="V437" s="19">
        <v>8</v>
      </c>
      <c r="W437" s="19" t="s">
        <v>48</v>
      </c>
      <c r="X437" s="19" t="s">
        <v>853</v>
      </c>
      <c r="Y437" s="19" t="s">
        <v>854</v>
      </c>
      <c r="Z437" s="19" t="s">
        <v>44</v>
      </c>
    </row>
    <row r="438" spans="1:26" x14ac:dyDescent="0.3">
      <c r="A438" s="19" t="s">
        <v>117</v>
      </c>
      <c r="B438" s="20">
        <v>45747</v>
      </c>
      <c r="C438" s="19" t="s">
        <v>46</v>
      </c>
      <c r="D438" s="19" t="s">
        <v>36</v>
      </c>
      <c r="E438" s="19" t="s">
        <v>36</v>
      </c>
      <c r="F438" s="19" t="s">
        <v>36</v>
      </c>
      <c r="G438" s="19" t="s">
        <v>37</v>
      </c>
      <c r="K438" s="19" t="s">
        <v>38</v>
      </c>
      <c r="L438" s="19" t="s">
        <v>39</v>
      </c>
      <c r="M438" s="19" t="s">
        <v>38</v>
      </c>
      <c r="N438" s="19" t="s">
        <v>41</v>
      </c>
      <c r="R438" s="19" t="s">
        <v>49</v>
      </c>
      <c r="T438" s="21">
        <v>5748.9582440000004</v>
      </c>
      <c r="U438" s="19" t="s">
        <v>56</v>
      </c>
      <c r="V438" s="19">
        <v>8</v>
      </c>
      <c r="W438" s="19" t="s">
        <v>48</v>
      </c>
      <c r="X438" s="19" t="s">
        <v>855</v>
      </c>
      <c r="Y438" s="19" t="s">
        <v>854</v>
      </c>
      <c r="Z438" s="19" t="s">
        <v>44</v>
      </c>
    </row>
    <row r="439" spans="1:26" x14ac:dyDescent="0.3">
      <c r="A439" s="19" t="s">
        <v>117</v>
      </c>
      <c r="B439" s="20">
        <v>44562</v>
      </c>
      <c r="C439" s="19" t="s">
        <v>35</v>
      </c>
      <c r="D439" s="19" t="s">
        <v>36</v>
      </c>
      <c r="E439" s="19" t="s">
        <v>36</v>
      </c>
      <c r="F439" s="19" t="s">
        <v>36</v>
      </c>
      <c r="G439" s="19" t="s">
        <v>37</v>
      </c>
      <c r="K439" s="19" t="s">
        <v>38</v>
      </c>
      <c r="L439" s="19" t="s">
        <v>39</v>
      </c>
      <c r="M439" s="19" t="s">
        <v>40</v>
      </c>
      <c r="N439" s="19" t="s">
        <v>41</v>
      </c>
      <c r="R439" s="19" t="s">
        <v>50</v>
      </c>
      <c r="S439" s="21">
        <v>42330.5</v>
      </c>
      <c r="U439" s="19" t="s">
        <v>56</v>
      </c>
      <c r="V439" s="19">
        <v>10</v>
      </c>
      <c r="W439" s="19" t="s">
        <v>51</v>
      </c>
      <c r="X439" s="19" t="s">
        <v>856</v>
      </c>
      <c r="Y439" s="19" t="s">
        <v>857</v>
      </c>
      <c r="Z439" s="19" t="s">
        <v>44</v>
      </c>
    </row>
    <row r="440" spans="1:26" x14ac:dyDescent="0.3">
      <c r="A440" s="19" t="s">
        <v>117</v>
      </c>
      <c r="B440" s="20">
        <v>44562</v>
      </c>
      <c r="C440" s="19" t="s">
        <v>35</v>
      </c>
      <c r="D440" s="19" t="s">
        <v>36</v>
      </c>
      <c r="E440" s="19" t="s">
        <v>36</v>
      </c>
      <c r="F440" s="19" t="s">
        <v>36</v>
      </c>
      <c r="G440" s="19" t="s">
        <v>37</v>
      </c>
      <c r="K440" s="19" t="s">
        <v>38</v>
      </c>
      <c r="L440" s="19" t="s">
        <v>39</v>
      </c>
      <c r="M440" s="19" t="s">
        <v>40</v>
      </c>
      <c r="N440" s="19" t="s">
        <v>41</v>
      </c>
      <c r="R440" s="19" t="s">
        <v>52</v>
      </c>
      <c r="T440" s="21">
        <v>42330.5</v>
      </c>
      <c r="U440" s="19" t="s">
        <v>56</v>
      </c>
      <c r="V440" s="19">
        <v>10</v>
      </c>
      <c r="W440" s="19" t="s">
        <v>51</v>
      </c>
      <c r="X440" s="19" t="s">
        <v>858</v>
      </c>
      <c r="Y440" s="19" t="s">
        <v>857</v>
      </c>
      <c r="Z440" s="19" t="s">
        <v>44</v>
      </c>
    </row>
    <row r="441" spans="1:26" x14ac:dyDescent="0.3">
      <c r="A441" s="19" t="s">
        <v>117</v>
      </c>
      <c r="B441" s="20">
        <v>45747</v>
      </c>
      <c r="C441" s="19" t="s">
        <v>35</v>
      </c>
      <c r="D441" s="19" t="s">
        <v>36</v>
      </c>
      <c r="E441" s="19" t="s">
        <v>36</v>
      </c>
      <c r="F441" s="19" t="s">
        <v>36</v>
      </c>
      <c r="G441" s="19" t="s">
        <v>37</v>
      </c>
      <c r="K441" s="19" t="s">
        <v>38</v>
      </c>
      <c r="L441" s="19" t="s">
        <v>39</v>
      </c>
      <c r="M441" s="19" t="s">
        <v>40</v>
      </c>
      <c r="N441" s="19" t="s">
        <v>41</v>
      </c>
      <c r="R441" s="19" t="s">
        <v>45</v>
      </c>
      <c r="S441" s="21">
        <v>548384.81000000006</v>
      </c>
      <c r="U441" s="19" t="s">
        <v>56</v>
      </c>
      <c r="V441" s="19">
        <v>11</v>
      </c>
      <c r="W441" s="19" t="s">
        <v>53</v>
      </c>
      <c r="X441" s="19" t="s">
        <v>859</v>
      </c>
      <c r="Y441" s="19" t="s">
        <v>860</v>
      </c>
      <c r="Z441" s="19" t="s">
        <v>44</v>
      </c>
    </row>
    <row r="442" spans="1:26" x14ac:dyDescent="0.3">
      <c r="A442" s="19" t="s">
        <v>117</v>
      </c>
      <c r="B442" s="20">
        <v>45747</v>
      </c>
      <c r="C442" s="19" t="s">
        <v>35</v>
      </c>
      <c r="D442" s="19" t="s">
        <v>36</v>
      </c>
      <c r="E442" s="19" t="s">
        <v>36</v>
      </c>
      <c r="F442" s="19" t="s">
        <v>36</v>
      </c>
      <c r="G442" s="19" t="s">
        <v>37</v>
      </c>
      <c r="K442" s="19" t="s">
        <v>38</v>
      </c>
      <c r="L442" s="19" t="s">
        <v>39</v>
      </c>
      <c r="M442" s="19" t="s">
        <v>40</v>
      </c>
      <c r="N442" s="19" t="s">
        <v>41</v>
      </c>
      <c r="R442" s="19" t="s">
        <v>54</v>
      </c>
      <c r="T442" s="21">
        <v>548384.81000000006</v>
      </c>
      <c r="U442" s="19" t="s">
        <v>56</v>
      </c>
      <c r="V442" s="19">
        <v>11</v>
      </c>
      <c r="W442" s="19" t="s">
        <v>53</v>
      </c>
      <c r="X442" s="19" t="s">
        <v>861</v>
      </c>
      <c r="Y442" s="19" t="s">
        <v>860</v>
      </c>
      <c r="Z442" s="19" t="s">
        <v>44</v>
      </c>
    </row>
    <row r="443" spans="1:26" x14ac:dyDescent="0.3">
      <c r="A443" s="19" t="s">
        <v>118</v>
      </c>
      <c r="B443" s="20">
        <v>45748</v>
      </c>
      <c r="C443" s="19" t="s">
        <v>35</v>
      </c>
      <c r="D443" s="19" t="s">
        <v>36</v>
      </c>
      <c r="E443" s="19" t="s">
        <v>36</v>
      </c>
      <c r="F443" s="19" t="s">
        <v>36</v>
      </c>
      <c r="G443" s="19" t="s">
        <v>37</v>
      </c>
      <c r="K443" s="19" t="s">
        <v>38</v>
      </c>
      <c r="L443" s="19" t="s">
        <v>39</v>
      </c>
      <c r="M443" s="19" t="s">
        <v>40</v>
      </c>
      <c r="N443" s="19" t="s">
        <v>41</v>
      </c>
      <c r="R443" s="19" t="s">
        <v>54</v>
      </c>
      <c r="S443" s="21">
        <v>548384.81000000006</v>
      </c>
      <c r="U443" s="19" t="s">
        <v>56</v>
      </c>
      <c r="V443" s="19">
        <v>11</v>
      </c>
      <c r="W443" s="19" t="s">
        <v>55</v>
      </c>
      <c r="X443" s="19" t="s">
        <v>862</v>
      </c>
      <c r="Y443" s="19" t="s">
        <v>863</v>
      </c>
      <c r="Z443" s="19" t="s">
        <v>44</v>
      </c>
    </row>
    <row r="444" spans="1:26" x14ac:dyDescent="0.3">
      <c r="A444" s="19" t="s">
        <v>118</v>
      </c>
      <c r="B444" s="20">
        <v>45748</v>
      </c>
      <c r="C444" s="19" t="s">
        <v>35</v>
      </c>
      <c r="D444" s="19" t="s">
        <v>36</v>
      </c>
      <c r="E444" s="19" t="s">
        <v>36</v>
      </c>
      <c r="F444" s="19" t="s">
        <v>36</v>
      </c>
      <c r="G444" s="19" t="s">
        <v>37</v>
      </c>
      <c r="K444" s="19" t="s">
        <v>38</v>
      </c>
      <c r="L444" s="19" t="s">
        <v>39</v>
      </c>
      <c r="M444" s="19" t="s">
        <v>40</v>
      </c>
      <c r="N444" s="19" t="s">
        <v>41</v>
      </c>
      <c r="R444" s="19" t="s">
        <v>45</v>
      </c>
      <c r="T444" s="21">
        <v>548384.81000000006</v>
      </c>
      <c r="U444" s="19" t="s">
        <v>56</v>
      </c>
      <c r="V444" s="19">
        <v>11</v>
      </c>
      <c r="W444" s="19" t="s">
        <v>55</v>
      </c>
      <c r="X444" s="19" t="s">
        <v>864</v>
      </c>
      <c r="Y444" s="19" t="s">
        <v>863</v>
      </c>
      <c r="Z444" s="19" t="s">
        <v>44</v>
      </c>
    </row>
    <row r="445" spans="1:26" x14ac:dyDescent="0.3">
      <c r="A445" s="19" t="s">
        <v>118</v>
      </c>
      <c r="B445" s="20">
        <v>45777</v>
      </c>
      <c r="C445" s="19" t="s">
        <v>46</v>
      </c>
      <c r="D445" s="19" t="s">
        <v>36</v>
      </c>
      <c r="E445" s="19" t="s">
        <v>36</v>
      </c>
      <c r="F445" s="19" t="s">
        <v>36</v>
      </c>
      <c r="G445" s="19" t="s">
        <v>37</v>
      </c>
      <c r="K445" s="19" t="s">
        <v>38</v>
      </c>
      <c r="L445" s="19" t="s">
        <v>39</v>
      </c>
      <c r="M445" s="19" t="s">
        <v>38</v>
      </c>
      <c r="N445" s="19" t="s">
        <v>41</v>
      </c>
      <c r="R445" s="19" t="s">
        <v>49</v>
      </c>
      <c r="S445" s="21">
        <v>5748.9582440000004</v>
      </c>
      <c r="U445" s="19" t="s">
        <v>56</v>
      </c>
      <c r="V445" s="19">
        <v>12</v>
      </c>
      <c r="W445" s="19" t="s">
        <v>57</v>
      </c>
      <c r="X445" s="19" t="s">
        <v>865</v>
      </c>
      <c r="Y445" s="19" t="s">
        <v>866</v>
      </c>
      <c r="Z445" s="19" t="s">
        <v>44</v>
      </c>
    </row>
    <row r="446" spans="1:26" x14ac:dyDescent="0.3">
      <c r="A446" s="19" t="s">
        <v>118</v>
      </c>
      <c r="B446" s="20">
        <v>45777</v>
      </c>
      <c r="C446" s="19" t="s">
        <v>46</v>
      </c>
      <c r="D446" s="19" t="s">
        <v>36</v>
      </c>
      <c r="E446" s="19" t="s">
        <v>36</v>
      </c>
      <c r="F446" s="19" t="s">
        <v>36</v>
      </c>
      <c r="G446" s="19" t="s">
        <v>37</v>
      </c>
      <c r="K446" s="19" t="s">
        <v>38</v>
      </c>
      <c r="L446" s="19" t="s">
        <v>39</v>
      </c>
      <c r="M446" s="19" t="s">
        <v>40</v>
      </c>
      <c r="N446" s="19" t="s">
        <v>41</v>
      </c>
      <c r="R446" s="19" t="s">
        <v>45</v>
      </c>
      <c r="S446" s="21">
        <v>44251.041755999999</v>
      </c>
      <c r="U446" s="19" t="s">
        <v>56</v>
      </c>
      <c r="V446" s="19">
        <v>12</v>
      </c>
      <c r="W446" s="19" t="s">
        <v>57</v>
      </c>
      <c r="X446" s="19" t="s">
        <v>867</v>
      </c>
      <c r="Y446" s="19" t="s">
        <v>866</v>
      </c>
      <c r="Z446" s="19" t="s">
        <v>44</v>
      </c>
    </row>
    <row r="447" spans="1:26" x14ac:dyDescent="0.3">
      <c r="A447" s="19" t="s">
        <v>118</v>
      </c>
      <c r="B447" s="20">
        <v>45777</v>
      </c>
      <c r="C447" s="19" t="s">
        <v>46</v>
      </c>
      <c r="D447" s="19" t="s">
        <v>36</v>
      </c>
      <c r="E447" s="19" t="s">
        <v>36</v>
      </c>
      <c r="F447" s="19" t="s">
        <v>36</v>
      </c>
      <c r="G447" s="19" t="s">
        <v>37</v>
      </c>
      <c r="K447" s="19" t="s">
        <v>38</v>
      </c>
      <c r="L447" s="19" t="s">
        <v>39</v>
      </c>
      <c r="M447" s="19" t="s">
        <v>40</v>
      </c>
      <c r="N447" s="19" t="s">
        <v>41</v>
      </c>
      <c r="R447" s="19" t="s">
        <v>58</v>
      </c>
      <c r="T447" s="21">
        <v>50000</v>
      </c>
      <c r="U447" s="19" t="s">
        <v>56</v>
      </c>
      <c r="V447" s="19">
        <v>12</v>
      </c>
      <c r="W447" s="19" t="s">
        <v>57</v>
      </c>
      <c r="X447" s="19" t="s">
        <v>868</v>
      </c>
      <c r="Y447" s="19" t="s">
        <v>866</v>
      </c>
      <c r="Z447" s="19" t="s">
        <v>44</v>
      </c>
    </row>
    <row r="448" spans="1:26" x14ac:dyDescent="0.3">
      <c r="A448" s="19" t="s">
        <v>119</v>
      </c>
      <c r="B448" s="20">
        <v>45777</v>
      </c>
      <c r="C448" s="19" t="s">
        <v>46</v>
      </c>
      <c r="D448" s="19" t="s">
        <v>36</v>
      </c>
      <c r="E448" s="19" t="s">
        <v>36</v>
      </c>
      <c r="F448" s="19" t="s">
        <v>36</v>
      </c>
      <c r="G448" s="19" t="s">
        <v>37</v>
      </c>
      <c r="K448" s="19" t="s">
        <v>38</v>
      </c>
      <c r="L448" s="19" t="s">
        <v>39</v>
      </c>
      <c r="M448" s="19" t="s">
        <v>40</v>
      </c>
      <c r="N448" s="19" t="s">
        <v>41</v>
      </c>
      <c r="R448" s="19" t="s">
        <v>47</v>
      </c>
      <c r="S448" s="21">
        <v>5490.8271670000004</v>
      </c>
      <c r="U448" s="19" t="s">
        <v>56</v>
      </c>
      <c r="V448" s="19">
        <v>8</v>
      </c>
      <c r="W448" s="19" t="s">
        <v>48</v>
      </c>
      <c r="X448" s="19" t="s">
        <v>869</v>
      </c>
      <c r="Y448" s="19" t="s">
        <v>870</v>
      </c>
      <c r="Z448" s="19" t="s">
        <v>44</v>
      </c>
    </row>
    <row r="449" spans="1:26" x14ac:dyDescent="0.3">
      <c r="A449" s="19" t="s">
        <v>119</v>
      </c>
      <c r="B449" s="20">
        <v>45777</v>
      </c>
      <c r="C449" s="19" t="s">
        <v>46</v>
      </c>
      <c r="D449" s="19" t="s">
        <v>36</v>
      </c>
      <c r="E449" s="19" t="s">
        <v>36</v>
      </c>
      <c r="F449" s="19" t="s">
        <v>36</v>
      </c>
      <c r="G449" s="19" t="s">
        <v>37</v>
      </c>
      <c r="K449" s="19" t="s">
        <v>38</v>
      </c>
      <c r="L449" s="19" t="s">
        <v>39</v>
      </c>
      <c r="M449" s="19" t="s">
        <v>38</v>
      </c>
      <c r="N449" s="19" t="s">
        <v>41</v>
      </c>
      <c r="R449" s="19" t="s">
        <v>49</v>
      </c>
      <c r="T449" s="21">
        <v>5490.8271670000004</v>
      </c>
      <c r="U449" s="19" t="s">
        <v>56</v>
      </c>
      <c r="V449" s="19">
        <v>8</v>
      </c>
      <c r="W449" s="19" t="s">
        <v>48</v>
      </c>
      <c r="X449" s="19" t="s">
        <v>871</v>
      </c>
      <c r="Y449" s="19" t="s">
        <v>870</v>
      </c>
      <c r="Z449" s="19" t="s">
        <v>44</v>
      </c>
    </row>
    <row r="450" spans="1:26" x14ac:dyDescent="0.3">
      <c r="A450" s="19" t="s">
        <v>119</v>
      </c>
      <c r="B450" s="20">
        <v>44562</v>
      </c>
      <c r="C450" s="19" t="s">
        <v>35</v>
      </c>
      <c r="D450" s="19" t="s">
        <v>36</v>
      </c>
      <c r="E450" s="19" t="s">
        <v>36</v>
      </c>
      <c r="F450" s="19" t="s">
        <v>36</v>
      </c>
      <c r="G450" s="19" t="s">
        <v>37</v>
      </c>
      <c r="K450" s="19" t="s">
        <v>38</v>
      </c>
      <c r="L450" s="19" t="s">
        <v>39</v>
      </c>
      <c r="M450" s="19" t="s">
        <v>40</v>
      </c>
      <c r="N450" s="19" t="s">
        <v>41</v>
      </c>
      <c r="R450" s="19" t="s">
        <v>50</v>
      </c>
      <c r="S450" s="21">
        <v>42330.49</v>
      </c>
      <c r="U450" s="19" t="s">
        <v>56</v>
      </c>
      <c r="V450" s="19">
        <v>10</v>
      </c>
      <c r="W450" s="19" t="s">
        <v>51</v>
      </c>
      <c r="X450" s="19" t="s">
        <v>872</v>
      </c>
      <c r="Y450" s="19" t="s">
        <v>873</v>
      </c>
      <c r="Z450" s="19" t="s">
        <v>44</v>
      </c>
    </row>
    <row r="451" spans="1:26" x14ac:dyDescent="0.3">
      <c r="A451" s="19" t="s">
        <v>119</v>
      </c>
      <c r="B451" s="20">
        <v>44562</v>
      </c>
      <c r="C451" s="19" t="s">
        <v>35</v>
      </c>
      <c r="D451" s="19" t="s">
        <v>36</v>
      </c>
      <c r="E451" s="19" t="s">
        <v>36</v>
      </c>
      <c r="F451" s="19" t="s">
        <v>36</v>
      </c>
      <c r="G451" s="19" t="s">
        <v>37</v>
      </c>
      <c r="K451" s="19" t="s">
        <v>38</v>
      </c>
      <c r="L451" s="19" t="s">
        <v>39</v>
      </c>
      <c r="M451" s="19" t="s">
        <v>40</v>
      </c>
      <c r="N451" s="19" t="s">
        <v>41</v>
      </c>
      <c r="R451" s="19" t="s">
        <v>52</v>
      </c>
      <c r="T451" s="21">
        <v>42330.49</v>
      </c>
      <c r="U451" s="19" t="s">
        <v>56</v>
      </c>
      <c r="V451" s="19">
        <v>10</v>
      </c>
      <c r="W451" s="19" t="s">
        <v>51</v>
      </c>
      <c r="X451" s="19" t="s">
        <v>874</v>
      </c>
      <c r="Y451" s="19" t="s">
        <v>873</v>
      </c>
      <c r="Z451" s="19" t="s">
        <v>44</v>
      </c>
    </row>
    <row r="452" spans="1:26" x14ac:dyDescent="0.3">
      <c r="A452" s="19" t="s">
        <v>119</v>
      </c>
      <c r="B452" s="20">
        <v>45777</v>
      </c>
      <c r="C452" s="19" t="s">
        <v>35</v>
      </c>
      <c r="D452" s="19" t="s">
        <v>36</v>
      </c>
      <c r="E452" s="19" t="s">
        <v>36</v>
      </c>
      <c r="F452" s="19" t="s">
        <v>36</v>
      </c>
      <c r="G452" s="19" t="s">
        <v>37</v>
      </c>
      <c r="K452" s="19" t="s">
        <v>38</v>
      </c>
      <c r="L452" s="19" t="s">
        <v>39</v>
      </c>
      <c r="M452" s="19" t="s">
        <v>40</v>
      </c>
      <c r="N452" s="19" t="s">
        <v>41</v>
      </c>
      <c r="R452" s="19" t="s">
        <v>45</v>
      </c>
      <c r="S452" s="21">
        <v>551583.72</v>
      </c>
      <c r="U452" s="19" t="s">
        <v>56</v>
      </c>
      <c r="V452" s="19">
        <v>11</v>
      </c>
      <c r="W452" s="19" t="s">
        <v>53</v>
      </c>
      <c r="X452" s="19" t="s">
        <v>875</v>
      </c>
      <c r="Y452" s="19" t="s">
        <v>876</v>
      </c>
      <c r="Z452" s="19" t="s">
        <v>44</v>
      </c>
    </row>
    <row r="453" spans="1:26" x14ac:dyDescent="0.3">
      <c r="A453" s="19" t="s">
        <v>119</v>
      </c>
      <c r="B453" s="20">
        <v>45777</v>
      </c>
      <c r="C453" s="19" t="s">
        <v>35</v>
      </c>
      <c r="D453" s="19" t="s">
        <v>36</v>
      </c>
      <c r="E453" s="19" t="s">
        <v>36</v>
      </c>
      <c r="F453" s="19" t="s">
        <v>36</v>
      </c>
      <c r="G453" s="19" t="s">
        <v>37</v>
      </c>
      <c r="K453" s="19" t="s">
        <v>38</v>
      </c>
      <c r="L453" s="19" t="s">
        <v>39</v>
      </c>
      <c r="M453" s="19" t="s">
        <v>40</v>
      </c>
      <c r="N453" s="19" t="s">
        <v>41</v>
      </c>
      <c r="R453" s="19" t="s">
        <v>54</v>
      </c>
      <c r="T453" s="21">
        <v>551583.72</v>
      </c>
      <c r="U453" s="19" t="s">
        <v>56</v>
      </c>
      <c r="V453" s="19">
        <v>11</v>
      </c>
      <c r="W453" s="19" t="s">
        <v>53</v>
      </c>
      <c r="X453" s="19" t="s">
        <v>877</v>
      </c>
      <c r="Y453" s="19" t="s">
        <v>876</v>
      </c>
      <c r="Z453" s="19" t="s">
        <v>44</v>
      </c>
    </row>
    <row r="454" spans="1:26" x14ac:dyDescent="0.3">
      <c r="A454" s="19" t="s">
        <v>120</v>
      </c>
      <c r="B454" s="20">
        <v>45778</v>
      </c>
      <c r="C454" s="19" t="s">
        <v>35</v>
      </c>
      <c r="D454" s="19" t="s">
        <v>36</v>
      </c>
      <c r="E454" s="19" t="s">
        <v>36</v>
      </c>
      <c r="F454" s="19" t="s">
        <v>36</v>
      </c>
      <c r="G454" s="19" t="s">
        <v>37</v>
      </c>
      <c r="K454" s="19" t="s">
        <v>38</v>
      </c>
      <c r="L454" s="19" t="s">
        <v>39</v>
      </c>
      <c r="M454" s="19" t="s">
        <v>40</v>
      </c>
      <c r="N454" s="19" t="s">
        <v>41</v>
      </c>
      <c r="R454" s="19" t="s">
        <v>54</v>
      </c>
      <c r="S454" s="21">
        <v>551583.72</v>
      </c>
      <c r="U454" s="19" t="s">
        <v>56</v>
      </c>
      <c r="V454" s="19">
        <v>11</v>
      </c>
      <c r="W454" s="19" t="s">
        <v>55</v>
      </c>
      <c r="X454" s="19" t="s">
        <v>878</v>
      </c>
      <c r="Y454" s="19" t="s">
        <v>879</v>
      </c>
      <c r="Z454" s="19" t="s">
        <v>44</v>
      </c>
    </row>
    <row r="455" spans="1:26" x14ac:dyDescent="0.3">
      <c r="A455" s="19" t="s">
        <v>120</v>
      </c>
      <c r="B455" s="20">
        <v>45778</v>
      </c>
      <c r="C455" s="19" t="s">
        <v>35</v>
      </c>
      <c r="D455" s="19" t="s">
        <v>36</v>
      </c>
      <c r="E455" s="19" t="s">
        <v>36</v>
      </c>
      <c r="F455" s="19" t="s">
        <v>36</v>
      </c>
      <c r="G455" s="19" t="s">
        <v>37</v>
      </c>
      <c r="K455" s="19" t="s">
        <v>38</v>
      </c>
      <c r="L455" s="19" t="s">
        <v>39</v>
      </c>
      <c r="M455" s="19" t="s">
        <v>40</v>
      </c>
      <c r="N455" s="19" t="s">
        <v>41</v>
      </c>
      <c r="R455" s="19" t="s">
        <v>45</v>
      </c>
      <c r="T455" s="21">
        <v>551583.72</v>
      </c>
      <c r="U455" s="19" t="s">
        <v>56</v>
      </c>
      <c r="V455" s="19">
        <v>11</v>
      </c>
      <c r="W455" s="19" t="s">
        <v>55</v>
      </c>
      <c r="X455" s="19" t="s">
        <v>880</v>
      </c>
      <c r="Y455" s="19" t="s">
        <v>879</v>
      </c>
      <c r="Z455" s="19" t="s">
        <v>44</v>
      </c>
    </row>
    <row r="456" spans="1:26" x14ac:dyDescent="0.3">
      <c r="A456" s="19" t="s">
        <v>120</v>
      </c>
      <c r="B456" s="20">
        <v>45808</v>
      </c>
      <c r="C456" s="19" t="s">
        <v>46</v>
      </c>
      <c r="D456" s="19" t="s">
        <v>36</v>
      </c>
      <c r="E456" s="19" t="s">
        <v>36</v>
      </c>
      <c r="F456" s="19" t="s">
        <v>36</v>
      </c>
      <c r="G456" s="19" t="s">
        <v>37</v>
      </c>
      <c r="K456" s="19" t="s">
        <v>38</v>
      </c>
      <c r="L456" s="19" t="s">
        <v>39</v>
      </c>
      <c r="M456" s="19" t="s">
        <v>38</v>
      </c>
      <c r="N456" s="19" t="s">
        <v>41</v>
      </c>
      <c r="R456" s="19" t="s">
        <v>49</v>
      </c>
      <c r="S456" s="21">
        <v>5490.8271670000004</v>
      </c>
      <c r="U456" s="19" t="s">
        <v>56</v>
      </c>
      <c r="V456" s="19">
        <v>12</v>
      </c>
      <c r="W456" s="19" t="s">
        <v>57</v>
      </c>
      <c r="X456" s="19" t="s">
        <v>881</v>
      </c>
      <c r="Y456" s="19" t="s">
        <v>882</v>
      </c>
      <c r="Z456" s="19" t="s">
        <v>44</v>
      </c>
    </row>
    <row r="457" spans="1:26" x14ac:dyDescent="0.3">
      <c r="A457" s="19" t="s">
        <v>120</v>
      </c>
      <c r="B457" s="20">
        <v>45808</v>
      </c>
      <c r="C457" s="19" t="s">
        <v>46</v>
      </c>
      <c r="D457" s="19" t="s">
        <v>36</v>
      </c>
      <c r="E457" s="19" t="s">
        <v>36</v>
      </c>
      <c r="F457" s="19" t="s">
        <v>36</v>
      </c>
      <c r="G457" s="19" t="s">
        <v>37</v>
      </c>
      <c r="K457" s="19" t="s">
        <v>38</v>
      </c>
      <c r="L457" s="19" t="s">
        <v>39</v>
      </c>
      <c r="M457" s="19" t="s">
        <v>40</v>
      </c>
      <c r="N457" s="19" t="s">
        <v>41</v>
      </c>
      <c r="R457" s="19" t="s">
        <v>45</v>
      </c>
      <c r="S457" s="21">
        <v>44509.172832999997</v>
      </c>
      <c r="U457" s="19" t="s">
        <v>56</v>
      </c>
      <c r="V457" s="19">
        <v>12</v>
      </c>
      <c r="W457" s="19" t="s">
        <v>57</v>
      </c>
      <c r="X457" s="19" t="s">
        <v>883</v>
      </c>
      <c r="Y457" s="19" t="s">
        <v>882</v>
      </c>
      <c r="Z457" s="19" t="s">
        <v>44</v>
      </c>
    </row>
    <row r="458" spans="1:26" x14ac:dyDescent="0.3">
      <c r="A458" s="19" t="s">
        <v>120</v>
      </c>
      <c r="B458" s="20">
        <v>45808</v>
      </c>
      <c r="C458" s="19" t="s">
        <v>46</v>
      </c>
      <c r="D458" s="19" t="s">
        <v>36</v>
      </c>
      <c r="E458" s="19" t="s">
        <v>36</v>
      </c>
      <c r="F458" s="19" t="s">
        <v>36</v>
      </c>
      <c r="G458" s="19" t="s">
        <v>37</v>
      </c>
      <c r="K458" s="19" t="s">
        <v>38</v>
      </c>
      <c r="L458" s="19" t="s">
        <v>39</v>
      </c>
      <c r="M458" s="19" t="s">
        <v>40</v>
      </c>
      <c r="N458" s="19" t="s">
        <v>41</v>
      </c>
      <c r="R458" s="19" t="s">
        <v>58</v>
      </c>
      <c r="T458" s="21">
        <v>50000</v>
      </c>
      <c r="U458" s="19" t="s">
        <v>56</v>
      </c>
      <c r="V458" s="19">
        <v>12</v>
      </c>
      <c r="W458" s="19" t="s">
        <v>57</v>
      </c>
      <c r="X458" s="19" t="s">
        <v>884</v>
      </c>
      <c r="Y458" s="19" t="s">
        <v>882</v>
      </c>
      <c r="Z458" s="19" t="s">
        <v>44</v>
      </c>
    </row>
    <row r="459" spans="1:26" x14ac:dyDescent="0.3">
      <c r="A459" s="19" t="s">
        <v>121</v>
      </c>
      <c r="B459" s="20">
        <v>45808</v>
      </c>
      <c r="C459" s="19" t="s">
        <v>46</v>
      </c>
      <c r="D459" s="19" t="s">
        <v>36</v>
      </c>
      <c r="E459" s="19" t="s">
        <v>36</v>
      </c>
      <c r="F459" s="19" t="s">
        <v>36</v>
      </c>
      <c r="G459" s="19" t="s">
        <v>37</v>
      </c>
      <c r="K459" s="19" t="s">
        <v>38</v>
      </c>
      <c r="L459" s="19" t="s">
        <v>39</v>
      </c>
      <c r="M459" s="19" t="s">
        <v>40</v>
      </c>
      <c r="N459" s="19" t="s">
        <v>41</v>
      </c>
      <c r="R459" s="19" t="s">
        <v>47</v>
      </c>
      <c r="S459" s="21">
        <v>5231.1903259999999</v>
      </c>
      <c r="U459" s="19" t="s">
        <v>56</v>
      </c>
      <c r="V459" s="19">
        <v>8</v>
      </c>
      <c r="W459" s="19" t="s">
        <v>48</v>
      </c>
      <c r="X459" s="19" t="s">
        <v>885</v>
      </c>
      <c r="Y459" s="19" t="s">
        <v>886</v>
      </c>
      <c r="Z459" s="19" t="s">
        <v>44</v>
      </c>
    </row>
    <row r="460" spans="1:26" x14ac:dyDescent="0.3">
      <c r="A460" s="19" t="s">
        <v>121</v>
      </c>
      <c r="B460" s="20">
        <v>45808</v>
      </c>
      <c r="C460" s="19" t="s">
        <v>46</v>
      </c>
      <c r="D460" s="19" t="s">
        <v>36</v>
      </c>
      <c r="E460" s="19" t="s">
        <v>36</v>
      </c>
      <c r="F460" s="19" t="s">
        <v>36</v>
      </c>
      <c r="G460" s="19" t="s">
        <v>37</v>
      </c>
      <c r="K460" s="19" t="s">
        <v>38</v>
      </c>
      <c r="L460" s="19" t="s">
        <v>39</v>
      </c>
      <c r="M460" s="19" t="s">
        <v>38</v>
      </c>
      <c r="N460" s="19" t="s">
        <v>41</v>
      </c>
      <c r="R460" s="19" t="s">
        <v>49</v>
      </c>
      <c r="T460" s="21">
        <v>5231.1903259999999</v>
      </c>
      <c r="U460" s="19" t="s">
        <v>56</v>
      </c>
      <c r="V460" s="19">
        <v>8</v>
      </c>
      <c r="W460" s="19" t="s">
        <v>48</v>
      </c>
      <c r="X460" s="19" t="s">
        <v>887</v>
      </c>
      <c r="Y460" s="19" t="s">
        <v>886</v>
      </c>
      <c r="Z460" s="19" t="s">
        <v>44</v>
      </c>
    </row>
    <row r="461" spans="1:26" x14ac:dyDescent="0.3">
      <c r="A461" s="19" t="s">
        <v>121</v>
      </c>
      <c r="B461" s="20">
        <v>44562</v>
      </c>
      <c r="C461" s="19" t="s">
        <v>35</v>
      </c>
      <c r="D461" s="19" t="s">
        <v>36</v>
      </c>
      <c r="E461" s="19" t="s">
        <v>36</v>
      </c>
      <c r="F461" s="19" t="s">
        <v>36</v>
      </c>
      <c r="G461" s="19" t="s">
        <v>37</v>
      </c>
      <c r="K461" s="19" t="s">
        <v>38</v>
      </c>
      <c r="L461" s="19" t="s">
        <v>39</v>
      </c>
      <c r="M461" s="19" t="s">
        <v>40</v>
      </c>
      <c r="N461" s="19" t="s">
        <v>41</v>
      </c>
      <c r="R461" s="19" t="s">
        <v>50</v>
      </c>
      <c r="S461" s="21">
        <v>42330.49</v>
      </c>
      <c r="U461" s="19" t="s">
        <v>56</v>
      </c>
      <c r="V461" s="19">
        <v>10</v>
      </c>
      <c r="W461" s="19" t="s">
        <v>51</v>
      </c>
      <c r="X461" s="19" t="s">
        <v>888</v>
      </c>
      <c r="Y461" s="19" t="s">
        <v>889</v>
      </c>
      <c r="Z461" s="19" t="s">
        <v>44</v>
      </c>
    </row>
    <row r="462" spans="1:26" x14ac:dyDescent="0.3">
      <c r="A462" s="19" t="s">
        <v>121</v>
      </c>
      <c r="B462" s="20">
        <v>44562</v>
      </c>
      <c r="C462" s="19" t="s">
        <v>35</v>
      </c>
      <c r="D462" s="19" t="s">
        <v>36</v>
      </c>
      <c r="E462" s="19" t="s">
        <v>36</v>
      </c>
      <c r="F462" s="19" t="s">
        <v>36</v>
      </c>
      <c r="G462" s="19" t="s">
        <v>37</v>
      </c>
      <c r="K462" s="19" t="s">
        <v>38</v>
      </c>
      <c r="L462" s="19" t="s">
        <v>39</v>
      </c>
      <c r="M462" s="19" t="s">
        <v>40</v>
      </c>
      <c r="N462" s="19" t="s">
        <v>41</v>
      </c>
      <c r="R462" s="19" t="s">
        <v>52</v>
      </c>
      <c r="T462" s="21">
        <v>42330.49</v>
      </c>
      <c r="U462" s="19" t="s">
        <v>56</v>
      </c>
      <c r="V462" s="19">
        <v>10</v>
      </c>
      <c r="W462" s="19" t="s">
        <v>51</v>
      </c>
      <c r="X462" s="19" t="s">
        <v>890</v>
      </c>
      <c r="Y462" s="19" t="s">
        <v>889</v>
      </c>
      <c r="Z462" s="19" t="s">
        <v>44</v>
      </c>
    </row>
    <row r="463" spans="1:26" x14ac:dyDescent="0.3">
      <c r="A463" s="19" t="s">
        <v>121</v>
      </c>
      <c r="B463" s="20">
        <v>45808</v>
      </c>
      <c r="C463" s="19" t="s">
        <v>35</v>
      </c>
      <c r="D463" s="19" t="s">
        <v>36</v>
      </c>
      <c r="E463" s="19" t="s">
        <v>36</v>
      </c>
      <c r="F463" s="19" t="s">
        <v>36</v>
      </c>
      <c r="G463" s="19" t="s">
        <v>37</v>
      </c>
      <c r="K463" s="19" t="s">
        <v>38</v>
      </c>
      <c r="L463" s="19" t="s">
        <v>39</v>
      </c>
      <c r="M463" s="19" t="s">
        <v>40</v>
      </c>
      <c r="N463" s="19" t="s">
        <v>41</v>
      </c>
      <c r="R463" s="19" t="s">
        <v>45</v>
      </c>
      <c r="S463" s="21">
        <v>554801.29</v>
      </c>
      <c r="U463" s="19" t="s">
        <v>56</v>
      </c>
      <c r="V463" s="19">
        <v>11</v>
      </c>
      <c r="W463" s="19" t="s">
        <v>53</v>
      </c>
      <c r="X463" s="19" t="s">
        <v>891</v>
      </c>
      <c r="Y463" s="19" t="s">
        <v>892</v>
      </c>
      <c r="Z463" s="19" t="s">
        <v>44</v>
      </c>
    </row>
    <row r="464" spans="1:26" x14ac:dyDescent="0.3">
      <c r="A464" s="19" t="s">
        <v>121</v>
      </c>
      <c r="B464" s="20">
        <v>45808</v>
      </c>
      <c r="C464" s="19" t="s">
        <v>35</v>
      </c>
      <c r="D464" s="19" t="s">
        <v>36</v>
      </c>
      <c r="E464" s="19" t="s">
        <v>36</v>
      </c>
      <c r="F464" s="19" t="s">
        <v>36</v>
      </c>
      <c r="G464" s="19" t="s">
        <v>37</v>
      </c>
      <c r="K464" s="19" t="s">
        <v>38</v>
      </c>
      <c r="L464" s="19" t="s">
        <v>39</v>
      </c>
      <c r="M464" s="19" t="s">
        <v>40</v>
      </c>
      <c r="N464" s="19" t="s">
        <v>41</v>
      </c>
      <c r="R464" s="19" t="s">
        <v>54</v>
      </c>
      <c r="T464" s="21">
        <v>554801.29</v>
      </c>
      <c r="U464" s="19" t="s">
        <v>56</v>
      </c>
      <c r="V464" s="19">
        <v>11</v>
      </c>
      <c r="W464" s="19" t="s">
        <v>53</v>
      </c>
      <c r="X464" s="19" t="s">
        <v>893</v>
      </c>
      <c r="Y464" s="19" t="s">
        <v>892</v>
      </c>
      <c r="Z464" s="19" t="s">
        <v>44</v>
      </c>
    </row>
    <row r="465" spans="1:26" x14ac:dyDescent="0.3">
      <c r="A465" s="19" t="s">
        <v>122</v>
      </c>
      <c r="B465" s="20">
        <v>45809</v>
      </c>
      <c r="C465" s="19" t="s">
        <v>35</v>
      </c>
      <c r="D465" s="19" t="s">
        <v>36</v>
      </c>
      <c r="E465" s="19" t="s">
        <v>36</v>
      </c>
      <c r="F465" s="19" t="s">
        <v>36</v>
      </c>
      <c r="G465" s="19" t="s">
        <v>37</v>
      </c>
      <c r="K465" s="19" t="s">
        <v>38</v>
      </c>
      <c r="L465" s="19" t="s">
        <v>39</v>
      </c>
      <c r="M465" s="19" t="s">
        <v>40</v>
      </c>
      <c r="N465" s="19" t="s">
        <v>41</v>
      </c>
      <c r="R465" s="19" t="s">
        <v>54</v>
      </c>
      <c r="S465" s="21">
        <v>554801.29</v>
      </c>
      <c r="U465" s="19" t="s">
        <v>56</v>
      </c>
      <c r="V465" s="19">
        <v>11</v>
      </c>
      <c r="W465" s="19" t="s">
        <v>55</v>
      </c>
      <c r="X465" s="19" t="s">
        <v>894</v>
      </c>
      <c r="Y465" s="19" t="s">
        <v>895</v>
      </c>
      <c r="Z465" s="19" t="s">
        <v>44</v>
      </c>
    </row>
    <row r="466" spans="1:26" x14ac:dyDescent="0.3">
      <c r="A466" s="19" t="s">
        <v>122</v>
      </c>
      <c r="B466" s="20">
        <v>45809</v>
      </c>
      <c r="C466" s="19" t="s">
        <v>35</v>
      </c>
      <c r="D466" s="19" t="s">
        <v>36</v>
      </c>
      <c r="E466" s="19" t="s">
        <v>36</v>
      </c>
      <c r="F466" s="19" t="s">
        <v>36</v>
      </c>
      <c r="G466" s="19" t="s">
        <v>37</v>
      </c>
      <c r="K466" s="19" t="s">
        <v>38</v>
      </c>
      <c r="L466" s="19" t="s">
        <v>39</v>
      </c>
      <c r="M466" s="19" t="s">
        <v>40</v>
      </c>
      <c r="N466" s="19" t="s">
        <v>41</v>
      </c>
      <c r="R466" s="19" t="s">
        <v>45</v>
      </c>
      <c r="T466" s="21">
        <v>554801.29</v>
      </c>
      <c r="U466" s="19" t="s">
        <v>56</v>
      </c>
      <c r="V466" s="19">
        <v>11</v>
      </c>
      <c r="W466" s="19" t="s">
        <v>55</v>
      </c>
      <c r="X466" s="19" t="s">
        <v>896</v>
      </c>
      <c r="Y466" s="19" t="s">
        <v>895</v>
      </c>
      <c r="Z466" s="19" t="s">
        <v>44</v>
      </c>
    </row>
    <row r="467" spans="1:26" x14ac:dyDescent="0.3">
      <c r="A467" s="19" t="s">
        <v>122</v>
      </c>
      <c r="B467" s="20">
        <v>45838</v>
      </c>
      <c r="C467" s="19" t="s">
        <v>46</v>
      </c>
      <c r="D467" s="19" t="s">
        <v>36</v>
      </c>
      <c r="E467" s="19" t="s">
        <v>36</v>
      </c>
      <c r="F467" s="19" t="s">
        <v>36</v>
      </c>
      <c r="G467" s="19" t="s">
        <v>37</v>
      </c>
      <c r="K467" s="19" t="s">
        <v>38</v>
      </c>
      <c r="L467" s="19" t="s">
        <v>39</v>
      </c>
      <c r="M467" s="19" t="s">
        <v>38</v>
      </c>
      <c r="N467" s="19" t="s">
        <v>41</v>
      </c>
      <c r="R467" s="19" t="s">
        <v>49</v>
      </c>
      <c r="S467" s="21">
        <v>5231.1903259999999</v>
      </c>
      <c r="U467" s="19" t="s">
        <v>56</v>
      </c>
      <c r="V467" s="19">
        <v>12</v>
      </c>
      <c r="W467" s="19" t="s">
        <v>57</v>
      </c>
      <c r="X467" s="19" t="s">
        <v>897</v>
      </c>
      <c r="Y467" s="19" t="s">
        <v>898</v>
      </c>
      <c r="Z467" s="19" t="s">
        <v>44</v>
      </c>
    </row>
    <row r="468" spans="1:26" x14ac:dyDescent="0.3">
      <c r="A468" s="19" t="s">
        <v>122</v>
      </c>
      <c r="B468" s="20">
        <v>45838</v>
      </c>
      <c r="C468" s="19" t="s">
        <v>46</v>
      </c>
      <c r="D468" s="19" t="s">
        <v>36</v>
      </c>
      <c r="E468" s="19" t="s">
        <v>36</v>
      </c>
      <c r="F468" s="19" t="s">
        <v>36</v>
      </c>
      <c r="G468" s="19" t="s">
        <v>37</v>
      </c>
      <c r="K468" s="19" t="s">
        <v>38</v>
      </c>
      <c r="L468" s="19" t="s">
        <v>39</v>
      </c>
      <c r="M468" s="19" t="s">
        <v>40</v>
      </c>
      <c r="N468" s="19" t="s">
        <v>41</v>
      </c>
      <c r="R468" s="19" t="s">
        <v>45</v>
      </c>
      <c r="S468" s="21">
        <v>44768.809673999996</v>
      </c>
      <c r="U468" s="19" t="s">
        <v>56</v>
      </c>
      <c r="V468" s="19">
        <v>12</v>
      </c>
      <c r="W468" s="19" t="s">
        <v>57</v>
      </c>
      <c r="X468" s="19" t="s">
        <v>899</v>
      </c>
      <c r="Y468" s="19" t="s">
        <v>898</v>
      </c>
      <c r="Z468" s="19" t="s">
        <v>44</v>
      </c>
    </row>
    <row r="469" spans="1:26" x14ac:dyDescent="0.3">
      <c r="A469" s="19" t="s">
        <v>122</v>
      </c>
      <c r="B469" s="20">
        <v>45838</v>
      </c>
      <c r="C469" s="19" t="s">
        <v>46</v>
      </c>
      <c r="D469" s="19" t="s">
        <v>36</v>
      </c>
      <c r="E469" s="19" t="s">
        <v>36</v>
      </c>
      <c r="F469" s="19" t="s">
        <v>36</v>
      </c>
      <c r="G469" s="19" t="s">
        <v>37</v>
      </c>
      <c r="K469" s="19" t="s">
        <v>38</v>
      </c>
      <c r="L469" s="19" t="s">
        <v>39</v>
      </c>
      <c r="M469" s="19" t="s">
        <v>40</v>
      </c>
      <c r="N469" s="19" t="s">
        <v>41</v>
      </c>
      <c r="R469" s="19" t="s">
        <v>58</v>
      </c>
      <c r="T469" s="21">
        <v>50000</v>
      </c>
      <c r="U469" s="19" t="s">
        <v>56</v>
      </c>
      <c r="V469" s="19">
        <v>12</v>
      </c>
      <c r="W469" s="19" t="s">
        <v>57</v>
      </c>
      <c r="X469" s="19" t="s">
        <v>900</v>
      </c>
      <c r="Y469" s="19" t="s">
        <v>898</v>
      </c>
      <c r="Z469" s="19" t="s">
        <v>44</v>
      </c>
    </row>
    <row r="470" spans="1:26" x14ac:dyDescent="0.3">
      <c r="A470" s="19" t="s">
        <v>123</v>
      </c>
      <c r="B470" s="20">
        <v>45838</v>
      </c>
      <c r="C470" s="19" t="s">
        <v>46</v>
      </c>
      <c r="D470" s="19" t="s">
        <v>36</v>
      </c>
      <c r="E470" s="19" t="s">
        <v>36</v>
      </c>
      <c r="F470" s="19" t="s">
        <v>36</v>
      </c>
      <c r="G470" s="19" t="s">
        <v>37</v>
      </c>
      <c r="K470" s="19" t="s">
        <v>38</v>
      </c>
      <c r="L470" s="19" t="s">
        <v>39</v>
      </c>
      <c r="M470" s="19" t="s">
        <v>40</v>
      </c>
      <c r="N470" s="19" t="s">
        <v>41</v>
      </c>
      <c r="R470" s="19" t="s">
        <v>47</v>
      </c>
      <c r="S470" s="21">
        <v>4970.0389359999999</v>
      </c>
      <c r="U470" s="19" t="s">
        <v>56</v>
      </c>
      <c r="V470" s="19">
        <v>8</v>
      </c>
      <c r="W470" s="19" t="s">
        <v>48</v>
      </c>
      <c r="X470" s="19" t="s">
        <v>901</v>
      </c>
      <c r="Y470" s="19" t="s">
        <v>902</v>
      </c>
      <c r="Z470" s="19" t="s">
        <v>44</v>
      </c>
    </row>
    <row r="471" spans="1:26" x14ac:dyDescent="0.3">
      <c r="A471" s="19" t="s">
        <v>123</v>
      </c>
      <c r="B471" s="20">
        <v>45838</v>
      </c>
      <c r="C471" s="19" t="s">
        <v>46</v>
      </c>
      <c r="D471" s="19" t="s">
        <v>36</v>
      </c>
      <c r="E471" s="19" t="s">
        <v>36</v>
      </c>
      <c r="F471" s="19" t="s">
        <v>36</v>
      </c>
      <c r="G471" s="19" t="s">
        <v>37</v>
      </c>
      <c r="K471" s="19" t="s">
        <v>38</v>
      </c>
      <c r="L471" s="19" t="s">
        <v>39</v>
      </c>
      <c r="M471" s="19" t="s">
        <v>38</v>
      </c>
      <c r="N471" s="19" t="s">
        <v>41</v>
      </c>
      <c r="R471" s="19" t="s">
        <v>49</v>
      </c>
      <c r="T471" s="21">
        <v>4970.0389359999999</v>
      </c>
      <c r="U471" s="19" t="s">
        <v>56</v>
      </c>
      <c r="V471" s="19">
        <v>8</v>
      </c>
      <c r="W471" s="19" t="s">
        <v>48</v>
      </c>
      <c r="X471" s="19" t="s">
        <v>903</v>
      </c>
      <c r="Y471" s="19" t="s">
        <v>902</v>
      </c>
      <c r="Z471" s="19" t="s">
        <v>44</v>
      </c>
    </row>
    <row r="472" spans="1:26" x14ac:dyDescent="0.3">
      <c r="A472" s="19" t="s">
        <v>123</v>
      </c>
      <c r="B472" s="20">
        <v>44562</v>
      </c>
      <c r="C472" s="19" t="s">
        <v>35</v>
      </c>
      <c r="D472" s="19" t="s">
        <v>36</v>
      </c>
      <c r="E472" s="19" t="s">
        <v>36</v>
      </c>
      <c r="F472" s="19" t="s">
        <v>36</v>
      </c>
      <c r="G472" s="19" t="s">
        <v>37</v>
      </c>
      <c r="K472" s="19" t="s">
        <v>38</v>
      </c>
      <c r="L472" s="19" t="s">
        <v>39</v>
      </c>
      <c r="M472" s="19" t="s">
        <v>40</v>
      </c>
      <c r="N472" s="19" t="s">
        <v>41</v>
      </c>
      <c r="R472" s="19" t="s">
        <v>50</v>
      </c>
      <c r="S472" s="21">
        <v>42330.49</v>
      </c>
      <c r="U472" s="19" t="s">
        <v>56</v>
      </c>
      <c r="V472" s="19">
        <v>10</v>
      </c>
      <c r="W472" s="19" t="s">
        <v>51</v>
      </c>
      <c r="X472" s="19" t="s">
        <v>904</v>
      </c>
      <c r="Y472" s="19" t="s">
        <v>905</v>
      </c>
      <c r="Z472" s="19" t="s">
        <v>44</v>
      </c>
    </row>
    <row r="473" spans="1:26" x14ac:dyDescent="0.3">
      <c r="A473" s="19" t="s">
        <v>123</v>
      </c>
      <c r="B473" s="20">
        <v>44562</v>
      </c>
      <c r="C473" s="19" t="s">
        <v>35</v>
      </c>
      <c r="D473" s="19" t="s">
        <v>36</v>
      </c>
      <c r="E473" s="19" t="s">
        <v>36</v>
      </c>
      <c r="F473" s="19" t="s">
        <v>36</v>
      </c>
      <c r="G473" s="19" t="s">
        <v>37</v>
      </c>
      <c r="K473" s="19" t="s">
        <v>38</v>
      </c>
      <c r="L473" s="19" t="s">
        <v>39</v>
      </c>
      <c r="M473" s="19" t="s">
        <v>40</v>
      </c>
      <c r="N473" s="19" t="s">
        <v>41</v>
      </c>
      <c r="R473" s="19" t="s">
        <v>52</v>
      </c>
      <c r="T473" s="21">
        <v>42330.49</v>
      </c>
      <c r="U473" s="19" t="s">
        <v>56</v>
      </c>
      <c r="V473" s="19">
        <v>10</v>
      </c>
      <c r="W473" s="19" t="s">
        <v>51</v>
      </c>
      <c r="X473" s="19" t="s">
        <v>906</v>
      </c>
      <c r="Y473" s="19" t="s">
        <v>905</v>
      </c>
      <c r="Z473" s="19" t="s">
        <v>44</v>
      </c>
    </row>
    <row r="474" spans="1:26" x14ac:dyDescent="0.3">
      <c r="A474" s="19" t="s">
        <v>123</v>
      </c>
      <c r="B474" s="20">
        <v>45838</v>
      </c>
      <c r="C474" s="19" t="s">
        <v>35</v>
      </c>
      <c r="D474" s="19" t="s">
        <v>36</v>
      </c>
      <c r="E474" s="19" t="s">
        <v>36</v>
      </c>
      <c r="F474" s="19" t="s">
        <v>36</v>
      </c>
      <c r="G474" s="19" t="s">
        <v>37</v>
      </c>
      <c r="K474" s="19" t="s">
        <v>38</v>
      </c>
      <c r="L474" s="19" t="s">
        <v>39</v>
      </c>
      <c r="M474" s="19" t="s">
        <v>40</v>
      </c>
      <c r="N474" s="19" t="s">
        <v>41</v>
      </c>
      <c r="R474" s="19" t="s">
        <v>45</v>
      </c>
      <c r="S474" s="21">
        <v>558037.63</v>
      </c>
      <c r="U474" s="19" t="s">
        <v>56</v>
      </c>
      <c r="V474" s="19">
        <v>11</v>
      </c>
      <c r="W474" s="19" t="s">
        <v>53</v>
      </c>
      <c r="X474" s="19" t="s">
        <v>907</v>
      </c>
      <c r="Y474" s="19" t="s">
        <v>908</v>
      </c>
      <c r="Z474" s="19" t="s">
        <v>44</v>
      </c>
    </row>
    <row r="475" spans="1:26" x14ac:dyDescent="0.3">
      <c r="A475" s="19" t="s">
        <v>123</v>
      </c>
      <c r="B475" s="20">
        <v>45838</v>
      </c>
      <c r="C475" s="19" t="s">
        <v>35</v>
      </c>
      <c r="D475" s="19" t="s">
        <v>36</v>
      </c>
      <c r="E475" s="19" t="s">
        <v>36</v>
      </c>
      <c r="F475" s="19" t="s">
        <v>36</v>
      </c>
      <c r="G475" s="19" t="s">
        <v>37</v>
      </c>
      <c r="K475" s="19" t="s">
        <v>38</v>
      </c>
      <c r="L475" s="19" t="s">
        <v>39</v>
      </c>
      <c r="M475" s="19" t="s">
        <v>40</v>
      </c>
      <c r="N475" s="19" t="s">
        <v>41</v>
      </c>
      <c r="R475" s="19" t="s">
        <v>54</v>
      </c>
      <c r="T475" s="21">
        <v>558037.63</v>
      </c>
      <c r="U475" s="19" t="s">
        <v>56</v>
      </c>
      <c r="V475" s="19">
        <v>11</v>
      </c>
      <c r="W475" s="19" t="s">
        <v>53</v>
      </c>
      <c r="X475" s="19" t="s">
        <v>909</v>
      </c>
      <c r="Y475" s="19" t="s">
        <v>908</v>
      </c>
      <c r="Z475" s="19" t="s">
        <v>44</v>
      </c>
    </row>
    <row r="476" spans="1:26" x14ac:dyDescent="0.3">
      <c r="A476" s="19" t="s">
        <v>124</v>
      </c>
      <c r="B476" s="20">
        <v>45839</v>
      </c>
      <c r="C476" s="19" t="s">
        <v>35</v>
      </c>
      <c r="D476" s="19" t="s">
        <v>36</v>
      </c>
      <c r="E476" s="19" t="s">
        <v>36</v>
      </c>
      <c r="F476" s="19" t="s">
        <v>36</v>
      </c>
      <c r="G476" s="19" t="s">
        <v>37</v>
      </c>
      <c r="K476" s="19" t="s">
        <v>38</v>
      </c>
      <c r="L476" s="19" t="s">
        <v>39</v>
      </c>
      <c r="M476" s="19" t="s">
        <v>40</v>
      </c>
      <c r="N476" s="19" t="s">
        <v>41</v>
      </c>
      <c r="R476" s="19" t="s">
        <v>54</v>
      </c>
      <c r="S476" s="21">
        <v>558037.63</v>
      </c>
      <c r="U476" s="19" t="s">
        <v>56</v>
      </c>
      <c r="V476" s="19">
        <v>11</v>
      </c>
      <c r="W476" s="19" t="s">
        <v>55</v>
      </c>
      <c r="X476" s="19" t="s">
        <v>910</v>
      </c>
      <c r="Y476" s="19" t="s">
        <v>911</v>
      </c>
      <c r="Z476" s="19" t="s">
        <v>44</v>
      </c>
    </row>
    <row r="477" spans="1:26" x14ac:dyDescent="0.3">
      <c r="A477" s="19" t="s">
        <v>124</v>
      </c>
      <c r="B477" s="20">
        <v>45839</v>
      </c>
      <c r="C477" s="19" t="s">
        <v>35</v>
      </c>
      <c r="D477" s="19" t="s">
        <v>36</v>
      </c>
      <c r="E477" s="19" t="s">
        <v>36</v>
      </c>
      <c r="F477" s="19" t="s">
        <v>36</v>
      </c>
      <c r="G477" s="19" t="s">
        <v>37</v>
      </c>
      <c r="K477" s="19" t="s">
        <v>38</v>
      </c>
      <c r="L477" s="19" t="s">
        <v>39</v>
      </c>
      <c r="M477" s="19" t="s">
        <v>40</v>
      </c>
      <c r="N477" s="19" t="s">
        <v>41</v>
      </c>
      <c r="R477" s="19" t="s">
        <v>45</v>
      </c>
      <c r="T477" s="21">
        <v>558037.63</v>
      </c>
      <c r="U477" s="19" t="s">
        <v>56</v>
      </c>
      <c r="V477" s="19">
        <v>11</v>
      </c>
      <c r="W477" s="19" t="s">
        <v>55</v>
      </c>
      <c r="X477" s="19" t="s">
        <v>912</v>
      </c>
      <c r="Y477" s="19" t="s">
        <v>911</v>
      </c>
      <c r="Z477" s="19" t="s">
        <v>44</v>
      </c>
    </row>
    <row r="478" spans="1:26" x14ac:dyDescent="0.3">
      <c r="A478" s="19" t="s">
        <v>124</v>
      </c>
      <c r="B478" s="20">
        <v>45869</v>
      </c>
      <c r="C478" s="19" t="s">
        <v>46</v>
      </c>
      <c r="D478" s="19" t="s">
        <v>36</v>
      </c>
      <c r="E478" s="19" t="s">
        <v>36</v>
      </c>
      <c r="F478" s="19" t="s">
        <v>36</v>
      </c>
      <c r="G478" s="19" t="s">
        <v>37</v>
      </c>
      <c r="K478" s="19" t="s">
        <v>38</v>
      </c>
      <c r="L478" s="19" t="s">
        <v>39</v>
      </c>
      <c r="M478" s="19" t="s">
        <v>38</v>
      </c>
      <c r="N478" s="19" t="s">
        <v>41</v>
      </c>
      <c r="R478" s="19" t="s">
        <v>49</v>
      </c>
      <c r="S478" s="21">
        <v>4970.0389359999999</v>
      </c>
      <c r="U478" s="19" t="s">
        <v>56</v>
      </c>
      <c r="V478" s="19">
        <v>12</v>
      </c>
      <c r="W478" s="19" t="s">
        <v>57</v>
      </c>
      <c r="X478" s="19" t="s">
        <v>913</v>
      </c>
      <c r="Y478" s="19" t="s">
        <v>914</v>
      </c>
      <c r="Z478" s="19" t="s">
        <v>44</v>
      </c>
    </row>
    <row r="479" spans="1:26" x14ac:dyDescent="0.3">
      <c r="A479" s="19" t="s">
        <v>124</v>
      </c>
      <c r="B479" s="20">
        <v>45869</v>
      </c>
      <c r="C479" s="19" t="s">
        <v>46</v>
      </c>
      <c r="D479" s="19" t="s">
        <v>36</v>
      </c>
      <c r="E479" s="19" t="s">
        <v>36</v>
      </c>
      <c r="F479" s="19" t="s">
        <v>36</v>
      </c>
      <c r="G479" s="19" t="s">
        <v>37</v>
      </c>
      <c r="K479" s="19" t="s">
        <v>38</v>
      </c>
      <c r="L479" s="19" t="s">
        <v>39</v>
      </c>
      <c r="M479" s="19" t="s">
        <v>40</v>
      </c>
      <c r="N479" s="19" t="s">
        <v>41</v>
      </c>
      <c r="R479" s="19" t="s">
        <v>45</v>
      </c>
      <c r="S479" s="21">
        <v>45029.961064000003</v>
      </c>
      <c r="U479" s="19" t="s">
        <v>56</v>
      </c>
      <c r="V479" s="19">
        <v>12</v>
      </c>
      <c r="W479" s="19" t="s">
        <v>57</v>
      </c>
      <c r="X479" s="19" t="s">
        <v>915</v>
      </c>
      <c r="Y479" s="19" t="s">
        <v>914</v>
      </c>
      <c r="Z479" s="19" t="s">
        <v>44</v>
      </c>
    </row>
    <row r="480" spans="1:26" x14ac:dyDescent="0.3">
      <c r="A480" s="19" t="s">
        <v>124</v>
      </c>
      <c r="B480" s="20">
        <v>45869</v>
      </c>
      <c r="C480" s="19" t="s">
        <v>46</v>
      </c>
      <c r="D480" s="19" t="s">
        <v>36</v>
      </c>
      <c r="E480" s="19" t="s">
        <v>36</v>
      </c>
      <c r="F480" s="19" t="s">
        <v>36</v>
      </c>
      <c r="G480" s="19" t="s">
        <v>37</v>
      </c>
      <c r="K480" s="19" t="s">
        <v>38</v>
      </c>
      <c r="L480" s="19" t="s">
        <v>39</v>
      </c>
      <c r="M480" s="19" t="s">
        <v>40</v>
      </c>
      <c r="N480" s="19" t="s">
        <v>41</v>
      </c>
      <c r="R480" s="19" t="s">
        <v>58</v>
      </c>
      <c r="T480" s="21">
        <v>50000</v>
      </c>
      <c r="U480" s="19" t="s">
        <v>56</v>
      </c>
      <c r="V480" s="19">
        <v>12</v>
      </c>
      <c r="W480" s="19" t="s">
        <v>57</v>
      </c>
      <c r="X480" s="19" t="s">
        <v>916</v>
      </c>
      <c r="Y480" s="19" t="s">
        <v>914</v>
      </c>
      <c r="Z480" s="19" t="s">
        <v>44</v>
      </c>
    </row>
    <row r="481" spans="1:26" x14ac:dyDescent="0.3">
      <c r="A481" s="19" t="s">
        <v>125</v>
      </c>
      <c r="B481" s="20">
        <v>45869</v>
      </c>
      <c r="C481" s="19" t="s">
        <v>46</v>
      </c>
      <c r="D481" s="19" t="s">
        <v>36</v>
      </c>
      <c r="E481" s="19" t="s">
        <v>36</v>
      </c>
      <c r="F481" s="19" t="s">
        <v>36</v>
      </c>
      <c r="G481" s="19" t="s">
        <v>37</v>
      </c>
      <c r="K481" s="19" t="s">
        <v>38</v>
      </c>
      <c r="L481" s="19" t="s">
        <v>39</v>
      </c>
      <c r="M481" s="19" t="s">
        <v>40</v>
      </c>
      <c r="N481" s="19" t="s">
        <v>41</v>
      </c>
      <c r="R481" s="19" t="s">
        <v>47</v>
      </c>
      <c r="S481" s="21">
        <v>4707.3641630000002</v>
      </c>
      <c r="U481" s="19" t="s">
        <v>56</v>
      </c>
      <c r="V481" s="19">
        <v>8</v>
      </c>
      <c r="W481" s="19" t="s">
        <v>48</v>
      </c>
      <c r="X481" s="19" t="s">
        <v>917</v>
      </c>
      <c r="Y481" s="19" t="s">
        <v>918</v>
      </c>
      <c r="Z481" s="19" t="s">
        <v>44</v>
      </c>
    </row>
    <row r="482" spans="1:26" x14ac:dyDescent="0.3">
      <c r="A482" s="19" t="s">
        <v>125</v>
      </c>
      <c r="B482" s="20">
        <v>45869</v>
      </c>
      <c r="C482" s="19" t="s">
        <v>46</v>
      </c>
      <c r="D482" s="19" t="s">
        <v>36</v>
      </c>
      <c r="E482" s="19" t="s">
        <v>36</v>
      </c>
      <c r="F482" s="19" t="s">
        <v>36</v>
      </c>
      <c r="G482" s="19" t="s">
        <v>37</v>
      </c>
      <c r="K482" s="19" t="s">
        <v>38</v>
      </c>
      <c r="L482" s="19" t="s">
        <v>39</v>
      </c>
      <c r="M482" s="19" t="s">
        <v>38</v>
      </c>
      <c r="N482" s="19" t="s">
        <v>41</v>
      </c>
      <c r="R482" s="19" t="s">
        <v>49</v>
      </c>
      <c r="T482" s="21">
        <v>4707.3641630000002</v>
      </c>
      <c r="U482" s="19" t="s">
        <v>56</v>
      </c>
      <c r="V482" s="19">
        <v>8</v>
      </c>
      <c r="W482" s="19" t="s">
        <v>48</v>
      </c>
      <c r="X482" s="19" t="s">
        <v>919</v>
      </c>
      <c r="Y482" s="19" t="s">
        <v>918</v>
      </c>
      <c r="Z482" s="19" t="s">
        <v>44</v>
      </c>
    </row>
    <row r="483" spans="1:26" x14ac:dyDescent="0.3">
      <c r="A483" s="19" t="s">
        <v>125</v>
      </c>
      <c r="B483" s="20">
        <v>44562</v>
      </c>
      <c r="C483" s="19" t="s">
        <v>35</v>
      </c>
      <c r="D483" s="19" t="s">
        <v>36</v>
      </c>
      <c r="E483" s="19" t="s">
        <v>36</v>
      </c>
      <c r="F483" s="19" t="s">
        <v>36</v>
      </c>
      <c r="G483" s="19" t="s">
        <v>37</v>
      </c>
      <c r="K483" s="19" t="s">
        <v>38</v>
      </c>
      <c r="L483" s="19" t="s">
        <v>39</v>
      </c>
      <c r="M483" s="19" t="s">
        <v>40</v>
      </c>
      <c r="N483" s="19" t="s">
        <v>41</v>
      </c>
      <c r="R483" s="19" t="s">
        <v>50</v>
      </c>
      <c r="S483" s="21">
        <v>42330.49</v>
      </c>
      <c r="U483" s="19" t="s">
        <v>56</v>
      </c>
      <c r="V483" s="19">
        <v>10</v>
      </c>
      <c r="W483" s="19" t="s">
        <v>51</v>
      </c>
      <c r="X483" s="19" t="s">
        <v>920</v>
      </c>
      <c r="Y483" s="19" t="s">
        <v>921</v>
      </c>
      <c r="Z483" s="19" t="s">
        <v>44</v>
      </c>
    </row>
    <row r="484" spans="1:26" x14ac:dyDescent="0.3">
      <c r="A484" s="19" t="s">
        <v>125</v>
      </c>
      <c r="B484" s="20">
        <v>44562</v>
      </c>
      <c r="C484" s="19" t="s">
        <v>35</v>
      </c>
      <c r="D484" s="19" t="s">
        <v>36</v>
      </c>
      <c r="E484" s="19" t="s">
        <v>36</v>
      </c>
      <c r="F484" s="19" t="s">
        <v>36</v>
      </c>
      <c r="G484" s="19" t="s">
        <v>37</v>
      </c>
      <c r="K484" s="19" t="s">
        <v>38</v>
      </c>
      <c r="L484" s="19" t="s">
        <v>39</v>
      </c>
      <c r="M484" s="19" t="s">
        <v>40</v>
      </c>
      <c r="N484" s="19" t="s">
        <v>41</v>
      </c>
      <c r="R484" s="19" t="s">
        <v>52</v>
      </c>
      <c r="T484" s="21">
        <v>42330.49</v>
      </c>
      <c r="U484" s="19" t="s">
        <v>56</v>
      </c>
      <c r="V484" s="19">
        <v>10</v>
      </c>
      <c r="W484" s="19" t="s">
        <v>51</v>
      </c>
      <c r="X484" s="19" t="s">
        <v>922</v>
      </c>
      <c r="Y484" s="19" t="s">
        <v>921</v>
      </c>
      <c r="Z484" s="19" t="s">
        <v>44</v>
      </c>
    </row>
    <row r="485" spans="1:26" x14ac:dyDescent="0.3">
      <c r="A485" s="19" t="s">
        <v>125</v>
      </c>
      <c r="B485" s="20">
        <v>45869</v>
      </c>
      <c r="C485" s="19" t="s">
        <v>35</v>
      </c>
      <c r="D485" s="19" t="s">
        <v>36</v>
      </c>
      <c r="E485" s="19" t="s">
        <v>36</v>
      </c>
      <c r="F485" s="19" t="s">
        <v>36</v>
      </c>
      <c r="G485" s="19" t="s">
        <v>37</v>
      </c>
      <c r="K485" s="19" t="s">
        <v>38</v>
      </c>
      <c r="L485" s="19" t="s">
        <v>39</v>
      </c>
      <c r="M485" s="19" t="s">
        <v>40</v>
      </c>
      <c r="N485" s="19" t="s">
        <v>41</v>
      </c>
      <c r="R485" s="19" t="s">
        <v>45</v>
      </c>
      <c r="S485" s="21">
        <v>561292.85</v>
      </c>
      <c r="U485" s="19" t="s">
        <v>56</v>
      </c>
      <c r="V485" s="19">
        <v>11</v>
      </c>
      <c r="W485" s="19" t="s">
        <v>53</v>
      </c>
      <c r="X485" s="19" t="s">
        <v>923</v>
      </c>
      <c r="Y485" s="19" t="s">
        <v>924</v>
      </c>
      <c r="Z485" s="19" t="s">
        <v>44</v>
      </c>
    </row>
    <row r="486" spans="1:26" x14ac:dyDescent="0.3">
      <c r="A486" s="19" t="s">
        <v>125</v>
      </c>
      <c r="B486" s="20">
        <v>45869</v>
      </c>
      <c r="C486" s="19" t="s">
        <v>35</v>
      </c>
      <c r="D486" s="19" t="s">
        <v>36</v>
      </c>
      <c r="E486" s="19" t="s">
        <v>36</v>
      </c>
      <c r="F486" s="19" t="s">
        <v>36</v>
      </c>
      <c r="G486" s="19" t="s">
        <v>37</v>
      </c>
      <c r="K486" s="19" t="s">
        <v>38</v>
      </c>
      <c r="L486" s="19" t="s">
        <v>39</v>
      </c>
      <c r="M486" s="19" t="s">
        <v>40</v>
      </c>
      <c r="N486" s="19" t="s">
        <v>41</v>
      </c>
      <c r="R486" s="19" t="s">
        <v>54</v>
      </c>
      <c r="T486" s="21">
        <v>561292.85</v>
      </c>
      <c r="U486" s="19" t="s">
        <v>56</v>
      </c>
      <c r="V486" s="19">
        <v>11</v>
      </c>
      <c r="W486" s="19" t="s">
        <v>53</v>
      </c>
      <c r="X486" s="19" t="s">
        <v>925</v>
      </c>
      <c r="Y486" s="19" t="s">
        <v>924</v>
      </c>
      <c r="Z486" s="19" t="s">
        <v>44</v>
      </c>
    </row>
    <row r="487" spans="1:26" x14ac:dyDescent="0.3">
      <c r="A487" s="19" t="s">
        <v>126</v>
      </c>
      <c r="B487" s="20">
        <v>45870</v>
      </c>
      <c r="C487" s="19" t="s">
        <v>35</v>
      </c>
      <c r="D487" s="19" t="s">
        <v>36</v>
      </c>
      <c r="E487" s="19" t="s">
        <v>36</v>
      </c>
      <c r="F487" s="19" t="s">
        <v>36</v>
      </c>
      <c r="G487" s="19" t="s">
        <v>37</v>
      </c>
      <c r="K487" s="19" t="s">
        <v>38</v>
      </c>
      <c r="L487" s="19" t="s">
        <v>39</v>
      </c>
      <c r="M487" s="19" t="s">
        <v>40</v>
      </c>
      <c r="N487" s="19" t="s">
        <v>41</v>
      </c>
      <c r="R487" s="19" t="s">
        <v>54</v>
      </c>
      <c r="S487" s="21">
        <v>561292.85</v>
      </c>
      <c r="U487" s="19" t="s">
        <v>56</v>
      </c>
      <c r="V487" s="19">
        <v>11</v>
      </c>
      <c r="W487" s="19" t="s">
        <v>55</v>
      </c>
      <c r="X487" s="19" t="s">
        <v>926</v>
      </c>
      <c r="Y487" s="19" t="s">
        <v>927</v>
      </c>
      <c r="Z487" s="19" t="s">
        <v>44</v>
      </c>
    </row>
    <row r="488" spans="1:26" x14ac:dyDescent="0.3">
      <c r="A488" s="19" t="s">
        <v>126</v>
      </c>
      <c r="B488" s="20">
        <v>45870</v>
      </c>
      <c r="C488" s="19" t="s">
        <v>35</v>
      </c>
      <c r="D488" s="19" t="s">
        <v>36</v>
      </c>
      <c r="E488" s="19" t="s">
        <v>36</v>
      </c>
      <c r="F488" s="19" t="s">
        <v>36</v>
      </c>
      <c r="G488" s="19" t="s">
        <v>37</v>
      </c>
      <c r="K488" s="19" t="s">
        <v>38</v>
      </c>
      <c r="L488" s="19" t="s">
        <v>39</v>
      </c>
      <c r="M488" s="19" t="s">
        <v>40</v>
      </c>
      <c r="N488" s="19" t="s">
        <v>41</v>
      </c>
      <c r="R488" s="19" t="s">
        <v>45</v>
      </c>
      <c r="T488" s="21">
        <v>561292.85</v>
      </c>
      <c r="U488" s="19" t="s">
        <v>56</v>
      </c>
      <c r="V488" s="19">
        <v>11</v>
      </c>
      <c r="W488" s="19" t="s">
        <v>55</v>
      </c>
      <c r="X488" s="19" t="s">
        <v>928</v>
      </c>
      <c r="Y488" s="19" t="s">
        <v>927</v>
      </c>
      <c r="Z488" s="19" t="s">
        <v>44</v>
      </c>
    </row>
    <row r="489" spans="1:26" x14ac:dyDescent="0.3">
      <c r="A489" s="19" t="s">
        <v>126</v>
      </c>
      <c r="B489" s="20">
        <v>45900</v>
      </c>
      <c r="C489" s="19" t="s">
        <v>46</v>
      </c>
      <c r="D489" s="19" t="s">
        <v>36</v>
      </c>
      <c r="E489" s="19" t="s">
        <v>36</v>
      </c>
      <c r="F489" s="19" t="s">
        <v>36</v>
      </c>
      <c r="G489" s="19" t="s">
        <v>37</v>
      </c>
      <c r="K489" s="19" t="s">
        <v>38</v>
      </c>
      <c r="L489" s="19" t="s">
        <v>39</v>
      </c>
      <c r="M489" s="19" t="s">
        <v>38</v>
      </c>
      <c r="N489" s="19" t="s">
        <v>41</v>
      </c>
      <c r="R489" s="19" t="s">
        <v>49</v>
      </c>
      <c r="S489" s="21">
        <v>4707.3641630000002</v>
      </c>
      <c r="U489" s="19" t="s">
        <v>56</v>
      </c>
      <c r="V489" s="19">
        <v>12</v>
      </c>
      <c r="W489" s="19" t="s">
        <v>57</v>
      </c>
      <c r="X489" s="19" t="s">
        <v>929</v>
      </c>
      <c r="Y489" s="19" t="s">
        <v>930</v>
      </c>
      <c r="Z489" s="19" t="s">
        <v>44</v>
      </c>
    </row>
    <row r="490" spans="1:26" x14ac:dyDescent="0.3">
      <c r="A490" s="19" t="s">
        <v>126</v>
      </c>
      <c r="B490" s="20">
        <v>45900</v>
      </c>
      <c r="C490" s="19" t="s">
        <v>46</v>
      </c>
      <c r="D490" s="19" t="s">
        <v>36</v>
      </c>
      <c r="E490" s="19" t="s">
        <v>36</v>
      </c>
      <c r="F490" s="19" t="s">
        <v>36</v>
      </c>
      <c r="G490" s="19" t="s">
        <v>37</v>
      </c>
      <c r="K490" s="19" t="s">
        <v>38</v>
      </c>
      <c r="L490" s="19" t="s">
        <v>39</v>
      </c>
      <c r="M490" s="19" t="s">
        <v>40</v>
      </c>
      <c r="N490" s="19" t="s">
        <v>41</v>
      </c>
      <c r="R490" s="19" t="s">
        <v>45</v>
      </c>
      <c r="S490" s="21">
        <v>45292.635837000002</v>
      </c>
      <c r="U490" s="19" t="s">
        <v>56</v>
      </c>
      <c r="V490" s="19">
        <v>12</v>
      </c>
      <c r="W490" s="19" t="s">
        <v>57</v>
      </c>
      <c r="X490" s="19" t="s">
        <v>931</v>
      </c>
      <c r="Y490" s="19" t="s">
        <v>930</v>
      </c>
      <c r="Z490" s="19" t="s">
        <v>44</v>
      </c>
    </row>
    <row r="491" spans="1:26" x14ac:dyDescent="0.3">
      <c r="A491" s="19" t="s">
        <v>126</v>
      </c>
      <c r="B491" s="20">
        <v>45900</v>
      </c>
      <c r="C491" s="19" t="s">
        <v>46</v>
      </c>
      <c r="D491" s="19" t="s">
        <v>36</v>
      </c>
      <c r="E491" s="19" t="s">
        <v>36</v>
      </c>
      <c r="F491" s="19" t="s">
        <v>36</v>
      </c>
      <c r="G491" s="19" t="s">
        <v>37</v>
      </c>
      <c r="K491" s="19" t="s">
        <v>38</v>
      </c>
      <c r="L491" s="19" t="s">
        <v>39</v>
      </c>
      <c r="M491" s="19" t="s">
        <v>40</v>
      </c>
      <c r="N491" s="19" t="s">
        <v>41</v>
      </c>
      <c r="R491" s="19" t="s">
        <v>58</v>
      </c>
      <c r="T491" s="21">
        <v>50000</v>
      </c>
      <c r="U491" s="19" t="s">
        <v>56</v>
      </c>
      <c r="V491" s="19">
        <v>12</v>
      </c>
      <c r="W491" s="19" t="s">
        <v>57</v>
      </c>
      <c r="X491" s="19" t="s">
        <v>932</v>
      </c>
      <c r="Y491" s="19" t="s">
        <v>930</v>
      </c>
      <c r="Z491" s="19" t="s">
        <v>44</v>
      </c>
    </row>
    <row r="492" spans="1:26" x14ac:dyDescent="0.3">
      <c r="A492" s="19" t="s">
        <v>127</v>
      </c>
      <c r="B492" s="20">
        <v>45900</v>
      </c>
      <c r="C492" s="19" t="s">
        <v>46</v>
      </c>
      <c r="D492" s="19" t="s">
        <v>36</v>
      </c>
      <c r="E492" s="19" t="s">
        <v>36</v>
      </c>
      <c r="F492" s="19" t="s">
        <v>36</v>
      </c>
      <c r="G492" s="19" t="s">
        <v>37</v>
      </c>
      <c r="K492" s="19" t="s">
        <v>38</v>
      </c>
      <c r="L492" s="19" t="s">
        <v>39</v>
      </c>
      <c r="M492" s="19" t="s">
        <v>40</v>
      </c>
      <c r="N492" s="19" t="s">
        <v>41</v>
      </c>
      <c r="R492" s="19" t="s">
        <v>47</v>
      </c>
      <c r="S492" s="21">
        <v>4443.1571210000002</v>
      </c>
      <c r="U492" s="19" t="s">
        <v>56</v>
      </c>
      <c r="V492" s="19">
        <v>8</v>
      </c>
      <c r="W492" s="19" t="s">
        <v>48</v>
      </c>
      <c r="X492" s="19" t="s">
        <v>933</v>
      </c>
      <c r="Y492" s="19" t="s">
        <v>934</v>
      </c>
      <c r="Z492" s="19" t="s">
        <v>44</v>
      </c>
    </row>
    <row r="493" spans="1:26" x14ac:dyDescent="0.3">
      <c r="A493" s="19" t="s">
        <v>127</v>
      </c>
      <c r="B493" s="20">
        <v>45900</v>
      </c>
      <c r="C493" s="19" t="s">
        <v>46</v>
      </c>
      <c r="D493" s="19" t="s">
        <v>36</v>
      </c>
      <c r="E493" s="19" t="s">
        <v>36</v>
      </c>
      <c r="F493" s="19" t="s">
        <v>36</v>
      </c>
      <c r="G493" s="19" t="s">
        <v>37</v>
      </c>
      <c r="K493" s="19" t="s">
        <v>38</v>
      </c>
      <c r="L493" s="19" t="s">
        <v>39</v>
      </c>
      <c r="M493" s="19" t="s">
        <v>38</v>
      </c>
      <c r="N493" s="19" t="s">
        <v>41</v>
      </c>
      <c r="R493" s="19" t="s">
        <v>49</v>
      </c>
      <c r="T493" s="21">
        <v>4443.1571210000002</v>
      </c>
      <c r="U493" s="19" t="s">
        <v>56</v>
      </c>
      <c r="V493" s="19">
        <v>8</v>
      </c>
      <c r="W493" s="19" t="s">
        <v>48</v>
      </c>
      <c r="X493" s="19" t="s">
        <v>935</v>
      </c>
      <c r="Y493" s="19" t="s">
        <v>934</v>
      </c>
      <c r="Z493" s="19" t="s">
        <v>44</v>
      </c>
    </row>
    <row r="494" spans="1:26" x14ac:dyDescent="0.3">
      <c r="A494" s="19" t="s">
        <v>127</v>
      </c>
      <c r="B494" s="20">
        <v>44562</v>
      </c>
      <c r="C494" s="19" t="s">
        <v>35</v>
      </c>
      <c r="D494" s="19" t="s">
        <v>36</v>
      </c>
      <c r="E494" s="19" t="s">
        <v>36</v>
      </c>
      <c r="F494" s="19" t="s">
        <v>36</v>
      </c>
      <c r="G494" s="19" t="s">
        <v>37</v>
      </c>
      <c r="K494" s="19" t="s">
        <v>38</v>
      </c>
      <c r="L494" s="19" t="s">
        <v>39</v>
      </c>
      <c r="M494" s="19" t="s">
        <v>40</v>
      </c>
      <c r="N494" s="19" t="s">
        <v>41</v>
      </c>
      <c r="R494" s="19" t="s">
        <v>50</v>
      </c>
      <c r="S494" s="21">
        <v>42330.49</v>
      </c>
      <c r="U494" s="19" t="s">
        <v>56</v>
      </c>
      <c r="V494" s="19">
        <v>10</v>
      </c>
      <c r="W494" s="19" t="s">
        <v>51</v>
      </c>
      <c r="X494" s="19" t="s">
        <v>936</v>
      </c>
      <c r="Y494" s="19" t="s">
        <v>937</v>
      </c>
      <c r="Z494" s="19" t="s">
        <v>44</v>
      </c>
    </row>
    <row r="495" spans="1:26" x14ac:dyDescent="0.3">
      <c r="A495" s="19" t="s">
        <v>127</v>
      </c>
      <c r="B495" s="20">
        <v>44562</v>
      </c>
      <c r="C495" s="19" t="s">
        <v>35</v>
      </c>
      <c r="D495" s="19" t="s">
        <v>36</v>
      </c>
      <c r="E495" s="19" t="s">
        <v>36</v>
      </c>
      <c r="F495" s="19" t="s">
        <v>36</v>
      </c>
      <c r="G495" s="19" t="s">
        <v>37</v>
      </c>
      <c r="K495" s="19" t="s">
        <v>38</v>
      </c>
      <c r="L495" s="19" t="s">
        <v>39</v>
      </c>
      <c r="M495" s="19" t="s">
        <v>40</v>
      </c>
      <c r="N495" s="19" t="s">
        <v>41</v>
      </c>
      <c r="R495" s="19" t="s">
        <v>52</v>
      </c>
      <c r="T495" s="21">
        <v>42330.49</v>
      </c>
      <c r="U495" s="19" t="s">
        <v>56</v>
      </c>
      <c r="V495" s="19">
        <v>10</v>
      </c>
      <c r="W495" s="19" t="s">
        <v>51</v>
      </c>
      <c r="X495" s="19" t="s">
        <v>938</v>
      </c>
      <c r="Y495" s="19" t="s">
        <v>937</v>
      </c>
      <c r="Z495" s="19" t="s">
        <v>44</v>
      </c>
    </row>
    <row r="496" spans="1:26" x14ac:dyDescent="0.3">
      <c r="A496" s="19" t="s">
        <v>127</v>
      </c>
      <c r="B496" s="20">
        <v>45900</v>
      </c>
      <c r="C496" s="19" t="s">
        <v>35</v>
      </c>
      <c r="D496" s="19" t="s">
        <v>36</v>
      </c>
      <c r="E496" s="19" t="s">
        <v>36</v>
      </c>
      <c r="F496" s="19" t="s">
        <v>36</v>
      </c>
      <c r="G496" s="19" t="s">
        <v>37</v>
      </c>
      <c r="K496" s="19" t="s">
        <v>38</v>
      </c>
      <c r="L496" s="19" t="s">
        <v>39</v>
      </c>
      <c r="M496" s="19" t="s">
        <v>40</v>
      </c>
      <c r="N496" s="19" t="s">
        <v>41</v>
      </c>
      <c r="R496" s="19" t="s">
        <v>45</v>
      </c>
      <c r="S496" s="21">
        <v>564567.06999999995</v>
      </c>
      <c r="U496" s="19" t="s">
        <v>56</v>
      </c>
      <c r="V496" s="19">
        <v>11</v>
      </c>
      <c r="W496" s="19" t="s">
        <v>53</v>
      </c>
      <c r="X496" s="19" t="s">
        <v>939</v>
      </c>
      <c r="Y496" s="19" t="s">
        <v>940</v>
      </c>
      <c r="Z496" s="19" t="s">
        <v>44</v>
      </c>
    </row>
    <row r="497" spans="1:26" x14ac:dyDescent="0.3">
      <c r="A497" s="19" t="s">
        <v>127</v>
      </c>
      <c r="B497" s="20">
        <v>45900</v>
      </c>
      <c r="C497" s="19" t="s">
        <v>35</v>
      </c>
      <c r="D497" s="19" t="s">
        <v>36</v>
      </c>
      <c r="E497" s="19" t="s">
        <v>36</v>
      </c>
      <c r="F497" s="19" t="s">
        <v>36</v>
      </c>
      <c r="G497" s="19" t="s">
        <v>37</v>
      </c>
      <c r="K497" s="19" t="s">
        <v>38</v>
      </c>
      <c r="L497" s="19" t="s">
        <v>39</v>
      </c>
      <c r="M497" s="19" t="s">
        <v>40</v>
      </c>
      <c r="N497" s="19" t="s">
        <v>41</v>
      </c>
      <c r="R497" s="19" t="s">
        <v>54</v>
      </c>
      <c r="T497" s="21">
        <v>564567.06999999995</v>
      </c>
      <c r="U497" s="19" t="s">
        <v>56</v>
      </c>
      <c r="V497" s="19">
        <v>11</v>
      </c>
      <c r="W497" s="19" t="s">
        <v>53</v>
      </c>
      <c r="X497" s="19" t="s">
        <v>941</v>
      </c>
      <c r="Y497" s="19" t="s">
        <v>940</v>
      </c>
      <c r="Z497" s="19" t="s">
        <v>44</v>
      </c>
    </row>
    <row r="498" spans="1:26" x14ac:dyDescent="0.3">
      <c r="A498" s="19" t="s">
        <v>128</v>
      </c>
      <c r="B498" s="20">
        <v>45901</v>
      </c>
      <c r="C498" s="19" t="s">
        <v>35</v>
      </c>
      <c r="D498" s="19" t="s">
        <v>36</v>
      </c>
      <c r="E498" s="19" t="s">
        <v>36</v>
      </c>
      <c r="F498" s="19" t="s">
        <v>36</v>
      </c>
      <c r="G498" s="19" t="s">
        <v>37</v>
      </c>
      <c r="K498" s="19" t="s">
        <v>38</v>
      </c>
      <c r="L498" s="19" t="s">
        <v>39</v>
      </c>
      <c r="M498" s="19" t="s">
        <v>40</v>
      </c>
      <c r="N498" s="19" t="s">
        <v>41</v>
      </c>
      <c r="R498" s="19" t="s">
        <v>54</v>
      </c>
      <c r="S498" s="21">
        <v>564567.06999999995</v>
      </c>
      <c r="U498" s="19" t="s">
        <v>56</v>
      </c>
      <c r="V498" s="19">
        <v>11</v>
      </c>
      <c r="W498" s="19" t="s">
        <v>55</v>
      </c>
      <c r="X498" s="19" t="s">
        <v>942</v>
      </c>
      <c r="Y498" s="19" t="s">
        <v>943</v>
      </c>
      <c r="Z498" s="19" t="s">
        <v>44</v>
      </c>
    </row>
    <row r="499" spans="1:26" x14ac:dyDescent="0.3">
      <c r="A499" s="19" t="s">
        <v>128</v>
      </c>
      <c r="B499" s="20">
        <v>45901</v>
      </c>
      <c r="C499" s="19" t="s">
        <v>35</v>
      </c>
      <c r="D499" s="19" t="s">
        <v>36</v>
      </c>
      <c r="E499" s="19" t="s">
        <v>36</v>
      </c>
      <c r="F499" s="19" t="s">
        <v>36</v>
      </c>
      <c r="G499" s="19" t="s">
        <v>37</v>
      </c>
      <c r="K499" s="19" t="s">
        <v>38</v>
      </c>
      <c r="L499" s="19" t="s">
        <v>39</v>
      </c>
      <c r="M499" s="19" t="s">
        <v>40</v>
      </c>
      <c r="N499" s="19" t="s">
        <v>41</v>
      </c>
      <c r="R499" s="19" t="s">
        <v>45</v>
      </c>
      <c r="T499" s="21">
        <v>564567.06999999995</v>
      </c>
      <c r="U499" s="19" t="s">
        <v>56</v>
      </c>
      <c r="V499" s="19">
        <v>11</v>
      </c>
      <c r="W499" s="19" t="s">
        <v>55</v>
      </c>
      <c r="X499" s="19" t="s">
        <v>944</v>
      </c>
      <c r="Y499" s="19" t="s">
        <v>943</v>
      </c>
      <c r="Z499" s="19" t="s">
        <v>44</v>
      </c>
    </row>
    <row r="500" spans="1:26" x14ac:dyDescent="0.3">
      <c r="A500" s="19" t="s">
        <v>128</v>
      </c>
      <c r="B500" s="20">
        <v>45930</v>
      </c>
      <c r="C500" s="19" t="s">
        <v>46</v>
      </c>
      <c r="D500" s="19" t="s">
        <v>36</v>
      </c>
      <c r="E500" s="19" t="s">
        <v>36</v>
      </c>
      <c r="F500" s="19" t="s">
        <v>36</v>
      </c>
      <c r="G500" s="19" t="s">
        <v>37</v>
      </c>
      <c r="K500" s="19" t="s">
        <v>38</v>
      </c>
      <c r="L500" s="19" t="s">
        <v>39</v>
      </c>
      <c r="M500" s="19" t="s">
        <v>38</v>
      </c>
      <c r="N500" s="19" t="s">
        <v>41</v>
      </c>
      <c r="R500" s="19" t="s">
        <v>49</v>
      </c>
      <c r="S500" s="21">
        <v>4443.1571210000002</v>
      </c>
      <c r="U500" s="19" t="s">
        <v>56</v>
      </c>
      <c r="V500" s="19">
        <v>12</v>
      </c>
      <c r="W500" s="19" t="s">
        <v>57</v>
      </c>
      <c r="X500" s="19" t="s">
        <v>945</v>
      </c>
      <c r="Y500" s="19" t="s">
        <v>946</v>
      </c>
      <c r="Z500" s="19" t="s">
        <v>44</v>
      </c>
    </row>
    <row r="501" spans="1:26" x14ac:dyDescent="0.3">
      <c r="A501" s="19" t="s">
        <v>128</v>
      </c>
      <c r="B501" s="20">
        <v>45930</v>
      </c>
      <c r="C501" s="19" t="s">
        <v>46</v>
      </c>
      <c r="D501" s="19" t="s">
        <v>36</v>
      </c>
      <c r="E501" s="19" t="s">
        <v>36</v>
      </c>
      <c r="F501" s="19" t="s">
        <v>36</v>
      </c>
      <c r="G501" s="19" t="s">
        <v>37</v>
      </c>
      <c r="K501" s="19" t="s">
        <v>38</v>
      </c>
      <c r="L501" s="19" t="s">
        <v>39</v>
      </c>
      <c r="M501" s="19" t="s">
        <v>40</v>
      </c>
      <c r="N501" s="19" t="s">
        <v>41</v>
      </c>
      <c r="R501" s="19" t="s">
        <v>45</v>
      </c>
      <c r="S501" s="21">
        <v>45556.842879000003</v>
      </c>
      <c r="U501" s="19" t="s">
        <v>56</v>
      </c>
      <c r="V501" s="19">
        <v>12</v>
      </c>
      <c r="W501" s="19" t="s">
        <v>57</v>
      </c>
      <c r="X501" s="19" t="s">
        <v>947</v>
      </c>
      <c r="Y501" s="19" t="s">
        <v>946</v>
      </c>
      <c r="Z501" s="19" t="s">
        <v>44</v>
      </c>
    </row>
    <row r="502" spans="1:26" x14ac:dyDescent="0.3">
      <c r="A502" s="19" t="s">
        <v>128</v>
      </c>
      <c r="B502" s="20">
        <v>45930</v>
      </c>
      <c r="C502" s="19" t="s">
        <v>46</v>
      </c>
      <c r="D502" s="19" t="s">
        <v>36</v>
      </c>
      <c r="E502" s="19" t="s">
        <v>36</v>
      </c>
      <c r="F502" s="19" t="s">
        <v>36</v>
      </c>
      <c r="G502" s="19" t="s">
        <v>37</v>
      </c>
      <c r="K502" s="19" t="s">
        <v>38</v>
      </c>
      <c r="L502" s="19" t="s">
        <v>39</v>
      </c>
      <c r="M502" s="19" t="s">
        <v>40</v>
      </c>
      <c r="N502" s="19" t="s">
        <v>41</v>
      </c>
      <c r="R502" s="19" t="s">
        <v>58</v>
      </c>
      <c r="T502" s="21">
        <v>50000</v>
      </c>
      <c r="U502" s="19" t="s">
        <v>56</v>
      </c>
      <c r="V502" s="19">
        <v>12</v>
      </c>
      <c r="W502" s="19" t="s">
        <v>57</v>
      </c>
      <c r="X502" s="19" t="s">
        <v>948</v>
      </c>
      <c r="Y502" s="19" t="s">
        <v>946</v>
      </c>
      <c r="Z502" s="19" t="s">
        <v>44</v>
      </c>
    </row>
    <row r="503" spans="1:26" x14ac:dyDescent="0.3">
      <c r="A503" s="19" t="s">
        <v>129</v>
      </c>
      <c r="B503" s="20">
        <v>45930</v>
      </c>
      <c r="C503" s="19" t="s">
        <v>46</v>
      </c>
      <c r="D503" s="19" t="s">
        <v>36</v>
      </c>
      <c r="E503" s="19" t="s">
        <v>36</v>
      </c>
      <c r="F503" s="19" t="s">
        <v>36</v>
      </c>
      <c r="G503" s="19" t="s">
        <v>37</v>
      </c>
      <c r="K503" s="19" t="s">
        <v>38</v>
      </c>
      <c r="L503" s="19" t="s">
        <v>39</v>
      </c>
      <c r="M503" s="19" t="s">
        <v>40</v>
      </c>
      <c r="N503" s="19" t="s">
        <v>41</v>
      </c>
      <c r="R503" s="19" t="s">
        <v>47</v>
      </c>
      <c r="S503" s="21">
        <v>4177.4088709999996</v>
      </c>
      <c r="U503" s="19" t="s">
        <v>56</v>
      </c>
      <c r="V503" s="19">
        <v>8</v>
      </c>
      <c r="W503" s="19" t="s">
        <v>48</v>
      </c>
      <c r="X503" s="19" t="s">
        <v>949</v>
      </c>
      <c r="Y503" s="19" t="s">
        <v>950</v>
      </c>
      <c r="Z503" s="19" t="s">
        <v>44</v>
      </c>
    </row>
    <row r="504" spans="1:26" x14ac:dyDescent="0.3">
      <c r="A504" s="19" t="s">
        <v>129</v>
      </c>
      <c r="B504" s="20">
        <v>45930</v>
      </c>
      <c r="C504" s="19" t="s">
        <v>46</v>
      </c>
      <c r="D504" s="19" t="s">
        <v>36</v>
      </c>
      <c r="E504" s="19" t="s">
        <v>36</v>
      </c>
      <c r="F504" s="19" t="s">
        <v>36</v>
      </c>
      <c r="G504" s="19" t="s">
        <v>37</v>
      </c>
      <c r="K504" s="19" t="s">
        <v>38</v>
      </c>
      <c r="L504" s="19" t="s">
        <v>39</v>
      </c>
      <c r="M504" s="19" t="s">
        <v>38</v>
      </c>
      <c r="N504" s="19" t="s">
        <v>41</v>
      </c>
      <c r="R504" s="19" t="s">
        <v>49</v>
      </c>
      <c r="T504" s="21">
        <v>4177.4088709999996</v>
      </c>
      <c r="U504" s="19" t="s">
        <v>56</v>
      </c>
      <c r="V504" s="19">
        <v>8</v>
      </c>
      <c r="W504" s="19" t="s">
        <v>48</v>
      </c>
      <c r="X504" s="19" t="s">
        <v>951</v>
      </c>
      <c r="Y504" s="19" t="s">
        <v>950</v>
      </c>
      <c r="Z504" s="19" t="s">
        <v>44</v>
      </c>
    </row>
    <row r="505" spans="1:26" x14ac:dyDescent="0.3">
      <c r="A505" s="19" t="s">
        <v>129</v>
      </c>
      <c r="B505" s="20">
        <v>44562</v>
      </c>
      <c r="C505" s="19" t="s">
        <v>35</v>
      </c>
      <c r="D505" s="19" t="s">
        <v>36</v>
      </c>
      <c r="E505" s="19" t="s">
        <v>36</v>
      </c>
      <c r="F505" s="19" t="s">
        <v>36</v>
      </c>
      <c r="G505" s="19" t="s">
        <v>37</v>
      </c>
      <c r="K505" s="19" t="s">
        <v>38</v>
      </c>
      <c r="L505" s="19" t="s">
        <v>39</v>
      </c>
      <c r="M505" s="19" t="s">
        <v>40</v>
      </c>
      <c r="N505" s="19" t="s">
        <v>41</v>
      </c>
      <c r="R505" s="19" t="s">
        <v>50</v>
      </c>
      <c r="S505" s="21">
        <v>42330.49</v>
      </c>
      <c r="U505" s="19" t="s">
        <v>56</v>
      </c>
      <c r="V505" s="19">
        <v>10</v>
      </c>
      <c r="W505" s="19" t="s">
        <v>51</v>
      </c>
      <c r="X505" s="19" t="s">
        <v>952</v>
      </c>
      <c r="Y505" s="19" t="s">
        <v>953</v>
      </c>
      <c r="Z505" s="19" t="s">
        <v>44</v>
      </c>
    </row>
    <row r="506" spans="1:26" x14ac:dyDescent="0.3">
      <c r="A506" s="19" t="s">
        <v>129</v>
      </c>
      <c r="B506" s="20">
        <v>44562</v>
      </c>
      <c r="C506" s="19" t="s">
        <v>35</v>
      </c>
      <c r="D506" s="19" t="s">
        <v>36</v>
      </c>
      <c r="E506" s="19" t="s">
        <v>36</v>
      </c>
      <c r="F506" s="19" t="s">
        <v>36</v>
      </c>
      <c r="G506" s="19" t="s">
        <v>37</v>
      </c>
      <c r="K506" s="19" t="s">
        <v>38</v>
      </c>
      <c r="L506" s="19" t="s">
        <v>39</v>
      </c>
      <c r="M506" s="19" t="s">
        <v>40</v>
      </c>
      <c r="N506" s="19" t="s">
        <v>41</v>
      </c>
      <c r="R506" s="19" t="s">
        <v>52</v>
      </c>
      <c r="T506" s="21">
        <v>42330.49</v>
      </c>
      <c r="U506" s="19" t="s">
        <v>56</v>
      </c>
      <c r="V506" s="19">
        <v>10</v>
      </c>
      <c r="W506" s="19" t="s">
        <v>51</v>
      </c>
      <c r="X506" s="19" t="s">
        <v>954</v>
      </c>
      <c r="Y506" s="19" t="s">
        <v>953</v>
      </c>
      <c r="Z506" s="19" t="s">
        <v>44</v>
      </c>
    </row>
    <row r="507" spans="1:26" x14ac:dyDescent="0.3">
      <c r="A507" s="19" t="s">
        <v>129</v>
      </c>
      <c r="B507" s="20">
        <v>45930</v>
      </c>
      <c r="C507" s="19" t="s">
        <v>35</v>
      </c>
      <c r="D507" s="19" t="s">
        <v>36</v>
      </c>
      <c r="E507" s="19" t="s">
        <v>36</v>
      </c>
      <c r="F507" s="19" t="s">
        <v>36</v>
      </c>
      <c r="G507" s="19" t="s">
        <v>37</v>
      </c>
      <c r="K507" s="19" t="s">
        <v>38</v>
      </c>
      <c r="L507" s="19" t="s">
        <v>39</v>
      </c>
      <c r="M507" s="19" t="s">
        <v>40</v>
      </c>
      <c r="N507" s="19" t="s">
        <v>41</v>
      </c>
      <c r="R507" s="19" t="s">
        <v>45</v>
      </c>
      <c r="S507" s="21">
        <v>567860.36</v>
      </c>
      <c r="U507" s="19" t="s">
        <v>56</v>
      </c>
      <c r="V507" s="19">
        <v>11</v>
      </c>
      <c r="W507" s="19" t="s">
        <v>53</v>
      </c>
      <c r="X507" s="19" t="s">
        <v>955</v>
      </c>
      <c r="Y507" s="19" t="s">
        <v>956</v>
      </c>
      <c r="Z507" s="19" t="s">
        <v>44</v>
      </c>
    </row>
    <row r="508" spans="1:26" x14ac:dyDescent="0.3">
      <c r="A508" s="19" t="s">
        <v>129</v>
      </c>
      <c r="B508" s="20">
        <v>45930</v>
      </c>
      <c r="C508" s="19" t="s">
        <v>35</v>
      </c>
      <c r="D508" s="19" t="s">
        <v>36</v>
      </c>
      <c r="E508" s="19" t="s">
        <v>36</v>
      </c>
      <c r="F508" s="19" t="s">
        <v>36</v>
      </c>
      <c r="G508" s="19" t="s">
        <v>37</v>
      </c>
      <c r="K508" s="19" t="s">
        <v>38</v>
      </c>
      <c r="L508" s="19" t="s">
        <v>39</v>
      </c>
      <c r="M508" s="19" t="s">
        <v>40</v>
      </c>
      <c r="N508" s="19" t="s">
        <v>41</v>
      </c>
      <c r="R508" s="19" t="s">
        <v>54</v>
      </c>
      <c r="T508" s="21">
        <v>567860.36</v>
      </c>
      <c r="U508" s="19" t="s">
        <v>56</v>
      </c>
      <c r="V508" s="19">
        <v>11</v>
      </c>
      <c r="W508" s="19" t="s">
        <v>53</v>
      </c>
      <c r="X508" s="19" t="s">
        <v>957</v>
      </c>
      <c r="Y508" s="19" t="s">
        <v>956</v>
      </c>
      <c r="Z508" s="19" t="s">
        <v>44</v>
      </c>
    </row>
    <row r="509" spans="1:26" x14ac:dyDescent="0.3">
      <c r="A509" s="19" t="s">
        <v>130</v>
      </c>
      <c r="B509" s="20">
        <v>45931</v>
      </c>
      <c r="C509" s="19" t="s">
        <v>35</v>
      </c>
      <c r="D509" s="19" t="s">
        <v>36</v>
      </c>
      <c r="E509" s="19" t="s">
        <v>36</v>
      </c>
      <c r="F509" s="19" t="s">
        <v>36</v>
      </c>
      <c r="G509" s="19" t="s">
        <v>37</v>
      </c>
      <c r="K509" s="19" t="s">
        <v>38</v>
      </c>
      <c r="L509" s="19" t="s">
        <v>39</v>
      </c>
      <c r="M509" s="19" t="s">
        <v>40</v>
      </c>
      <c r="N509" s="19" t="s">
        <v>41</v>
      </c>
      <c r="R509" s="19" t="s">
        <v>54</v>
      </c>
      <c r="S509" s="21">
        <v>567860.36</v>
      </c>
      <c r="U509" s="19" t="s">
        <v>56</v>
      </c>
      <c r="V509" s="19">
        <v>11</v>
      </c>
      <c r="W509" s="19" t="s">
        <v>55</v>
      </c>
      <c r="X509" s="19" t="s">
        <v>958</v>
      </c>
      <c r="Y509" s="19" t="s">
        <v>959</v>
      </c>
      <c r="Z509" s="19" t="s">
        <v>44</v>
      </c>
    </row>
    <row r="510" spans="1:26" x14ac:dyDescent="0.3">
      <c r="A510" s="19" t="s">
        <v>130</v>
      </c>
      <c r="B510" s="20">
        <v>45931</v>
      </c>
      <c r="C510" s="19" t="s">
        <v>35</v>
      </c>
      <c r="D510" s="19" t="s">
        <v>36</v>
      </c>
      <c r="E510" s="19" t="s">
        <v>36</v>
      </c>
      <c r="F510" s="19" t="s">
        <v>36</v>
      </c>
      <c r="G510" s="19" t="s">
        <v>37</v>
      </c>
      <c r="K510" s="19" t="s">
        <v>38</v>
      </c>
      <c r="L510" s="19" t="s">
        <v>39</v>
      </c>
      <c r="M510" s="19" t="s">
        <v>40</v>
      </c>
      <c r="N510" s="19" t="s">
        <v>41</v>
      </c>
      <c r="R510" s="19" t="s">
        <v>45</v>
      </c>
      <c r="T510" s="21">
        <v>567860.36</v>
      </c>
      <c r="U510" s="19" t="s">
        <v>56</v>
      </c>
      <c r="V510" s="19">
        <v>11</v>
      </c>
      <c r="W510" s="19" t="s">
        <v>55</v>
      </c>
      <c r="X510" s="19" t="s">
        <v>960</v>
      </c>
      <c r="Y510" s="19" t="s">
        <v>959</v>
      </c>
      <c r="Z510" s="19" t="s">
        <v>44</v>
      </c>
    </row>
    <row r="511" spans="1:26" x14ac:dyDescent="0.3">
      <c r="A511" s="19" t="s">
        <v>130</v>
      </c>
      <c r="B511" s="20">
        <v>45961</v>
      </c>
      <c r="C511" s="19" t="s">
        <v>46</v>
      </c>
      <c r="D511" s="19" t="s">
        <v>36</v>
      </c>
      <c r="E511" s="19" t="s">
        <v>36</v>
      </c>
      <c r="F511" s="19" t="s">
        <v>36</v>
      </c>
      <c r="G511" s="19" t="s">
        <v>37</v>
      </c>
      <c r="K511" s="19" t="s">
        <v>38</v>
      </c>
      <c r="L511" s="19" t="s">
        <v>39</v>
      </c>
      <c r="M511" s="19" t="s">
        <v>38</v>
      </c>
      <c r="N511" s="19" t="s">
        <v>41</v>
      </c>
      <c r="R511" s="19" t="s">
        <v>49</v>
      </c>
      <c r="S511" s="21">
        <v>4177.4088709999996</v>
      </c>
      <c r="U511" s="19" t="s">
        <v>56</v>
      </c>
      <c r="V511" s="19">
        <v>12</v>
      </c>
      <c r="W511" s="19" t="s">
        <v>57</v>
      </c>
      <c r="X511" s="19" t="s">
        <v>961</v>
      </c>
      <c r="Y511" s="19" t="s">
        <v>962</v>
      </c>
      <c r="Z511" s="19" t="s">
        <v>44</v>
      </c>
    </row>
    <row r="512" spans="1:26" x14ac:dyDescent="0.3">
      <c r="A512" s="19" t="s">
        <v>130</v>
      </c>
      <c r="B512" s="20">
        <v>45961</v>
      </c>
      <c r="C512" s="19" t="s">
        <v>46</v>
      </c>
      <c r="D512" s="19" t="s">
        <v>36</v>
      </c>
      <c r="E512" s="19" t="s">
        <v>36</v>
      </c>
      <c r="F512" s="19" t="s">
        <v>36</v>
      </c>
      <c r="G512" s="19" t="s">
        <v>37</v>
      </c>
      <c r="K512" s="19" t="s">
        <v>38</v>
      </c>
      <c r="L512" s="19" t="s">
        <v>39</v>
      </c>
      <c r="M512" s="19" t="s">
        <v>40</v>
      </c>
      <c r="N512" s="19" t="s">
        <v>41</v>
      </c>
      <c r="R512" s="19" t="s">
        <v>45</v>
      </c>
      <c r="S512" s="21">
        <v>45822.591129</v>
      </c>
      <c r="U512" s="19" t="s">
        <v>56</v>
      </c>
      <c r="V512" s="19">
        <v>12</v>
      </c>
      <c r="W512" s="19" t="s">
        <v>57</v>
      </c>
      <c r="X512" s="19" t="s">
        <v>963</v>
      </c>
      <c r="Y512" s="19" t="s">
        <v>962</v>
      </c>
      <c r="Z512" s="19" t="s">
        <v>44</v>
      </c>
    </row>
    <row r="513" spans="1:26" x14ac:dyDescent="0.3">
      <c r="A513" s="19" t="s">
        <v>130</v>
      </c>
      <c r="B513" s="20">
        <v>45961</v>
      </c>
      <c r="C513" s="19" t="s">
        <v>46</v>
      </c>
      <c r="D513" s="19" t="s">
        <v>36</v>
      </c>
      <c r="E513" s="19" t="s">
        <v>36</v>
      </c>
      <c r="F513" s="19" t="s">
        <v>36</v>
      </c>
      <c r="G513" s="19" t="s">
        <v>37</v>
      </c>
      <c r="K513" s="19" t="s">
        <v>38</v>
      </c>
      <c r="L513" s="19" t="s">
        <v>39</v>
      </c>
      <c r="M513" s="19" t="s">
        <v>40</v>
      </c>
      <c r="N513" s="19" t="s">
        <v>41</v>
      </c>
      <c r="R513" s="19" t="s">
        <v>58</v>
      </c>
      <c r="T513" s="21">
        <v>50000</v>
      </c>
      <c r="U513" s="19" t="s">
        <v>56</v>
      </c>
      <c r="V513" s="19">
        <v>12</v>
      </c>
      <c r="W513" s="19" t="s">
        <v>57</v>
      </c>
      <c r="X513" s="19" t="s">
        <v>964</v>
      </c>
      <c r="Y513" s="19" t="s">
        <v>962</v>
      </c>
      <c r="Z513" s="19" t="s">
        <v>44</v>
      </c>
    </row>
    <row r="514" spans="1:26" x14ac:dyDescent="0.3">
      <c r="A514" s="19" t="s">
        <v>131</v>
      </c>
      <c r="B514" s="20">
        <v>45961</v>
      </c>
      <c r="C514" s="19" t="s">
        <v>46</v>
      </c>
      <c r="D514" s="19" t="s">
        <v>36</v>
      </c>
      <c r="E514" s="19" t="s">
        <v>36</v>
      </c>
      <c r="F514" s="19" t="s">
        <v>36</v>
      </c>
      <c r="G514" s="19" t="s">
        <v>37</v>
      </c>
      <c r="K514" s="19" t="s">
        <v>38</v>
      </c>
      <c r="L514" s="19" t="s">
        <v>39</v>
      </c>
      <c r="M514" s="19" t="s">
        <v>40</v>
      </c>
      <c r="N514" s="19" t="s">
        <v>41</v>
      </c>
      <c r="R514" s="19" t="s">
        <v>47</v>
      </c>
      <c r="S514" s="21">
        <v>3910.1104220000002</v>
      </c>
      <c r="U514" s="19" t="s">
        <v>56</v>
      </c>
      <c r="V514" s="19">
        <v>8</v>
      </c>
      <c r="W514" s="19" t="s">
        <v>48</v>
      </c>
      <c r="X514" s="19" t="s">
        <v>965</v>
      </c>
      <c r="Y514" s="19" t="s">
        <v>966</v>
      </c>
      <c r="Z514" s="19" t="s">
        <v>44</v>
      </c>
    </row>
    <row r="515" spans="1:26" x14ac:dyDescent="0.3">
      <c r="A515" s="19" t="s">
        <v>131</v>
      </c>
      <c r="B515" s="20">
        <v>45961</v>
      </c>
      <c r="C515" s="19" t="s">
        <v>46</v>
      </c>
      <c r="D515" s="19" t="s">
        <v>36</v>
      </c>
      <c r="E515" s="19" t="s">
        <v>36</v>
      </c>
      <c r="F515" s="19" t="s">
        <v>36</v>
      </c>
      <c r="G515" s="19" t="s">
        <v>37</v>
      </c>
      <c r="K515" s="19" t="s">
        <v>38</v>
      </c>
      <c r="L515" s="19" t="s">
        <v>39</v>
      </c>
      <c r="M515" s="19" t="s">
        <v>38</v>
      </c>
      <c r="N515" s="19" t="s">
        <v>41</v>
      </c>
      <c r="R515" s="19" t="s">
        <v>49</v>
      </c>
      <c r="T515" s="21">
        <v>3910.1104220000002</v>
      </c>
      <c r="U515" s="19" t="s">
        <v>56</v>
      </c>
      <c r="V515" s="19">
        <v>8</v>
      </c>
      <c r="W515" s="19" t="s">
        <v>48</v>
      </c>
      <c r="X515" s="19" t="s">
        <v>967</v>
      </c>
      <c r="Y515" s="19" t="s">
        <v>966</v>
      </c>
      <c r="Z515" s="19" t="s">
        <v>44</v>
      </c>
    </row>
    <row r="516" spans="1:26" x14ac:dyDescent="0.3">
      <c r="A516" s="19" t="s">
        <v>131</v>
      </c>
      <c r="B516" s="20">
        <v>44562</v>
      </c>
      <c r="C516" s="19" t="s">
        <v>35</v>
      </c>
      <c r="D516" s="19" t="s">
        <v>36</v>
      </c>
      <c r="E516" s="19" t="s">
        <v>36</v>
      </c>
      <c r="F516" s="19" t="s">
        <v>36</v>
      </c>
      <c r="G516" s="19" t="s">
        <v>37</v>
      </c>
      <c r="K516" s="19" t="s">
        <v>38</v>
      </c>
      <c r="L516" s="19" t="s">
        <v>39</v>
      </c>
      <c r="M516" s="19" t="s">
        <v>40</v>
      </c>
      <c r="N516" s="19" t="s">
        <v>41</v>
      </c>
      <c r="R516" s="19" t="s">
        <v>50</v>
      </c>
      <c r="S516" s="21">
        <v>42330.49</v>
      </c>
      <c r="U516" s="19" t="s">
        <v>56</v>
      </c>
      <c r="V516" s="19">
        <v>10</v>
      </c>
      <c r="W516" s="19" t="s">
        <v>51</v>
      </c>
      <c r="X516" s="19" t="s">
        <v>968</v>
      </c>
      <c r="Y516" s="19" t="s">
        <v>969</v>
      </c>
      <c r="Z516" s="19" t="s">
        <v>44</v>
      </c>
    </row>
    <row r="517" spans="1:26" x14ac:dyDescent="0.3">
      <c r="A517" s="19" t="s">
        <v>131</v>
      </c>
      <c r="B517" s="20">
        <v>44562</v>
      </c>
      <c r="C517" s="19" t="s">
        <v>35</v>
      </c>
      <c r="D517" s="19" t="s">
        <v>36</v>
      </c>
      <c r="E517" s="19" t="s">
        <v>36</v>
      </c>
      <c r="F517" s="19" t="s">
        <v>36</v>
      </c>
      <c r="G517" s="19" t="s">
        <v>37</v>
      </c>
      <c r="K517" s="19" t="s">
        <v>38</v>
      </c>
      <c r="L517" s="19" t="s">
        <v>39</v>
      </c>
      <c r="M517" s="19" t="s">
        <v>40</v>
      </c>
      <c r="N517" s="19" t="s">
        <v>41</v>
      </c>
      <c r="R517" s="19" t="s">
        <v>52</v>
      </c>
      <c r="T517" s="21">
        <v>42330.49</v>
      </c>
      <c r="U517" s="19" t="s">
        <v>56</v>
      </c>
      <c r="V517" s="19">
        <v>10</v>
      </c>
      <c r="W517" s="19" t="s">
        <v>51</v>
      </c>
      <c r="X517" s="19" t="s">
        <v>970</v>
      </c>
      <c r="Y517" s="19" t="s">
        <v>969</v>
      </c>
      <c r="Z517" s="19" t="s">
        <v>44</v>
      </c>
    </row>
    <row r="518" spans="1:26" x14ac:dyDescent="0.3">
      <c r="A518" s="19" t="s">
        <v>131</v>
      </c>
      <c r="B518" s="20">
        <v>45961</v>
      </c>
      <c r="C518" s="19" t="s">
        <v>35</v>
      </c>
      <c r="D518" s="19" t="s">
        <v>36</v>
      </c>
      <c r="E518" s="19" t="s">
        <v>36</v>
      </c>
      <c r="F518" s="19" t="s">
        <v>36</v>
      </c>
      <c r="G518" s="19" t="s">
        <v>37</v>
      </c>
      <c r="K518" s="19" t="s">
        <v>38</v>
      </c>
      <c r="L518" s="19" t="s">
        <v>39</v>
      </c>
      <c r="M518" s="19" t="s">
        <v>40</v>
      </c>
      <c r="N518" s="19" t="s">
        <v>41</v>
      </c>
      <c r="R518" s="19" t="s">
        <v>45</v>
      </c>
      <c r="S518" s="21">
        <v>571172.89</v>
      </c>
      <c r="U518" s="19" t="s">
        <v>56</v>
      </c>
      <c r="V518" s="19">
        <v>11</v>
      </c>
      <c r="W518" s="19" t="s">
        <v>53</v>
      </c>
      <c r="X518" s="19" t="s">
        <v>971</v>
      </c>
      <c r="Y518" s="19" t="s">
        <v>972</v>
      </c>
      <c r="Z518" s="19" t="s">
        <v>44</v>
      </c>
    </row>
    <row r="519" spans="1:26" x14ac:dyDescent="0.3">
      <c r="A519" s="19" t="s">
        <v>131</v>
      </c>
      <c r="B519" s="20">
        <v>45961</v>
      </c>
      <c r="C519" s="19" t="s">
        <v>35</v>
      </c>
      <c r="D519" s="19" t="s">
        <v>36</v>
      </c>
      <c r="E519" s="19" t="s">
        <v>36</v>
      </c>
      <c r="F519" s="19" t="s">
        <v>36</v>
      </c>
      <c r="G519" s="19" t="s">
        <v>37</v>
      </c>
      <c r="K519" s="19" t="s">
        <v>38</v>
      </c>
      <c r="L519" s="19" t="s">
        <v>39</v>
      </c>
      <c r="M519" s="19" t="s">
        <v>40</v>
      </c>
      <c r="N519" s="19" t="s">
        <v>41</v>
      </c>
      <c r="R519" s="19" t="s">
        <v>54</v>
      </c>
      <c r="T519" s="21">
        <v>571172.89</v>
      </c>
      <c r="U519" s="19" t="s">
        <v>56</v>
      </c>
      <c r="V519" s="19">
        <v>11</v>
      </c>
      <c r="W519" s="19" t="s">
        <v>53</v>
      </c>
      <c r="X519" s="19" t="s">
        <v>973</v>
      </c>
      <c r="Y519" s="19" t="s">
        <v>972</v>
      </c>
      <c r="Z519" s="19" t="s">
        <v>44</v>
      </c>
    </row>
    <row r="520" spans="1:26" x14ac:dyDescent="0.3">
      <c r="A520" s="19" t="s">
        <v>132</v>
      </c>
      <c r="B520" s="20">
        <v>45962</v>
      </c>
      <c r="C520" s="19" t="s">
        <v>35</v>
      </c>
      <c r="D520" s="19" t="s">
        <v>36</v>
      </c>
      <c r="E520" s="19" t="s">
        <v>36</v>
      </c>
      <c r="F520" s="19" t="s">
        <v>36</v>
      </c>
      <c r="G520" s="19" t="s">
        <v>37</v>
      </c>
      <c r="K520" s="19" t="s">
        <v>38</v>
      </c>
      <c r="L520" s="19" t="s">
        <v>39</v>
      </c>
      <c r="M520" s="19" t="s">
        <v>40</v>
      </c>
      <c r="N520" s="19" t="s">
        <v>41</v>
      </c>
      <c r="R520" s="19" t="s">
        <v>54</v>
      </c>
      <c r="S520" s="21">
        <v>571172.89</v>
      </c>
      <c r="U520" s="19" t="s">
        <v>56</v>
      </c>
      <c r="V520" s="19">
        <v>11</v>
      </c>
      <c r="W520" s="19" t="s">
        <v>55</v>
      </c>
      <c r="X520" s="19" t="s">
        <v>974</v>
      </c>
      <c r="Y520" s="19" t="s">
        <v>975</v>
      </c>
      <c r="Z520" s="19" t="s">
        <v>44</v>
      </c>
    </row>
    <row r="521" spans="1:26" x14ac:dyDescent="0.3">
      <c r="A521" s="19" t="s">
        <v>132</v>
      </c>
      <c r="B521" s="20">
        <v>45962</v>
      </c>
      <c r="C521" s="19" t="s">
        <v>35</v>
      </c>
      <c r="D521" s="19" t="s">
        <v>36</v>
      </c>
      <c r="E521" s="19" t="s">
        <v>36</v>
      </c>
      <c r="F521" s="19" t="s">
        <v>36</v>
      </c>
      <c r="G521" s="19" t="s">
        <v>37</v>
      </c>
      <c r="K521" s="19" t="s">
        <v>38</v>
      </c>
      <c r="L521" s="19" t="s">
        <v>39</v>
      </c>
      <c r="M521" s="19" t="s">
        <v>40</v>
      </c>
      <c r="N521" s="19" t="s">
        <v>41</v>
      </c>
      <c r="R521" s="19" t="s">
        <v>45</v>
      </c>
      <c r="T521" s="21">
        <v>571172.89</v>
      </c>
      <c r="U521" s="19" t="s">
        <v>56</v>
      </c>
      <c r="V521" s="19">
        <v>11</v>
      </c>
      <c r="W521" s="19" t="s">
        <v>55</v>
      </c>
      <c r="X521" s="19" t="s">
        <v>976</v>
      </c>
      <c r="Y521" s="19" t="s">
        <v>975</v>
      </c>
      <c r="Z521" s="19" t="s">
        <v>44</v>
      </c>
    </row>
    <row r="522" spans="1:26" x14ac:dyDescent="0.3">
      <c r="A522" s="19" t="s">
        <v>132</v>
      </c>
      <c r="B522" s="20">
        <v>45991</v>
      </c>
      <c r="C522" s="19" t="s">
        <v>46</v>
      </c>
      <c r="D522" s="19" t="s">
        <v>36</v>
      </c>
      <c r="E522" s="19" t="s">
        <v>36</v>
      </c>
      <c r="F522" s="19" t="s">
        <v>36</v>
      </c>
      <c r="G522" s="19" t="s">
        <v>37</v>
      </c>
      <c r="K522" s="19" t="s">
        <v>38</v>
      </c>
      <c r="L522" s="19" t="s">
        <v>39</v>
      </c>
      <c r="M522" s="19" t="s">
        <v>38</v>
      </c>
      <c r="N522" s="19" t="s">
        <v>41</v>
      </c>
      <c r="R522" s="19" t="s">
        <v>49</v>
      </c>
      <c r="S522" s="21">
        <v>3910.1104220000002</v>
      </c>
      <c r="U522" s="19" t="s">
        <v>56</v>
      </c>
      <c r="V522" s="19">
        <v>12</v>
      </c>
      <c r="W522" s="19" t="s">
        <v>57</v>
      </c>
      <c r="X522" s="19" t="s">
        <v>977</v>
      </c>
      <c r="Y522" s="19" t="s">
        <v>978</v>
      </c>
      <c r="Z522" s="19" t="s">
        <v>44</v>
      </c>
    </row>
    <row r="523" spans="1:26" x14ac:dyDescent="0.3">
      <c r="A523" s="19" t="s">
        <v>132</v>
      </c>
      <c r="B523" s="20">
        <v>45991</v>
      </c>
      <c r="C523" s="19" t="s">
        <v>46</v>
      </c>
      <c r="D523" s="19" t="s">
        <v>36</v>
      </c>
      <c r="E523" s="19" t="s">
        <v>36</v>
      </c>
      <c r="F523" s="19" t="s">
        <v>36</v>
      </c>
      <c r="G523" s="19" t="s">
        <v>37</v>
      </c>
      <c r="K523" s="19" t="s">
        <v>38</v>
      </c>
      <c r="L523" s="19" t="s">
        <v>39</v>
      </c>
      <c r="M523" s="19" t="s">
        <v>40</v>
      </c>
      <c r="N523" s="19" t="s">
        <v>41</v>
      </c>
      <c r="R523" s="19" t="s">
        <v>45</v>
      </c>
      <c r="S523" s="21">
        <v>46089.889578000002</v>
      </c>
      <c r="U523" s="19" t="s">
        <v>56</v>
      </c>
      <c r="V523" s="19">
        <v>12</v>
      </c>
      <c r="W523" s="19" t="s">
        <v>57</v>
      </c>
      <c r="X523" s="19" t="s">
        <v>979</v>
      </c>
      <c r="Y523" s="19" t="s">
        <v>978</v>
      </c>
      <c r="Z523" s="19" t="s">
        <v>44</v>
      </c>
    </row>
    <row r="524" spans="1:26" x14ac:dyDescent="0.3">
      <c r="A524" s="19" t="s">
        <v>132</v>
      </c>
      <c r="B524" s="20">
        <v>45991</v>
      </c>
      <c r="C524" s="19" t="s">
        <v>46</v>
      </c>
      <c r="D524" s="19" t="s">
        <v>36</v>
      </c>
      <c r="E524" s="19" t="s">
        <v>36</v>
      </c>
      <c r="F524" s="19" t="s">
        <v>36</v>
      </c>
      <c r="G524" s="19" t="s">
        <v>37</v>
      </c>
      <c r="K524" s="19" t="s">
        <v>38</v>
      </c>
      <c r="L524" s="19" t="s">
        <v>39</v>
      </c>
      <c r="M524" s="19" t="s">
        <v>40</v>
      </c>
      <c r="N524" s="19" t="s">
        <v>41</v>
      </c>
      <c r="R524" s="19" t="s">
        <v>58</v>
      </c>
      <c r="T524" s="21">
        <v>50000</v>
      </c>
      <c r="U524" s="19" t="s">
        <v>56</v>
      </c>
      <c r="V524" s="19">
        <v>12</v>
      </c>
      <c r="W524" s="19" t="s">
        <v>57</v>
      </c>
      <c r="X524" s="19" t="s">
        <v>980</v>
      </c>
      <c r="Y524" s="19" t="s">
        <v>978</v>
      </c>
      <c r="Z524" s="19" t="s">
        <v>44</v>
      </c>
    </row>
    <row r="525" spans="1:26" x14ac:dyDescent="0.3">
      <c r="A525" s="19" t="s">
        <v>133</v>
      </c>
      <c r="B525" s="20">
        <v>45991</v>
      </c>
      <c r="C525" s="19" t="s">
        <v>46</v>
      </c>
      <c r="D525" s="19" t="s">
        <v>36</v>
      </c>
      <c r="E525" s="19" t="s">
        <v>36</v>
      </c>
      <c r="F525" s="19" t="s">
        <v>36</v>
      </c>
      <c r="G525" s="19" t="s">
        <v>37</v>
      </c>
      <c r="K525" s="19" t="s">
        <v>38</v>
      </c>
      <c r="L525" s="19" t="s">
        <v>39</v>
      </c>
      <c r="M525" s="19" t="s">
        <v>40</v>
      </c>
      <c r="N525" s="19" t="s">
        <v>41</v>
      </c>
      <c r="R525" s="19" t="s">
        <v>47</v>
      </c>
      <c r="S525" s="21">
        <v>3641.2527329999998</v>
      </c>
      <c r="U525" s="19" t="s">
        <v>56</v>
      </c>
      <c r="V525" s="19">
        <v>8</v>
      </c>
      <c r="W525" s="19" t="s">
        <v>48</v>
      </c>
      <c r="X525" s="19" t="s">
        <v>981</v>
      </c>
      <c r="Y525" s="19" t="s">
        <v>982</v>
      </c>
      <c r="Z525" s="19" t="s">
        <v>44</v>
      </c>
    </row>
    <row r="526" spans="1:26" x14ac:dyDescent="0.3">
      <c r="A526" s="19" t="s">
        <v>133</v>
      </c>
      <c r="B526" s="20">
        <v>45991</v>
      </c>
      <c r="C526" s="19" t="s">
        <v>46</v>
      </c>
      <c r="D526" s="19" t="s">
        <v>36</v>
      </c>
      <c r="E526" s="19" t="s">
        <v>36</v>
      </c>
      <c r="F526" s="19" t="s">
        <v>36</v>
      </c>
      <c r="G526" s="19" t="s">
        <v>37</v>
      </c>
      <c r="K526" s="19" t="s">
        <v>38</v>
      </c>
      <c r="L526" s="19" t="s">
        <v>39</v>
      </c>
      <c r="M526" s="19" t="s">
        <v>38</v>
      </c>
      <c r="N526" s="19" t="s">
        <v>41</v>
      </c>
      <c r="R526" s="19" t="s">
        <v>49</v>
      </c>
      <c r="T526" s="21">
        <v>3641.2527329999998</v>
      </c>
      <c r="U526" s="19" t="s">
        <v>56</v>
      </c>
      <c r="V526" s="19">
        <v>8</v>
      </c>
      <c r="W526" s="19" t="s">
        <v>48</v>
      </c>
      <c r="X526" s="19" t="s">
        <v>983</v>
      </c>
      <c r="Y526" s="19" t="s">
        <v>982</v>
      </c>
      <c r="Z526" s="19" t="s">
        <v>44</v>
      </c>
    </row>
    <row r="527" spans="1:26" x14ac:dyDescent="0.3">
      <c r="A527" s="19" t="s">
        <v>133</v>
      </c>
      <c r="B527" s="20">
        <v>44562</v>
      </c>
      <c r="C527" s="19" t="s">
        <v>35</v>
      </c>
      <c r="D527" s="19" t="s">
        <v>36</v>
      </c>
      <c r="E527" s="19" t="s">
        <v>36</v>
      </c>
      <c r="F527" s="19" t="s">
        <v>36</v>
      </c>
      <c r="G527" s="19" t="s">
        <v>37</v>
      </c>
      <c r="K527" s="19" t="s">
        <v>38</v>
      </c>
      <c r="L527" s="19" t="s">
        <v>39</v>
      </c>
      <c r="M527" s="19" t="s">
        <v>40</v>
      </c>
      <c r="N527" s="19" t="s">
        <v>41</v>
      </c>
      <c r="R527" s="19" t="s">
        <v>50</v>
      </c>
      <c r="S527" s="21">
        <v>42330.49</v>
      </c>
      <c r="U527" s="19" t="s">
        <v>56</v>
      </c>
      <c r="V527" s="19">
        <v>10</v>
      </c>
      <c r="W527" s="19" t="s">
        <v>51</v>
      </c>
      <c r="X527" s="19" t="s">
        <v>984</v>
      </c>
      <c r="Y527" s="19" t="s">
        <v>985</v>
      </c>
      <c r="Z527" s="19" t="s">
        <v>44</v>
      </c>
    </row>
    <row r="528" spans="1:26" x14ac:dyDescent="0.3">
      <c r="A528" s="19" t="s">
        <v>133</v>
      </c>
      <c r="B528" s="20">
        <v>44562</v>
      </c>
      <c r="C528" s="19" t="s">
        <v>35</v>
      </c>
      <c r="D528" s="19" t="s">
        <v>36</v>
      </c>
      <c r="E528" s="19" t="s">
        <v>36</v>
      </c>
      <c r="F528" s="19" t="s">
        <v>36</v>
      </c>
      <c r="G528" s="19" t="s">
        <v>37</v>
      </c>
      <c r="K528" s="19" t="s">
        <v>38</v>
      </c>
      <c r="L528" s="19" t="s">
        <v>39</v>
      </c>
      <c r="M528" s="19" t="s">
        <v>40</v>
      </c>
      <c r="N528" s="19" t="s">
        <v>41</v>
      </c>
      <c r="R528" s="19" t="s">
        <v>52</v>
      </c>
      <c r="T528" s="21">
        <v>42330.49</v>
      </c>
      <c r="U528" s="19" t="s">
        <v>56</v>
      </c>
      <c r="V528" s="19">
        <v>10</v>
      </c>
      <c r="W528" s="19" t="s">
        <v>51</v>
      </c>
      <c r="X528" s="19" t="s">
        <v>986</v>
      </c>
      <c r="Y528" s="19" t="s">
        <v>985</v>
      </c>
      <c r="Z528" s="19" t="s">
        <v>44</v>
      </c>
    </row>
    <row r="529" spans="1:26" x14ac:dyDescent="0.3">
      <c r="A529" s="19" t="s">
        <v>133</v>
      </c>
      <c r="B529" s="20">
        <v>45991</v>
      </c>
      <c r="C529" s="19" t="s">
        <v>35</v>
      </c>
      <c r="D529" s="19" t="s">
        <v>36</v>
      </c>
      <c r="E529" s="19" t="s">
        <v>36</v>
      </c>
      <c r="F529" s="19" t="s">
        <v>36</v>
      </c>
      <c r="G529" s="19" t="s">
        <v>37</v>
      </c>
      <c r="K529" s="19" t="s">
        <v>38</v>
      </c>
      <c r="L529" s="19" t="s">
        <v>39</v>
      </c>
      <c r="M529" s="19" t="s">
        <v>40</v>
      </c>
      <c r="N529" s="19" t="s">
        <v>41</v>
      </c>
      <c r="R529" s="19" t="s">
        <v>45</v>
      </c>
      <c r="S529" s="21">
        <v>574504.73</v>
      </c>
      <c r="U529" s="19" t="s">
        <v>56</v>
      </c>
      <c r="V529" s="19">
        <v>11</v>
      </c>
      <c r="W529" s="19" t="s">
        <v>53</v>
      </c>
      <c r="X529" s="19" t="s">
        <v>987</v>
      </c>
      <c r="Y529" s="19" t="s">
        <v>988</v>
      </c>
      <c r="Z529" s="19" t="s">
        <v>44</v>
      </c>
    </row>
    <row r="530" spans="1:26" x14ac:dyDescent="0.3">
      <c r="A530" s="19" t="s">
        <v>133</v>
      </c>
      <c r="B530" s="20">
        <v>45991</v>
      </c>
      <c r="C530" s="19" t="s">
        <v>35</v>
      </c>
      <c r="D530" s="19" t="s">
        <v>36</v>
      </c>
      <c r="E530" s="19" t="s">
        <v>36</v>
      </c>
      <c r="F530" s="19" t="s">
        <v>36</v>
      </c>
      <c r="G530" s="19" t="s">
        <v>37</v>
      </c>
      <c r="K530" s="19" t="s">
        <v>38</v>
      </c>
      <c r="L530" s="19" t="s">
        <v>39</v>
      </c>
      <c r="M530" s="19" t="s">
        <v>40</v>
      </c>
      <c r="N530" s="19" t="s">
        <v>41</v>
      </c>
      <c r="R530" s="19" t="s">
        <v>54</v>
      </c>
      <c r="T530" s="21">
        <v>574504.73</v>
      </c>
      <c r="U530" s="19" t="s">
        <v>56</v>
      </c>
      <c r="V530" s="19">
        <v>11</v>
      </c>
      <c r="W530" s="19" t="s">
        <v>53</v>
      </c>
      <c r="X530" s="19" t="s">
        <v>989</v>
      </c>
      <c r="Y530" s="19" t="s">
        <v>988</v>
      </c>
      <c r="Z530" s="19" t="s">
        <v>44</v>
      </c>
    </row>
    <row r="531" spans="1:26" x14ac:dyDescent="0.3">
      <c r="A531" s="19" t="s">
        <v>134</v>
      </c>
      <c r="B531" s="20">
        <v>45992</v>
      </c>
      <c r="C531" s="19" t="s">
        <v>35</v>
      </c>
      <c r="D531" s="19" t="s">
        <v>36</v>
      </c>
      <c r="E531" s="19" t="s">
        <v>36</v>
      </c>
      <c r="F531" s="19" t="s">
        <v>36</v>
      </c>
      <c r="G531" s="19" t="s">
        <v>37</v>
      </c>
      <c r="K531" s="19" t="s">
        <v>38</v>
      </c>
      <c r="L531" s="19" t="s">
        <v>39</v>
      </c>
      <c r="M531" s="19" t="s">
        <v>40</v>
      </c>
      <c r="N531" s="19" t="s">
        <v>41</v>
      </c>
      <c r="R531" s="19" t="s">
        <v>54</v>
      </c>
      <c r="S531" s="21">
        <v>574504.73</v>
      </c>
      <c r="U531" s="19" t="s">
        <v>56</v>
      </c>
      <c r="V531" s="19">
        <v>11</v>
      </c>
      <c r="W531" s="19" t="s">
        <v>55</v>
      </c>
      <c r="X531" s="19" t="s">
        <v>990</v>
      </c>
      <c r="Y531" s="19" t="s">
        <v>991</v>
      </c>
      <c r="Z531" s="19" t="s">
        <v>44</v>
      </c>
    </row>
    <row r="532" spans="1:26" x14ac:dyDescent="0.3">
      <c r="A532" s="19" t="s">
        <v>134</v>
      </c>
      <c r="B532" s="20">
        <v>45992</v>
      </c>
      <c r="C532" s="19" t="s">
        <v>35</v>
      </c>
      <c r="D532" s="19" t="s">
        <v>36</v>
      </c>
      <c r="E532" s="19" t="s">
        <v>36</v>
      </c>
      <c r="F532" s="19" t="s">
        <v>36</v>
      </c>
      <c r="G532" s="19" t="s">
        <v>37</v>
      </c>
      <c r="K532" s="19" t="s">
        <v>38</v>
      </c>
      <c r="L532" s="19" t="s">
        <v>39</v>
      </c>
      <c r="M532" s="19" t="s">
        <v>40</v>
      </c>
      <c r="N532" s="19" t="s">
        <v>41</v>
      </c>
      <c r="R532" s="19" t="s">
        <v>45</v>
      </c>
      <c r="T532" s="21">
        <v>574504.73</v>
      </c>
      <c r="U532" s="19" t="s">
        <v>56</v>
      </c>
      <c r="V532" s="19">
        <v>11</v>
      </c>
      <c r="W532" s="19" t="s">
        <v>55</v>
      </c>
      <c r="X532" s="19" t="s">
        <v>992</v>
      </c>
      <c r="Y532" s="19" t="s">
        <v>991</v>
      </c>
      <c r="Z532" s="19" t="s">
        <v>44</v>
      </c>
    </row>
    <row r="533" spans="1:26" x14ac:dyDescent="0.3">
      <c r="A533" s="19" t="s">
        <v>134</v>
      </c>
      <c r="B533" s="20">
        <v>46022</v>
      </c>
      <c r="C533" s="19" t="s">
        <v>46</v>
      </c>
      <c r="D533" s="19" t="s">
        <v>36</v>
      </c>
      <c r="E533" s="19" t="s">
        <v>36</v>
      </c>
      <c r="F533" s="19" t="s">
        <v>36</v>
      </c>
      <c r="G533" s="19" t="s">
        <v>37</v>
      </c>
      <c r="K533" s="19" t="s">
        <v>38</v>
      </c>
      <c r="L533" s="19" t="s">
        <v>39</v>
      </c>
      <c r="M533" s="19" t="s">
        <v>38</v>
      </c>
      <c r="N533" s="19" t="s">
        <v>41</v>
      </c>
      <c r="R533" s="19" t="s">
        <v>49</v>
      </c>
      <c r="S533" s="21">
        <v>3641.2527329999998</v>
      </c>
      <c r="U533" s="19" t="s">
        <v>56</v>
      </c>
      <c r="V533" s="19">
        <v>12</v>
      </c>
      <c r="W533" s="19" t="s">
        <v>57</v>
      </c>
      <c r="X533" s="19" t="s">
        <v>993</v>
      </c>
      <c r="Y533" s="19" t="s">
        <v>994</v>
      </c>
      <c r="Z533" s="19" t="s">
        <v>44</v>
      </c>
    </row>
    <row r="534" spans="1:26" x14ac:dyDescent="0.3">
      <c r="A534" s="19" t="s">
        <v>134</v>
      </c>
      <c r="B534" s="20">
        <v>46022</v>
      </c>
      <c r="C534" s="19" t="s">
        <v>46</v>
      </c>
      <c r="D534" s="19" t="s">
        <v>36</v>
      </c>
      <c r="E534" s="19" t="s">
        <v>36</v>
      </c>
      <c r="F534" s="19" t="s">
        <v>36</v>
      </c>
      <c r="G534" s="19" t="s">
        <v>37</v>
      </c>
      <c r="K534" s="19" t="s">
        <v>38</v>
      </c>
      <c r="L534" s="19" t="s">
        <v>39</v>
      </c>
      <c r="M534" s="19" t="s">
        <v>40</v>
      </c>
      <c r="N534" s="19" t="s">
        <v>41</v>
      </c>
      <c r="R534" s="19" t="s">
        <v>45</v>
      </c>
      <c r="S534" s="21">
        <v>46358.747266999999</v>
      </c>
      <c r="U534" s="19" t="s">
        <v>56</v>
      </c>
      <c r="V534" s="19">
        <v>12</v>
      </c>
      <c r="W534" s="19" t="s">
        <v>57</v>
      </c>
      <c r="X534" s="19" t="s">
        <v>995</v>
      </c>
      <c r="Y534" s="19" t="s">
        <v>994</v>
      </c>
      <c r="Z534" s="19" t="s">
        <v>44</v>
      </c>
    </row>
    <row r="535" spans="1:26" x14ac:dyDescent="0.3">
      <c r="A535" s="19" t="s">
        <v>134</v>
      </c>
      <c r="B535" s="20">
        <v>46022</v>
      </c>
      <c r="C535" s="19" t="s">
        <v>46</v>
      </c>
      <c r="D535" s="19" t="s">
        <v>36</v>
      </c>
      <c r="E535" s="19" t="s">
        <v>36</v>
      </c>
      <c r="F535" s="19" t="s">
        <v>36</v>
      </c>
      <c r="G535" s="19" t="s">
        <v>37</v>
      </c>
      <c r="K535" s="19" t="s">
        <v>38</v>
      </c>
      <c r="L535" s="19" t="s">
        <v>39</v>
      </c>
      <c r="M535" s="19" t="s">
        <v>40</v>
      </c>
      <c r="N535" s="19" t="s">
        <v>41</v>
      </c>
      <c r="R535" s="19" t="s">
        <v>58</v>
      </c>
      <c r="T535" s="21">
        <v>50000</v>
      </c>
      <c r="U535" s="19" t="s">
        <v>56</v>
      </c>
      <c r="V535" s="19">
        <v>12</v>
      </c>
      <c r="W535" s="19" t="s">
        <v>57</v>
      </c>
      <c r="X535" s="19" t="s">
        <v>996</v>
      </c>
      <c r="Y535" s="19" t="s">
        <v>994</v>
      </c>
      <c r="Z535" s="19" t="s">
        <v>44</v>
      </c>
    </row>
    <row r="536" spans="1:26" x14ac:dyDescent="0.3">
      <c r="A536" s="19" t="s">
        <v>135</v>
      </c>
      <c r="B536" s="20">
        <v>46022</v>
      </c>
      <c r="C536" s="19" t="s">
        <v>46</v>
      </c>
      <c r="D536" s="19" t="s">
        <v>36</v>
      </c>
      <c r="E536" s="19" t="s">
        <v>36</v>
      </c>
      <c r="F536" s="19" t="s">
        <v>36</v>
      </c>
      <c r="G536" s="19" t="s">
        <v>37</v>
      </c>
      <c r="K536" s="19" t="s">
        <v>38</v>
      </c>
      <c r="L536" s="19" t="s">
        <v>39</v>
      </c>
      <c r="M536" s="19" t="s">
        <v>40</v>
      </c>
      <c r="N536" s="19" t="s">
        <v>41</v>
      </c>
      <c r="R536" s="19" t="s">
        <v>47</v>
      </c>
      <c r="S536" s="21">
        <v>3370.8267080000001</v>
      </c>
      <c r="U536" s="19" t="s">
        <v>56</v>
      </c>
      <c r="V536" s="19">
        <v>8</v>
      </c>
      <c r="W536" s="19" t="s">
        <v>48</v>
      </c>
      <c r="X536" s="19" t="s">
        <v>997</v>
      </c>
      <c r="Y536" s="19" t="s">
        <v>998</v>
      </c>
      <c r="Z536" s="19" t="s">
        <v>44</v>
      </c>
    </row>
    <row r="537" spans="1:26" x14ac:dyDescent="0.3">
      <c r="A537" s="19" t="s">
        <v>135</v>
      </c>
      <c r="B537" s="20">
        <v>46022</v>
      </c>
      <c r="C537" s="19" t="s">
        <v>46</v>
      </c>
      <c r="D537" s="19" t="s">
        <v>36</v>
      </c>
      <c r="E537" s="19" t="s">
        <v>36</v>
      </c>
      <c r="F537" s="19" t="s">
        <v>36</v>
      </c>
      <c r="G537" s="19" t="s">
        <v>37</v>
      </c>
      <c r="K537" s="19" t="s">
        <v>38</v>
      </c>
      <c r="L537" s="19" t="s">
        <v>39</v>
      </c>
      <c r="M537" s="19" t="s">
        <v>38</v>
      </c>
      <c r="N537" s="19" t="s">
        <v>41</v>
      </c>
      <c r="R537" s="19" t="s">
        <v>49</v>
      </c>
      <c r="T537" s="21">
        <v>3370.8267080000001</v>
      </c>
      <c r="U537" s="19" t="s">
        <v>56</v>
      </c>
      <c r="V537" s="19">
        <v>8</v>
      </c>
      <c r="W537" s="19" t="s">
        <v>48</v>
      </c>
      <c r="X537" s="19" t="s">
        <v>999</v>
      </c>
      <c r="Y537" s="19" t="s">
        <v>998</v>
      </c>
      <c r="Z537" s="19" t="s">
        <v>44</v>
      </c>
    </row>
    <row r="538" spans="1:26" x14ac:dyDescent="0.3">
      <c r="A538" s="19" t="s">
        <v>135</v>
      </c>
      <c r="B538" s="20">
        <v>44562</v>
      </c>
      <c r="C538" s="19" t="s">
        <v>35</v>
      </c>
      <c r="D538" s="19" t="s">
        <v>36</v>
      </c>
      <c r="E538" s="19" t="s">
        <v>36</v>
      </c>
      <c r="F538" s="19" t="s">
        <v>36</v>
      </c>
      <c r="G538" s="19" t="s">
        <v>37</v>
      </c>
      <c r="K538" s="19" t="s">
        <v>38</v>
      </c>
      <c r="L538" s="19" t="s">
        <v>39</v>
      </c>
      <c r="M538" s="19" t="s">
        <v>40</v>
      </c>
      <c r="N538" s="19" t="s">
        <v>41</v>
      </c>
      <c r="R538" s="19" t="s">
        <v>50</v>
      </c>
      <c r="S538" s="21">
        <v>42330.49</v>
      </c>
      <c r="U538" s="19" t="s">
        <v>56</v>
      </c>
      <c r="V538" s="19">
        <v>10</v>
      </c>
      <c r="W538" s="19" t="s">
        <v>51</v>
      </c>
      <c r="X538" s="19" t="s">
        <v>1000</v>
      </c>
      <c r="Y538" s="19" t="s">
        <v>1001</v>
      </c>
      <c r="Z538" s="19" t="s">
        <v>44</v>
      </c>
    </row>
    <row r="539" spans="1:26" x14ac:dyDescent="0.3">
      <c r="A539" s="19" t="s">
        <v>135</v>
      </c>
      <c r="B539" s="20">
        <v>44562</v>
      </c>
      <c r="C539" s="19" t="s">
        <v>35</v>
      </c>
      <c r="D539" s="19" t="s">
        <v>36</v>
      </c>
      <c r="E539" s="19" t="s">
        <v>36</v>
      </c>
      <c r="F539" s="19" t="s">
        <v>36</v>
      </c>
      <c r="G539" s="19" t="s">
        <v>37</v>
      </c>
      <c r="K539" s="19" t="s">
        <v>38</v>
      </c>
      <c r="L539" s="19" t="s">
        <v>39</v>
      </c>
      <c r="M539" s="19" t="s">
        <v>40</v>
      </c>
      <c r="N539" s="19" t="s">
        <v>41</v>
      </c>
      <c r="R539" s="19" t="s">
        <v>52</v>
      </c>
      <c r="T539" s="21">
        <v>42330.49</v>
      </c>
      <c r="U539" s="19" t="s">
        <v>56</v>
      </c>
      <c r="V539" s="19">
        <v>10</v>
      </c>
      <c r="W539" s="19" t="s">
        <v>51</v>
      </c>
      <c r="X539" s="19" t="s">
        <v>1002</v>
      </c>
      <c r="Y539" s="19" t="s">
        <v>1001</v>
      </c>
      <c r="Z539" s="19" t="s">
        <v>44</v>
      </c>
    </row>
    <row r="540" spans="1:26" x14ac:dyDescent="0.3">
      <c r="A540" s="19" t="s">
        <v>135</v>
      </c>
      <c r="B540" s="20">
        <v>46022</v>
      </c>
      <c r="C540" s="19" t="s">
        <v>35</v>
      </c>
      <c r="D540" s="19" t="s">
        <v>36</v>
      </c>
      <c r="E540" s="19" t="s">
        <v>36</v>
      </c>
      <c r="F540" s="19" t="s">
        <v>36</v>
      </c>
      <c r="G540" s="19" t="s">
        <v>37</v>
      </c>
      <c r="K540" s="19" t="s">
        <v>38</v>
      </c>
      <c r="L540" s="19" t="s">
        <v>39</v>
      </c>
      <c r="M540" s="19" t="s">
        <v>40</v>
      </c>
      <c r="N540" s="19" t="s">
        <v>41</v>
      </c>
      <c r="R540" s="19" t="s">
        <v>45</v>
      </c>
      <c r="S540" s="21">
        <v>577856.01</v>
      </c>
      <c r="U540" s="19" t="s">
        <v>56</v>
      </c>
      <c r="V540" s="19">
        <v>11</v>
      </c>
      <c r="W540" s="19" t="s">
        <v>53</v>
      </c>
      <c r="X540" s="19" t="s">
        <v>1003</v>
      </c>
      <c r="Y540" s="19" t="s">
        <v>1004</v>
      </c>
      <c r="Z540" s="19" t="s">
        <v>44</v>
      </c>
    </row>
    <row r="541" spans="1:26" x14ac:dyDescent="0.3">
      <c r="A541" s="19" t="s">
        <v>135</v>
      </c>
      <c r="B541" s="20">
        <v>46022</v>
      </c>
      <c r="C541" s="19" t="s">
        <v>35</v>
      </c>
      <c r="D541" s="19" t="s">
        <v>36</v>
      </c>
      <c r="E541" s="19" t="s">
        <v>36</v>
      </c>
      <c r="F541" s="19" t="s">
        <v>36</v>
      </c>
      <c r="G541" s="19" t="s">
        <v>37</v>
      </c>
      <c r="K541" s="19" t="s">
        <v>38</v>
      </c>
      <c r="L541" s="19" t="s">
        <v>39</v>
      </c>
      <c r="M541" s="19" t="s">
        <v>40</v>
      </c>
      <c r="N541" s="19" t="s">
        <v>41</v>
      </c>
      <c r="R541" s="19" t="s">
        <v>54</v>
      </c>
      <c r="T541" s="21">
        <v>577856.01</v>
      </c>
      <c r="U541" s="19" t="s">
        <v>56</v>
      </c>
      <c r="V541" s="19">
        <v>11</v>
      </c>
      <c r="W541" s="19" t="s">
        <v>53</v>
      </c>
      <c r="X541" s="19" t="s">
        <v>1005</v>
      </c>
      <c r="Y541" s="19" t="s">
        <v>1004</v>
      </c>
      <c r="Z541" s="19" t="s">
        <v>44</v>
      </c>
    </row>
    <row r="542" spans="1:26" x14ac:dyDescent="0.3">
      <c r="A542" s="19" t="s">
        <v>136</v>
      </c>
      <c r="B542" s="20">
        <v>46023</v>
      </c>
      <c r="C542" s="19" t="s">
        <v>35</v>
      </c>
      <c r="D542" s="19" t="s">
        <v>36</v>
      </c>
      <c r="E542" s="19" t="s">
        <v>36</v>
      </c>
      <c r="F542" s="19" t="s">
        <v>36</v>
      </c>
      <c r="G542" s="19" t="s">
        <v>37</v>
      </c>
      <c r="K542" s="19" t="s">
        <v>38</v>
      </c>
      <c r="L542" s="19" t="s">
        <v>39</v>
      </c>
      <c r="M542" s="19" t="s">
        <v>40</v>
      </c>
      <c r="N542" s="19" t="s">
        <v>41</v>
      </c>
      <c r="R542" s="19" t="s">
        <v>54</v>
      </c>
      <c r="S542" s="21">
        <v>577856.01</v>
      </c>
      <c r="U542" s="19" t="s">
        <v>56</v>
      </c>
      <c r="V542" s="19">
        <v>11</v>
      </c>
      <c r="W542" s="19" t="s">
        <v>55</v>
      </c>
      <c r="X542" s="19" t="s">
        <v>1006</v>
      </c>
      <c r="Y542" s="19" t="s">
        <v>1007</v>
      </c>
      <c r="Z542" s="19" t="s">
        <v>44</v>
      </c>
    </row>
    <row r="543" spans="1:26" x14ac:dyDescent="0.3">
      <c r="A543" s="19" t="s">
        <v>136</v>
      </c>
      <c r="B543" s="20">
        <v>46023</v>
      </c>
      <c r="C543" s="19" t="s">
        <v>35</v>
      </c>
      <c r="D543" s="19" t="s">
        <v>36</v>
      </c>
      <c r="E543" s="19" t="s">
        <v>36</v>
      </c>
      <c r="F543" s="19" t="s">
        <v>36</v>
      </c>
      <c r="G543" s="19" t="s">
        <v>37</v>
      </c>
      <c r="K543" s="19" t="s">
        <v>38</v>
      </c>
      <c r="L543" s="19" t="s">
        <v>39</v>
      </c>
      <c r="M543" s="19" t="s">
        <v>40</v>
      </c>
      <c r="N543" s="19" t="s">
        <v>41</v>
      </c>
      <c r="R543" s="19" t="s">
        <v>45</v>
      </c>
      <c r="T543" s="21">
        <v>577856.01</v>
      </c>
      <c r="U543" s="19" t="s">
        <v>56</v>
      </c>
      <c r="V543" s="19">
        <v>11</v>
      </c>
      <c r="W543" s="19" t="s">
        <v>55</v>
      </c>
      <c r="X543" s="19" t="s">
        <v>1008</v>
      </c>
      <c r="Y543" s="19" t="s">
        <v>1007</v>
      </c>
      <c r="Z543" s="19" t="s">
        <v>44</v>
      </c>
    </row>
    <row r="544" spans="1:26" x14ac:dyDescent="0.3">
      <c r="A544" s="19" t="s">
        <v>136</v>
      </c>
      <c r="B544" s="20">
        <v>46053</v>
      </c>
      <c r="C544" s="19" t="s">
        <v>46</v>
      </c>
      <c r="D544" s="19" t="s">
        <v>36</v>
      </c>
      <c r="E544" s="19" t="s">
        <v>36</v>
      </c>
      <c r="F544" s="19" t="s">
        <v>36</v>
      </c>
      <c r="G544" s="19" t="s">
        <v>37</v>
      </c>
      <c r="K544" s="19" t="s">
        <v>38</v>
      </c>
      <c r="L544" s="19" t="s">
        <v>39</v>
      </c>
      <c r="M544" s="19" t="s">
        <v>38</v>
      </c>
      <c r="N544" s="19" t="s">
        <v>41</v>
      </c>
      <c r="R544" s="19" t="s">
        <v>49</v>
      </c>
      <c r="S544" s="21">
        <v>3370.8267080000001</v>
      </c>
      <c r="U544" s="19" t="s">
        <v>56</v>
      </c>
      <c r="V544" s="19">
        <v>12</v>
      </c>
      <c r="W544" s="19" t="s">
        <v>57</v>
      </c>
      <c r="X544" s="19" t="s">
        <v>1009</v>
      </c>
      <c r="Y544" s="19" t="s">
        <v>1010</v>
      </c>
      <c r="Z544" s="19" t="s">
        <v>44</v>
      </c>
    </row>
    <row r="545" spans="1:26" x14ac:dyDescent="0.3">
      <c r="A545" s="19" t="s">
        <v>136</v>
      </c>
      <c r="B545" s="20">
        <v>46053</v>
      </c>
      <c r="C545" s="19" t="s">
        <v>46</v>
      </c>
      <c r="D545" s="19" t="s">
        <v>36</v>
      </c>
      <c r="E545" s="19" t="s">
        <v>36</v>
      </c>
      <c r="F545" s="19" t="s">
        <v>36</v>
      </c>
      <c r="G545" s="19" t="s">
        <v>37</v>
      </c>
      <c r="K545" s="19" t="s">
        <v>38</v>
      </c>
      <c r="L545" s="19" t="s">
        <v>39</v>
      </c>
      <c r="M545" s="19" t="s">
        <v>40</v>
      </c>
      <c r="N545" s="19" t="s">
        <v>41</v>
      </c>
      <c r="R545" s="19" t="s">
        <v>45</v>
      </c>
      <c r="S545" s="21">
        <v>46629.173291999999</v>
      </c>
      <c r="U545" s="19" t="s">
        <v>56</v>
      </c>
      <c r="V545" s="19">
        <v>12</v>
      </c>
      <c r="W545" s="19" t="s">
        <v>57</v>
      </c>
      <c r="X545" s="19" t="s">
        <v>1011</v>
      </c>
      <c r="Y545" s="19" t="s">
        <v>1010</v>
      </c>
      <c r="Z545" s="19" t="s">
        <v>44</v>
      </c>
    </row>
    <row r="546" spans="1:26" x14ac:dyDescent="0.3">
      <c r="A546" s="19" t="s">
        <v>136</v>
      </c>
      <c r="B546" s="20">
        <v>46053</v>
      </c>
      <c r="C546" s="19" t="s">
        <v>46</v>
      </c>
      <c r="D546" s="19" t="s">
        <v>36</v>
      </c>
      <c r="E546" s="19" t="s">
        <v>36</v>
      </c>
      <c r="F546" s="19" t="s">
        <v>36</v>
      </c>
      <c r="G546" s="19" t="s">
        <v>37</v>
      </c>
      <c r="K546" s="19" t="s">
        <v>38</v>
      </c>
      <c r="L546" s="19" t="s">
        <v>39</v>
      </c>
      <c r="M546" s="19" t="s">
        <v>40</v>
      </c>
      <c r="N546" s="19" t="s">
        <v>41</v>
      </c>
      <c r="R546" s="19" t="s">
        <v>58</v>
      </c>
      <c r="T546" s="21">
        <v>50000</v>
      </c>
      <c r="U546" s="19" t="s">
        <v>56</v>
      </c>
      <c r="V546" s="19">
        <v>12</v>
      </c>
      <c r="W546" s="19" t="s">
        <v>57</v>
      </c>
      <c r="X546" s="19" t="s">
        <v>1012</v>
      </c>
      <c r="Y546" s="19" t="s">
        <v>1010</v>
      </c>
      <c r="Z546" s="19" t="s">
        <v>44</v>
      </c>
    </row>
    <row r="547" spans="1:26" x14ac:dyDescent="0.3">
      <c r="A547" s="19" t="s">
        <v>137</v>
      </c>
      <c r="B547" s="20">
        <v>46053</v>
      </c>
      <c r="C547" s="19" t="s">
        <v>46</v>
      </c>
      <c r="D547" s="19" t="s">
        <v>36</v>
      </c>
      <c r="E547" s="19" t="s">
        <v>36</v>
      </c>
      <c r="F547" s="19" t="s">
        <v>36</v>
      </c>
      <c r="G547" s="19" t="s">
        <v>37</v>
      </c>
      <c r="K547" s="19" t="s">
        <v>38</v>
      </c>
      <c r="L547" s="19" t="s">
        <v>39</v>
      </c>
      <c r="M547" s="19" t="s">
        <v>40</v>
      </c>
      <c r="N547" s="19" t="s">
        <v>41</v>
      </c>
      <c r="R547" s="19" t="s">
        <v>47</v>
      </c>
      <c r="S547" s="21">
        <v>3098.8231970000002</v>
      </c>
      <c r="U547" s="19" t="s">
        <v>56</v>
      </c>
      <c r="V547" s="19">
        <v>8</v>
      </c>
      <c r="W547" s="19" t="s">
        <v>48</v>
      </c>
      <c r="X547" s="19" t="s">
        <v>1013</v>
      </c>
      <c r="Y547" s="19" t="s">
        <v>1014</v>
      </c>
      <c r="Z547" s="19" t="s">
        <v>44</v>
      </c>
    </row>
    <row r="548" spans="1:26" x14ac:dyDescent="0.3">
      <c r="A548" s="19" t="s">
        <v>137</v>
      </c>
      <c r="B548" s="20">
        <v>46053</v>
      </c>
      <c r="C548" s="19" t="s">
        <v>46</v>
      </c>
      <c r="D548" s="19" t="s">
        <v>36</v>
      </c>
      <c r="E548" s="19" t="s">
        <v>36</v>
      </c>
      <c r="F548" s="19" t="s">
        <v>36</v>
      </c>
      <c r="G548" s="19" t="s">
        <v>37</v>
      </c>
      <c r="K548" s="19" t="s">
        <v>38</v>
      </c>
      <c r="L548" s="19" t="s">
        <v>39</v>
      </c>
      <c r="M548" s="19" t="s">
        <v>38</v>
      </c>
      <c r="N548" s="19" t="s">
        <v>41</v>
      </c>
      <c r="R548" s="19" t="s">
        <v>49</v>
      </c>
      <c r="T548" s="21">
        <v>3098.8231970000002</v>
      </c>
      <c r="U548" s="19" t="s">
        <v>56</v>
      </c>
      <c r="V548" s="19">
        <v>8</v>
      </c>
      <c r="W548" s="19" t="s">
        <v>48</v>
      </c>
      <c r="X548" s="19" t="s">
        <v>1015</v>
      </c>
      <c r="Y548" s="19" t="s">
        <v>1014</v>
      </c>
      <c r="Z548" s="19" t="s">
        <v>44</v>
      </c>
    </row>
    <row r="549" spans="1:26" x14ac:dyDescent="0.3">
      <c r="A549" s="19" t="s">
        <v>137</v>
      </c>
      <c r="B549" s="20">
        <v>44562</v>
      </c>
      <c r="C549" s="19" t="s">
        <v>35</v>
      </c>
      <c r="D549" s="19" t="s">
        <v>36</v>
      </c>
      <c r="E549" s="19" t="s">
        <v>36</v>
      </c>
      <c r="F549" s="19" t="s">
        <v>36</v>
      </c>
      <c r="G549" s="19" t="s">
        <v>37</v>
      </c>
      <c r="K549" s="19" t="s">
        <v>38</v>
      </c>
      <c r="L549" s="19" t="s">
        <v>39</v>
      </c>
      <c r="M549" s="19" t="s">
        <v>40</v>
      </c>
      <c r="N549" s="19" t="s">
        <v>41</v>
      </c>
      <c r="R549" s="19" t="s">
        <v>50</v>
      </c>
      <c r="S549" s="21">
        <v>42330.49</v>
      </c>
      <c r="U549" s="19" t="s">
        <v>56</v>
      </c>
      <c r="V549" s="19">
        <v>10</v>
      </c>
      <c r="W549" s="19" t="s">
        <v>51</v>
      </c>
      <c r="X549" s="19" t="s">
        <v>1016</v>
      </c>
      <c r="Y549" s="19" t="s">
        <v>1017</v>
      </c>
      <c r="Z549" s="19" t="s">
        <v>44</v>
      </c>
    </row>
    <row r="550" spans="1:26" x14ac:dyDescent="0.3">
      <c r="A550" s="19" t="s">
        <v>137</v>
      </c>
      <c r="B550" s="20">
        <v>44562</v>
      </c>
      <c r="C550" s="19" t="s">
        <v>35</v>
      </c>
      <c r="D550" s="19" t="s">
        <v>36</v>
      </c>
      <c r="E550" s="19" t="s">
        <v>36</v>
      </c>
      <c r="F550" s="19" t="s">
        <v>36</v>
      </c>
      <c r="G550" s="19" t="s">
        <v>37</v>
      </c>
      <c r="K550" s="19" t="s">
        <v>38</v>
      </c>
      <c r="L550" s="19" t="s">
        <v>39</v>
      </c>
      <c r="M550" s="19" t="s">
        <v>40</v>
      </c>
      <c r="N550" s="19" t="s">
        <v>41</v>
      </c>
      <c r="R550" s="19" t="s">
        <v>52</v>
      </c>
      <c r="T550" s="21">
        <v>42330.49</v>
      </c>
      <c r="U550" s="19" t="s">
        <v>56</v>
      </c>
      <c r="V550" s="19">
        <v>10</v>
      </c>
      <c r="W550" s="19" t="s">
        <v>51</v>
      </c>
      <c r="X550" s="19" t="s">
        <v>1018</v>
      </c>
      <c r="Y550" s="19" t="s">
        <v>1017</v>
      </c>
      <c r="Z550" s="19" t="s">
        <v>44</v>
      </c>
    </row>
    <row r="551" spans="1:26" x14ac:dyDescent="0.3">
      <c r="A551" s="19" t="s">
        <v>137</v>
      </c>
      <c r="B551" s="20">
        <v>46053</v>
      </c>
      <c r="C551" s="19" t="s">
        <v>35</v>
      </c>
      <c r="D551" s="19" t="s">
        <v>36</v>
      </c>
      <c r="E551" s="19" t="s">
        <v>36</v>
      </c>
      <c r="F551" s="19" t="s">
        <v>36</v>
      </c>
      <c r="G551" s="19" t="s">
        <v>37</v>
      </c>
      <c r="K551" s="19" t="s">
        <v>38</v>
      </c>
      <c r="L551" s="19" t="s">
        <v>39</v>
      </c>
      <c r="M551" s="19" t="s">
        <v>40</v>
      </c>
      <c r="N551" s="19" t="s">
        <v>41</v>
      </c>
      <c r="R551" s="19" t="s">
        <v>45</v>
      </c>
      <c r="S551" s="21">
        <v>531226.83371899999</v>
      </c>
      <c r="U551" s="19" t="s">
        <v>56</v>
      </c>
      <c r="V551" s="19">
        <v>11</v>
      </c>
      <c r="W551" s="19" t="s">
        <v>53</v>
      </c>
      <c r="X551" s="19" t="s">
        <v>1019</v>
      </c>
      <c r="Y551" s="19" t="s">
        <v>1020</v>
      </c>
      <c r="Z551" s="19" t="s">
        <v>44</v>
      </c>
    </row>
    <row r="552" spans="1:26" x14ac:dyDescent="0.3">
      <c r="A552" s="19" t="s">
        <v>137</v>
      </c>
      <c r="B552" s="20">
        <v>46053</v>
      </c>
      <c r="C552" s="19" t="s">
        <v>35</v>
      </c>
      <c r="D552" s="19" t="s">
        <v>36</v>
      </c>
      <c r="E552" s="19" t="s">
        <v>36</v>
      </c>
      <c r="F552" s="19" t="s">
        <v>36</v>
      </c>
      <c r="G552" s="19" t="s">
        <v>37</v>
      </c>
      <c r="K552" s="19" t="s">
        <v>38</v>
      </c>
      <c r="L552" s="19" t="s">
        <v>39</v>
      </c>
      <c r="M552" s="19" t="s">
        <v>40</v>
      </c>
      <c r="N552" s="19" t="s">
        <v>41</v>
      </c>
      <c r="R552" s="19" t="s">
        <v>54</v>
      </c>
      <c r="T552" s="21">
        <v>531226.83371899999</v>
      </c>
      <c r="U552" s="19" t="s">
        <v>56</v>
      </c>
      <c r="V552" s="19">
        <v>11</v>
      </c>
      <c r="W552" s="19" t="s">
        <v>53</v>
      </c>
      <c r="X552" s="19" t="s">
        <v>1021</v>
      </c>
      <c r="Y552" s="19" t="s">
        <v>1020</v>
      </c>
      <c r="Z552" s="19" t="s">
        <v>44</v>
      </c>
    </row>
    <row r="553" spans="1:26" x14ac:dyDescent="0.3">
      <c r="A553" s="19" t="s">
        <v>138</v>
      </c>
      <c r="B553" s="20">
        <v>46054</v>
      </c>
      <c r="C553" s="19" t="s">
        <v>35</v>
      </c>
      <c r="D553" s="19" t="s">
        <v>36</v>
      </c>
      <c r="E553" s="19" t="s">
        <v>36</v>
      </c>
      <c r="F553" s="19" t="s">
        <v>36</v>
      </c>
      <c r="G553" s="19" t="s">
        <v>37</v>
      </c>
      <c r="K553" s="19" t="s">
        <v>38</v>
      </c>
      <c r="L553" s="19" t="s">
        <v>39</v>
      </c>
      <c r="M553" s="19" t="s">
        <v>40</v>
      </c>
      <c r="N553" s="19" t="s">
        <v>41</v>
      </c>
      <c r="R553" s="19" t="s">
        <v>54</v>
      </c>
      <c r="S553" s="21">
        <v>531226.82999999996</v>
      </c>
      <c r="U553" s="19" t="s">
        <v>56</v>
      </c>
      <c r="V553" s="19">
        <v>11</v>
      </c>
      <c r="W553" s="19" t="s">
        <v>55</v>
      </c>
      <c r="X553" s="19" t="s">
        <v>1022</v>
      </c>
      <c r="Y553" s="19" t="s">
        <v>1023</v>
      </c>
      <c r="Z553" s="19" t="s">
        <v>44</v>
      </c>
    </row>
    <row r="554" spans="1:26" x14ac:dyDescent="0.3">
      <c r="A554" s="19" t="s">
        <v>138</v>
      </c>
      <c r="B554" s="20">
        <v>46054</v>
      </c>
      <c r="C554" s="19" t="s">
        <v>35</v>
      </c>
      <c r="D554" s="19" t="s">
        <v>36</v>
      </c>
      <c r="E554" s="19" t="s">
        <v>36</v>
      </c>
      <c r="F554" s="19" t="s">
        <v>36</v>
      </c>
      <c r="G554" s="19" t="s">
        <v>37</v>
      </c>
      <c r="K554" s="19" t="s">
        <v>38</v>
      </c>
      <c r="L554" s="19" t="s">
        <v>39</v>
      </c>
      <c r="M554" s="19" t="s">
        <v>40</v>
      </c>
      <c r="N554" s="19" t="s">
        <v>41</v>
      </c>
      <c r="R554" s="19" t="s">
        <v>45</v>
      </c>
      <c r="T554" s="21">
        <v>531226.82999999996</v>
      </c>
      <c r="U554" s="19" t="s">
        <v>56</v>
      </c>
      <c r="V554" s="19">
        <v>11</v>
      </c>
      <c r="W554" s="19" t="s">
        <v>55</v>
      </c>
      <c r="X554" s="19" t="s">
        <v>1024</v>
      </c>
      <c r="Y554" s="19" t="s">
        <v>1023</v>
      </c>
      <c r="Z554" s="19" t="s">
        <v>44</v>
      </c>
    </row>
    <row r="555" spans="1:26" x14ac:dyDescent="0.3">
      <c r="A555" s="19" t="s">
        <v>138</v>
      </c>
      <c r="B555" s="20">
        <v>46081</v>
      </c>
      <c r="C555" s="19" t="s">
        <v>46</v>
      </c>
      <c r="D555" s="19" t="s">
        <v>36</v>
      </c>
      <c r="E555" s="19" t="s">
        <v>36</v>
      </c>
      <c r="F555" s="19" t="s">
        <v>36</v>
      </c>
      <c r="G555" s="19" t="s">
        <v>37</v>
      </c>
      <c r="K555" s="19" t="s">
        <v>38</v>
      </c>
      <c r="L555" s="19" t="s">
        <v>39</v>
      </c>
      <c r="M555" s="19" t="s">
        <v>38</v>
      </c>
      <c r="N555" s="19" t="s">
        <v>41</v>
      </c>
      <c r="R555" s="19" t="s">
        <v>49</v>
      </c>
      <c r="S555" s="21">
        <v>3098.8231970000002</v>
      </c>
      <c r="U555" s="19" t="s">
        <v>56</v>
      </c>
      <c r="V555" s="19">
        <v>12</v>
      </c>
      <c r="W555" s="19" t="s">
        <v>57</v>
      </c>
      <c r="X555" s="19" t="s">
        <v>1025</v>
      </c>
      <c r="Y555" s="19" t="s">
        <v>1026</v>
      </c>
      <c r="Z555" s="19" t="s">
        <v>44</v>
      </c>
    </row>
    <row r="556" spans="1:26" x14ac:dyDescent="0.3">
      <c r="A556" s="19" t="s">
        <v>138</v>
      </c>
      <c r="B556" s="20">
        <v>46081</v>
      </c>
      <c r="C556" s="19" t="s">
        <v>46</v>
      </c>
      <c r="D556" s="19" t="s">
        <v>36</v>
      </c>
      <c r="E556" s="19" t="s">
        <v>36</v>
      </c>
      <c r="F556" s="19" t="s">
        <v>36</v>
      </c>
      <c r="G556" s="19" t="s">
        <v>37</v>
      </c>
      <c r="K556" s="19" t="s">
        <v>38</v>
      </c>
      <c r="L556" s="19" t="s">
        <v>39</v>
      </c>
      <c r="M556" s="19" t="s">
        <v>40</v>
      </c>
      <c r="N556" s="19" t="s">
        <v>41</v>
      </c>
      <c r="R556" s="19" t="s">
        <v>45</v>
      </c>
      <c r="S556" s="21">
        <v>46901.176803000002</v>
      </c>
      <c r="U556" s="19" t="s">
        <v>56</v>
      </c>
      <c r="V556" s="19">
        <v>12</v>
      </c>
      <c r="W556" s="19" t="s">
        <v>57</v>
      </c>
      <c r="X556" s="19" t="s">
        <v>1027</v>
      </c>
      <c r="Y556" s="19" t="s">
        <v>1026</v>
      </c>
      <c r="Z556" s="19" t="s">
        <v>44</v>
      </c>
    </row>
    <row r="557" spans="1:26" x14ac:dyDescent="0.3">
      <c r="A557" s="19" t="s">
        <v>138</v>
      </c>
      <c r="B557" s="20">
        <v>46081</v>
      </c>
      <c r="C557" s="19" t="s">
        <v>46</v>
      </c>
      <c r="D557" s="19" t="s">
        <v>36</v>
      </c>
      <c r="E557" s="19" t="s">
        <v>36</v>
      </c>
      <c r="F557" s="19" t="s">
        <v>36</v>
      </c>
      <c r="G557" s="19" t="s">
        <v>37</v>
      </c>
      <c r="K557" s="19" t="s">
        <v>38</v>
      </c>
      <c r="L557" s="19" t="s">
        <v>39</v>
      </c>
      <c r="M557" s="19" t="s">
        <v>40</v>
      </c>
      <c r="N557" s="19" t="s">
        <v>41</v>
      </c>
      <c r="R557" s="19" t="s">
        <v>58</v>
      </c>
      <c r="T557" s="21">
        <v>50000</v>
      </c>
      <c r="U557" s="19" t="s">
        <v>56</v>
      </c>
      <c r="V557" s="19">
        <v>12</v>
      </c>
      <c r="W557" s="19" t="s">
        <v>57</v>
      </c>
      <c r="X557" s="19" t="s">
        <v>1028</v>
      </c>
      <c r="Y557" s="19" t="s">
        <v>1026</v>
      </c>
      <c r="Z557" s="19" t="s">
        <v>44</v>
      </c>
    </row>
    <row r="558" spans="1:26" x14ac:dyDescent="0.3">
      <c r="A558" s="19" t="s">
        <v>139</v>
      </c>
      <c r="B558" s="20">
        <v>46081</v>
      </c>
      <c r="C558" s="19" t="s">
        <v>46</v>
      </c>
      <c r="D558" s="19" t="s">
        <v>36</v>
      </c>
      <c r="E558" s="19" t="s">
        <v>36</v>
      </c>
      <c r="F558" s="19" t="s">
        <v>36</v>
      </c>
      <c r="G558" s="19" t="s">
        <v>37</v>
      </c>
      <c r="K558" s="19" t="s">
        <v>38</v>
      </c>
      <c r="L558" s="19" t="s">
        <v>39</v>
      </c>
      <c r="M558" s="19" t="s">
        <v>40</v>
      </c>
      <c r="N558" s="19" t="s">
        <v>41</v>
      </c>
      <c r="R558" s="19" t="s">
        <v>47</v>
      </c>
      <c r="S558" s="21">
        <v>2825.2329989999998</v>
      </c>
      <c r="U558" s="19" t="s">
        <v>56</v>
      </c>
      <c r="V558" s="19">
        <v>8</v>
      </c>
      <c r="W558" s="19" t="s">
        <v>48</v>
      </c>
      <c r="X558" s="19" t="s">
        <v>1029</v>
      </c>
      <c r="Y558" s="19" t="s">
        <v>1030</v>
      </c>
      <c r="Z558" s="19" t="s">
        <v>44</v>
      </c>
    </row>
    <row r="559" spans="1:26" x14ac:dyDescent="0.3">
      <c r="A559" s="19" t="s">
        <v>139</v>
      </c>
      <c r="B559" s="20">
        <v>46081</v>
      </c>
      <c r="C559" s="19" t="s">
        <v>46</v>
      </c>
      <c r="D559" s="19" t="s">
        <v>36</v>
      </c>
      <c r="E559" s="19" t="s">
        <v>36</v>
      </c>
      <c r="F559" s="19" t="s">
        <v>36</v>
      </c>
      <c r="G559" s="19" t="s">
        <v>37</v>
      </c>
      <c r="K559" s="19" t="s">
        <v>38</v>
      </c>
      <c r="L559" s="19" t="s">
        <v>39</v>
      </c>
      <c r="M559" s="19" t="s">
        <v>38</v>
      </c>
      <c r="N559" s="19" t="s">
        <v>41</v>
      </c>
      <c r="R559" s="19" t="s">
        <v>49</v>
      </c>
      <c r="T559" s="21">
        <v>2825.2329989999998</v>
      </c>
      <c r="U559" s="19" t="s">
        <v>56</v>
      </c>
      <c r="V559" s="19">
        <v>8</v>
      </c>
      <c r="W559" s="19" t="s">
        <v>48</v>
      </c>
      <c r="X559" s="19" t="s">
        <v>1031</v>
      </c>
      <c r="Y559" s="19" t="s">
        <v>1030</v>
      </c>
      <c r="Z559" s="19" t="s">
        <v>44</v>
      </c>
    </row>
    <row r="560" spans="1:26" x14ac:dyDescent="0.3">
      <c r="A560" s="19" t="s">
        <v>139</v>
      </c>
      <c r="B560" s="20">
        <v>44562</v>
      </c>
      <c r="C560" s="19" t="s">
        <v>35</v>
      </c>
      <c r="D560" s="19" t="s">
        <v>36</v>
      </c>
      <c r="E560" s="19" t="s">
        <v>36</v>
      </c>
      <c r="F560" s="19" t="s">
        <v>36</v>
      </c>
      <c r="G560" s="19" t="s">
        <v>37</v>
      </c>
      <c r="K560" s="19" t="s">
        <v>38</v>
      </c>
      <c r="L560" s="19" t="s">
        <v>39</v>
      </c>
      <c r="M560" s="19" t="s">
        <v>40</v>
      </c>
      <c r="N560" s="19" t="s">
        <v>41</v>
      </c>
      <c r="R560" s="19" t="s">
        <v>50</v>
      </c>
      <c r="S560" s="21">
        <v>42330.49</v>
      </c>
      <c r="U560" s="19" t="s">
        <v>56</v>
      </c>
      <c r="V560" s="19">
        <v>10</v>
      </c>
      <c r="W560" s="19" t="s">
        <v>51</v>
      </c>
      <c r="X560" s="19" t="s">
        <v>1032</v>
      </c>
      <c r="Y560" s="19" t="s">
        <v>1033</v>
      </c>
      <c r="Z560" s="19" t="s">
        <v>44</v>
      </c>
    </row>
    <row r="561" spans="1:26" x14ac:dyDescent="0.3">
      <c r="A561" s="19" t="s">
        <v>139</v>
      </c>
      <c r="B561" s="20">
        <v>44562</v>
      </c>
      <c r="C561" s="19" t="s">
        <v>35</v>
      </c>
      <c r="D561" s="19" t="s">
        <v>36</v>
      </c>
      <c r="E561" s="19" t="s">
        <v>36</v>
      </c>
      <c r="F561" s="19" t="s">
        <v>36</v>
      </c>
      <c r="G561" s="19" t="s">
        <v>37</v>
      </c>
      <c r="K561" s="19" t="s">
        <v>38</v>
      </c>
      <c r="L561" s="19" t="s">
        <v>39</v>
      </c>
      <c r="M561" s="19" t="s">
        <v>40</v>
      </c>
      <c r="N561" s="19" t="s">
        <v>41</v>
      </c>
      <c r="R561" s="19" t="s">
        <v>52</v>
      </c>
      <c r="T561" s="21">
        <v>42330.49</v>
      </c>
      <c r="U561" s="19" t="s">
        <v>56</v>
      </c>
      <c r="V561" s="19">
        <v>10</v>
      </c>
      <c r="W561" s="19" t="s">
        <v>51</v>
      </c>
      <c r="X561" s="19" t="s">
        <v>1034</v>
      </c>
      <c r="Y561" s="19" t="s">
        <v>1033</v>
      </c>
      <c r="Z561" s="19" t="s">
        <v>44</v>
      </c>
    </row>
    <row r="562" spans="1:26" x14ac:dyDescent="0.3">
      <c r="A562" s="19" t="s">
        <v>139</v>
      </c>
      <c r="B562" s="20">
        <v>46081</v>
      </c>
      <c r="C562" s="19" t="s">
        <v>35</v>
      </c>
      <c r="D562" s="19" t="s">
        <v>36</v>
      </c>
      <c r="E562" s="19" t="s">
        <v>36</v>
      </c>
      <c r="F562" s="19" t="s">
        <v>36</v>
      </c>
      <c r="G562" s="19" t="s">
        <v>37</v>
      </c>
      <c r="K562" s="19" t="s">
        <v>38</v>
      </c>
      <c r="L562" s="19" t="s">
        <v>39</v>
      </c>
      <c r="M562" s="19" t="s">
        <v>40</v>
      </c>
      <c r="N562" s="19" t="s">
        <v>41</v>
      </c>
      <c r="R562" s="19" t="s">
        <v>45</v>
      </c>
      <c r="S562" s="21">
        <v>484325.65319699998</v>
      </c>
      <c r="U562" s="19" t="s">
        <v>56</v>
      </c>
      <c r="V562" s="19">
        <v>11</v>
      </c>
      <c r="W562" s="19" t="s">
        <v>53</v>
      </c>
      <c r="X562" s="19" t="s">
        <v>1035</v>
      </c>
      <c r="Y562" s="19" t="s">
        <v>1036</v>
      </c>
      <c r="Z562" s="19" t="s">
        <v>44</v>
      </c>
    </row>
    <row r="563" spans="1:26" x14ac:dyDescent="0.3">
      <c r="A563" s="19" t="s">
        <v>139</v>
      </c>
      <c r="B563" s="20">
        <v>46081</v>
      </c>
      <c r="C563" s="19" t="s">
        <v>35</v>
      </c>
      <c r="D563" s="19" t="s">
        <v>36</v>
      </c>
      <c r="E563" s="19" t="s">
        <v>36</v>
      </c>
      <c r="F563" s="19" t="s">
        <v>36</v>
      </c>
      <c r="G563" s="19" t="s">
        <v>37</v>
      </c>
      <c r="K563" s="19" t="s">
        <v>38</v>
      </c>
      <c r="L563" s="19" t="s">
        <v>39</v>
      </c>
      <c r="M563" s="19" t="s">
        <v>40</v>
      </c>
      <c r="N563" s="19" t="s">
        <v>41</v>
      </c>
      <c r="R563" s="19" t="s">
        <v>54</v>
      </c>
      <c r="T563" s="21">
        <v>484325.65319699998</v>
      </c>
      <c r="U563" s="19" t="s">
        <v>56</v>
      </c>
      <c r="V563" s="19">
        <v>11</v>
      </c>
      <c r="W563" s="19" t="s">
        <v>53</v>
      </c>
      <c r="X563" s="19" t="s">
        <v>1037</v>
      </c>
      <c r="Y563" s="19" t="s">
        <v>1036</v>
      </c>
      <c r="Z563" s="19" t="s">
        <v>44</v>
      </c>
    </row>
    <row r="564" spans="1:26" x14ac:dyDescent="0.3">
      <c r="A564" s="19" t="s">
        <v>140</v>
      </c>
      <c r="B564" s="20">
        <v>46082</v>
      </c>
      <c r="C564" s="19" t="s">
        <v>35</v>
      </c>
      <c r="D564" s="19" t="s">
        <v>36</v>
      </c>
      <c r="E564" s="19" t="s">
        <v>36</v>
      </c>
      <c r="F564" s="19" t="s">
        <v>36</v>
      </c>
      <c r="G564" s="19" t="s">
        <v>37</v>
      </c>
      <c r="K564" s="19" t="s">
        <v>38</v>
      </c>
      <c r="L564" s="19" t="s">
        <v>39</v>
      </c>
      <c r="M564" s="19" t="s">
        <v>40</v>
      </c>
      <c r="N564" s="19" t="s">
        <v>41</v>
      </c>
      <c r="R564" s="19" t="s">
        <v>54</v>
      </c>
      <c r="S564" s="21">
        <v>484325.66</v>
      </c>
      <c r="U564" s="19" t="s">
        <v>56</v>
      </c>
      <c r="V564" s="19">
        <v>11</v>
      </c>
      <c r="W564" s="19" t="s">
        <v>55</v>
      </c>
      <c r="X564" s="19" t="s">
        <v>1038</v>
      </c>
      <c r="Y564" s="19" t="s">
        <v>1039</v>
      </c>
      <c r="Z564" s="19" t="s">
        <v>44</v>
      </c>
    </row>
    <row r="565" spans="1:26" x14ac:dyDescent="0.3">
      <c r="A565" s="19" t="s">
        <v>140</v>
      </c>
      <c r="B565" s="20">
        <v>46082</v>
      </c>
      <c r="C565" s="19" t="s">
        <v>35</v>
      </c>
      <c r="D565" s="19" t="s">
        <v>36</v>
      </c>
      <c r="E565" s="19" t="s">
        <v>36</v>
      </c>
      <c r="F565" s="19" t="s">
        <v>36</v>
      </c>
      <c r="G565" s="19" t="s">
        <v>37</v>
      </c>
      <c r="K565" s="19" t="s">
        <v>38</v>
      </c>
      <c r="L565" s="19" t="s">
        <v>39</v>
      </c>
      <c r="M565" s="19" t="s">
        <v>40</v>
      </c>
      <c r="N565" s="19" t="s">
        <v>41</v>
      </c>
      <c r="R565" s="19" t="s">
        <v>45</v>
      </c>
      <c r="T565" s="21">
        <v>484325.66</v>
      </c>
      <c r="U565" s="19" t="s">
        <v>56</v>
      </c>
      <c r="V565" s="19">
        <v>11</v>
      </c>
      <c r="W565" s="19" t="s">
        <v>55</v>
      </c>
      <c r="X565" s="19" t="s">
        <v>1040</v>
      </c>
      <c r="Y565" s="19" t="s">
        <v>1039</v>
      </c>
      <c r="Z565" s="19" t="s">
        <v>44</v>
      </c>
    </row>
    <row r="566" spans="1:26" x14ac:dyDescent="0.3">
      <c r="A566" s="19" t="s">
        <v>140</v>
      </c>
      <c r="B566" s="20">
        <v>46112</v>
      </c>
      <c r="C566" s="19" t="s">
        <v>46</v>
      </c>
      <c r="D566" s="19" t="s">
        <v>36</v>
      </c>
      <c r="E566" s="19" t="s">
        <v>36</v>
      </c>
      <c r="F566" s="19" t="s">
        <v>36</v>
      </c>
      <c r="G566" s="19" t="s">
        <v>37</v>
      </c>
      <c r="K566" s="19" t="s">
        <v>38</v>
      </c>
      <c r="L566" s="19" t="s">
        <v>39</v>
      </c>
      <c r="M566" s="19" t="s">
        <v>38</v>
      </c>
      <c r="N566" s="19" t="s">
        <v>41</v>
      </c>
      <c r="R566" s="19" t="s">
        <v>49</v>
      </c>
      <c r="S566" s="21">
        <v>2825.2329989999998</v>
      </c>
      <c r="U566" s="19" t="s">
        <v>56</v>
      </c>
      <c r="V566" s="19">
        <v>12</v>
      </c>
      <c r="W566" s="19" t="s">
        <v>57</v>
      </c>
      <c r="X566" s="19" t="s">
        <v>1041</v>
      </c>
      <c r="Y566" s="19" t="s">
        <v>1042</v>
      </c>
      <c r="Z566" s="19" t="s">
        <v>44</v>
      </c>
    </row>
    <row r="567" spans="1:26" x14ac:dyDescent="0.3">
      <c r="A567" s="19" t="s">
        <v>140</v>
      </c>
      <c r="B567" s="20">
        <v>46112</v>
      </c>
      <c r="C567" s="19" t="s">
        <v>46</v>
      </c>
      <c r="D567" s="19" t="s">
        <v>36</v>
      </c>
      <c r="E567" s="19" t="s">
        <v>36</v>
      </c>
      <c r="F567" s="19" t="s">
        <v>36</v>
      </c>
      <c r="G567" s="19" t="s">
        <v>37</v>
      </c>
      <c r="K567" s="19" t="s">
        <v>38</v>
      </c>
      <c r="L567" s="19" t="s">
        <v>39</v>
      </c>
      <c r="M567" s="19" t="s">
        <v>40</v>
      </c>
      <c r="N567" s="19" t="s">
        <v>41</v>
      </c>
      <c r="R567" s="19" t="s">
        <v>45</v>
      </c>
      <c r="S567" s="21">
        <v>47174.767001</v>
      </c>
      <c r="U567" s="19" t="s">
        <v>56</v>
      </c>
      <c r="V567" s="19">
        <v>12</v>
      </c>
      <c r="W567" s="19" t="s">
        <v>57</v>
      </c>
      <c r="X567" s="19" t="s">
        <v>1043</v>
      </c>
      <c r="Y567" s="19" t="s">
        <v>1042</v>
      </c>
      <c r="Z567" s="19" t="s">
        <v>44</v>
      </c>
    </row>
    <row r="568" spans="1:26" x14ac:dyDescent="0.3">
      <c r="A568" s="19" t="s">
        <v>140</v>
      </c>
      <c r="B568" s="20">
        <v>46112</v>
      </c>
      <c r="C568" s="19" t="s">
        <v>46</v>
      </c>
      <c r="D568" s="19" t="s">
        <v>36</v>
      </c>
      <c r="E568" s="19" t="s">
        <v>36</v>
      </c>
      <c r="F568" s="19" t="s">
        <v>36</v>
      </c>
      <c r="G568" s="19" t="s">
        <v>37</v>
      </c>
      <c r="K568" s="19" t="s">
        <v>38</v>
      </c>
      <c r="L568" s="19" t="s">
        <v>39</v>
      </c>
      <c r="M568" s="19" t="s">
        <v>40</v>
      </c>
      <c r="N568" s="19" t="s">
        <v>41</v>
      </c>
      <c r="R568" s="19" t="s">
        <v>58</v>
      </c>
      <c r="T568" s="21">
        <v>50000</v>
      </c>
      <c r="U568" s="19" t="s">
        <v>56</v>
      </c>
      <c r="V568" s="19">
        <v>12</v>
      </c>
      <c r="W568" s="19" t="s">
        <v>57</v>
      </c>
      <c r="X568" s="19" t="s">
        <v>1044</v>
      </c>
      <c r="Y568" s="19" t="s">
        <v>1042</v>
      </c>
      <c r="Z568" s="19" t="s">
        <v>44</v>
      </c>
    </row>
    <row r="569" spans="1:26" x14ac:dyDescent="0.3">
      <c r="A569" s="19" t="s">
        <v>141</v>
      </c>
      <c r="B569" s="20">
        <v>46112</v>
      </c>
      <c r="C569" s="19" t="s">
        <v>46</v>
      </c>
      <c r="D569" s="19" t="s">
        <v>36</v>
      </c>
      <c r="E569" s="19" t="s">
        <v>36</v>
      </c>
      <c r="F569" s="19" t="s">
        <v>36</v>
      </c>
      <c r="G569" s="19" t="s">
        <v>37</v>
      </c>
      <c r="K569" s="19" t="s">
        <v>38</v>
      </c>
      <c r="L569" s="19" t="s">
        <v>39</v>
      </c>
      <c r="M569" s="19" t="s">
        <v>40</v>
      </c>
      <c r="N569" s="19" t="s">
        <v>41</v>
      </c>
      <c r="R569" s="19" t="s">
        <v>47</v>
      </c>
      <c r="S569" s="21">
        <v>2550.0468580000002</v>
      </c>
      <c r="U569" s="19" t="s">
        <v>56</v>
      </c>
      <c r="V569" s="19">
        <v>8</v>
      </c>
      <c r="W569" s="19" t="s">
        <v>48</v>
      </c>
      <c r="X569" s="19" t="s">
        <v>1045</v>
      </c>
      <c r="Y569" s="19" t="s">
        <v>1046</v>
      </c>
      <c r="Z569" s="19" t="s">
        <v>44</v>
      </c>
    </row>
    <row r="570" spans="1:26" x14ac:dyDescent="0.3">
      <c r="A570" s="19" t="s">
        <v>141</v>
      </c>
      <c r="B570" s="20">
        <v>46112</v>
      </c>
      <c r="C570" s="19" t="s">
        <v>46</v>
      </c>
      <c r="D570" s="19" t="s">
        <v>36</v>
      </c>
      <c r="E570" s="19" t="s">
        <v>36</v>
      </c>
      <c r="F570" s="19" t="s">
        <v>36</v>
      </c>
      <c r="G570" s="19" t="s">
        <v>37</v>
      </c>
      <c r="K570" s="19" t="s">
        <v>38</v>
      </c>
      <c r="L570" s="19" t="s">
        <v>39</v>
      </c>
      <c r="M570" s="19" t="s">
        <v>38</v>
      </c>
      <c r="N570" s="19" t="s">
        <v>41</v>
      </c>
      <c r="R570" s="19" t="s">
        <v>49</v>
      </c>
      <c r="T570" s="21">
        <v>2550.0468580000002</v>
      </c>
      <c r="U570" s="19" t="s">
        <v>56</v>
      </c>
      <c r="V570" s="19">
        <v>8</v>
      </c>
      <c r="W570" s="19" t="s">
        <v>48</v>
      </c>
      <c r="X570" s="19" t="s">
        <v>1047</v>
      </c>
      <c r="Y570" s="19" t="s">
        <v>1046</v>
      </c>
      <c r="Z570" s="19" t="s">
        <v>44</v>
      </c>
    </row>
    <row r="571" spans="1:26" x14ac:dyDescent="0.3">
      <c r="A571" s="19" t="s">
        <v>141</v>
      </c>
      <c r="B571" s="20">
        <v>44562</v>
      </c>
      <c r="C571" s="19" t="s">
        <v>35</v>
      </c>
      <c r="D571" s="19" t="s">
        <v>36</v>
      </c>
      <c r="E571" s="19" t="s">
        <v>36</v>
      </c>
      <c r="F571" s="19" t="s">
        <v>36</v>
      </c>
      <c r="G571" s="19" t="s">
        <v>37</v>
      </c>
      <c r="K571" s="19" t="s">
        <v>38</v>
      </c>
      <c r="L571" s="19" t="s">
        <v>39</v>
      </c>
      <c r="M571" s="19" t="s">
        <v>40</v>
      </c>
      <c r="N571" s="19" t="s">
        <v>41</v>
      </c>
      <c r="R571" s="19" t="s">
        <v>50</v>
      </c>
      <c r="S571" s="21">
        <v>42330.49</v>
      </c>
      <c r="U571" s="19" t="s">
        <v>56</v>
      </c>
      <c r="V571" s="19">
        <v>10</v>
      </c>
      <c r="W571" s="19" t="s">
        <v>51</v>
      </c>
      <c r="X571" s="19" t="s">
        <v>1048</v>
      </c>
      <c r="Y571" s="19" t="s">
        <v>1049</v>
      </c>
      <c r="Z571" s="19" t="s">
        <v>44</v>
      </c>
    </row>
    <row r="572" spans="1:26" x14ac:dyDescent="0.3">
      <c r="A572" s="19" t="s">
        <v>141</v>
      </c>
      <c r="B572" s="20">
        <v>44562</v>
      </c>
      <c r="C572" s="19" t="s">
        <v>35</v>
      </c>
      <c r="D572" s="19" t="s">
        <v>36</v>
      </c>
      <c r="E572" s="19" t="s">
        <v>36</v>
      </c>
      <c r="F572" s="19" t="s">
        <v>36</v>
      </c>
      <c r="G572" s="19" t="s">
        <v>37</v>
      </c>
      <c r="K572" s="19" t="s">
        <v>38</v>
      </c>
      <c r="L572" s="19" t="s">
        <v>39</v>
      </c>
      <c r="M572" s="19" t="s">
        <v>40</v>
      </c>
      <c r="N572" s="19" t="s">
        <v>41</v>
      </c>
      <c r="R572" s="19" t="s">
        <v>52</v>
      </c>
      <c r="T572" s="21">
        <v>42330.49</v>
      </c>
      <c r="U572" s="19" t="s">
        <v>56</v>
      </c>
      <c r="V572" s="19">
        <v>10</v>
      </c>
      <c r="W572" s="19" t="s">
        <v>51</v>
      </c>
      <c r="X572" s="19" t="s">
        <v>1050</v>
      </c>
      <c r="Y572" s="19" t="s">
        <v>1049</v>
      </c>
      <c r="Z572" s="19" t="s">
        <v>44</v>
      </c>
    </row>
    <row r="573" spans="1:26" x14ac:dyDescent="0.3">
      <c r="A573" s="19" t="s">
        <v>141</v>
      </c>
      <c r="B573" s="20">
        <v>46112</v>
      </c>
      <c r="C573" s="19" t="s">
        <v>35</v>
      </c>
      <c r="D573" s="19" t="s">
        <v>36</v>
      </c>
      <c r="E573" s="19" t="s">
        <v>36</v>
      </c>
      <c r="F573" s="19" t="s">
        <v>36</v>
      </c>
      <c r="G573" s="19" t="s">
        <v>37</v>
      </c>
      <c r="K573" s="19" t="s">
        <v>38</v>
      </c>
      <c r="L573" s="19" t="s">
        <v>39</v>
      </c>
      <c r="M573" s="19" t="s">
        <v>40</v>
      </c>
      <c r="N573" s="19" t="s">
        <v>41</v>
      </c>
      <c r="R573" s="19" t="s">
        <v>45</v>
      </c>
      <c r="S573" s="21">
        <v>437150.89299899997</v>
      </c>
      <c r="U573" s="19" t="s">
        <v>56</v>
      </c>
      <c r="V573" s="19">
        <v>11</v>
      </c>
      <c r="W573" s="19" t="s">
        <v>53</v>
      </c>
      <c r="X573" s="19" t="s">
        <v>1051</v>
      </c>
      <c r="Y573" s="19" t="s">
        <v>1052</v>
      </c>
      <c r="Z573" s="19" t="s">
        <v>44</v>
      </c>
    </row>
    <row r="574" spans="1:26" x14ac:dyDescent="0.3">
      <c r="A574" s="19" t="s">
        <v>141</v>
      </c>
      <c r="B574" s="20">
        <v>46112</v>
      </c>
      <c r="C574" s="19" t="s">
        <v>35</v>
      </c>
      <c r="D574" s="19" t="s">
        <v>36</v>
      </c>
      <c r="E574" s="19" t="s">
        <v>36</v>
      </c>
      <c r="F574" s="19" t="s">
        <v>36</v>
      </c>
      <c r="G574" s="19" t="s">
        <v>37</v>
      </c>
      <c r="K574" s="19" t="s">
        <v>38</v>
      </c>
      <c r="L574" s="19" t="s">
        <v>39</v>
      </c>
      <c r="M574" s="19" t="s">
        <v>40</v>
      </c>
      <c r="N574" s="19" t="s">
        <v>41</v>
      </c>
      <c r="R574" s="19" t="s">
        <v>54</v>
      </c>
      <c r="T574" s="21">
        <v>437150.89299899997</v>
      </c>
      <c r="U574" s="19" t="s">
        <v>56</v>
      </c>
      <c r="V574" s="19">
        <v>11</v>
      </c>
      <c r="W574" s="19" t="s">
        <v>53</v>
      </c>
      <c r="X574" s="19" t="s">
        <v>1053</v>
      </c>
      <c r="Y574" s="19" t="s">
        <v>1052</v>
      </c>
      <c r="Z574" s="19" t="s">
        <v>44</v>
      </c>
    </row>
    <row r="575" spans="1:26" x14ac:dyDescent="0.3">
      <c r="A575" s="19" t="s">
        <v>142</v>
      </c>
      <c r="B575" s="20">
        <v>46113</v>
      </c>
      <c r="C575" s="19" t="s">
        <v>35</v>
      </c>
      <c r="D575" s="19" t="s">
        <v>36</v>
      </c>
      <c r="E575" s="19" t="s">
        <v>36</v>
      </c>
      <c r="F575" s="19" t="s">
        <v>36</v>
      </c>
      <c r="G575" s="19" t="s">
        <v>37</v>
      </c>
      <c r="K575" s="19" t="s">
        <v>38</v>
      </c>
      <c r="L575" s="19" t="s">
        <v>39</v>
      </c>
      <c r="M575" s="19" t="s">
        <v>40</v>
      </c>
      <c r="N575" s="19" t="s">
        <v>41</v>
      </c>
      <c r="R575" s="19" t="s">
        <v>54</v>
      </c>
      <c r="S575" s="21">
        <v>437150.89</v>
      </c>
      <c r="U575" s="19" t="s">
        <v>56</v>
      </c>
      <c r="V575" s="19">
        <v>11</v>
      </c>
      <c r="W575" s="19" t="s">
        <v>55</v>
      </c>
      <c r="X575" s="19" t="s">
        <v>1054</v>
      </c>
      <c r="Y575" s="19" t="s">
        <v>1055</v>
      </c>
      <c r="Z575" s="19" t="s">
        <v>44</v>
      </c>
    </row>
    <row r="576" spans="1:26" x14ac:dyDescent="0.3">
      <c r="A576" s="19" t="s">
        <v>142</v>
      </c>
      <c r="B576" s="20">
        <v>46113</v>
      </c>
      <c r="C576" s="19" t="s">
        <v>35</v>
      </c>
      <c r="D576" s="19" t="s">
        <v>36</v>
      </c>
      <c r="E576" s="19" t="s">
        <v>36</v>
      </c>
      <c r="F576" s="19" t="s">
        <v>36</v>
      </c>
      <c r="G576" s="19" t="s">
        <v>37</v>
      </c>
      <c r="K576" s="19" t="s">
        <v>38</v>
      </c>
      <c r="L576" s="19" t="s">
        <v>39</v>
      </c>
      <c r="M576" s="19" t="s">
        <v>40</v>
      </c>
      <c r="N576" s="19" t="s">
        <v>41</v>
      </c>
      <c r="R576" s="19" t="s">
        <v>45</v>
      </c>
      <c r="T576" s="21">
        <v>437150.89</v>
      </c>
      <c r="U576" s="19" t="s">
        <v>56</v>
      </c>
      <c r="V576" s="19">
        <v>11</v>
      </c>
      <c r="W576" s="19" t="s">
        <v>55</v>
      </c>
      <c r="X576" s="19" t="s">
        <v>1056</v>
      </c>
      <c r="Y576" s="19" t="s">
        <v>1055</v>
      </c>
      <c r="Z576" s="19" t="s">
        <v>44</v>
      </c>
    </row>
    <row r="577" spans="1:26" x14ac:dyDescent="0.3">
      <c r="A577" s="19" t="s">
        <v>142</v>
      </c>
      <c r="B577" s="20">
        <v>46142</v>
      </c>
      <c r="C577" s="19" t="s">
        <v>46</v>
      </c>
      <c r="D577" s="19" t="s">
        <v>36</v>
      </c>
      <c r="E577" s="19" t="s">
        <v>36</v>
      </c>
      <c r="F577" s="19" t="s">
        <v>36</v>
      </c>
      <c r="G577" s="19" t="s">
        <v>37</v>
      </c>
      <c r="K577" s="19" t="s">
        <v>38</v>
      </c>
      <c r="L577" s="19" t="s">
        <v>39</v>
      </c>
      <c r="M577" s="19" t="s">
        <v>38</v>
      </c>
      <c r="N577" s="19" t="s">
        <v>41</v>
      </c>
      <c r="R577" s="19" t="s">
        <v>49</v>
      </c>
      <c r="S577" s="21">
        <v>2550.0468580000002</v>
      </c>
      <c r="U577" s="19" t="s">
        <v>56</v>
      </c>
      <c r="V577" s="19">
        <v>12</v>
      </c>
      <c r="W577" s="19" t="s">
        <v>57</v>
      </c>
      <c r="X577" s="19" t="s">
        <v>1057</v>
      </c>
      <c r="Y577" s="19" t="s">
        <v>1058</v>
      </c>
      <c r="Z577" s="19" t="s">
        <v>44</v>
      </c>
    </row>
    <row r="578" spans="1:26" x14ac:dyDescent="0.3">
      <c r="A578" s="19" t="s">
        <v>142</v>
      </c>
      <c r="B578" s="20">
        <v>46142</v>
      </c>
      <c r="C578" s="19" t="s">
        <v>46</v>
      </c>
      <c r="D578" s="19" t="s">
        <v>36</v>
      </c>
      <c r="E578" s="19" t="s">
        <v>36</v>
      </c>
      <c r="F578" s="19" t="s">
        <v>36</v>
      </c>
      <c r="G578" s="19" t="s">
        <v>37</v>
      </c>
      <c r="K578" s="19" t="s">
        <v>38</v>
      </c>
      <c r="L578" s="19" t="s">
        <v>39</v>
      </c>
      <c r="M578" s="19" t="s">
        <v>40</v>
      </c>
      <c r="N578" s="19" t="s">
        <v>41</v>
      </c>
      <c r="R578" s="19" t="s">
        <v>45</v>
      </c>
      <c r="S578" s="21">
        <v>47449.953141999998</v>
      </c>
      <c r="U578" s="19" t="s">
        <v>56</v>
      </c>
      <c r="V578" s="19">
        <v>12</v>
      </c>
      <c r="W578" s="19" t="s">
        <v>57</v>
      </c>
      <c r="X578" s="19" t="s">
        <v>1059</v>
      </c>
      <c r="Y578" s="19" t="s">
        <v>1058</v>
      </c>
      <c r="Z578" s="19" t="s">
        <v>44</v>
      </c>
    </row>
    <row r="579" spans="1:26" x14ac:dyDescent="0.3">
      <c r="A579" s="19" t="s">
        <v>142</v>
      </c>
      <c r="B579" s="20">
        <v>46142</v>
      </c>
      <c r="C579" s="19" t="s">
        <v>46</v>
      </c>
      <c r="D579" s="19" t="s">
        <v>36</v>
      </c>
      <c r="E579" s="19" t="s">
        <v>36</v>
      </c>
      <c r="F579" s="19" t="s">
        <v>36</v>
      </c>
      <c r="G579" s="19" t="s">
        <v>37</v>
      </c>
      <c r="K579" s="19" t="s">
        <v>38</v>
      </c>
      <c r="L579" s="19" t="s">
        <v>39</v>
      </c>
      <c r="M579" s="19" t="s">
        <v>40</v>
      </c>
      <c r="N579" s="19" t="s">
        <v>41</v>
      </c>
      <c r="R579" s="19" t="s">
        <v>58</v>
      </c>
      <c r="T579" s="21">
        <v>50000</v>
      </c>
      <c r="U579" s="19" t="s">
        <v>56</v>
      </c>
      <c r="V579" s="19">
        <v>12</v>
      </c>
      <c r="W579" s="19" t="s">
        <v>57</v>
      </c>
      <c r="X579" s="19" t="s">
        <v>1060</v>
      </c>
      <c r="Y579" s="19" t="s">
        <v>1058</v>
      </c>
      <c r="Z579" s="19" t="s">
        <v>44</v>
      </c>
    </row>
    <row r="580" spans="1:26" x14ac:dyDescent="0.3">
      <c r="A580" s="19" t="s">
        <v>143</v>
      </c>
      <c r="B580" s="20">
        <v>46142</v>
      </c>
      <c r="C580" s="19" t="s">
        <v>46</v>
      </c>
      <c r="D580" s="19" t="s">
        <v>36</v>
      </c>
      <c r="E580" s="19" t="s">
        <v>36</v>
      </c>
      <c r="F580" s="19" t="s">
        <v>36</v>
      </c>
      <c r="G580" s="19" t="s">
        <v>37</v>
      </c>
      <c r="K580" s="19" t="s">
        <v>38</v>
      </c>
      <c r="L580" s="19" t="s">
        <v>39</v>
      </c>
      <c r="M580" s="19" t="s">
        <v>40</v>
      </c>
      <c r="N580" s="19" t="s">
        <v>41</v>
      </c>
      <c r="R580" s="19" t="s">
        <v>47</v>
      </c>
      <c r="S580" s="21">
        <v>2273.2554639999998</v>
      </c>
      <c r="U580" s="19" t="s">
        <v>56</v>
      </c>
      <c r="V580" s="19">
        <v>8</v>
      </c>
      <c r="W580" s="19" t="s">
        <v>48</v>
      </c>
      <c r="X580" s="19" t="s">
        <v>1061</v>
      </c>
      <c r="Y580" s="19" t="s">
        <v>1062</v>
      </c>
      <c r="Z580" s="19" t="s">
        <v>44</v>
      </c>
    </row>
    <row r="581" spans="1:26" x14ac:dyDescent="0.3">
      <c r="A581" s="19" t="s">
        <v>143</v>
      </c>
      <c r="B581" s="20">
        <v>46142</v>
      </c>
      <c r="C581" s="19" t="s">
        <v>46</v>
      </c>
      <c r="D581" s="19" t="s">
        <v>36</v>
      </c>
      <c r="E581" s="19" t="s">
        <v>36</v>
      </c>
      <c r="F581" s="19" t="s">
        <v>36</v>
      </c>
      <c r="G581" s="19" t="s">
        <v>37</v>
      </c>
      <c r="K581" s="19" t="s">
        <v>38</v>
      </c>
      <c r="L581" s="19" t="s">
        <v>39</v>
      </c>
      <c r="M581" s="19" t="s">
        <v>38</v>
      </c>
      <c r="N581" s="19" t="s">
        <v>41</v>
      </c>
      <c r="R581" s="19" t="s">
        <v>49</v>
      </c>
      <c r="T581" s="21">
        <v>2273.2554639999998</v>
      </c>
      <c r="U581" s="19" t="s">
        <v>56</v>
      </c>
      <c r="V581" s="19">
        <v>8</v>
      </c>
      <c r="W581" s="19" t="s">
        <v>48</v>
      </c>
      <c r="X581" s="19" t="s">
        <v>1063</v>
      </c>
      <c r="Y581" s="19" t="s">
        <v>1062</v>
      </c>
      <c r="Z581" s="19" t="s">
        <v>44</v>
      </c>
    </row>
    <row r="582" spans="1:26" x14ac:dyDescent="0.3">
      <c r="A582" s="19" t="s">
        <v>143</v>
      </c>
      <c r="B582" s="20">
        <v>44562</v>
      </c>
      <c r="C582" s="19" t="s">
        <v>35</v>
      </c>
      <c r="D582" s="19" t="s">
        <v>36</v>
      </c>
      <c r="E582" s="19" t="s">
        <v>36</v>
      </c>
      <c r="F582" s="19" t="s">
        <v>36</v>
      </c>
      <c r="G582" s="19" t="s">
        <v>37</v>
      </c>
      <c r="K582" s="19" t="s">
        <v>38</v>
      </c>
      <c r="L582" s="19" t="s">
        <v>39</v>
      </c>
      <c r="M582" s="19" t="s">
        <v>40</v>
      </c>
      <c r="N582" s="19" t="s">
        <v>41</v>
      </c>
      <c r="R582" s="19" t="s">
        <v>50</v>
      </c>
      <c r="S582" s="21">
        <v>42330.49</v>
      </c>
      <c r="U582" s="19" t="s">
        <v>56</v>
      </c>
      <c r="V582" s="19">
        <v>10</v>
      </c>
      <c r="W582" s="19" t="s">
        <v>51</v>
      </c>
      <c r="X582" s="19" t="s">
        <v>1064</v>
      </c>
      <c r="Y582" s="19" t="s">
        <v>1065</v>
      </c>
      <c r="Z582" s="19" t="s">
        <v>44</v>
      </c>
    </row>
    <row r="583" spans="1:26" x14ac:dyDescent="0.3">
      <c r="A583" s="19" t="s">
        <v>143</v>
      </c>
      <c r="B583" s="20">
        <v>44562</v>
      </c>
      <c r="C583" s="19" t="s">
        <v>35</v>
      </c>
      <c r="D583" s="19" t="s">
        <v>36</v>
      </c>
      <c r="E583" s="19" t="s">
        <v>36</v>
      </c>
      <c r="F583" s="19" t="s">
        <v>36</v>
      </c>
      <c r="G583" s="19" t="s">
        <v>37</v>
      </c>
      <c r="K583" s="19" t="s">
        <v>38</v>
      </c>
      <c r="L583" s="19" t="s">
        <v>39</v>
      </c>
      <c r="M583" s="19" t="s">
        <v>40</v>
      </c>
      <c r="N583" s="19" t="s">
        <v>41</v>
      </c>
      <c r="R583" s="19" t="s">
        <v>52</v>
      </c>
      <c r="T583" s="21">
        <v>42330.49</v>
      </c>
      <c r="U583" s="19" t="s">
        <v>56</v>
      </c>
      <c r="V583" s="19">
        <v>10</v>
      </c>
      <c r="W583" s="19" t="s">
        <v>51</v>
      </c>
      <c r="X583" s="19" t="s">
        <v>1066</v>
      </c>
      <c r="Y583" s="19" t="s">
        <v>1065</v>
      </c>
      <c r="Z583" s="19" t="s">
        <v>44</v>
      </c>
    </row>
    <row r="584" spans="1:26" x14ac:dyDescent="0.3">
      <c r="A584" s="19" t="s">
        <v>143</v>
      </c>
      <c r="B584" s="20">
        <v>46142</v>
      </c>
      <c r="C584" s="19" t="s">
        <v>35</v>
      </c>
      <c r="D584" s="19" t="s">
        <v>36</v>
      </c>
      <c r="E584" s="19" t="s">
        <v>36</v>
      </c>
      <c r="F584" s="19" t="s">
        <v>36</v>
      </c>
      <c r="G584" s="19" t="s">
        <v>37</v>
      </c>
      <c r="K584" s="19" t="s">
        <v>38</v>
      </c>
      <c r="L584" s="19" t="s">
        <v>39</v>
      </c>
      <c r="M584" s="19" t="s">
        <v>40</v>
      </c>
      <c r="N584" s="19" t="s">
        <v>41</v>
      </c>
      <c r="R584" s="19" t="s">
        <v>45</v>
      </c>
      <c r="S584" s="21">
        <v>389700.936858</v>
      </c>
      <c r="U584" s="19" t="s">
        <v>56</v>
      </c>
      <c r="V584" s="19">
        <v>11</v>
      </c>
      <c r="W584" s="19" t="s">
        <v>53</v>
      </c>
      <c r="X584" s="19" t="s">
        <v>1067</v>
      </c>
      <c r="Y584" s="19" t="s">
        <v>1068</v>
      </c>
      <c r="Z584" s="19" t="s">
        <v>44</v>
      </c>
    </row>
    <row r="585" spans="1:26" x14ac:dyDescent="0.3">
      <c r="A585" s="19" t="s">
        <v>143</v>
      </c>
      <c r="B585" s="20">
        <v>46142</v>
      </c>
      <c r="C585" s="19" t="s">
        <v>35</v>
      </c>
      <c r="D585" s="19" t="s">
        <v>36</v>
      </c>
      <c r="E585" s="19" t="s">
        <v>36</v>
      </c>
      <c r="F585" s="19" t="s">
        <v>36</v>
      </c>
      <c r="G585" s="19" t="s">
        <v>37</v>
      </c>
      <c r="K585" s="19" t="s">
        <v>38</v>
      </c>
      <c r="L585" s="19" t="s">
        <v>39</v>
      </c>
      <c r="M585" s="19" t="s">
        <v>40</v>
      </c>
      <c r="N585" s="19" t="s">
        <v>41</v>
      </c>
      <c r="R585" s="19" t="s">
        <v>54</v>
      </c>
      <c r="T585" s="21">
        <v>389700.936858</v>
      </c>
      <c r="U585" s="19" t="s">
        <v>56</v>
      </c>
      <c r="V585" s="19">
        <v>11</v>
      </c>
      <c r="W585" s="19" t="s">
        <v>53</v>
      </c>
      <c r="X585" s="19" t="s">
        <v>1069</v>
      </c>
      <c r="Y585" s="19" t="s">
        <v>1068</v>
      </c>
      <c r="Z585" s="19" t="s">
        <v>44</v>
      </c>
    </row>
    <row r="586" spans="1:26" x14ac:dyDescent="0.3">
      <c r="A586" s="19" t="s">
        <v>144</v>
      </c>
      <c r="B586" s="20">
        <v>46143</v>
      </c>
      <c r="C586" s="19" t="s">
        <v>35</v>
      </c>
      <c r="D586" s="19" t="s">
        <v>36</v>
      </c>
      <c r="E586" s="19" t="s">
        <v>36</v>
      </c>
      <c r="F586" s="19" t="s">
        <v>36</v>
      </c>
      <c r="G586" s="19" t="s">
        <v>37</v>
      </c>
      <c r="K586" s="19" t="s">
        <v>38</v>
      </c>
      <c r="L586" s="19" t="s">
        <v>39</v>
      </c>
      <c r="M586" s="19" t="s">
        <v>40</v>
      </c>
      <c r="N586" s="19" t="s">
        <v>41</v>
      </c>
      <c r="R586" s="19" t="s">
        <v>54</v>
      </c>
      <c r="S586" s="21">
        <v>389700.94</v>
      </c>
      <c r="U586" s="19" t="s">
        <v>56</v>
      </c>
      <c r="V586" s="19">
        <v>11</v>
      </c>
      <c r="W586" s="19" t="s">
        <v>55</v>
      </c>
      <c r="X586" s="19" t="s">
        <v>1070</v>
      </c>
      <c r="Y586" s="19" t="s">
        <v>1071</v>
      </c>
      <c r="Z586" s="19" t="s">
        <v>44</v>
      </c>
    </row>
    <row r="587" spans="1:26" x14ac:dyDescent="0.3">
      <c r="A587" s="19" t="s">
        <v>144</v>
      </c>
      <c r="B587" s="20">
        <v>46143</v>
      </c>
      <c r="C587" s="19" t="s">
        <v>35</v>
      </c>
      <c r="D587" s="19" t="s">
        <v>36</v>
      </c>
      <c r="E587" s="19" t="s">
        <v>36</v>
      </c>
      <c r="F587" s="19" t="s">
        <v>36</v>
      </c>
      <c r="G587" s="19" t="s">
        <v>37</v>
      </c>
      <c r="K587" s="19" t="s">
        <v>38</v>
      </c>
      <c r="L587" s="19" t="s">
        <v>39</v>
      </c>
      <c r="M587" s="19" t="s">
        <v>40</v>
      </c>
      <c r="N587" s="19" t="s">
        <v>41</v>
      </c>
      <c r="R587" s="19" t="s">
        <v>45</v>
      </c>
      <c r="T587" s="21">
        <v>389700.94</v>
      </c>
      <c r="U587" s="19" t="s">
        <v>56</v>
      </c>
      <c r="V587" s="19">
        <v>11</v>
      </c>
      <c r="W587" s="19" t="s">
        <v>55</v>
      </c>
      <c r="X587" s="19" t="s">
        <v>1072</v>
      </c>
      <c r="Y587" s="19" t="s">
        <v>1071</v>
      </c>
      <c r="Z587" s="19" t="s">
        <v>44</v>
      </c>
    </row>
    <row r="588" spans="1:26" x14ac:dyDescent="0.3">
      <c r="A588" s="19" t="s">
        <v>144</v>
      </c>
      <c r="B588" s="20">
        <v>46173</v>
      </c>
      <c r="C588" s="19" t="s">
        <v>46</v>
      </c>
      <c r="D588" s="19" t="s">
        <v>36</v>
      </c>
      <c r="E588" s="19" t="s">
        <v>36</v>
      </c>
      <c r="F588" s="19" t="s">
        <v>36</v>
      </c>
      <c r="G588" s="19" t="s">
        <v>37</v>
      </c>
      <c r="K588" s="19" t="s">
        <v>38</v>
      </c>
      <c r="L588" s="19" t="s">
        <v>39</v>
      </c>
      <c r="M588" s="19" t="s">
        <v>38</v>
      </c>
      <c r="N588" s="19" t="s">
        <v>41</v>
      </c>
      <c r="R588" s="19" t="s">
        <v>49</v>
      </c>
      <c r="S588" s="21">
        <v>2273.2554639999998</v>
      </c>
      <c r="U588" s="19" t="s">
        <v>56</v>
      </c>
      <c r="V588" s="19">
        <v>12</v>
      </c>
      <c r="W588" s="19" t="s">
        <v>57</v>
      </c>
      <c r="X588" s="19" t="s">
        <v>1073</v>
      </c>
      <c r="Y588" s="19" t="s">
        <v>1074</v>
      </c>
      <c r="Z588" s="19" t="s">
        <v>44</v>
      </c>
    </row>
    <row r="589" spans="1:26" x14ac:dyDescent="0.3">
      <c r="A589" s="19" t="s">
        <v>144</v>
      </c>
      <c r="B589" s="20">
        <v>46173</v>
      </c>
      <c r="C589" s="19" t="s">
        <v>46</v>
      </c>
      <c r="D589" s="19" t="s">
        <v>36</v>
      </c>
      <c r="E589" s="19" t="s">
        <v>36</v>
      </c>
      <c r="F589" s="19" t="s">
        <v>36</v>
      </c>
      <c r="G589" s="19" t="s">
        <v>37</v>
      </c>
      <c r="K589" s="19" t="s">
        <v>38</v>
      </c>
      <c r="L589" s="19" t="s">
        <v>39</v>
      </c>
      <c r="M589" s="19" t="s">
        <v>40</v>
      </c>
      <c r="N589" s="19" t="s">
        <v>41</v>
      </c>
      <c r="R589" s="19" t="s">
        <v>45</v>
      </c>
      <c r="S589" s="21">
        <v>47726.744535999998</v>
      </c>
      <c r="U589" s="19" t="s">
        <v>56</v>
      </c>
      <c r="V589" s="19">
        <v>12</v>
      </c>
      <c r="W589" s="19" t="s">
        <v>57</v>
      </c>
      <c r="X589" s="19" t="s">
        <v>1075</v>
      </c>
      <c r="Y589" s="19" t="s">
        <v>1074</v>
      </c>
      <c r="Z589" s="19" t="s">
        <v>44</v>
      </c>
    </row>
    <row r="590" spans="1:26" x14ac:dyDescent="0.3">
      <c r="A590" s="19" t="s">
        <v>144</v>
      </c>
      <c r="B590" s="20">
        <v>46173</v>
      </c>
      <c r="C590" s="19" t="s">
        <v>46</v>
      </c>
      <c r="D590" s="19" t="s">
        <v>36</v>
      </c>
      <c r="E590" s="19" t="s">
        <v>36</v>
      </c>
      <c r="F590" s="19" t="s">
        <v>36</v>
      </c>
      <c r="G590" s="19" t="s">
        <v>37</v>
      </c>
      <c r="K590" s="19" t="s">
        <v>38</v>
      </c>
      <c r="L590" s="19" t="s">
        <v>39</v>
      </c>
      <c r="M590" s="19" t="s">
        <v>40</v>
      </c>
      <c r="N590" s="19" t="s">
        <v>41</v>
      </c>
      <c r="R590" s="19" t="s">
        <v>58</v>
      </c>
      <c r="T590" s="21">
        <v>50000</v>
      </c>
      <c r="U590" s="19" t="s">
        <v>56</v>
      </c>
      <c r="V590" s="19">
        <v>12</v>
      </c>
      <c r="W590" s="19" t="s">
        <v>57</v>
      </c>
      <c r="X590" s="19" t="s">
        <v>1076</v>
      </c>
      <c r="Y590" s="19" t="s">
        <v>1074</v>
      </c>
      <c r="Z590" s="19" t="s">
        <v>44</v>
      </c>
    </row>
    <row r="591" spans="1:26" x14ac:dyDescent="0.3">
      <c r="A591" s="19" t="s">
        <v>145</v>
      </c>
      <c r="B591" s="20">
        <v>46173</v>
      </c>
      <c r="C591" s="19" t="s">
        <v>46</v>
      </c>
      <c r="D591" s="19" t="s">
        <v>36</v>
      </c>
      <c r="E591" s="19" t="s">
        <v>36</v>
      </c>
      <c r="F591" s="19" t="s">
        <v>36</v>
      </c>
      <c r="G591" s="19" t="s">
        <v>37</v>
      </c>
      <c r="K591" s="19" t="s">
        <v>38</v>
      </c>
      <c r="L591" s="19" t="s">
        <v>39</v>
      </c>
      <c r="M591" s="19" t="s">
        <v>40</v>
      </c>
      <c r="N591" s="19" t="s">
        <v>41</v>
      </c>
      <c r="R591" s="19" t="s">
        <v>47</v>
      </c>
      <c r="S591" s="21">
        <v>1994.849455</v>
      </c>
      <c r="U591" s="19" t="s">
        <v>56</v>
      </c>
      <c r="V591" s="19">
        <v>8</v>
      </c>
      <c r="W591" s="19" t="s">
        <v>48</v>
      </c>
      <c r="X591" s="19" t="s">
        <v>1077</v>
      </c>
      <c r="Y591" s="19" t="s">
        <v>1078</v>
      </c>
      <c r="Z591" s="19" t="s">
        <v>44</v>
      </c>
    </row>
    <row r="592" spans="1:26" x14ac:dyDescent="0.3">
      <c r="A592" s="19" t="s">
        <v>145</v>
      </c>
      <c r="B592" s="20">
        <v>46173</v>
      </c>
      <c r="C592" s="19" t="s">
        <v>46</v>
      </c>
      <c r="D592" s="19" t="s">
        <v>36</v>
      </c>
      <c r="E592" s="19" t="s">
        <v>36</v>
      </c>
      <c r="F592" s="19" t="s">
        <v>36</v>
      </c>
      <c r="G592" s="19" t="s">
        <v>37</v>
      </c>
      <c r="K592" s="19" t="s">
        <v>38</v>
      </c>
      <c r="L592" s="19" t="s">
        <v>39</v>
      </c>
      <c r="M592" s="19" t="s">
        <v>38</v>
      </c>
      <c r="N592" s="19" t="s">
        <v>41</v>
      </c>
      <c r="R592" s="19" t="s">
        <v>49</v>
      </c>
      <c r="T592" s="21">
        <v>1994.849455</v>
      </c>
      <c r="U592" s="19" t="s">
        <v>56</v>
      </c>
      <c r="V592" s="19">
        <v>8</v>
      </c>
      <c r="W592" s="19" t="s">
        <v>48</v>
      </c>
      <c r="X592" s="19" t="s">
        <v>1079</v>
      </c>
      <c r="Y592" s="19" t="s">
        <v>1078</v>
      </c>
      <c r="Z592" s="19" t="s">
        <v>44</v>
      </c>
    </row>
    <row r="593" spans="1:26" x14ac:dyDescent="0.3">
      <c r="A593" s="19" t="s">
        <v>145</v>
      </c>
      <c r="B593" s="20">
        <v>44562</v>
      </c>
      <c r="C593" s="19" t="s">
        <v>35</v>
      </c>
      <c r="D593" s="19" t="s">
        <v>36</v>
      </c>
      <c r="E593" s="19" t="s">
        <v>36</v>
      </c>
      <c r="F593" s="19" t="s">
        <v>36</v>
      </c>
      <c r="G593" s="19" t="s">
        <v>37</v>
      </c>
      <c r="K593" s="19" t="s">
        <v>38</v>
      </c>
      <c r="L593" s="19" t="s">
        <v>39</v>
      </c>
      <c r="M593" s="19" t="s">
        <v>40</v>
      </c>
      <c r="N593" s="19" t="s">
        <v>41</v>
      </c>
      <c r="R593" s="19" t="s">
        <v>50</v>
      </c>
      <c r="S593" s="21">
        <v>42330.49</v>
      </c>
      <c r="U593" s="19" t="s">
        <v>56</v>
      </c>
      <c r="V593" s="19">
        <v>10</v>
      </c>
      <c r="W593" s="19" t="s">
        <v>51</v>
      </c>
      <c r="X593" s="19" t="s">
        <v>1080</v>
      </c>
      <c r="Y593" s="19" t="s">
        <v>1081</v>
      </c>
      <c r="Z593" s="19" t="s">
        <v>44</v>
      </c>
    </row>
    <row r="594" spans="1:26" x14ac:dyDescent="0.3">
      <c r="A594" s="19" t="s">
        <v>145</v>
      </c>
      <c r="B594" s="20">
        <v>44562</v>
      </c>
      <c r="C594" s="19" t="s">
        <v>35</v>
      </c>
      <c r="D594" s="19" t="s">
        <v>36</v>
      </c>
      <c r="E594" s="19" t="s">
        <v>36</v>
      </c>
      <c r="F594" s="19" t="s">
        <v>36</v>
      </c>
      <c r="G594" s="19" t="s">
        <v>37</v>
      </c>
      <c r="K594" s="19" t="s">
        <v>38</v>
      </c>
      <c r="L594" s="19" t="s">
        <v>39</v>
      </c>
      <c r="M594" s="19" t="s">
        <v>40</v>
      </c>
      <c r="N594" s="19" t="s">
        <v>41</v>
      </c>
      <c r="R594" s="19" t="s">
        <v>52</v>
      </c>
      <c r="T594" s="21">
        <v>42330.49</v>
      </c>
      <c r="U594" s="19" t="s">
        <v>56</v>
      </c>
      <c r="V594" s="19">
        <v>10</v>
      </c>
      <c r="W594" s="19" t="s">
        <v>51</v>
      </c>
      <c r="X594" s="19" t="s">
        <v>1082</v>
      </c>
      <c r="Y594" s="19" t="s">
        <v>1081</v>
      </c>
      <c r="Z594" s="19" t="s">
        <v>44</v>
      </c>
    </row>
    <row r="595" spans="1:26" x14ac:dyDescent="0.3">
      <c r="A595" s="19" t="s">
        <v>145</v>
      </c>
      <c r="B595" s="20">
        <v>46173</v>
      </c>
      <c r="C595" s="19" t="s">
        <v>35</v>
      </c>
      <c r="D595" s="19" t="s">
        <v>36</v>
      </c>
      <c r="E595" s="19" t="s">
        <v>36</v>
      </c>
      <c r="F595" s="19" t="s">
        <v>36</v>
      </c>
      <c r="G595" s="19" t="s">
        <v>37</v>
      </c>
      <c r="K595" s="19" t="s">
        <v>38</v>
      </c>
      <c r="L595" s="19" t="s">
        <v>39</v>
      </c>
      <c r="M595" s="19" t="s">
        <v>40</v>
      </c>
      <c r="N595" s="19" t="s">
        <v>41</v>
      </c>
      <c r="R595" s="19" t="s">
        <v>45</v>
      </c>
      <c r="S595" s="21">
        <v>341974.19546399999</v>
      </c>
      <c r="U595" s="19" t="s">
        <v>56</v>
      </c>
      <c r="V595" s="19">
        <v>11</v>
      </c>
      <c r="W595" s="19" t="s">
        <v>53</v>
      </c>
      <c r="X595" s="19" t="s">
        <v>1083</v>
      </c>
      <c r="Y595" s="19" t="s">
        <v>1084</v>
      </c>
      <c r="Z595" s="19" t="s">
        <v>44</v>
      </c>
    </row>
    <row r="596" spans="1:26" x14ac:dyDescent="0.3">
      <c r="A596" s="19" t="s">
        <v>145</v>
      </c>
      <c r="B596" s="20">
        <v>46173</v>
      </c>
      <c r="C596" s="19" t="s">
        <v>35</v>
      </c>
      <c r="D596" s="19" t="s">
        <v>36</v>
      </c>
      <c r="E596" s="19" t="s">
        <v>36</v>
      </c>
      <c r="F596" s="19" t="s">
        <v>36</v>
      </c>
      <c r="G596" s="19" t="s">
        <v>37</v>
      </c>
      <c r="K596" s="19" t="s">
        <v>38</v>
      </c>
      <c r="L596" s="19" t="s">
        <v>39</v>
      </c>
      <c r="M596" s="19" t="s">
        <v>40</v>
      </c>
      <c r="N596" s="19" t="s">
        <v>41</v>
      </c>
      <c r="R596" s="19" t="s">
        <v>54</v>
      </c>
      <c r="T596" s="21">
        <v>341974.19546399999</v>
      </c>
      <c r="U596" s="19" t="s">
        <v>56</v>
      </c>
      <c r="V596" s="19">
        <v>11</v>
      </c>
      <c r="W596" s="19" t="s">
        <v>53</v>
      </c>
      <c r="X596" s="19" t="s">
        <v>1085</v>
      </c>
      <c r="Y596" s="19" t="s">
        <v>1084</v>
      </c>
      <c r="Z596" s="19" t="s">
        <v>44</v>
      </c>
    </row>
    <row r="597" spans="1:26" x14ac:dyDescent="0.3">
      <c r="A597" s="19" t="s">
        <v>146</v>
      </c>
      <c r="B597" s="20">
        <v>46174</v>
      </c>
      <c r="C597" s="19" t="s">
        <v>35</v>
      </c>
      <c r="D597" s="19" t="s">
        <v>36</v>
      </c>
      <c r="E597" s="19" t="s">
        <v>36</v>
      </c>
      <c r="F597" s="19" t="s">
        <v>36</v>
      </c>
      <c r="G597" s="19" t="s">
        <v>37</v>
      </c>
      <c r="K597" s="19" t="s">
        <v>38</v>
      </c>
      <c r="L597" s="19" t="s">
        <v>39</v>
      </c>
      <c r="M597" s="19" t="s">
        <v>40</v>
      </c>
      <c r="N597" s="19" t="s">
        <v>41</v>
      </c>
      <c r="R597" s="19" t="s">
        <v>54</v>
      </c>
      <c r="S597" s="21">
        <v>341974.19</v>
      </c>
      <c r="U597" s="19" t="s">
        <v>56</v>
      </c>
      <c r="V597" s="19">
        <v>11</v>
      </c>
      <c r="W597" s="19" t="s">
        <v>55</v>
      </c>
      <c r="X597" s="19" t="s">
        <v>1086</v>
      </c>
      <c r="Y597" s="19" t="s">
        <v>1087</v>
      </c>
      <c r="Z597" s="19" t="s">
        <v>44</v>
      </c>
    </row>
    <row r="598" spans="1:26" x14ac:dyDescent="0.3">
      <c r="A598" s="19" t="s">
        <v>146</v>
      </c>
      <c r="B598" s="20">
        <v>46174</v>
      </c>
      <c r="C598" s="19" t="s">
        <v>35</v>
      </c>
      <c r="D598" s="19" t="s">
        <v>36</v>
      </c>
      <c r="E598" s="19" t="s">
        <v>36</v>
      </c>
      <c r="F598" s="19" t="s">
        <v>36</v>
      </c>
      <c r="G598" s="19" t="s">
        <v>37</v>
      </c>
      <c r="K598" s="19" t="s">
        <v>38</v>
      </c>
      <c r="L598" s="19" t="s">
        <v>39</v>
      </c>
      <c r="M598" s="19" t="s">
        <v>40</v>
      </c>
      <c r="N598" s="19" t="s">
        <v>41</v>
      </c>
      <c r="R598" s="19" t="s">
        <v>45</v>
      </c>
      <c r="T598" s="21">
        <v>341974.19</v>
      </c>
      <c r="U598" s="19" t="s">
        <v>56</v>
      </c>
      <c r="V598" s="19">
        <v>11</v>
      </c>
      <c r="W598" s="19" t="s">
        <v>55</v>
      </c>
      <c r="X598" s="19" t="s">
        <v>1088</v>
      </c>
      <c r="Y598" s="19" t="s">
        <v>1087</v>
      </c>
      <c r="Z598" s="19" t="s">
        <v>44</v>
      </c>
    </row>
    <row r="599" spans="1:26" x14ac:dyDescent="0.3">
      <c r="A599" s="19" t="s">
        <v>146</v>
      </c>
      <c r="B599" s="20">
        <v>46203</v>
      </c>
      <c r="C599" s="19" t="s">
        <v>46</v>
      </c>
      <c r="D599" s="19" t="s">
        <v>36</v>
      </c>
      <c r="E599" s="19" t="s">
        <v>36</v>
      </c>
      <c r="F599" s="19" t="s">
        <v>36</v>
      </c>
      <c r="G599" s="19" t="s">
        <v>37</v>
      </c>
      <c r="K599" s="19" t="s">
        <v>38</v>
      </c>
      <c r="L599" s="19" t="s">
        <v>39</v>
      </c>
      <c r="M599" s="19" t="s">
        <v>38</v>
      </c>
      <c r="N599" s="19" t="s">
        <v>41</v>
      </c>
      <c r="R599" s="19" t="s">
        <v>49</v>
      </c>
      <c r="S599" s="21">
        <v>1994.849455</v>
      </c>
      <c r="U599" s="19" t="s">
        <v>56</v>
      </c>
      <c r="V599" s="19">
        <v>12</v>
      </c>
      <c r="W599" s="19" t="s">
        <v>57</v>
      </c>
      <c r="X599" s="19" t="s">
        <v>1089</v>
      </c>
      <c r="Y599" s="19" t="s">
        <v>1090</v>
      </c>
      <c r="Z599" s="19" t="s">
        <v>44</v>
      </c>
    </row>
    <row r="600" spans="1:26" x14ac:dyDescent="0.3">
      <c r="A600" s="19" t="s">
        <v>146</v>
      </c>
      <c r="B600" s="20">
        <v>46203</v>
      </c>
      <c r="C600" s="19" t="s">
        <v>46</v>
      </c>
      <c r="D600" s="19" t="s">
        <v>36</v>
      </c>
      <c r="E600" s="19" t="s">
        <v>36</v>
      </c>
      <c r="F600" s="19" t="s">
        <v>36</v>
      </c>
      <c r="G600" s="19" t="s">
        <v>37</v>
      </c>
      <c r="K600" s="19" t="s">
        <v>38</v>
      </c>
      <c r="L600" s="19" t="s">
        <v>39</v>
      </c>
      <c r="M600" s="19" t="s">
        <v>40</v>
      </c>
      <c r="N600" s="19" t="s">
        <v>41</v>
      </c>
      <c r="R600" s="19" t="s">
        <v>45</v>
      </c>
      <c r="S600" s="21">
        <v>48005.150544999997</v>
      </c>
      <c r="U600" s="19" t="s">
        <v>56</v>
      </c>
      <c r="V600" s="19">
        <v>12</v>
      </c>
      <c r="W600" s="19" t="s">
        <v>57</v>
      </c>
      <c r="X600" s="19" t="s">
        <v>1091</v>
      </c>
      <c r="Y600" s="19" t="s">
        <v>1090</v>
      </c>
      <c r="Z600" s="19" t="s">
        <v>44</v>
      </c>
    </row>
    <row r="601" spans="1:26" x14ac:dyDescent="0.3">
      <c r="A601" s="19" t="s">
        <v>146</v>
      </c>
      <c r="B601" s="20">
        <v>46203</v>
      </c>
      <c r="C601" s="19" t="s">
        <v>46</v>
      </c>
      <c r="D601" s="19" t="s">
        <v>36</v>
      </c>
      <c r="E601" s="19" t="s">
        <v>36</v>
      </c>
      <c r="F601" s="19" t="s">
        <v>36</v>
      </c>
      <c r="G601" s="19" t="s">
        <v>37</v>
      </c>
      <c r="K601" s="19" t="s">
        <v>38</v>
      </c>
      <c r="L601" s="19" t="s">
        <v>39</v>
      </c>
      <c r="M601" s="19" t="s">
        <v>40</v>
      </c>
      <c r="N601" s="19" t="s">
        <v>41</v>
      </c>
      <c r="R601" s="19" t="s">
        <v>58</v>
      </c>
      <c r="T601" s="21">
        <v>50000</v>
      </c>
      <c r="U601" s="19" t="s">
        <v>56</v>
      </c>
      <c r="V601" s="19">
        <v>12</v>
      </c>
      <c r="W601" s="19" t="s">
        <v>57</v>
      </c>
      <c r="X601" s="19" t="s">
        <v>1092</v>
      </c>
      <c r="Y601" s="19" t="s">
        <v>1090</v>
      </c>
      <c r="Z601" s="19" t="s">
        <v>44</v>
      </c>
    </row>
    <row r="602" spans="1:26" x14ac:dyDescent="0.3">
      <c r="A602" s="19" t="s">
        <v>147</v>
      </c>
      <c r="B602" s="20">
        <v>46203</v>
      </c>
      <c r="C602" s="19" t="s">
        <v>46</v>
      </c>
      <c r="D602" s="19" t="s">
        <v>36</v>
      </c>
      <c r="E602" s="19" t="s">
        <v>36</v>
      </c>
      <c r="F602" s="19" t="s">
        <v>36</v>
      </c>
      <c r="G602" s="19" t="s">
        <v>37</v>
      </c>
      <c r="K602" s="19" t="s">
        <v>38</v>
      </c>
      <c r="L602" s="19" t="s">
        <v>39</v>
      </c>
      <c r="M602" s="19" t="s">
        <v>40</v>
      </c>
      <c r="N602" s="19" t="s">
        <v>41</v>
      </c>
      <c r="R602" s="19" t="s">
        <v>47</v>
      </c>
      <c r="S602" s="21">
        <v>1714.8194100000001</v>
      </c>
      <c r="U602" s="19" t="s">
        <v>56</v>
      </c>
      <c r="V602" s="19">
        <v>8</v>
      </c>
      <c r="W602" s="19" t="s">
        <v>48</v>
      </c>
      <c r="X602" s="19" t="s">
        <v>1093</v>
      </c>
      <c r="Y602" s="19" t="s">
        <v>1094</v>
      </c>
      <c r="Z602" s="19" t="s">
        <v>44</v>
      </c>
    </row>
    <row r="603" spans="1:26" x14ac:dyDescent="0.3">
      <c r="A603" s="19" t="s">
        <v>147</v>
      </c>
      <c r="B603" s="20">
        <v>46203</v>
      </c>
      <c r="C603" s="19" t="s">
        <v>46</v>
      </c>
      <c r="D603" s="19" t="s">
        <v>36</v>
      </c>
      <c r="E603" s="19" t="s">
        <v>36</v>
      </c>
      <c r="F603" s="19" t="s">
        <v>36</v>
      </c>
      <c r="G603" s="19" t="s">
        <v>37</v>
      </c>
      <c r="K603" s="19" t="s">
        <v>38</v>
      </c>
      <c r="L603" s="19" t="s">
        <v>39</v>
      </c>
      <c r="M603" s="19" t="s">
        <v>38</v>
      </c>
      <c r="N603" s="19" t="s">
        <v>41</v>
      </c>
      <c r="R603" s="19" t="s">
        <v>49</v>
      </c>
      <c r="T603" s="21">
        <v>1714.8194100000001</v>
      </c>
      <c r="U603" s="19" t="s">
        <v>56</v>
      </c>
      <c r="V603" s="19">
        <v>8</v>
      </c>
      <c r="W603" s="19" t="s">
        <v>48</v>
      </c>
      <c r="X603" s="19" t="s">
        <v>1095</v>
      </c>
      <c r="Y603" s="19" t="s">
        <v>1094</v>
      </c>
      <c r="Z603" s="19" t="s">
        <v>44</v>
      </c>
    </row>
    <row r="604" spans="1:26" x14ac:dyDescent="0.3">
      <c r="A604" s="19" t="s">
        <v>147</v>
      </c>
      <c r="B604" s="20">
        <v>44562</v>
      </c>
      <c r="C604" s="19" t="s">
        <v>35</v>
      </c>
      <c r="D604" s="19" t="s">
        <v>36</v>
      </c>
      <c r="E604" s="19" t="s">
        <v>36</v>
      </c>
      <c r="F604" s="19" t="s">
        <v>36</v>
      </c>
      <c r="G604" s="19" t="s">
        <v>37</v>
      </c>
      <c r="K604" s="19" t="s">
        <v>38</v>
      </c>
      <c r="L604" s="19" t="s">
        <v>39</v>
      </c>
      <c r="M604" s="19" t="s">
        <v>40</v>
      </c>
      <c r="N604" s="19" t="s">
        <v>41</v>
      </c>
      <c r="R604" s="19" t="s">
        <v>50</v>
      </c>
      <c r="S604" s="21">
        <v>42330.49</v>
      </c>
      <c r="U604" s="19" t="s">
        <v>56</v>
      </c>
      <c r="V604" s="19">
        <v>10</v>
      </c>
      <c r="W604" s="19" t="s">
        <v>51</v>
      </c>
      <c r="X604" s="19" t="s">
        <v>1096</v>
      </c>
      <c r="Y604" s="19" t="s">
        <v>1097</v>
      </c>
      <c r="Z604" s="19" t="s">
        <v>44</v>
      </c>
    </row>
    <row r="605" spans="1:26" x14ac:dyDescent="0.3">
      <c r="A605" s="19" t="s">
        <v>147</v>
      </c>
      <c r="B605" s="20">
        <v>44562</v>
      </c>
      <c r="C605" s="19" t="s">
        <v>35</v>
      </c>
      <c r="D605" s="19" t="s">
        <v>36</v>
      </c>
      <c r="E605" s="19" t="s">
        <v>36</v>
      </c>
      <c r="F605" s="19" t="s">
        <v>36</v>
      </c>
      <c r="G605" s="19" t="s">
        <v>37</v>
      </c>
      <c r="K605" s="19" t="s">
        <v>38</v>
      </c>
      <c r="L605" s="19" t="s">
        <v>39</v>
      </c>
      <c r="M605" s="19" t="s">
        <v>40</v>
      </c>
      <c r="N605" s="19" t="s">
        <v>41</v>
      </c>
      <c r="R605" s="19" t="s">
        <v>52</v>
      </c>
      <c r="T605" s="21">
        <v>42330.49</v>
      </c>
      <c r="U605" s="19" t="s">
        <v>56</v>
      </c>
      <c r="V605" s="19">
        <v>10</v>
      </c>
      <c r="W605" s="19" t="s">
        <v>51</v>
      </c>
      <c r="X605" s="19" t="s">
        <v>1098</v>
      </c>
      <c r="Y605" s="19" t="s">
        <v>1097</v>
      </c>
      <c r="Z605" s="19" t="s">
        <v>44</v>
      </c>
    </row>
    <row r="606" spans="1:26" x14ac:dyDescent="0.3">
      <c r="A606" s="19" t="s">
        <v>147</v>
      </c>
      <c r="B606" s="20">
        <v>46203</v>
      </c>
      <c r="C606" s="19" t="s">
        <v>35</v>
      </c>
      <c r="D606" s="19" t="s">
        <v>36</v>
      </c>
      <c r="E606" s="19" t="s">
        <v>36</v>
      </c>
      <c r="F606" s="19" t="s">
        <v>36</v>
      </c>
      <c r="G606" s="19" t="s">
        <v>37</v>
      </c>
      <c r="K606" s="19" t="s">
        <v>38</v>
      </c>
      <c r="L606" s="19" t="s">
        <v>39</v>
      </c>
      <c r="M606" s="19" t="s">
        <v>40</v>
      </c>
      <c r="N606" s="19" t="s">
        <v>41</v>
      </c>
      <c r="R606" s="19" t="s">
        <v>45</v>
      </c>
      <c r="S606" s="21">
        <v>293969.03945500002</v>
      </c>
      <c r="U606" s="19" t="s">
        <v>56</v>
      </c>
      <c r="V606" s="19">
        <v>11</v>
      </c>
      <c r="W606" s="19" t="s">
        <v>53</v>
      </c>
      <c r="X606" s="19" t="s">
        <v>1099</v>
      </c>
      <c r="Y606" s="19" t="s">
        <v>1100</v>
      </c>
      <c r="Z606" s="19" t="s">
        <v>44</v>
      </c>
    </row>
    <row r="607" spans="1:26" x14ac:dyDescent="0.3">
      <c r="A607" s="19" t="s">
        <v>147</v>
      </c>
      <c r="B607" s="20">
        <v>46203</v>
      </c>
      <c r="C607" s="19" t="s">
        <v>35</v>
      </c>
      <c r="D607" s="19" t="s">
        <v>36</v>
      </c>
      <c r="E607" s="19" t="s">
        <v>36</v>
      </c>
      <c r="F607" s="19" t="s">
        <v>36</v>
      </c>
      <c r="G607" s="19" t="s">
        <v>37</v>
      </c>
      <c r="K607" s="19" t="s">
        <v>38</v>
      </c>
      <c r="L607" s="19" t="s">
        <v>39</v>
      </c>
      <c r="M607" s="19" t="s">
        <v>40</v>
      </c>
      <c r="N607" s="19" t="s">
        <v>41</v>
      </c>
      <c r="R607" s="19" t="s">
        <v>54</v>
      </c>
      <c r="T607" s="21">
        <v>293969.03945500002</v>
      </c>
      <c r="U607" s="19" t="s">
        <v>56</v>
      </c>
      <c r="V607" s="19">
        <v>11</v>
      </c>
      <c r="W607" s="19" t="s">
        <v>53</v>
      </c>
      <c r="X607" s="19" t="s">
        <v>1101</v>
      </c>
      <c r="Y607" s="19" t="s">
        <v>1100</v>
      </c>
      <c r="Z607" s="19" t="s">
        <v>44</v>
      </c>
    </row>
    <row r="608" spans="1:26" x14ac:dyDescent="0.3">
      <c r="A608" s="19" t="s">
        <v>148</v>
      </c>
      <c r="B608" s="20">
        <v>46204</v>
      </c>
      <c r="C608" s="19" t="s">
        <v>35</v>
      </c>
      <c r="D608" s="19" t="s">
        <v>36</v>
      </c>
      <c r="E608" s="19" t="s">
        <v>36</v>
      </c>
      <c r="F608" s="19" t="s">
        <v>36</v>
      </c>
      <c r="G608" s="19" t="s">
        <v>37</v>
      </c>
      <c r="K608" s="19" t="s">
        <v>38</v>
      </c>
      <c r="L608" s="19" t="s">
        <v>39</v>
      </c>
      <c r="M608" s="19" t="s">
        <v>40</v>
      </c>
      <c r="N608" s="19" t="s">
        <v>41</v>
      </c>
      <c r="R608" s="19" t="s">
        <v>54</v>
      </c>
      <c r="S608" s="21">
        <v>293969.03999999998</v>
      </c>
      <c r="U608" s="19" t="s">
        <v>56</v>
      </c>
      <c r="V608" s="19">
        <v>11</v>
      </c>
      <c r="W608" s="19" t="s">
        <v>55</v>
      </c>
      <c r="X608" s="19" t="s">
        <v>1102</v>
      </c>
      <c r="Y608" s="19" t="s">
        <v>1103</v>
      </c>
      <c r="Z608" s="19" t="s">
        <v>44</v>
      </c>
    </row>
    <row r="609" spans="1:26" x14ac:dyDescent="0.3">
      <c r="A609" s="19" t="s">
        <v>148</v>
      </c>
      <c r="B609" s="20">
        <v>46204</v>
      </c>
      <c r="C609" s="19" t="s">
        <v>35</v>
      </c>
      <c r="D609" s="19" t="s">
        <v>36</v>
      </c>
      <c r="E609" s="19" t="s">
        <v>36</v>
      </c>
      <c r="F609" s="19" t="s">
        <v>36</v>
      </c>
      <c r="G609" s="19" t="s">
        <v>37</v>
      </c>
      <c r="K609" s="19" t="s">
        <v>38</v>
      </c>
      <c r="L609" s="19" t="s">
        <v>39</v>
      </c>
      <c r="M609" s="19" t="s">
        <v>40</v>
      </c>
      <c r="N609" s="19" t="s">
        <v>41</v>
      </c>
      <c r="R609" s="19" t="s">
        <v>45</v>
      </c>
      <c r="T609" s="21">
        <v>293969.03999999998</v>
      </c>
      <c r="U609" s="19" t="s">
        <v>56</v>
      </c>
      <c r="V609" s="19">
        <v>11</v>
      </c>
      <c r="W609" s="19" t="s">
        <v>55</v>
      </c>
      <c r="X609" s="19" t="s">
        <v>1104</v>
      </c>
      <c r="Y609" s="19" t="s">
        <v>1103</v>
      </c>
      <c r="Z609" s="19" t="s">
        <v>44</v>
      </c>
    </row>
    <row r="610" spans="1:26" x14ac:dyDescent="0.3">
      <c r="A610" s="19" t="s">
        <v>148</v>
      </c>
      <c r="B610" s="20">
        <v>46234</v>
      </c>
      <c r="C610" s="19" t="s">
        <v>46</v>
      </c>
      <c r="D610" s="19" t="s">
        <v>36</v>
      </c>
      <c r="E610" s="19" t="s">
        <v>36</v>
      </c>
      <c r="F610" s="19" t="s">
        <v>36</v>
      </c>
      <c r="G610" s="19" t="s">
        <v>37</v>
      </c>
      <c r="K610" s="19" t="s">
        <v>38</v>
      </c>
      <c r="L610" s="19" t="s">
        <v>39</v>
      </c>
      <c r="M610" s="19" t="s">
        <v>38</v>
      </c>
      <c r="N610" s="19" t="s">
        <v>41</v>
      </c>
      <c r="R610" s="19" t="s">
        <v>49</v>
      </c>
      <c r="S610" s="21">
        <v>1714.8194100000001</v>
      </c>
      <c r="U610" s="19" t="s">
        <v>56</v>
      </c>
      <c r="V610" s="19">
        <v>12</v>
      </c>
      <c r="W610" s="19" t="s">
        <v>57</v>
      </c>
      <c r="X610" s="19" t="s">
        <v>1105</v>
      </c>
      <c r="Y610" s="19" t="s">
        <v>1106</v>
      </c>
      <c r="Z610" s="19" t="s">
        <v>44</v>
      </c>
    </row>
    <row r="611" spans="1:26" x14ac:dyDescent="0.3">
      <c r="A611" s="19" t="s">
        <v>148</v>
      </c>
      <c r="B611" s="20">
        <v>46234</v>
      </c>
      <c r="C611" s="19" t="s">
        <v>46</v>
      </c>
      <c r="D611" s="19" t="s">
        <v>36</v>
      </c>
      <c r="E611" s="19" t="s">
        <v>36</v>
      </c>
      <c r="F611" s="19" t="s">
        <v>36</v>
      </c>
      <c r="G611" s="19" t="s">
        <v>37</v>
      </c>
      <c r="K611" s="19" t="s">
        <v>38</v>
      </c>
      <c r="L611" s="19" t="s">
        <v>39</v>
      </c>
      <c r="M611" s="19" t="s">
        <v>40</v>
      </c>
      <c r="N611" s="19" t="s">
        <v>41</v>
      </c>
      <c r="R611" s="19" t="s">
        <v>45</v>
      </c>
      <c r="S611" s="21">
        <v>48285.180590000004</v>
      </c>
      <c r="U611" s="19" t="s">
        <v>56</v>
      </c>
      <c r="V611" s="19">
        <v>12</v>
      </c>
      <c r="W611" s="19" t="s">
        <v>57</v>
      </c>
      <c r="X611" s="19" t="s">
        <v>1107</v>
      </c>
      <c r="Y611" s="19" t="s">
        <v>1106</v>
      </c>
      <c r="Z611" s="19" t="s">
        <v>44</v>
      </c>
    </row>
    <row r="612" spans="1:26" x14ac:dyDescent="0.3">
      <c r="A612" s="19" t="s">
        <v>148</v>
      </c>
      <c r="B612" s="20">
        <v>46234</v>
      </c>
      <c r="C612" s="19" t="s">
        <v>46</v>
      </c>
      <c r="D612" s="19" t="s">
        <v>36</v>
      </c>
      <c r="E612" s="19" t="s">
        <v>36</v>
      </c>
      <c r="F612" s="19" t="s">
        <v>36</v>
      </c>
      <c r="G612" s="19" t="s">
        <v>37</v>
      </c>
      <c r="K612" s="19" t="s">
        <v>38</v>
      </c>
      <c r="L612" s="19" t="s">
        <v>39</v>
      </c>
      <c r="M612" s="19" t="s">
        <v>40</v>
      </c>
      <c r="N612" s="19" t="s">
        <v>41</v>
      </c>
      <c r="R612" s="19" t="s">
        <v>58</v>
      </c>
      <c r="T612" s="21">
        <v>50000</v>
      </c>
      <c r="U612" s="19" t="s">
        <v>56</v>
      </c>
      <c r="V612" s="19">
        <v>12</v>
      </c>
      <c r="W612" s="19" t="s">
        <v>57</v>
      </c>
      <c r="X612" s="19" t="s">
        <v>1108</v>
      </c>
      <c r="Y612" s="19" t="s">
        <v>1106</v>
      </c>
      <c r="Z612" s="19" t="s">
        <v>44</v>
      </c>
    </row>
    <row r="613" spans="1:26" x14ac:dyDescent="0.3">
      <c r="A613" s="19" t="s">
        <v>149</v>
      </c>
      <c r="B613" s="20">
        <v>46234</v>
      </c>
      <c r="C613" s="19" t="s">
        <v>46</v>
      </c>
      <c r="D613" s="19" t="s">
        <v>36</v>
      </c>
      <c r="E613" s="19" t="s">
        <v>36</v>
      </c>
      <c r="F613" s="19" t="s">
        <v>36</v>
      </c>
      <c r="G613" s="19" t="s">
        <v>37</v>
      </c>
      <c r="K613" s="19" t="s">
        <v>38</v>
      </c>
      <c r="L613" s="19" t="s">
        <v>39</v>
      </c>
      <c r="M613" s="19" t="s">
        <v>40</v>
      </c>
      <c r="N613" s="19" t="s">
        <v>41</v>
      </c>
      <c r="R613" s="19" t="s">
        <v>47</v>
      </c>
      <c r="S613" s="21">
        <v>1433.1558560000001</v>
      </c>
      <c r="U613" s="19" t="s">
        <v>56</v>
      </c>
      <c r="V613" s="19">
        <v>8</v>
      </c>
      <c r="W613" s="19" t="s">
        <v>48</v>
      </c>
      <c r="X613" s="19" t="s">
        <v>1109</v>
      </c>
      <c r="Y613" s="19" t="s">
        <v>1110</v>
      </c>
      <c r="Z613" s="19" t="s">
        <v>44</v>
      </c>
    </row>
    <row r="614" spans="1:26" x14ac:dyDescent="0.3">
      <c r="A614" s="19" t="s">
        <v>149</v>
      </c>
      <c r="B614" s="20">
        <v>46234</v>
      </c>
      <c r="C614" s="19" t="s">
        <v>46</v>
      </c>
      <c r="D614" s="19" t="s">
        <v>36</v>
      </c>
      <c r="E614" s="19" t="s">
        <v>36</v>
      </c>
      <c r="F614" s="19" t="s">
        <v>36</v>
      </c>
      <c r="G614" s="19" t="s">
        <v>37</v>
      </c>
      <c r="K614" s="19" t="s">
        <v>38</v>
      </c>
      <c r="L614" s="19" t="s">
        <v>39</v>
      </c>
      <c r="M614" s="19" t="s">
        <v>38</v>
      </c>
      <c r="N614" s="19" t="s">
        <v>41</v>
      </c>
      <c r="R614" s="19" t="s">
        <v>49</v>
      </c>
      <c r="T614" s="21">
        <v>1433.1558560000001</v>
      </c>
      <c r="U614" s="19" t="s">
        <v>56</v>
      </c>
      <c r="V614" s="19">
        <v>8</v>
      </c>
      <c r="W614" s="19" t="s">
        <v>48</v>
      </c>
      <c r="X614" s="19" t="s">
        <v>1111</v>
      </c>
      <c r="Y614" s="19" t="s">
        <v>1110</v>
      </c>
      <c r="Z614" s="19" t="s">
        <v>44</v>
      </c>
    </row>
    <row r="615" spans="1:26" x14ac:dyDescent="0.3">
      <c r="A615" s="19" t="s">
        <v>149</v>
      </c>
      <c r="B615" s="20">
        <v>44562</v>
      </c>
      <c r="C615" s="19" t="s">
        <v>35</v>
      </c>
      <c r="D615" s="19" t="s">
        <v>36</v>
      </c>
      <c r="E615" s="19" t="s">
        <v>36</v>
      </c>
      <c r="F615" s="19" t="s">
        <v>36</v>
      </c>
      <c r="G615" s="19" t="s">
        <v>37</v>
      </c>
      <c r="K615" s="19" t="s">
        <v>38</v>
      </c>
      <c r="L615" s="19" t="s">
        <v>39</v>
      </c>
      <c r="M615" s="19" t="s">
        <v>40</v>
      </c>
      <c r="N615" s="19" t="s">
        <v>41</v>
      </c>
      <c r="R615" s="19" t="s">
        <v>50</v>
      </c>
      <c r="S615" s="21">
        <v>42330.49</v>
      </c>
      <c r="U615" s="19" t="s">
        <v>56</v>
      </c>
      <c r="V615" s="19">
        <v>10</v>
      </c>
      <c r="W615" s="19" t="s">
        <v>51</v>
      </c>
      <c r="X615" s="19" t="s">
        <v>1112</v>
      </c>
      <c r="Y615" s="19" t="s">
        <v>1113</v>
      </c>
      <c r="Z615" s="19" t="s">
        <v>44</v>
      </c>
    </row>
    <row r="616" spans="1:26" x14ac:dyDescent="0.3">
      <c r="A616" s="19" t="s">
        <v>149</v>
      </c>
      <c r="B616" s="20">
        <v>44562</v>
      </c>
      <c r="C616" s="19" t="s">
        <v>35</v>
      </c>
      <c r="D616" s="19" t="s">
        <v>36</v>
      </c>
      <c r="E616" s="19" t="s">
        <v>36</v>
      </c>
      <c r="F616" s="19" t="s">
        <v>36</v>
      </c>
      <c r="G616" s="19" t="s">
        <v>37</v>
      </c>
      <c r="K616" s="19" t="s">
        <v>38</v>
      </c>
      <c r="L616" s="19" t="s">
        <v>39</v>
      </c>
      <c r="M616" s="19" t="s">
        <v>40</v>
      </c>
      <c r="N616" s="19" t="s">
        <v>41</v>
      </c>
      <c r="R616" s="19" t="s">
        <v>52</v>
      </c>
      <c r="T616" s="21">
        <v>42330.49</v>
      </c>
      <c r="U616" s="19" t="s">
        <v>56</v>
      </c>
      <c r="V616" s="19">
        <v>10</v>
      </c>
      <c r="W616" s="19" t="s">
        <v>51</v>
      </c>
      <c r="X616" s="19" t="s">
        <v>1114</v>
      </c>
      <c r="Y616" s="19" t="s">
        <v>1113</v>
      </c>
      <c r="Z616" s="19" t="s">
        <v>44</v>
      </c>
    </row>
    <row r="617" spans="1:26" x14ac:dyDescent="0.3">
      <c r="A617" s="19" t="s">
        <v>149</v>
      </c>
      <c r="B617" s="20">
        <v>46234</v>
      </c>
      <c r="C617" s="19" t="s">
        <v>35</v>
      </c>
      <c r="D617" s="19" t="s">
        <v>36</v>
      </c>
      <c r="E617" s="19" t="s">
        <v>36</v>
      </c>
      <c r="F617" s="19" t="s">
        <v>36</v>
      </c>
      <c r="G617" s="19" t="s">
        <v>37</v>
      </c>
      <c r="K617" s="19" t="s">
        <v>38</v>
      </c>
      <c r="L617" s="19" t="s">
        <v>39</v>
      </c>
      <c r="M617" s="19" t="s">
        <v>40</v>
      </c>
      <c r="N617" s="19" t="s">
        <v>41</v>
      </c>
      <c r="R617" s="19" t="s">
        <v>45</v>
      </c>
      <c r="S617" s="21">
        <v>245683.85941</v>
      </c>
      <c r="U617" s="19" t="s">
        <v>56</v>
      </c>
      <c r="V617" s="19">
        <v>11</v>
      </c>
      <c r="W617" s="19" t="s">
        <v>53</v>
      </c>
      <c r="X617" s="19" t="s">
        <v>1115</v>
      </c>
      <c r="Y617" s="19" t="s">
        <v>1116</v>
      </c>
      <c r="Z617" s="19" t="s">
        <v>44</v>
      </c>
    </row>
    <row r="618" spans="1:26" x14ac:dyDescent="0.3">
      <c r="A618" s="19" t="s">
        <v>149</v>
      </c>
      <c r="B618" s="20">
        <v>46234</v>
      </c>
      <c r="C618" s="19" t="s">
        <v>35</v>
      </c>
      <c r="D618" s="19" t="s">
        <v>36</v>
      </c>
      <c r="E618" s="19" t="s">
        <v>36</v>
      </c>
      <c r="F618" s="19" t="s">
        <v>36</v>
      </c>
      <c r="G618" s="19" t="s">
        <v>37</v>
      </c>
      <c r="K618" s="19" t="s">
        <v>38</v>
      </c>
      <c r="L618" s="19" t="s">
        <v>39</v>
      </c>
      <c r="M618" s="19" t="s">
        <v>40</v>
      </c>
      <c r="N618" s="19" t="s">
        <v>41</v>
      </c>
      <c r="R618" s="19" t="s">
        <v>54</v>
      </c>
      <c r="T618" s="21">
        <v>245683.85941</v>
      </c>
      <c r="U618" s="19" t="s">
        <v>56</v>
      </c>
      <c r="V618" s="19">
        <v>11</v>
      </c>
      <c r="W618" s="19" t="s">
        <v>53</v>
      </c>
      <c r="X618" s="19" t="s">
        <v>1117</v>
      </c>
      <c r="Y618" s="19" t="s">
        <v>1116</v>
      </c>
      <c r="Z618" s="19" t="s">
        <v>44</v>
      </c>
    </row>
    <row r="619" spans="1:26" x14ac:dyDescent="0.3">
      <c r="A619" s="19" t="s">
        <v>150</v>
      </c>
      <c r="B619" s="20">
        <v>46235</v>
      </c>
      <c r="C619" s="19" t="s">
        <v>35</v>
      </c>
      <c r="D619" s="19" t="s">
        <v>36</v>
      </c>
      <c r="E619" s="19" t="s">
        <v>36</v>
      </c>
      <c r="F619" s="19" t="s">
        <v>36</v>
      </c>
      <c r="G619" s="19" t="s">
        <v>37</v>
      </c>
      <c r="K619" s="19" t="s">
        <v>38</v>
      </c>
      <c r="L619" s="19" t="s">
        <v>39</v>
      </c>
      <c r="M619" s="19" t="s">
        <v>40</v>
      </c>
      <c r="N619" s="19" t="s">
        <v>41</v>
      </c>
      <c r="R619" s="19" t="s">
        <v>54</v>
      </c>
      <c r="S619" s="21">
        <v>245683.86</v>
      </c>
      <c r="U619" s="19" t="s">
        <v>56</v>
      </c>
      <c r="V619" s="19">
        <v>11</v>
      </c>
      <c r="W619" s="19" t="s">
        <v>55</v>
      </c>
      <c r="X619" s="19" t="s">
        <v>1118</v>
      </c>
      <c r="Y619" s="19" t="s">
        <v>1119</v>
      </c>
      <c r="Z619" s="19" t="s">
        <v>44</v>
      </c>
    </row>
    <row r="620" spans="1:26" x14ac:dyDescent="0.3">
      <c r="A620" s="19" t="s">
        <v>150</v>
      </c>
      <c r="B620" s="20">
        <v>46235</v>
      </c>
      <c r="C620" s="19" t="s">
        <v>35</v>
      </c>
      <c r="D620" s="19" t="s">
        <v>36</v>
      </c>
      <c r="E620" s="19" t="s">
        <v>36</v>
      </c>
      <c r="F620" s="19" t="s">
        <v>36</v>
      </c>
      <c r="G620" s="19" t="s">
        <v>37</v>
      </c>
      <c r="K620" s="19" t="s">
        <v>38</v>
      </c>
      <c r="L620" s="19" t="s">
        <v>39</v>
      </c>
      <c r="M620" s="19" t="s">
        <v>40</v>
      </c>
      <c r="N620" s="19" t="s">
        <v>41</v>
      </c>
      <c r="R620" s="19" t="s">
        <v>45</v>
      </c>
      <c r="T620" s="21">
        <v>245683.86</v>
      </c>
      <c r="U620" s="19" t="s">
        <v>56</v>
      </c>
      <c r="V620" s="19">
        <v>11</v>
      </c>
      <c r="W620" s="19" t="s">
        <v>55</v>
      </c>
      <c r="X620" s="19" t="s">
        <v>1120</v>
      </c>
      <c r="Y620" s="19" t="s">
        <v>1119</v>
      </c>
      <c r="Z620" s="19" t="s">
        <v>44</v>
      </c>
    </row>
    <row r="621" spans="1:26" x14ac:dyDescent="0.3">
      <c r="A621" s="19" t="s">
        <v>150</v>
      </c>
      <c r="B621" s="20">
        <v>46265</v>
      </c>
      <c r="C621" s="19" t="s">
        <v>46</v>
      </c>
      <c r="D621" s="19" t="s">
        <v>36</v>
      </c>
      <c r="E621" s="19" t="s">
        <v>36</v>
      </c>
      <c r="F621" s="19" t="s">
        <v>36</v>
      </c>
      <c r="G621" s="19" t="s">
        <v>37</v>
      </c>
      <c r="K621" s="19" t="s">
        <v>38</v>
      </c>
      <c r="L621" s="19" t="s">
        <v>39</v>
      </c>
      <c r="M621" s="19" t="s">
        <v>38</v>
      </c>
      <c r="N621" s="19" t="s">
        <v>41</v>
      </c>
      <c r="R621" s="19" t="s">
        <v>49</v>
      </c>
      <c r="S621" s="21">
        <v>1433.1558560000001</v>
      </c>
      <c r="U621" s="19" t="s">
        <v>56</v>
      </c>
      <c r="V621" s="19">
        <v>12</v>
      </c>
      <c r="W621" s="19" t="s">
        <v>57</v>
      </c>
      <c r="X621" s="19" t="s">
        <v>1121</v>
      </c>
      <c r="Y621" s="19" t="s">
        <v>1122</v>
      </c>
      <c r="Z621" s="19" t="s">
        <v>44</v>
      </c>
    </row>
    <row r="622" spans="1:26" x14ac:dyDescent="0.3">
      <c r="A622" s="19" t="s">
        <v>150</v>
      </c>
      <c r="B622" s="20">
        <v>46265</v>
      </c>
      <c r="C622" s="19" t="s">
        <v>46</v>
      </c>
      <c r="D622" s="19" t="s">
        <v>36</v>
      </c>
      <c r="E622" s="19" t="s">
        <v>36</v>
      </c>
      <c r="F622" s="19" t="s">
        <v>36</v>
      </c>
      <c r="G622" s="19" t="s">
        <v>37</v>
      </c>
      <c r="K622" s="19" t="s">
        <v>38</v>
      </c>
      <c r="L622" s="19" t="s">
        <v>39</v>
      </c>
      <c r="M622" s="19" t="s">
        <v>40</v>
      </c>
      <c r="N622" s="19" t="s">
        <v>41</v>
      </c>
      <c r="R622" s="19" t="s">
        <v>45</v>
      </c>
      <c r="S622" s="21">
        <v>48566.844144000002</v>
      </c>
      <c r="U622" s="19" t="s">
        <v>56</v>
      </c>
      <c r="V622" s="19">
        <v>12</v>
      </c>
      <c r="W622" s="19" t="s">
        <v>57</v>
      </c>
      <c r="X622" s="19" t="s">
        <v>1123</v>
      </c>
      <c r="Y622" s="19" t="s">
        <v>1122</v>
      </c>
      <c r="Z622" s="19" t="s">
        <v>44</v>
      </c>
    </row>
    <row r="623" spans="1:26" x14ac:dyDescent="0.3">
      <c r="A623" s="19" t="s">
        <v>150</v>
      </c>
      <c r="B623" s="20">
        <v>46265</v>
      </c>
      <c r="C623" s="19" t="s">
        <v>46</v>
      </c>
      <c r="D623" s="19" t="s">
        <v>36</v>
      </c>
      <c r="E623" s="19" t="s">
        <v>36</v>
      </c>
      <c r="F623" s="19" t="s">
        <v>36</v>
      </c>
      <c r="G623" s="19" t="s">
        <v>37</v>
      </c>
      <c r="K623" s="19" t="s">
        <v>38</v>
      </c>
      <c r="L623" s="19" t="s">
        <v>39</v>
      </c>
      <c r="M623" s="19" t="s">
        <v>40</v>
      </c>
      <c r="N623" s="19" t="s">
        <v>41</v>
      </c>
      <c r="R623" s="19" t="s">
        <v>58</v>
      </c>
      <c r="T623" s="21">
        <v>50000</v>
      </c>
      <c r="U623" s="19" t="s">
        <v>56</v>
      </c>
      <c r="V623" s="19">
        <v>12</v>
      </c>
      <c r="W623" s="19" t="s">
        <v>57</v>
      </c>
      <c r="X623" s="19" t="s">
        <v>1124</v>
      </c>
      <c r="Y623" s="19" t="s">
        <v>1122</v>
      </c>
      <c r="Z623" s="19" t="s">
        <v>44</v>
      </c>
    </row>
    <row r="624" spans="1:26" x14ac:dyDescent="0.3">
      <c r="A624" s="19" t="s">
        <v>151</v>
      </c>
      <c r="B624" s="20">
        <v>46265</v>
      </c>
      <c r="C624" s="19" t="s">
        <v>46</v>
      </c>
      <c r="D624" s="19" t="s">
        <v>36</v>
      </c>
      <c r="E624" s="19" t="s">
        <v>36</v>
      </c>
      <c r="F624" s="19" t="s">
        <v>36</v>
      </c>
      <c r="G624" s="19" t="s">
        <v>37</v>
      </c>
      <c r="K624" s="19" t="s">
        <v>38</v>
      </c>
      <c r="L624" s="19" t="s">
        <v>39</v>
      </c>
      <c r="M624" s="19" t="s">
        <v>40</v>
      </c>
      <c r="N624" s="19" t="s">
        <v>41</v>
      </c>
      <c r="R624" s="19" t="s">
        <v>47</v>
      </c>
      <c r="S624" s="21">
        <v>1149.8492659999999</v>
      </c>
      <c r="U624" s="19" t="s">
        <v>56</v>
      </c>
      <c r="V624" s="19">
        <v>8</v>
      </c>
      <c r="W624" s="19" t="s">
        <v>48</v>
      </c>
      <c r="X624" s="19" t="s">
        <v>1125</v>
      </c>
      <c r="Y624" s="19" t="s">
        <v>1126</v>
      </c>
      <c r="Z624" s="19" t="s">
        <v>44</v>
      </c>
    </row>
    <row r="625" spans="1:26" x14ac:dyDescent="0.3">
      <c r="A625" s="19" t="s">
        <v>151</v>
      </c>
      <c r="B625" s="20">
        <v>46265</v>
      </c>
      <c r="C625" s="19" t="s">
        <v>46</v>
      </c>
      <c r="D625" s="19" t="s">
        <v>36</v>
      </c>
      <c r="E625" s="19" t="s">
        <v>36</v>
      </c>
      <c r="F625" s="19" t="s">
        <v>36</v>
      </c>
      <c r="G625" s="19" t="s">
        <v>37</v>
      </c>
      <c r="K625" s="19" t="s">
        <v>38</v>
      </c>
      <c r="L625" s="19" t="s">
        <v>39</v>
      </c>
      <c r="M625" s="19" t="s">
        <v>38</v>
      </c>
      <c r="N625" s="19" t="s">
        <v>41</v>
      </c>
      <c r="R625" s="19" t="s">
        <v>49</v>
      </c>
      <c r="T625" s="21">
        <v>1149.8492659999999</v>
      </c>
      <c r="U625" s="19" t="s">
        <v>56</v>
      </c>
      <c r="V625" s="19">
        <v>8</v>
      </c>
      <c r="W625" s="19" t="s">
        <v>48</v>
      </c>
      <c r="X625" s="19" t="s">
        <v>1127</v>
      </c>
      <c r="Y625" s="19" t="s">
        <v>1126</v>
      </c>
      <c r="Z625" s="19" t="s">
        <v>44</v>
      </c>
    </row>
    <row r="626" spans="1:26" x14ac:dyDescent="0.3">
      <c r="A626" s="19" t="s">
        <v>151</v>
      </c>
      <c r="B626" s="20">
        <v>44562</v>
      </c>
      <c r="C626" s="19" t="s">
        <v>35</v>
      </c>
      <c r="D626" s="19" t="s">
        <v>36</v>
      </c>
      <c r="E626" s="19" t="s">
        <v>36</v>
      </c>
      <c r="F626" s="19" t="s">
        <v>36</v>
      </c>
      <c r="G626" s="19" t="s">
        <v>37</v>
      </c>
      <c r="K626" s="19" t="s">
        <v>38</v>
      </c>
      <c r="L626" s="19" t="s">
        <v>39</v>
      </c>
      <c r="M626" s="19" t="s">
        <v>40</v>
      </c>
      <c r="N626" s="19" t="s">
        <v>41</v>
      </c>
      <c r="R626" s="19" t="s">
        <v>50</v>
      </c>
      <c r="S626" s="21">
        <v>42330.49</v>
      </c>
      <c r="U626" s="19" t="s">
        <v>56</v>
      </c>
      <c r="V626" s="19">
        <v>10</v>
      </c>
      <c r="W626" s="19" t="s">
        <v>51</v>
      </c>
      <c r="X626" s="19" t="s">
        <v>1128</v>
      </c>
      <c r="Y626" s="19" t="s">
        <v>1129</v>
      </c>
      <c r="Z626" s="19" t="s">
        <v>44</v>
      </c>
    </row>
    <row r="627" spans="1:26" x14ac:dyDescent="0.3">
      <c r="A627" s="19" t="s">
        <v>151</v>
      </c>
      <c r="B627" s="20">
        <v>44562</v>
      </c>
      <c r="C627" s="19" t="s">
        <v>35</v>
      </c>
      <c r="D627" s="19" t="s">
        <v>36</v>
      </c>
      <c r="E627" s="19" t="s">
        <v>36</v>
      </c>
      <c r="F627" s="19" t="s">
        <v>36</v>
      </c>
      <c r="G627" s="19" t="s">
        <v>37</v>
      </c>
      <c r="K627" s="19" t="s">
        <v>38</v>
      </c>
      <c r="L627" s="19" t="s">
        <v>39</v>
      </c>
      <c r="M627" s="19" t="s">
        <v>40</v>
      </c>
      <c r="N627" s="19" t="s">
        <v>41</v>
      </c>
      <c r="R627" s="19" t="s">
        <v>52</v>
      </c>
      <c r="T627" s="21">
        <v>42330.49</v>
      </c>
      <c r="U627" s="19" t="s">
        <v>56</v>
      </c>
      <c r="V627" s="19">
        <v>10</v>
      </c>
      <c r="W627" s="19" t="s">
        <v>51</v>
      </c>
      <c r="X627" s="19" t="s">
        <v>1130</v>
      </c>
      <c r="Y627" s="19" t="s">
        <v>1129</v>
      </c>
      <c r="Z627" s="19" t="s">
        <v>44</v>
      </c>
    </row>
    <row r="628" spans="1:26" x14ac:dyDescent="0.3">
      <c r="A628" s="19" t="s">
        <v>151</v>
      </c>
      <c r="B628" s="20">
        <v>46265</v>
      </c>
      <c r="C628" s="19" t="s">
        <v>35</v>
      </c>
      <c r="D628" s="19" t="s">
        <v>36</v>
      </c>
      <c r="E628" s="19" t="s">
        <v>36</v>
      </c>
      <c r="F628" s="19" t="s">
        <v>36</v>
      </c>
      <c r="G628" s="19" t="s">
        <v>37</v>
      </c>
      <c r="K628" s="19" t="s">
        <v>38</v>
      </c>
      <c r="L628" s="19" t="s">
        <v>39</v>
      </c>
      <c r="M628" s="19" t="s">
        <v>40</v>
      </c>
      <c r="N628" s="19" t="s">
        <v>41</v>
      </c>
      <c r="R628" s="19" t="s">
        <v>45</v>
      </c>
      <c r="S628" s="21">
        <v>197117.01585600001</v>
      </c>
      <c r="U628" s="19" t="s">
        <v>56</v>
      </c>
      <c r="V628" s="19">
        <v>11</v>
      </c>
      <c r="W628" s="19" t="s">
        <v>53</v>
      </c>
      <c r="X628" s="19" t="s">
        <v>1131</v>
      </c>
      <c r="Y628" s="19" t="s">
        <v>1132</v>
      </c>
      <c r="Z628" s="19" t="s">
        <v>44</v>
      </c>
    </row>
    <row r="629" spans="1:26" x14ac:dyDescent="0.3">
      <c r="A629" s="19" t="s">
        <v>151</v>
      </c>
      <c r="B629" s="20">
        <v>46265</v>
      </c>
      <c r="C629" s="19" t="s">
        <v>35</v>
      </c>
      <c r="D629" s="19" t="s">
        <v>36</v>
      </c>
      <c r="E629" s="19" t="s">
        <v>36</v>
      </c>
      <c r="F629" s="19" t="s">
        <v>36</v>
      </c>
      <c r="G629" s="19" t="s">
        <v>37</v>
      </c>
      <c r="K629" s="19" t="s">
        <v>38</v>
      </c>
      <c r="L629" s="19" t="s">
        <v>39</v>
      </c>
      <c r="M629" s="19" t="s">
        <v>40</v>
      </c>
      <c r="N629" s="19" t="s">
        <v>41</v>
      </c>
      <c r="R629" s="19" t="s">
        <v>54</v>
      </c>
      <c r="T629" s="21">
        <v>197117.01585600001</v>
      </c>
      <c r="U629" s="19" t="s">
        <v>56</v>
      </c>
      <c r="V629" s="19">
        <v>11</v>
      </c>
      <c r="W629" s="19" t="s">
        <v>53</v>
      </c>
      <c r="X629" s="19" t="s">
        <v>1133</v>
      </c>
      <c r="Y629" s="19" t="s">
        <v>1132</v>
      </c>
      <c r="Z629" s="19" t="s">
        <v>44</v>
      </c>
    </row>
    <row r="630" spans="1:26" x14ac:dyDescent="0.3">
      <c r="A630" s="19" t="s">
        <v>152</v>
      </c>
      <c r="B630" s="20">
        <v>46266</v>
      </c>
      <c r="C630" s="19" t="s">
        <v>35</v>
      </c>
      <c r="D630" s="19" t="s">
        <v>36</v>
      </c>
      <c r="E630" s="19" t="s">
        <v>36</v>
      </c>
      <c r="F630" s="19" t="s">
        <v>36</v>
      </c>
      <c r="G630" s="19" t="s">
        <v>37</v>
      </c>
      <c r="K630" s="19" t="s">
        <v>38</v>
      </c>
      <c r="L630" s="19" t="s">
        <v>39</v>
      </c>
      <c r="M630" s="19" t="s">
        <v>40</v>
      </c>
      <c r="N630" s="19" t="s">
        <v>41</v>
      </c>
      <c r="R630" s="19" t="s">
        <v>54</v>
      </c>
      <c r="S630" s="21">
        <v>197117.02</v>
      </c>
      <c r="U630" s="19" t="s">
        <v>56</v>
      </c>
      <c r="V630" s="19">
        <v>11</v>
      </c>
      <c r="W630" s="19" t="s">
        <v>55</v>
      </c>
      <c r="X630" s="19" t="s">
        <v>1134</v>
      </c>
      <c r="Y630" s="19" t="s">
        <v>1135</v>
      </c>
      <c r="Z630" s="19" t="s">
        <v>44</v>
      </c>
    </row>
    <row r="631" spans="1:26" x14ac:dyDescent="0.3">
      <c r="A631" s="19" t="s">
        <v>152</v>
      </c>
      <c r="B631" s="20">
        <v>46266</v>
      </c>
      <c r="C631" s="19" t="s">
        <v>35</v>
      </c>
      <c r="D631" s="19" t="s">
        <v>36</v>
      </c>
      <c r="E631" s="19" t="s">
        <v>36</v>
      </c>
      <c r="F631" s="19" t="s">
        <v>36</v>
      </c>
      <c r="G631" s="19" t="s">
        <v>37</v>
      </c>
      <c r="K631" s="19" t="s">
        <v>38</v>
      </c>
      <c r="L631" s="19" t="s">
        <v>39</v>
      </c>
      <c r="M631" s="19" t="s">
        <v>40</v>
      </c>
      <c r="N631" s="19" t="s">
        <v>41</v>
      </c>
      <c r="R631" s="19" t="s">
        <v>45</v>
      </c>
      <c r="T631" s="21">
        <v>197117.02</v>
      </c>
      <c r="U631" s="19" t="s">
        <v>56</v>
      </c>
      <c r="V631" s="19">
        <v>11</v>
      </c>
      <c r="W631" s="19" t="s">
        <v>55</v>
      </c>
      <c r="X631" s="19" t="s">
        <v>1136</v>
      </c>
      <c r="Y631" s="19" t="s">
        <v>1135</v>
      </c>
      <c r="Z631" s="19" t="s">
        <v>44</v>
      </c>
    </row>
    <row r="632" spans="1:26" x14ac:dyDescent="0.3">
      <c r="A632" s="19" t="s">
        <v>152</v>
      </c>
      <c r="B632" s="20">
        <v>46295</v>
      </c>
      <c r="C632" s="19" t="s">
        <v>46</v>
      </c>
      <c r="D632" s="19" t="s">
        <v>36</v>
      </c>
      <c r="E632" s="19" t="s">
        <v>36</v>
      </c>
      <c r="F632" s="19" t="s">
        <v>36</v>
      </c>
      <c r="G632" s="19" t="s">
        <v>37</v>
      </c>
      <c r="K632" s="19" t="s">
        <v>38</v>
      </c>
      <c r="L632" s="19" t="s">
        <v>39</v>
      </c>
      <c r="M632" s="19" t="s">
        <v>38</v>
      </c>
      <c r="N632" s="19" t="s">
        <v>41</v>
      </c>
      <c r="R632" s="19" t="s">
        <v>49</v>
      </c>
      <c r="S632" s="21">
        <v>1149.8492659999999</v>
      </c>
      <c r="U632" s="19" t="s">
        <v>56</v>
      </c>
      <c r="V632" s="19">
        <v>12</v>
      </c>
      <c r="W632" s="19" t="s">
        <v>57</v>
      </c>
      <c r="X632" s="19" t="s">
        <v>1137</v>
      </c>
      <c r="Y632" s="19" t="s">
        <v>1138</v>
      </c>
      <c r="Z632" s="19" t="s">
        <v>44</v>
      </c>
    </row>
    <row r="633" spans="1:26" x14ac:dyDescent="0.3">
      <c r="A633" s="19" t="s">
        <v>152</v>
      </c>
      <c r="B633" s="20">
        <v>46295</v>
      </c>
      <c r="C633" s="19" t="s">
        <v>46</v>
      </c>
      <c r="D633" s="19" t="s">
        <v>36</v>
      </c>
      <c r="E633" s="19" t="s">
        <v>36</v>
      </c>
      <c r="F633" s="19" t="s">
        <v>36</v>
      </c>
      <c r="G633" s="19" t="s">
        <v>37</v>
      </c>
      <c r="K633" s="19" t="s">
        <v>38</v>
      </c>
      <c r="L633" s="19" t="s">
        <v>39</v>
      </c>
      <c r="M633" s="19" t="s">
        <v>40</v>
      </c>
      <c r="N633" s="19" t="s">
        <v>41</v>
      </c>
      <c r="R633" s="19" t="s">
        <v>45</v>
      </c>
      <c r="S633" s="21">
        <v>48850.150734000003</v>
      </c>
      <c r="U633" s="19" t="s">
        <v>56</v>
      </c>
      <c r="V633" s="19">
        <v>12</v>
      </c>
      <c r="W633" s="19" t="s">
        <v>57</v>
      </c>
      <c r="X633" s="19" t="s">
        <v>1139</v>
      </c>
      <c r="Y633" s="19" t="s">
        <v>1138</v>
      </c>
      <c r="Z633" s="19" t="s">
        <v>44</v>
      </c>
    </row>
    <row r="634" spans="1:26" x14ac:dyDescent="0.3">
      <c r="A634" s="19" t="s">
        <v>152</v>
      </c>
      <c r="B634" s="20">
        <v>46295</v>
      </c>
      <c r="C634" s="19" t="s">
        <v>46</v>
      </c>
      <c r="D634" s="19" t="s">
        <v>36</v>
      </c>
      <c r="E634" s="19" t="s">
        <v>36</v>
      </c>
      <c r="F634" s="19" t="s">
        <v>36</v>
      </c>
      <c r="G634" s="19" t="s">
        <v>37</v>
      </c>
      <c r="K634" s="19" t="s">
        <v>38</v>
      </c>
      <c r="L634" s="19" t="s">
        <v>39</v>
      </c>
      <c r="M634" s="19" t="s">
        <v>40</v>
      </c>
      <c r="N634" s="19" t="s">
        <v>41</v>
      </c>
      <c r="R634" s="19" t="s">
        <v>58</v>
      </c>
      <c r="T634" s="21">
        <v>50000</v>
      </c>
      <c r="U634" s="19" t="s">
        <v>56</v>
      </c>
      <c r="V634" s="19">
        <v>12</v>
      </c>
      <c r="W634" s="19" t="s">
        <v>57</v>
      </c>
      <c r="X634" s="19" t="s">
        <v>1140</v>
      </c>
      <c r="Y634" s="19" t="s">
        <v>1138</v>
      </c>
      <c r="Z634" s="19" t="s">
        <v>44</v>
      </c>
    </row>
    <row r="635" spans="1:26" x14ac:dyDescent="0.3">
      <c r="A635" s="19" t="s">
        <v>153</v>
      </c>
      <c r="B635" s="20">
        <v>46295</v>
      </c>
      <c r="C635" s="19" t="s">
        <v>46</v>
      </c>
      <c r="D635" s="19" t="s">
        <v>36</v>
      </c>
      <c r="E635" s="19" t="s">
        <v>36</v>
      </c>
      <c r="F635" s="19" t="s">
        <v>36</v>
      </c>
      <c r="G635" s="19" t="s">
        <v>37</v>
      </c>
      <c r="K635" s="19" t="s">
        <v>38</v>
      </c>
      <c r="L635" s="19" t="s">
        <v>39</v>
      </c>
      <c r="M635" s="19" t="s">
        <v>40</v>
      </c>
      <c r="N635" s="19" t="s">
        <v>41</v>
      </c>
      <c r="R635" s="19" t="s">
        <v>47</v>
      </c>
      <c r="S635" s="21">
        <v>864.89005299999997</v>
      </c>
      <c r="U635" s="19" t="s">
        <v>56</v>
      </c>
      <c r="V635" s="19">
        <v>8</v>
      </c>
      <c r="W635" s="19" t="s">
        <v>48</v>
      </c>
      <c r="X635" s="19" t="s">
        <v>1141</v>
      </c>
      <c r="Y635" s="19" t="s">
        <v>1142</v>
      </c>
      <c r="Z635" s="19" t="s">
        <v>44</v>
      </c>
    </row>
    <row r="636" spans="1:26" x14ac:dyDescent="0.3">
      <c r="A636" s="19" t="s">
        <v>153</v>
      </c>
      <c r="B636" s="20">
        <v>46295</v>
      </c>
      <c r="C636" s="19" t="s">
        <v>46</v>
      </c>
      <c r="D636" s="19" t="s">
        <v>36</v>
      </c>
      <c r="E636" s="19" t="s">
        <v>36</v>
      </c>
      <c r="F636" s="19" t="s">
        <v>36</v>
      </c>
      <c r="G636" s="19" t="s">
        <v>37</v>
      </c>
      <c r="K636" s="19" t="s">
        <v>38</v>
      </c>
      <c r="L636" s="19" t="s">
        <v>39</v>
      </c>
      <c r="M636" s="19" t="s">
        <v>38</v>
      </c>
      <c r="N636" s="19" t="s">
        <v>41</v>
      </c>
      <c r="R636" s="19" t="s">
        <v>49</v>
      </c>
      <c r="T636" s="21">
        <v>864.89005299999997</v>
      </c>
      <c r="U636" s="19" t="s">
        <v>56</v>
      </c>
      <c r="V636" s="19">
        <v>8</v>
      </c>
      <c r="W636" s="19" t="s">
        <v>48</v>
      </c>
      <c r="X636" s="19" t="s">
        <v>1143</v>
      </c>
      <c r="Y636" s="19" t="s">
        <v>1142</v>
      </c>
      <c r="Z636" s="19" t="s">
        <v>44</v>
      </c>
    </row>
    <row r="637" spans="1:26" x14ac:dyDescent="0.3">
      <c r="A637" s="19" t="s">
        <v>153</v>
      </c>
      <c r="B637" s="20">
        <v>44562</v>
      </c>
      <c r="C637" s="19" t="s">
        <v>35</v>
      </c>
      <c r="D637" s="19" t="s">
        <v>36</v>
      </c>
      <c r="E637" s="19" t="s">
        <v>36</v>
      </c>
      <c r="F637" s="19" t="s">
        <v>36</v>
      </c>
      <c r="G637" s="19" t="s">
        <v>37</v>
      </c>
      <c r="K637" s="19" t="s">
        <v>38</v>
      </c>
      <c r="L637" s="19" t="s">
        <v>39</v>
      </c>
      <c r="M637" s="19" t="s">
        <v>40</v>
      </c>
      <c r="N637" s="19" t="s">
        <v>41</v>
      </c>
      <c r="R637" s="19" t="s">
        <v>50</v>
      </c>
      <c r="S637" s="21">
        <v>42330.49</v>
      </c>
      <c r="U637" s="19" t="s">
        <v>56</v>
      </c>
      <c r="V637" s="19">
        <v>10</v>
      </c>
      <c r="W637" s="19" t="s">
        <v>51</v>
      </c>
      <c r="X637" s="19" t="s">
        <v>1144</v>
      </c>
      <c r="Y637" s="19" t="s">
        <v>1145</v>
      </c>
      <c r="Z637" s="19" t="s">
        <v>44</v>
      </c>
    </row>
    <row r="638" spans="1:26" x14ac:dyDescent="0.3">
      <c r="A638" s="19" t="s">
        <v>153</v>
      </c>
      <c r="B638" s="20">
        <v>44562</v>
      </c>
      <c r="C638" s="19" t="s">
        <v>35</v>
      </c>
      <c r="D638" s="19" t="s">
        <v>36</v>
      </c>
      <c r="E638" s="19" t="s">
        <v>36</v>
      </c>
      <c r="F638" s="19" t="s">
        <v>36</v>
      </c>
      <c r="G638" s="19" t="s">
        <v>37</v>
      </c>
      <c r="K638" s="19" t="s">
        <v>38</v>
      </c>
      <c r="L638" s="19" t="s">
        <v>39</v>
      </c>
      <c r="M638" s="19" t="s">
        <v>40</v>
      </c>
      <c r="N638" s="19" t="s">
        <v>41</v>
      </c>
      <c r="R638" s="19" t="s">
        <v>52</v>
      </c>
      <c r="T638" s="21">
        <v>42330.49</v>
      </c>
      <c r="U638" s="19" t="s">
        <v>56</v>
      </c>
      <c r="V638" s="19">
        <v>10</v>
      </c>
      <c r="W638" s="19" t="s">
        <v>51</v>
      </c>
      <c r="X638" s="19" t="s">
        <v>1146</v>
      </c>
      <c r="Y638" s="19" t="s">
        <v>1145</v>
      </c>
      <c r="Z638" s="19" t="s">
        <v>44</v>
      </c>
    </row>
    <row r="639" spans="1:26" x14ac:dyDescent="0.3">
      <c r="A639" s="19" t="s">
        <v>153</v>
      </c>
      <c r="B639" s="20">
        <v>46295</v>
      </c>
      <c r="C639" s="19" t="s">
        <v>35</v>
      </c>
      <c r="D639" s="19" t="s">
        <v>36</v>
      </c>
      <c r="E639" s="19" t="s">
        <v>36</v>
      </c>
      <c r="F639" s="19" t="s">
        <v>36</v>
      </c>
      <c r="G639" s="19" t="s">
        <v>37</v>
      </c>
      <c r="K639" s="19" t="s">
        <v>38</v>
      </c>
      <c r="L639" s="19" t="s">
        <v>39</v>
      </c>
      <c r="M639" s="19" t="s">
        <v>40</v>
      </c>
      <c r="N639" s="19" t="s">
        <v>41</v>
      </c>
      <c r="R639" s="19" t="s">
        <v>45</v>
      </c>
      <c r="S639" s="21">
        <v>148266.86926599999</v>
      </c>
      <c r="U639" s="19" t="s">
        <v>56</v>
      </c>
      <c r="V639" s="19">
        <v>11</v>
      </c>
      <c r="W639" s="19" t="s">
        <v>53</v>
      </c>
      <c r="X639" s="19" t="s">
        <v>1147</v>
      </c>
      <c r="Y639" s="19" t="s">
        <v>1148</v>
      </c>
      <c r="Z639" s="19" t="s">
        <v>44</v>
      </c>
    </row>
    <row r="640" spans="1:26" x14ac:dyDescent="0.3">
      <c r="A640" s="19" t="s">
        <v>153</v>
      </c>
      <c r="B640" s="20">
        <v>46295</v>
      </c>
      <c r="C640" s="19" t="s">
        <v>35</v>
      </c>
      <c r="D640" s="19" t="s">
        <v>36</v>
      </c>
      <c r="E640" s="19" t="s">
        <v>36</v>
      </c>
      <c r="F640" s="19" t="s">
        <v>36</v>
      </c>
      <c r="G640" s="19" t="s">
        <v>37</v>
      </c>
      <c r="K640" s="19" t="s">
        <v>38</v>
      </c>
      <c r="L640" s="19" t="s">
        <v>39</v>
      </c>
      <c r="M640" s="19" t="s">
        <v>40</v>
      </c>
      <c r="N640" s="19" t="s">
        <v>41</v>
      </c>
      <c r="R640" s="19" t="s">
        <v>54</v>
      </c>
      <c r="T640" s="21">
        <v>148266.86926599999</v>
      </c>
      <c r="U640" s="19" t="s">
        <v>56</v>
      </c>
      <c r="V640" s="19">
        <v>11</v>
      </c>
      <c r="W640" s="19" t="s">
        <v>53</v>
      </c>
      <c r="X640" s="19" t="s">
        <v>1149</v>
      </c>
      <c r="Y640" s="19" t="s">
        <v>1148</v>
      </c>
      <c r="Z640" s="19" t="s">
        <v>44</v>
      </c>
    </row>
    <row r="641" spans="1:26" x14ac:dyDescent="0.3">
      <c r="A641" s="19" t="s">
        <v>154</v>
      </c>
      <c r="B641" s="20">
        <v>46296</v>
      </c>
      <c r="C641" s="19" t="s">
        <v>35</v>
      </c>
      <c r="D641" s="19" t="s">
        <v>36</v>
      </c>
      <c r="E641" s="19" t="s">
        <v>36</v>
      </c>
      <c r="F641" s="19" t="s">
        <v>36</v>
      </c>
      <c r="G641" s="19" t="s">
        <v>37</v>
      </c>
      <c r="K641" s="19" t="s">
        <v>38</v>
      </c>
      <c r="L641" s="19" t="s">
        <v>39</v>
      </c>
      <c r="M641" s="19" t="s">
        <v>40</v>
      </c>
      <c r="N641" s="19" t="s">
        <v>41</v>
      </c>
      <c r="R641" s="19" t="s">
        <v>54</v>
      </c>
      <c r="S641" s="21">
        <v>148266.85999999999</v>
      </c>
      <c r="U641" s="19" t="s">
        <v>56</v>
      </c>
      <c r="V641" s="19">
        <v>11</v>
      </c>
      <c r="W641" s="19" t="s">
        <v>55</v>
      </c>
      <c r="X641" s="19" t="s">
        <v>1150</v>
      </c>
      <c r="Y641" s="19" t="s">
        <v>1151</v>
      </c>
      <c r="Z641" s="19" t="s">
        <v>44</v>
      </c>
    </row>
    <row r="642" spans="1:26" x14ac:dyDescent="0.3">
      <c r="A642" s="19" t="s">
        <v>154</v>
      </c>
      <c r="B642" s="20">
        <v>46296</v>
      </c>
      <c r="C642" s="19" t="s">
        <v>35</v>
      </c>
      <c r="D642" s="19" t="s">
        <v>36</v>
      </c>
      <c r="E642" s="19" t="s">
        <v>36</v>
      </c>
      <c r="F642" s="19" t="s">
        <v>36</v>
      </c>
      <c r="G642" s="19" t="s">
        <v>37</v>
      </c>
      <c r="K642" s="19" t="s">
        <v>38</v>
      </c>
      <c r="L642" s="19" t="s">
        <v>39</v>
      </c>
      <c r="M642" s="19" t="s">
        <v>40</v>
      </c>
      <c r="N642" s="19" t="s">
        <v>41</v>
      </c>
      <c r="R642" s="19" t="s">
        <v>45</v>
      </c>
      <c r="T642" s="21">
        <v>148266.85999999999</v>
      </c>
      <c r="U642" s="19" t="s">
        <v>56</v>
      </c>
      <c r="V642" s="19">
        <v>11</v>
      </c>
      <c r="W642" s="19" t="s">
        <v>55</v>
      </c>
      <c r="X642" s="19" t="s">
        <v>1152</v>
      </c>
      <c r="Y642" s="19" t="s">
        <v>1151</v>
      </c>
      <c r="Z642" s="19" t="s">
        <v>44</v>
      </c>
    </row>
    <row r="643" spans="1:26" x14ac:dyDescent="0.3">
      <c r="A643" s="19" t="s">
        <v>154</v>
      </c>
      <c r="B643" s="20">
        <v>46326</v>
      </c>
      <c r="C643" s="19" t="s">
        <v>46</v>
      </c>
      <c r="D643" s="19" t="s">
        <v>36</v>
      </c>
      <c r="E643" s="19" t="s">
        <v>36</v>
      </c>
      <c r="F643" s="19" t="s">
        <v>36</v>
      </c>
      <c r="G643" s="19" t="s">
        <v>37</v>
      </c>
      <c r="K643" s="19" t="s">
        <v>38</v>
      </c>
      <c r="L643" s="19" t="s">
        <v>39</v>
      </c>
      <c r="M643" s="19" t="s">
        <v>38</v>
      </c>
      <c r="N643" s="19" t="s">
        <v>41</v>
      </c>
      <c r="R643" s="19" t="s">
        <v>49</v>
      </c>
      <c r="S643" s="21">
        <v>864.89005299999997</v>
      </c>
      <c r="U643" s="19" t="s">
        <v>56</v>
      </c>
      <c r="V643" s="19">
        <v>12</v>
      </c>
      <c r="W643" s="19" t="s">
        <v>57</v>
      </c>
      <c r="X643" s="19" t="s">
        <v>1153</v>
      </c>
      <c r="Y643" s="19" t="s">
        <v>1154</v>
      </c>
      <c r="Z643" s="19" t="s">
        <v>44</v>
      </c>
    </row>
    <row r="644" spans="1:26" x14ac:dyDescent="0.3">
      <c r="A644" s="19" t="s">
        <v>154</v>
      </c>
      <c r="B644" s="20">
        <v>46326</v>
      </c>
      <c r="C644" s="19" t="s">
        <v>46</v>
      </c>
      <c r="D644" s="19" t="s">
        <v>36</v>
      </c>
      <c r="E644" s="19" t="s">
        <v>36</v>
      </c>
      <c r="F644" s="19" t="s">
        <v>36</v>
      </c>
      <c r="G644" s="19" t="s">
        <v>37</v>
      </c>
      <c r="K644" s="19" t="s">
        <v>38</v>
      </c>
      <c r="L644" s="19" t="s">
        <v>39</v>
      </c>
      <c r="M644" s="19" t="s">
        <v>40</v>
      </c>
      <c r="N644" s="19" t="s">
        <v>41</v>
      </c>
      <c r="R644" s="19" t="s">
        <v>45</v>
      </c>
      <c r="S644" s="21">
        <v>49135.109946999997</v>
      </c>
      <c r="U644" s="19" t="s">
        <v>56</v>
      </c>
      <c r="V644" s="19">
        <v>12</v>
      </c>
      <c r="W644" s="19" t="s">
        <v>57</v>
      </c>
      <c r="X644" s="19" t="s">
        <v>1155</v>
      </c>
      <c r="Y644" s="19" t="s">
        <v>1154</v>
      </c>
      <c r="Z644" s="19" t="s">
        <v>44</v>
      </c>
    </row>
    <row r="645" spans="1:26" x14ac:dyDescent="0.3">
      <c r="A645" s="19" t="s">
        <v>154</v>
      </c>
      <c r="B645" s="20">
        <v>46326</v>
      </c>
      <c r="C645" s="19" t="s">
        <v>46</v>
      </c>
      <c r="D645" s="19" t="s">
        <v>36</v>
      </c>
      <c r="E645" s="19" t="s">
        <v>36</v>
      </c>
      <c r="F645" s="19" t="s">
        <v>36</v>
      </c>
      <c r="G645" s="19" t="s">
        <v>37</v>
      </c>
      <c r="K645" s="19" t="s">
        <v>38</v>
      </c>
      <c r="L645" s="19" t="s">
        <v>39</v>
      </c>
      <c r="M645" s="19" t="s">
        <v>40</v>
      </c>
      <c r="N645" s="19" t="s">
        <v>41</v>
      </c>
      <c r="R645" s="19" t="s">
        <v>58</v>
      </c>
      <c r="T645" s="21">
        <v>50000</v>
      </c>
      <c r="U645" s="19" t="s">
        <v>56</v>
      </c>
      <c r="V645" s="19">
        <v>12</v>
      </c>
      <c r="W645" s="19" t="s">
        <v>57</v>
      </c>
      <c r="X645" s="19" t="s">
        <v>1156</v>
      </c>
      <c r="Y645" s="19" t="s">
        <v>1154</v>
      </c>
      <c r="Z645" s="19" t="s">
        <v>44</v>
      </c>
    </row>
    <row r="646" spans="1:26" x14ac:dyDescent="0.3">
      <c r="A646" s="19" t="s">
        <v>155</v>
      </c>
      <c r="B646" s="20">
        <v>46326</v>
      </c>
      <c r="C646" s="19" t="s">
        <v>46</v>
      </c>
      <c r="D646" s="19" t="s">
        <v>36</v>
      </c>
      <c r="E646" s="19" t="s">
        <v>36</v>
      </c>
      <c r="F646" s="19" t="s">
        <v>36</v>
      </c>
      <c r="G646" s="19" t="s">
        <v>37</v>
      </c>
      <c r="K646" s="19" t="s">
        <v>38</v>
      </c>
      <c r="L646" s="19" t="s">
        <v>39</v>
      </c>
      <c r="M646" s="19" t="s">
        <v>40</v>
      </c>
      <c r="N646" s="19" t="s">
        <v>41</v>
      </c>
      <c r="R646" s="19" t="s">
        <v>47</v>
      </c>
      <c r="S646" s="21">
        <v>578.26857800000005</v>
      </c>
      <c r="U646" s="19" t="s">
        <v>56</v>
      </c>
      <c r="V646" s="19">
        <v>8</v>
      </c>
      <c r="W646" s="19" t="s">
        <v>48</v>
      </c>
      <c r="X646" s="19" t="s">
        <v>1157</v>
      </c>
      <c r="Y646" s="19" t="s">
        <v>1158</v>
      </c>
      <c r="Z646" s="19" t="s">
        <v>44</v>
      </c>
    </row>
    <row r="647" spans="1:26" x14ac:dyDescent="0.3">
      <c r="A647" s="19" t="s">
        <v>155</v>
      </c>
      <c r="B647" s="20">
        <v>46326</v>
      </c>
      <c r="C647" s="19" t="s">
        <v>46</v>
      </c>
      <c r="D647" s="19" t="s">
        <v>36</v>
      </c>
      <c r="E647" s="19" t="s">
        <v>36</v>
      </c>
      <c r="F647" s="19" t="s">
        <v>36</v>
      </c>
      <c r="G647" s="19" t="s">
        <v>37</v>
      </c>
      <c r="K647" s="19" t="s">
        <v>38</v>
      </c>
      <c r="L647" s="19" t="s">
        <v>39</v>
      </c>
      <c r="M647" s="19" t="s">
        <v>38</v>
      </c>
      <c r="N647" s="19" t="s">
        <v>41</v>
      </c>
      <c r="R647" s="19" t="s">
        <v>49</v>
      </c>
      <c r="T647" s="21">
        <v>578.26857800000005</v>
      </c>
      <c r="U647" s="19" t="s">
        <v>56</v>
      </c>
      <c r="V647" s="19">
        <v>8</v>
      </c>
      <c r="W647" s="19" t="s">
        <v>48</v>
      </c>
      <c r="X647" s="19" t="s">
        <v>1159</v>
      </c>
      <c r="Y647" s="19" t="s">
        <v>1158</v>
      </c>
      <c r="Z647" s="19" t="s">
        <v>44</v>
      </c>
    </row>
    <row r="648" spans="1:26" x14ac:dyDescent="0.3">
      <c r="A648" s="19" t="s">
        <v>155</v>
      </c>
      <c r="B648" s="20">
        <v>44562</v>
      </c>
      <c r="C648" s="19" t="s">
        <v>35</v>
      </c>
      <c r="D648" s="19" t="s">
        <v>36</v>
      </c>
      <c r="E648" s="19" t="s">
        <v>36</v>
      </c>
      <c r="F648" s="19" t="s">
        <v>36</v>
      </c>
      <c r="G648" s="19" t="s">
        <v>37</v>
      </c>
      <c r="K648" s="19" t="s">
        <v>38</v>
      </c>
      <c r="L648" s="19" t="s">
        <v>39</v>
      </c>
      <c r="M648" s="19" t="s">
        <v>40</v>
      </c>
      <c r="N648" s="19" t="s">
        <v>41</v>
      </c>
      <c r="R648" s="19" t="s">
        <v>50</v>
      </c>
      <c r="S648" s="21">
        <v>42330.49</v>
      </c>
      <c r="U648" s="19" t="s">
        <v>56</v>
      </c>
      <c r="V648" s="19">
        <v>10</v>
      </c>
      <c r="W648" s="19" t="s">
        <v>51</v>
      </c>
      <c r="X648" s="19" t="s">
        <v>1160</v>
      </c>
      <c r="Y648" s="19" t="s">
        <v>1161</v>
      </c>
      <c r="Z648" s="19" t="s">
        <v>44</v>
      </c>
    </row>
    <row r="649" spans="1:26" x14ac:dyDescent="0.3">
      <c r="A649" s="19" t="s">
        <v>155</v>
      </c>
      <c r="B649" s="20">
        <v>44562</v>
      </c>
      <c r="C649" s="19" t="s">
        <v>35</v>
      </c>
      <c r="D649" s="19" t="s">
        <v>36</v>
      </c>
      <c r="E649" s="19" t="s">
        <v>36</v>
      </c>
      <c r="F649" s="19" t="s">
        <v>36</v>
      </c>
      <c r="G649" s="19" t="s">
        <v>37</v>
      </c>
      <c r="K649" s="19" t="s">
        <v>38</v>
      </c>
      <c r="L649" s="19" t="s">
        <v>39</v>
      </c>
      <c r="M649" s="19" t="s">
        <v>40</v>
      </c>
      <c r="N649" s="19" t="s">
        <v>41</v>
      </c>
      <c r="R649" s="19" t="s">
        <v>52</v>
      </c>
      <c r="T649" s="21">
        <v>42330.49</v>
      </c>
      <c r="U649" s="19" t="s">
        <v>56</v>
      </c>
      <c r="V649" s="19">
        <v>10</v>
      </c>
      <c r="W649" s="19" t="s">
        <v>51</v>
      </c>
      <c r="X649" s="19" t="s">
        <v>1162</v>
      </c>
      <c r="Y649" s="19" t="s">
        <v>1161</v>
      </c>
      <c r="Z649" s="19" t="s">
        <v>44</v>
      </c>
    </row>
    <row r="650" spans="1:26" x14ac:dyDescent="0.3">
      <c r="A650" s="19" t="s">
        <v>155</v>
      </c>
      <c r="B650" s="20">
        <v>46326</v>
      </c>
      <c r="C650" s="19" t="s">
        <v>35</v>
      </c>
      <c r="D650" s="19" t="s">
        <v>36</v>
      </c>
      <c r="E650" s="19" t="s">
        <v>36</v>
      </c>
      <c r="F650" s="19" t="s">
        <v>36</v>
      </c>
      <c r="G650" s="19" t="s">
        <v>37</v>
      </c>
      <c r="K650" s="19" t="s">
        <v>38</v>
      </c>
      <c r="L650" s="19" t="s">
        <v>39</v>
      </c>
      <c r="M650" s="19" t="s">
        <v>40</v>
      </c>
      <c r="N650" s="19" t="s">
        <v>41</v>
      </c>
      <c r="R650" s="19" t="s">
        <v>45</v>
      </c>
      <c r="S650" s="21">
        <v>99131.750052999996</v>
      </c>
      <c r="U650" s="19" t="s">
        <v>56</v>
      </c>
      <c r="V650" s="19">
        <v>11</v>
      </c>
      <c r="W650" s="19" t="s">
        <v>53</v>
      </c>
      <c r="X650" s="19" t="s">
        <v>1163</v>
      </c>
      <c r="Y650" s="19" t="s">
        <v>1164</v>
      </c>
      <c r="Z650" s="19" t="s">
        <v>44</v>
      </c>
    </row>
    <row r="651" spans="1:26" x14ac:dyDescent="0.3">
      <c r="A651" s="19" t="s">
        <v>155</v>
      </c>
      <c r="B651" s="20">
        <v>46326</v>
      </c>
      <c r="C651" s="19" t="s">
        <v>35</v>
      </c>
      <c r="D651" s="19" t="s">
        <v>36</v>
      </c>
      <c r="E651" s="19" t="s">
        <v>36</v>
      </c>
      <c r="F651" s="19" t="s">
        <v>36</v>
      </c>
      <c r="G651" s="19" t="s">
        <v>37</v>
      </c>
      <c r="K651" s="19" t="s">
        <v>38</v>
      </c>
      <c r="L651" s="19" t="s">
        <v>39</v>
      </c>
      <c r="M651" s="19" t="s">
        <v>40</v>
      </c>
      <c r="N651" s="19" t="s">
        <v>41</v>
      </c>
      <c r="R651" s="19" t="s">
        <v>54</v>
      </c>
      <c r="T651" s="21">
        <v>99131.750052999996</v>
      </c>
      <c r="U651" s="19" t="s">
        <v>56</v>
      </c>
      <c r="V651" s="19">
        <v>11</v>
      </c>
      <c r="W651" s="19" t="s">
        <v>53</v>
      </c>
      <c r="X651" s="19" t="s">
        <v>1165</v>
      </c>
      <c r="Y651" s="19" t="s">
        <v>1164</v>
      </c>
      <c r="Z651" s="19" t="s">
        <v>44</v>
      </c>
    </row>
    <row r="652" spans="1:26" x14ac:dyDescent="0.3">
      <c r="A652" s="19" t="s">
        <v>156</v>
      </c>
      <c r="B652" s="20">
        <v>46327</v>
      </c>
      <c r="C652" s="19" t="s">
        <v>35</v>
      </c>
      <c r="D652" s="19" t="s">
        <v>36</v>
      </c>
      <c r="E652" s="19" t="s">
        <v>36</v>
      </c>
      <c r="F652" s="19" t="s">
        <v>36</v>
      </c>
      <c r="G652" s="19" t="s">
        <v>37</v>
      </c>
      <c r="K652" s="19" t="s">
        <v>38</v>
      </c>
      <c r="L652" s="19" t="s">
        <v>39</v>
      </c>
      <c r="M652" s="19" t="s">
        <v>40</v>
      </c>
      <c r="N652" s="19" t="s">
        <v>41</v>
      </c>
      <c r="R652" s="19" t="s">
        <v>54</v>
      </c>
      <c r="S652" s="21">
        <v>99131.76</v>
      </c>
      <c r="U652" s="19" t="s">
        <v>56</v>
      </c>
      <c r="V652" s="19">
        <v>11</v>
      </c>
      <c r="W652" s="19" t="s">
        <v>55</v>
      </c>
      <c r="X652" s="19" t="s">
        <v>1166</v>
      </c>
      <c r="Y652" s="19" t="s">
        <v>1167</v>
      </c>
      <c r="Z652" s="19" t="s">
        <v>44</v>
      </c>
    </row>
    <row r="653" spans="1:26" x14ac:dyDescent="0.3">
      <c r="A653" s="19" t="s">
        <v>156</v>
      </c>
      <c r="B653" s="20">
        <v>46327</v>
      </c>
      <c r="C653" s="19" t="s">
        <v>35</v>
      </c>
      <c r="D653" s="19" t="s">
        <v>36</v>
      </c>
      <c r="E653" s="19" t="s">
        <v>36</v>
      </c>
      <c r="F653" s="19" t="s">
        <v>36</v>
      </c>
      <c r="G653" s="19" t="s">
        <v>37</v>
      </c>
      <c r="K653" s="19" t="s">
        <v>38</v>
      </c>
      <c r="L653" s="19" t="s">
        <v>39</v>
      </c>
      <c r="M653" s="19" t="s">
        <v>40</v>
      </c>
      <c r="N653" s="19" t="s">
        <v>41</v>
      </c>
      <c r="R653" s="19" t="s">
        <v>45</v>
      </c>
      <c r="T653" s="21">
        <v>99131.76</v>
      </c>
      <c r="U653" s="19" t="s">
        <v>56</v>
      </c>
      <c r="V653" s="19">
        <v>11</v>
      </c>
      <c r="W653" s="19" t="s">
        <v>55</v>
      </c>
      <c r="X653" s="19" t="s">
        <v>1168</v>
      </c>
      <c r="Y653" s="19" t="s">
        <v>1167</v>
      </c>
      <c r="Z653" s="19" t="s">
        <v>44</v>
      </c>
    </row>
    <row r="654" spans="1:26" x14ac:dyDescent="0.3">
      <c r="A654" s="19" t="s">
        <v>156</v>
      </c>
      <c r="B654" s="20">
        <v>46356</v>
      </c>
      <c r="C654" s="19" t="s">
        <v>46</v>
      </c>
      <c r="D654" s="19" t="s">
        <v>36</v>
      </c>
      <c r="E654" s="19" t="s">
        <v>36</v>
      </c>
      <c r="F654" s="19" t="s">
        <v>36</v>
      </c>
      <c r="G654" s="19" t="s">
        <v>37</v>
      </c>
      <c r="K654" s="19" t="s">
        <v>38</v>
      </c>
      <c r="L654" s="19" t="s">
        <v>39</v>
      </c>
      <c r="M654" s="19" t="s">
        <v>38</v>
      </c>
      <c r="N654" s="19" t="s">
        <v>41</v>
      </c>
      <c r="R654" s="19" t="s">
        <v>49</v>
      </c>
      <c r="S654" s="21">
        <v>578.26857800000005</v>
      </c>
      <c r="U654" s="19" t="s">
        <v>56</v>
      </c>
      <c r="V654" s="19">
        <v>12</v>
      </c>
      <c r="W654" s="19" t="s">
        <v>57</v>
      </c>
      <c r="X654" s="19" t="s">
        <v>1169</v>
      </c>
      <c r="Y654" s="19" t="s">
        <v>1170</v>
      </c>
      <c r="Z654" s="19" t="s">
        <v>44</v>
      </c>
    </row>
    <row r="655" spans="1:26" x14ac:dyDescent="0.3">
      <c r="A655" s="19" t="s">
        <v>156</v>
      </c>
      <c r="B655" s="20">
        <v>46356</v>
      </c>
      <c r="C655" s="19" t="s">
        <v>46</v>
      </c>
      <c r="D655" s="19" t="s">
        <v>36</v>
      </c>
      <c r="E655" s="19" t="s">
        <v>36</v>
      </c>
      <c r="F655" s="19" t="s">
        <v>36</v>
      </c>
      <c r="G655" s="19" t="s">
        <v>37</v>
      </c>
      <c r="K655" s="19" t="s">
        <v>38</v>
      </c>
      <c r="L655" s="19" t="s">
        <v>39</v>
      </c>
      <c r="M655" s="19" t="s">
        <v>40</v>
      </c>
      <c r="N655" s="19" t="s">
        <v>41</v>
      </c>
      <c r="R655" s="19" t="s">
        <v>45</v>
      </c>
      <c r="S655" s="21">
        <v>49421.731421999997</v>
      </c>
      <c r="U655" s="19" t="s">
        <v>56</v>
      </c>
      <c r="V655" s="19">
        <v>12</v>
      </c>
      <c r="W655" s="19" t="s">
        <v>57</v>
      </c>
      <c r="X655" s="19" t="s">
        <v>1171</v>
      </c>
      <c r="Y655" s="19" t="s">
        <v>1170</v>
      </c>
      <c r="Z655" s="19" t="s">
        <v>44</v>
      </c>
    </row>
    <row r="656" spans="1:26" x14ac:dyDescent="0.3">
      <c r="A656" s="19" t="s">
        <v>156</v>
      </c>
      <c r="B656" s="20">
        <v>46356</v>
      </c>
      <c r="C656" s="19" t="s">
        <v>46</v>
      </c>
      <c r="D656" s="19" t="s">
        <v>36</v>
      </c>
      <c r="E656" s="19" t="s">
        <v>36</v>
      </c>
      <c r="F656" s="19" t="s">
        <v>36</v>
      </c>
      <c r="G656" s="19" t="s">
        <v>37</v>
      </c>
      <c r="K656" s="19" t="s">
        <v>38</v>
      </c>
      <c r="L656" s="19" t="s">
        <v>39</v>
      </c>
      <c r="M656" s="19" t="s">
        <v>40</v>
      </c>
      <c r="N656" s="19" t="s">
        <v>41</v>
      </c>
      <c r="R656" s="19" t="s">
        <v>58</v>
      </c>
      <c r="T656" s="21">
        <v>50000</v>
      </c>
      <c r="U656" s="19" t="s">
        <v>56</v>
      </c>
      <c r="V656" s="19">
        <v>12</v>
      </c>
      <c r="W656" s="19" t="s">
        <v>57</v>
      </c>
      <c r="X656" s="19" t="s">
        <v>1172</v>
      </c>
      <c r="Y656" s="19" t="s">
        <v>1170</v>
      </c>
      <c r="Z656" s="19" t="s">
        <v>44</v>
      </c>
    </row>
    <row r="657" spans="1:29" x14ac:dyDescent="0.3">
      <c r="A657" s="19" t="s">
        <v>157</v>
      </c>
      <c r="B657" s="20">
        <v>46356</v>
      </c>
      <c r="C657" s="19" t="s">
        <v>46</v>
      </c>
      <c r="D657" s="19" t="s">
        <v>36</v>
      </c>
      <c r="E657" s="19" t="s">
        <v>36</v>
      </c>
      <c r="F657" s="19" t="s">
        <v>36</v>
      </c>
      <c r="G657" s="19" t="s">
        <v>37</v>
      </c>
      <c r="K657" s="19" t="s">
        <v>38</v>
      </c>
      <c r="L657" s="19" t="s">
        <v>39</v>
      </c>
      <c r="M657" s="19" t="s">
        <v>40</v>
      </c>
      <c r="N657" s="19" t="s">
        <v>41</v>
      </c>
      <c r="R657" s="19" t="s">
        <v>47</v>
      </c>
      <c r="S657" s="21">
        <v>289.975145</v>
      </c>
      <c r="U657" s="19" t="s">
        <v>56</v>
      </c>
      <c r="V657" s="19">
        <v>8</v>
      </c>
      <c r="W657" s="19" t="s">
        <v>48</v>
      </c>
      <c r="X657" s="19" t="s">
        <v>1173</v>
      </c>
      <c r="Y657" s="19" t="s">
        <v>1174</v>
      </c>
      <c r="Z657" s="19" t="s">
        <v>44</v>
      </c>
    </row>
    <row r="658" spans="1:29" x14ac:dyDescent="0.3">
      <c r="A658" s="19" t="s">
        <v>157</v>
      </c>
      <c r="B658" s="20">
        <v>46356</v>
      </c>
      <c r="C658" s="19" t="s">
        <v>46</v>
      </c>
      <c r="D658" s="19" t="s">
        <v>36</v>
      </c>
      <c r="E658" s="19" t="s">
        <v>36</v>
      </c>
      <c r="F658" s="19" t="s">
        <v>36</v>
      </c>
      <c r="G658" s="19" t="s">
        <v>37</v>
      </c>
      <c r="K658" s="19" t="s">
        <v>38</v>
      </c>
      <c r="L658" s="19" t="s">
        <v>39</v>
      </c>
      <c r="M658" s="19" t="s">
        <v>38</v>
      </c>
      <c r="N658" s="19" t="s">
        <v>41</v>
      </c>
      <c r="R658" s="19" t="s">
        <v>49</v>
      </c>
      <c r="T658" s="21">
        <v>289.975145</v>
      </c>
      <c r="U658" s="19" t="s">
        <v>56</v>
      </c>
      <c r="V658" s="19">
        <v>8</v>
      </c>
      <c r="W658" s="19" t="s">
        <v>48</v>
      </c>
      <c r="X658" s="19" t="s">
        <v>1175</v>
      </c>
      <c r="Y658" s="19" t="s">
        <v>1174</v>
      </c>
      <c r="Z658" s="19" t="s">
        <v>44</v>
      </c>
    </row>
    <row r="659" spans="1:29" x14ac:dyDescent="0.3">
      <c r="A659" s="19" t="s">
        <v>157</v>
      </c>
      <c r="B659" s="20">
        <v>44562</v>
      </c>
      <c r="C659" s="19" t="s">
        <v>35</v>
      </c>
      <c r="D659" s="19" t="s">
        <v>36</v>
      </c>
      <c r="E659" s="19" t="s">
        <v>36</v>
      </c>
      <c r="F659" s="19" t="s">
        <v>36</v>
      </c>
      <c r="G659" s="19" t="s">
        <v>37</v>
      </c>
      <c r="K659" s="19" t="s">
        <v>38</v>
      </c>
      <c r="L659" s="19" t="s">
        <v>39</v>
      </c>
      <c r="M659" s="19" t="s">
        <v>40</v>
      </c>
      <c r="N659" s="19" t="s">
        <v>41</v>
      </c>
      <c r="R659" s="19" t="s">
        <v>50</v>
      </c>
      <c r="S659" s="21">
        <v>42330.49</v>
      </c>
      <c r="U659" s="19" t="s">
        <v>56</v>
      </c>
      <c r="V659" s="19">
        <v>10</v>
      </c>
      <c r="W659" s="19" t="s">
        <v>51</v>
      </c>
      <c r="X659" s="19" t="s">
        <v>1176</v>
      </c>
      <c r="Y659" s="19" t="s">
        <v>1177</v>
      </c>
      <c r="Z659" s="19" t="s">
        <v>44</v>
      </c>
    </row>
    <row r="660" spans="1:29" x14ac:dyDescent="0.3">
      <c r="A660" s="19" t="s">
        <v>157</v>
      </c>
      <c r="B660" s="20">
        <v>44562</v>
      </c>
      <c r="C660" s="19" t="s">
        <v>35</v>
      </c>
      <c r="D660" s="19" t="s">
        <v>36</v>
      </c>
      <c r="E660" s="19" t="s">
        <v>36</v>
      </c>
      <c r="F660" s="19" t="s">
        <v>36</v>
      </c>
      <c r="G660" s="19" t="s">
        <v>37</v>
      </c>
      <c r="K660" s="19" t="s">
        <v>38</v>
      </c>
      <c r="L660" s="19" t="s">
        <v>39</v>
      </c>
      <c r="M660" s="19" t="s">
        <v>40</v>
      </c>
      <c r="N660" s="19" t="s">
        <v>41</v>
      </c>
      <c r="R660" s="19" t="s">
        <v>52</v>
      </c>
      <c r="T660" s="21">
        <v>42330.49</v>
      </c>
      <c r="U660" s="19" t="s">
        <v>56</v>
      </c>
      <c r="V660" s="19">
        <v>10</v>
      </c>
      <c r="W660" s="19" t="s">
        <v>51</v>
      </c>
      <c r="X660" s="19" t="s">
        <v>1178</v>
      </c>
      <c r="Y660" s="19" t="s">
        <v>1177</v>
      </c>
      <c r="Z660" s="19" t="s">
        <v>44</v>
      </c>
    </row>
    <row r="661" spans="1:29" x14ac:dyDescent="0.3">
      <c r="A661" s="19" t="s">
        <v>157</v>
      </c>
      <c r="B661" s="20">
        <v>46356</v>
      </c>
      <c r="C661" s="19" t="s">
        <v>35</v>
      </c>
      <c r="D661" s="19" t="s">
        <v>36</v>
      </c>
      <c r="E661" s="19" t="s">
        <v>36</v>
      </c>
      <c r="F661" s="19" t="s">
        <v>36</v>
      </c>
      <c r="G661" s="19" t="s">
        <v>37</v>
      </c>
      <c r="K661" s="19" t="s">
        <v>38</v>
      </c>
      <c r="L661" s="19" t="s">
        <v>39</v>
      </c>
      <c r="M661" s="19" t="s">
        <v>40</v>
      </c>
      <c r="N661" s="19" t="s">
        <v>41</v>
      </c>
      <c r="R661" s="19" t="s">
        <v>45</v>
      </c>
      <c r="S661" s="21">
        <v>49710.028577999998</v>
      </c>
      <c r="U661" s="19" t="s">
        <v>56</v>
      </c>
      <c r="V661" s="19">
        <v>11</v>
      </c>
      <c r="W661" s="19" t="s">
        <v>53</v>
      </c>
      <c r="X661" s="19" t="s">
        <v>1179</v>
      </c>
      <c r="Y661" s="19" t="s">
        <v>1180</v>
      </c>
      <c r="Z661" s="19" t="s">
        <v>44</v>
      </c>
    </row>
    <row r="662" spans="1:29" x14ac:dyDescent="0.3">
      <c r="A662" s="19" t="s">
        <v>157</v>
      </c>
      <c r="B662" s="20">
        <v>46356</v>
      </c>
      <c r="C662" s="19" t="s">
        <v>35</v>
      </c>
      <c r="D662" s="19" t="s">
        <v>36</v>
      </c>
      <c r="E662" s="19" t="s">
        <v>36</v>
      </c>
      <c r="F662" s="19" t="s">
        <v>36</v>
      </c>
      <c r="G662" s="19" t="s">
        <v>37</v>
      </c>
      <c r="K662" s="19" t="s">
        <v>38</v>
      </c>
      <c r="L662" s="19" t="s">
        <v>39</v>
      </c>
      <c r="M662" s="19" t="s">
        <v>40</v>
      </c>
      <c r="N662" s="19" t="s">
        <v>41</v>
      </c>
      <c r="R662" s="19" t="s">
        <v>54</v>
      </c>
      <c r="T662" s="21">
        <v>49710.028577999998</v>
      </c>
      <c r="U662" s="19" t="s">
        <v>56</v>
      </c>
      <c r="V662" s="19">
        <v>11</v>
      </c>
      <c r="W662" s="19" t="s">
        <v>53</v>
      </c>
      <c r="X662" s="19" t="s">
        <v>1181</v>
      </c>
      <c r="Y662" s="19" t="s">
        <v>1180</v>
      </c>
      <c r="Z662" s="19" t="s">
        <v>44</v>
      </c>
    </row>
    <row r="663" spans="1:29" x14ac:dyDescent="0.3">
      <c r="B663" s="20"/>
      <c r="T663" s="21"/>
    </row>
    <row r="664" spans="1:29" s="101" customFormat="1" x14ac:dyDescent="0.3">
      <c r="B664" s="102"/>
      <c r="T664" s="103"/>
      <c r="AB664" s="119"/>
      <c r="AC664" s="119"/>
    </row>
    <row r="665" spans="1:29" x14ac:dyDescent="0.3">
      <c r="B665" s="20"/>
      <c r="T665" s="21"/>
    </row>
    <row r="666" spans="1:29" x14ac:dyDescent="0.3">
      <c r="A666" s="19" t="s">
        <v>158</v>
      </c>
      <c r="B666" s="20">
        <v>46357</v>
      </c>
      <c r="C666" s="19" t="s">
        <v>35</v>
      </c>
      <c r="D666" s="19" t="s">
        <v>36</v>
      </c>
      <c r="E666" s="19" t="s">
        <v>36</v>
      </c>
      <c r="F666" s="19" t="s">
        <v>36</v>
      </c>
      <c r="G666" s="19" t="s">
        <v>37</v>
      </c>
      <c r="K666" s="19" t="s">
        <v>38</v>
      </c>
      <c r="L666" s="19" t="s">
        <v>39</v>
      </c>
      <c r="M666" s="19" t="s">
        <v>40</v>
      </c>
      <c r="N666" s="19" t="s">
        <v>41</v>
      </c>
      <c r="R666" s="19" t="s">
        <v>54</v>
      </c>
      <c r="S666" s="21">
        <v>49710.024855000003</v>
      </c>
      <c r="U666" s="19" t="s">
        <v>56</v>
      </c>
      <c r="V666" s="19">
        <v>11</v>
      </c>
      <c r="W666" s="19" t="s">
        <v>55</v>
      </c>
      <c r="X666" s="19" t="s">
        <v>1182</v>
      </c>
      <c r="Y666" s="19" t="s">
        <v>1183</v>
      </c>
      <c r="Z666" s="19" t="s">
        <v>44</v>
      </c>
      <c r="AB666" s="119" t="s">
        <v>1592</v>
      </c>
    </row>
    <row r="667" spans="1:29" x14ac:dyDescent="0.3">
      <c r="A667" s="19" t="s">
        <v>158</v>
      </c>
      <c r="B667" s="20">
        <v>46357</v>
      </c>
      <c r="C667" s="19" t="s">
        <v>35</v>
      </c>
      <c r="D667" s="19" t="s">
        <v>36</v>
      </c>
      <c r="E667" s="19" t="s">
        <v>36</v>
      </c>
      <c r="F667" s="19" t="s">
        <v>36</v>
      </c>
      <c r="G667" s="19" t="s">
        <v>37</v>
      </c>
      <c r="K667" s="19" t="s">
        <v>38</v>
      </c>
      <c r="L667" s="19" t="s">
        <v>39</v>
      </c>
      <c r="M667" s="19" t="s">
        <v>40</v>
      </c>
      <c r="N667" s="19" t="s">
        <v>41</v>
      </c>
      <c r="R667" s="19" t="s">
        <v>45</v>
      </c>
      <c r="T667" s="21">
        <v>49710.024855000003</v>
      </c>
      <c r="U667" s="19" t="s">
        <v>56</v>
      </c>
      <c r="V667" s="19">
        <v>11</v>
      </c>
      <c r="W667" s="19" t="s">
        <v>55</v>
      </c>
      <c r="X667" s="19" t="s">
        <v>1184</v>
      </c>
      <c r="Y667" s="19" t="s">
        <v>1183</v>
      </c>
      <c r="Z667" s="19" t="s">
        <v>44</v>
      </c>
    </row>
    <row r="668" spans="1:29" x14ac:dyDescent="0.3">
      <c r="B668" s="20"/>
      <c r="T668" s="21"/>
    </row>
    <row r="669" spans="1:29" x14ac:dyDescent="0.3">
      <c r="A669" s="19" t="s">
        <v>158</v>
      </c>
      <c r="B669" s="20">
        <v>46387</v>
      </c>
      <c r="C669" s="19" t="s">
        <v>46</v>
      </c>
      <c r="D669" s="19" t="s">
        <v>36</v>
      </c>
      <c r="E669" s="19" t="s">
        <v>36</v>
      </c>
      <c r="F669" s="19" t="s">
        <v>36</v>
      </c>
      <c r="G669" s="19" t="s">
        <v>37</v>
      </c>
      <c r="K669" s="19" t="s">
        <v>38</v>
      </c>
      <c r="L669" s="19" t="s">
        <v>39</v>
      </c>
      <c r="M669" s="19" t="s">
        <v>38</v>
      </c>
      <c r="N669" s="19" t="s">
        <v>41</v>
      </c>
      <c r="R669" s="19" t="s">
        <v>49</v>
      </c>
      <c r="S669" s="21">
        <v>289.975145</v>
      </c>
      <c r="U669" s="19" t="s">
        <v>56</v>
      </c>
      <c r="V669" s="19">
        <v>12</v>
      </c>
      <c r="W669" s="19" t="s">
        <v>57</v>
      </c>
      <c r="X669" s="19" t="s">
        <v>1185</v>
      </c>
      <c r="Y669" s="19" t="s">
        <v>1186</v>
      </c>
      <c r="Z669" s="19" t="s">
        <v>44</v>
      </c>
      <c r="AB669" s="207">
        <f>S666*'Lease Overview'!B4/12</f>
        <v>289.97514498750007</v>
      </c>
      <c r="AC669" s="119" t="s">
        <v>1288</v>
      </c>
    </row>
    <row r="670" spans="1:29" x14ac:dyDescent="0.3">
      <c r="A670" s="19" t="s">
        <v>158</v>
      </c>
      <c r="B670" s="20">
        <v>46387</v>
      </c>
      <c r="C670" s="19" t="s">
        <v>46</v>
      </c>
      <c r="D670" s="19" t="s">
        <v>36</v>
      </c>
      <c r="E670" s="19" t="s">
        <v>36</v>
      </c>
      <c r="F670" s="19" t="s">
        <v>36</v>
      </c>
      <c r="G670" s="19" t="s">
        <v>37</v>
      </c>
      <c r="K670" s="19" t="s">
        <v>38</v>
      </c>
      <c r="L670" s="19" t="s">
        <v>39</v>
      </c>
      <c r="M670" s="19" t="s">
        <v>40</v>
      </c>
      <c r="N670" s="19" t="s">
        <v>41</v>
      </c>
      <c r="R670" s="19" t="s">
        <v>45</v>
      </c>
      <c r="S670" s="21">
        <v>49710.024855000003</v>
      </c>
      <c r="U670" s="19" t="s">
        <v>56</v>
      </c>
      <c r="V670" s="19">
        <v>12</v>
      </c>
      <c r="W670" s="19" t="s">
        <v>57</v>
      </c>
      <c r="X670" s="19" t="s">
        <v>1187</v>
      </c>
      <c r="Y670" s="19" t="s">
        <v>1186</v>
      </c>
      <c r="Z670" s="19" t="s">
        <v>44</v>
      </c>
      <c r="AB670" s="207">
        <f>AB671-AB669</f>
        <v>49710.024855012503</v>
      </c>
      <c r="AC670" s="104" t="s">
        <v>1289</v>
      </c>
    </row>
    <row r="671" spans="1:29" x14ac:dyDescent="0.3">
      <c r="A671" s="19" t="s">
        <v>158</v>
      </c>
      <c r="B671" s="20">
        <v>46387</v>
      </c>
      <c r="C671" s="19" t="s">
        <v>46</v>
      </c>
      <c r="D671" s="19" t="s">
        <v>36</v>
      </c>
      <c r="E671" s="19" t="s">
        <v>36</v>
      </c>
      <c r="F671" s="19" t="s">
        <v>36</v>
      </c>
      <c r="G671" s="19" t="s">
        <v>37</v>
      </c>
      <c r="K671" s="19" t="s">
        <v>38</v>
      </c>
      <c r="L671" s="19" t="s">
        <v>39</v>
      </c>
      <c r="M671" s="19" t="s">
        <v>40</v>
      </c>
      <c r="N671" s="19" t="s">
        <v>41</v>
      </c>
      <c r="R671" s="19" t="s">
        <v>58</v>
      </c>
      <c r="T671" s="21">
        <v>50000</v>
      </c>
      <c r="U671" s="19" t="s">
        <v>56</v>
      </c>
      <c r="V671" s="19">
        <v>12</v>
      </c>
      <c r="W671" s="19" t="s">
        <v>57</v>
      </c>
      <c r="X671" s="19" t="s">
        <v>1188</v>
      </c>
      <c r="Y671" s="19" t="s">
        <v>1186</v>
      </c>
      <c r="Z671" s="19" t="s">
        <v>44</v>
      </c>
      <c r="AB671" s="207">
        <f>-'Accounting (Accounting Wb)'!W62</f>
        <v>50000</v>
      </c>
      <c r="AC671" s="119" t="s">
        <v>57</v>
      </c>
    </row>
    <row r="672" spans="1:29" x14ac:dyDescent="0.3">
      <c r="B672" s="20"/>
      <c r="T672" s="21"/>
    </row>
    <row r="673" spans="1:29" x14ac:dyDescent="0.3">
      <c r="A673" s="19" t="s">
        <v>159</v>
      </c>
      <c r="B673" s="20">
        <v>44562</v>
      </c>
      <c r="C673" s="19" t="s">
        <v>35</v>
      </c>
      <c r="D673" s="19" t="s">
        <v>36</v>
      </c>
      <c r="E673" s="19" t="s">
        <v>36</v>
      </c>
      <c r="F673" s="19" t="s">
        <v>36</v>
      </c>
      <c r="G673" s="19" t="s">
        <v>37</v>
      </c>
      <c r="K673" s="19" t="s">
        <v>38</v>
      </c>
      <c r="L673" s="19" t="s">
        <v>39</v>
      </c>
      <c r="M673" s="19" t="s">
        <v>40</v>
      </c>
      <c r="N673" s="19" t="s">
        <v>41</v>
      </c>
      <c r="R673" s="19" t="s">
        <v>50</v>
      </c>
      <c r="S673" s="21">
        <v>42330.49</v>
      </c>
      <c r="U673" s="19" t="s">
        <v>56</v>
      </c>
      <c r="V673" s="19">
        <v>10</v>
      </c>
      <c r="W673" s="19" t="s">
        <v>51</v>
      </c>
      <c r="X673" s="19" t="s">
        <v>1189</v>
      </c>
      <c r="Y673" s="19" t="s">
        <v>1190</v>
      </c>
      <c r="Z673" s="19" t="s">
        <v>44</v>
      </c>
      <c r="AB673" s="207">
        <f>$AB$2/'Lease Overview'!$B$6</f>
        <v>42330.490386045632</v>
      </c>
      <c r="AC673" s="119" t="s">
        <v>1286</v>
      </c>
    </row>
    <row r="674" spans="1:29" x14ac:dyDescent="0.3">
      <c r="A674" s="19" t="s">
        <v>159</v>
      </c>
      <c r="B674" s="20">
        <v>44562</v>
      </c>
      <c r="C674" s="19" t="s">
        <v>35</v>
      </c>
      <c r="D674" s="19" t="s">
        <v>36</v>
      </c>
      <c r="E674" s="19" t="s">
        <v>36</v>
      </c>
      <c r="F674" s="19" t="s">
        <v>36</v>
      </c>
      <c r="G674" s="19" t="s">
        <v>37</v>
      </c>
      <c r="K674" s="19" t="s">
        <v>38</v>
      </c>
      <c r="L674" s="19" t="s">
        <v>39</v>
      </c>
      <c r="M674" s="19" t="s">
        <v>40</v>
      </c>
      <c r="N674" s="19" t="s">
        <v>41</v>
      </c>
      <c r="R674" s="19" t="s">
        <v>52</v>
      </c>
      <c r="T674" s="21">
        <v>42330.49</v>
      </c>
      <c r="U674" s="19" t="s">
        <v>56</v>
      </c>
      <c r="V674" s="19">
        <v>10</v>
      </c>
      <c r="W674" s="19" t="s">
        <v>51</v>
      </c>
      <c r="X674" s="19" t="s">
        <v>1191</v>
      </c>
      <c r="Y674" s="19" t="s">
        <v>1190</v>
      </c>
      <c r="Z674" s="19" t="s">
        <v>44</v>
      </c>
    </row>
  </sheetData>
  <autoFilter ref="A1:W674" xr:uid="{BFA8FD52-D6EB-41CE-A080-ACF89F42DD2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4AC5-EC52-4B17-96C7-249BE5E2FBAF}">
  <sheetPr>
    <tabColor rgb="FFFF0000"/>
  </sheetPr>
  <dimension ref="A1:C6"/>
  <sheetViews>
    <sheetView workbookViewId="0"/>
  </sheetViews>
  <sheetFormatPr defaultRowHeight="14.4" x14ac:dyDescent="0.3"/>
  <cols>
    <col min="1" max="1" width="20.88671875" style="7" customWidth="1"/>
    <col min="2" max="2" width="21.6640625" style="7" customWidth="1"/>
    <col min="3" max="3" width="23.44140625" style="7" customWidth="1"/>
    <col min="4" max="16384" width="8.88671875" style="7"/>
  </cols>
  <sheetData>
    <row r="1" spans="1:3" ht="17.399999999999999" customHeight="1" x14ac:dyDescent="0.3">
      <c r="A1" s="9" t="s">
        <v>160</v>
      </c>
      <c r="B1" s="10" t="s">
        <v>161</v>
      </c>
      <c r="C1" s="10" t="s">
        <v>162</v>
      </c>
    </row>
    <row r="2" spans="1:3" ht="13.2" customHeight="1" x14ac:dyDescent="0.3">
      <c r="A2" s="11" t="s">
        <v>163</v>
      </c>
      <c r="B2" s="11"/>
    </row>
    <row r="3" spans="1:3" ht="13.2" customHeight="1" x14ac:dyDescent="0.3">
      <c r="A3" s="12" t="s">
        <v>8</v>
      </c>
      <c r="B3" s="7">
        <f>SUM('Ledger Entries-schedule'!$B:$B)</f>
        <v>29677558</v>
      </c>
      <c r="C3" s="7">
        <v>0</v>
      </c>
    </row>
    <row r="4" spans="1:3" ht="13.2" customHeight="1" x14ac:dyDescent="0.3">
      <c r="A4" s="12" t="s">
        <v>25</v>
      </c>
      <c r="B4" s="7">
        <f>SUM('Ledger Entries-schedule'!S:S)</f>
        <v>63520642.849708028</v>
      </c>
      <c r="C4" s="7">
        <v>0</v>
      </c>
    </row>
    <row r="5" spans="1:3" ht="13.2" customHeight="1" x14ac:dyDescent="0.3">
      <c r="A5" s="12" t="s">
        <v>26</v>
      </c>
      <c r="B5" s="7">
        <f>SUM('Ledger Entries-schedule'!T:T)</f>
        <v>63520642.849708021</v>
      </c>
      <c r="C5" s="7">
        <v>0</v>
      </c>
    </row>
    <row r="6" spans="1:3" ht="13.2" customHeight="1" x14ac:dyDescent="0.3">
      <c r="A6" s="12" t="s">
        <v>164</v>
      </c>
      <c r="B6" s="7">
        <f>(COUNTA('Ledger Entries-schedule'!$A:$A)-1)</f>
        <v>655</v>
      </c>
      <c r="C6" s="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B0CF-0876-4399-BEF6-057211204702}">
  <sheetPr>
    <tabColor rgb="FFFF0000"/>
  </sheetPr>
  <dimension ref="A1:D36"/>
  <sheetViews>
    <sheetView workbookViewId="0">
      <selection activeCell="G6" sqref="G6"/>
    </sheetView>
  </sheetViews>
  <sheetFormatPr defaultRowHeight="14.4" x14ac:dyDescent="0.3"/>
  <cols>
    <col min="1" max="1" width="55" style="7" customWidth="1"/>
    <col min="2" max="2" width="31" style="7" customWidth="1"/>
    <col min="3" max="3" width="10.21875" style="7" customWidth="1"/>
    <col min="4" max="4" width="16.109375" style="7" bestFit="1" customWidth="1"/>
    <col min="5" max="16384" width="8.88671875" style="7"/>
  </cols>
  <sheetData>
    <row r="1" spans="1:4" ht="23.4" customHeight="1" x14ac:dyDescent="0.35">
      <c r="A1" s="13" t="s">
        <v>165</v>
      </c>
      <c r="D1" s="179" t="s">
        <v>2781</v>
      </c>
    </row>
    <row r="2" spans="1:4" ht="14.4" customHeight="1" x14ac:dyDescent="0.3">
      <c r="A2" s="14" t="s">
        <v>166</v>
      </c>
      <c r="B2" s="7" t="s">
        <v>167</v>
      </c>
    </row>
    <row r="3" spans="1:4" ht="14.4" customHeight="1" x14ac:dyDescent="0.3">
      <c r="A3" s="14" t="s">
        <v>168</v>
      </c>
      <c r="B3" s="15" t="s">
        <v>1192</v>
      </c>
    </row>
    <row r="5" spans="1:4" ht="14.4" customHeight="1" x14ac:dyDescent="0.3">
      <c r="A5" s="16" t="s">
        <v>169</v>
      </c>
      <c r="B5" s="16" t="s">
        <v>170</v>
      </c>
      <c r="C5" s="16" t="s">
        <v>171</v>
      </c>
    </row>
    <row r="7" spans="1:4" x14ac:dyDescent="0.3">
      <c r="A7" s="7" t="s">
        <v>172</v>
      </c>
      <c r="B7" s="7" t="s">
        <v>63</v>
      </c>
    </row>
    <row r="8" spans="1:4" x14ac:dyDescent="0.3">
      <c r="A8" s="7" t="s">
        <v>173</v>
      </c>
      <c r="B8" s="7" t="s">
        <v>174</v>
      </c>
    </row>
    <row r="9" spans="1:4" x14ac:dyDescent="0.3">
      <c r="A9" s="7" t="s">
        <v>175</v>
      </c>
      <c r="B9" s="7" t="s">
        <v>176</v>
      </c>
      <c r="C9" s="7" t="s">
        <v>177</v>
      </c>
    </row>
    <row r="10" spans="1:4" x14ac:dyDescent="0.3">
      <c r="A10" s="7" t="s">
        <v>178</v>
      </c>
      <c r="B10" s="7" t="s">
        <v>179</v>
      </c>
    </row>
    <row r="11" spans="1:4" x14ac:dyDescent="0.3">
      <c r="A11" s="7" t="s">
        <v>180</v>
      </c>
      <c r="B11" s="7" t="s">
        <v>181</v>
      </c>
    </row>
    <row r="12" spans="1:4" x14ac:dyDescent="0.3">
      <c r="A12" s="7" t="s">
        <v>32</v>
      </c>
      <c r="B12" s="7" t="s">
        <v>182</v>
      </c>
    </row>
    <row r="13" spans="1:4" x14ac:dyDescent="0.3">
      <c r="A13" s="7" t="s">
        <v>183</v>
      </c>
      <c r="B13" s="7" t="s">
        <v>184</v>
      </c>
    </row>
    <row r="14" spans="1:4" x14ac:dyDescent="0.3">
      <c r="A14" s="7" t="s">
        <v>185</v>
      </c>
      <c r="B14" s="7" t="s">
        <v>6</v>
      </c>
    </row>
    <row r="15" spans="1:4" x14ac:dyDescent="0.3">
      <c r="A15" s="7" t="s">
        <v>186</v>
      </c>
    </row>
    <row r="16" spans="1:4" x14ac:dyDescent="0.3">
      <c r="A16" s="7" t="s">
        <v>187</v>
      </c>
    </row>
    <row r="17" spans="1:3" x14ac:dyDescent="0.3">
      <c r="A17" s="7" t="s">
        <v>188</v>
      </c>
    </row>
    <row r="18" spans="1:3" x14ac:dyDescent="0.3">
      <c r="A18" s="7" t="s">
        <v>189</v>
      </c>
    </row>
    <row r="19" spans="1:3" x14ac:dyDescent="0.3">
      <c r="A19" s="7" t="s">
        <v>190</v>
      </c>
    </row>
    <row r="20" spans="1:3" x14ac:dyDescent="0.3">
      <c r="A20" s="7" t="s">
        <v>191</v>
      </c>
    </row>
    <row r="21" spans="1:3" x14ac:dyDescent="0.3">
      <c r="A21" s="7" t="s">
        <v>192</v>
      </c>
      <c r="B21" s="7" t="s">
        <v>193</v>
      </c>
      <c r="C21" s="7" t="s">
        <v>194</v>
      </c>
    </row>
    <row r="22" spans="1:3" x14ac:dyDescent="0.3">
      <c r="A22" s="7" t="s">
        <v>195</v>
      </c>
    </row>
    <row r="23" spans="1:3" x14ac:dyDescent="0.3">
      <c r="A23" s="7" t="s">
        <v>196</v>
      </c>
    </row>
    <row r="24" spans="1:3" x14ac:dyDescent="0.3">
      <c r="A24" s="7" t="s">
        <v>197</v>
      </c>
    </row>
    <row r="25" spans="1:3" x14ac:dyDescent="0.3">
      <c r="A25" s="7" t="s">
        <v>198</v>
      </c>
    </row>
    <row r="26" spans="1:3" x14ac:dyDescent="0.3">
      <c r="A26" s="7" t="s">
        <v>199</v>
      </c>
    </row>
    <row r="27" spans="1:3" x14ac:dyDescent="0.3">
      <c r="A27" s="7" t="s">
        <v>200</v>
      </c>
    </row>
    <row r="28" spans="1:3" x14ac:dyDescent="0.3">
      <c r="A28" s="7" t="s">
        <v>201</v>
      </c>
    </row>
    <row r="29" spans="1:3" x14ac:dyDescent="0.3">
      <c r="A29" s="7" t="s">
        <v>202</v>
      </c>
    </row>
    <row r="30" spans="1:3" x14ac:dyDescent="0.3">
      <c r="A30" s="7" t="s">
        <v>203</v>
      </c>
    </row>
    <row r="31" spans="1:3" x14ac:dyDescent="0.3">
      <c r="A31" s="7" t="s">
        <v>204</v>
      </c>
    </row>
    <row r="32" spans="1:3" x14ac:dyDescent="0.3">
      <c r="A32" s="7" t="s">
        <v>205</v>
      </c>
    </row>
    <row r="33" spans="1:2" x14ac:dyDescent="0.3">
      <c r="A33" s="7" t="s">
        <v>206</v>
      </c>
    </row>
    <row r="34" spans="1:2" x14ac:dyDescent="0.3">
      <c r="A34" s="7" t="s">
        <v>207</v>
      </c>
      <c r="B34" s="7" t="s">
        <v>208</v>
      </c>
    </row>
    <row r="35" spans="1:2" x14ac:dyDescent="0.3">
      <c r="A35" s="7" t="s">
        <v>209</v>
      </c>
      <c r="B35" s="7" t="s">
        <v>208</v>
      </c>
    </row>
    <row r="36" spans="1:2" x14ac:dyDescent="0.3">
      <c r="A36" s="7" t="s">
        <v>210</v>
      </c>
      <c r="B36" s="7" t="s">
        <v>208</v>
      </c>
    </row>
  </sheetData>
  <hyperlinks>
    <hyperlink ref="D1" location="'Comparison-Sheet'!A1" display="'Comparison-Sheet'!A1" xr:uid="{572E43D0-2421-4533-A6B6-7D00FFE9BA8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CA31-39C1-4BCE-8667-C4C85FB6D280}">
  <sheetPr>
    <tabColor theme="5"/>
  </sheetPr>
  <dimension ref="A2:O38"/>
  <sheetViews>
    <sheetView workbookViewId="0"/>
  </sheetViews>
  <sheetFormatPr defaultRowHeight="14.4" x14ac:dyDescent="0.3"/>
  <cols>
    <col min="1" max="1" width="43" style="7" customWidth="1"/>
    <col min="2" max="3" width="27.109375" style="7" customWidth="1"/>
    <col min="4" max="4" width="35.6640625" style="7" customWidth="1"/>
    <col min="5" max="5" width="8.88671875" style="7"/>
    <col min="6" max="7" width="14" style="7" customWidth="1"/>
    <col min="8" max="8" width="16" style="7" customWidth="1"/>
    <col min="9" max="9" width="24" style="7" customWidth="1"/>
    <col min="10" max="10" width="17" style="7" customWidth="1"/>
    <col min="11" max="11" width="23" style="7" customWidth="1"/>
    <col min="12" max="12" width="17" style="7" customWidth="1"/>
    <col min="13" max="13" width="16" style="7" customWidth="1"/>
    <col min="14" max="14" width="12" style="7" customWidth="1"/>
    <col min="15" max="15" width="11" style="7" customWidth="1"/>
    <col min="16" max="16384" width="8.88671875" style="7"/>
  </cols>
  <sheetData>
    <row r="2" spans="1:4" ht="14.4" customHeight="1" x14ac:dyDescent="0.3">
      <c r="A2" s="30" t="s">
        <v>0</v>
      </c>
      <c r="B2" s="34" t="s">
        <v>6</v>
      </c>
    </row>
    <row r="3" spans="1:4" ht="14.4" customHeight="1" x14ac:dyDescent="0.3">
      <c r="A3" s="30"/>
      <c r="B3" s="34"/>
    </row>
    <row r="4" spans="1:4" ht="14.4" customHeight="1" x14ac:dyDescent="0.3">
      <c r="A4" s="30" t="s">
        <v>1243</v>
      </c>
      <c r="B4" s="34" t="s">
        <v>194</v>
      </c>
    </row>
    <row r="5" spans="1:4" ht="14.4" customHeight="1" x14ac:dyDescent="0.3">
      <c r="A5" s="30" t="s">
        <v>1242</v>
      </c>
      <c r="B5" s="34" t="s">
        <v>1241</v>
      </c>
    </row>
    <row r="6" spans="1:4" ht="14.4" customHeight="1" x14ac:dyDescent="0.3">
      <c r="A6" s="30" t="s">
        <v>1240</v>
      </c>
      <c r="B6" s="34" t="s">
        <v>1239</v>
      </c>
    </row>
    <row r="7" spans="1:4" ht="14.4" customHeight="1" x14ac:dyDescent="0.3">
      <c r="A7" s="30" t="s">
        <v>1238</v>
      </c>
      <c r="B7" s="34" t="s">
        <v>1237</v>
      </c>
    </row>
    <row r="8" spans="1:4" ht="14.4" customHeight="1" x14ac:dyDescent="0.3">
      <c r="A8" s="30"/>
      <c r="B8" s="34"/>
    </row>
    <row r="9" spans="1:4" ht="14.4" customHeight="1" x14ac:dyDescent="0.3">
      <c r="A9" s="33" t="s">
        <v>1236</v>
      </c>
      <c r="B9" s="32"/>
    </row>
    <row r="10" spans="1:4" ht="14.4" customHeight="1" x14ac:dyDescent="0.3">
      <c r="B10" s="31" t="s">
        <v>1235</v>
      </c>
      <c r="C10" s="31" t="s">
        <v>36</v>
      </c>
      <c r="D10" s="2" t="s">
        <v>1234</v>
      </c>
    </row>
    <row r="11" spans="1:4" ht="14.4" customHeight="1" x14ac:dyDescent="0.3">
      <c r="A11" s="1" t="s">
        <v>1207</v>
      </c>
      <c r="B11" s="8">
        <v>1600000</v>
      </c>
      <c r="C11" s="8" t="s">
        <v>1233</v>
      </c>
      <c r="D11" s="2">
        <v>1</v>
      </c>
    </row>
    <row r="12" spans="1:4" ht="14.4" customHeight="1" x14ac:dyDescent="0.3">
      <c r="A12" s="1" t="s">
        <v>1232</v>
      </c>
      <c r="B12" s="2" t="s">
        <v>1231</v>
      </c>
      <c r="C12" s="2"/>
      <c r="D12" s="2"/>
    </row>
    <row r="13" spans="1:4" ht="14.4" customHeight="1" x14ac:dyDescent="0.3">
      <c r="A13" s="1" t="s">
        <v>1</v>
      </c>
      <c r="B13" s="2" t="s">
        <v>2</v>
      </c>
      <c r="C13" s="8" t="s">
        <v>1230</v>
      </c>
      <c r="D13" s="2">
        <v>1</v>
      </c>
    </row>
    <row r="14" spans="1:4" ht="14.4" customHeight="1" x14ac:dyDescent="0.3">
      <c r="A14" s="1" t="s">
        <v>1229</v>
      </c>
      <c r="B14" s="2" t="s">
        <v>36</v>
      </c>
      <c r="C14" s="2"/>
      <c r="D14" s="2"/>
    </row>
    <row r="15" spans="1:4" ht="14.4" customHeight="1" x14ac:dyDescent="0.3">
      <c r="A15" s="1" t="s">
        <v>1228</v>
      </c>
      <c r="B15" s="3">
        <v>7.0000000000000007E-2</v>
      </c>
      <c r="C15" s="30" t="s">
        <v>1226</v>
      </c>
    </row>
    <row r="16" spans="1:4" ht="14.4" customHeight="1" x14ac:dyDescent="0.3">
      <c r="A16" s="1" t="s">
        <v>1227</v>
      </c>
      <c r="B16" s="3">
        <v>7.0000000000000007E-2</v>
      </c>
      <c r="C16" s="30" t="s">
        <v>1226</v>
      </c>
    </row>
    <row r="17" spans="1:3" ht="14.4" customHeight="1" x14ac:dyDescent="0.3">
      <c r="A17" s="1" t="s">
        <v>4</v>
      </c>
      <c r="B17" s="5">
        <v>44562</v>
      </c>
    </row>
    <row r="18" spans="1:3" ht="14.4" customHeight="1" x14ac:dyDescent="0.3">
      <c r="A18" s="1" t="s">
        <v>5</v>
      </c>
      <c r="B18" s="2">
        <v>60</v>
      </c>
    </row>
    <row r="19" spans="1:3" ht="14.4" customHeight="1" x14ac:dyDescent="0.3">
      <c r="A19" s="1" t="s">
        <v>1225</v>
      </c>
      <c r="B19" s="2">
        <v>60</v>
      </c>
    </row>
    <row r="20" spans="1:3" ht="14.4" customHeight="1" x14ac:dyDescent="0.3">
      <c r="A20" s="1" t="s">
        <v>1224</v>
      </c>
      <c r="B20" s="2"/>
    </row>
    <row r="21" spans="1:3" ht="14.4" customHeight="1" x14ac:dyDescent="0.3">
      <c r="A21" s="1"/>
      <c r="B21" s="2"/>
    </row>
    <row r="22" spans="1:3" ht="14.4" customHeight="1" x14ac:dyDescent="0.3">
      <c r="A22" s="1" t="s">
        <v>1223</v>
      </c>
      <c r="B22" s="2" t="s">
        <v>1222</v>
      </c>
    </row>
    <row r="23" spans="1:3" ht="14.4" customHeight="1" x14ac:dyDescent="0.3">
      <c r="A23" s="1" t="s">
        <v>1221</v>
      </c>
      <c r="B23" s="2"/>
    </row>
    <row r="24" spans="1:3" ht="14.4" customHeight="1" x14ac:dyDescent="0.3">
      <c r="A24" s="1" t="s">
        <v>1220</v>
      </c>
      <c r="B24" s="8">
        <v>0</v>
      </c>
    </row>
    <row r="25" spans="1:3" ht="14.4" customHeight="1" x14ac:dyDescent="0.3">
      <c r="A25" s="1" t="s">
        <v>1219</v>
      </c>
      <c r="B25" s="2" t="s">
        <v>1218</v>
      </c>
    </row>
    <row r="26" spans="1:3" ht="14.4" customHeight="1" x14ac:dyDescent="0.3">
      <c r="B26" s="2"/>
      <c r="C26" s="2"/>
    </row>
    <row r="27" spans="1:3" ht="14.4" customHeight="1" x14ac:dyDescent="0.3">
      <c r="A27" s="1" t="s">
        <v>1217</v>
      </c>
      <c r="B27" s="2"/>
    </row>
    <row r="28" spans="1:3" ht="14.4" customHeight="1" x14ac:dyDescent="0.3">
      <c r="A28" s="1" t="s">
        <v>1216</v>
      </c>
      <c r="B28" s="8">
        <v>2539829.423163</v>
      </c>
      <c r="C28" s="8" t="s">
        <v>1212</v>
      </c>
    </row>
    <row r="29" spans="1:3" ht="14.4" customHeight="1" x14ac:dyDescent="0.3">
      <c r="A29" s="1" t="s">
        <v>1215</v>
      </c>
      <c r="B29" s="8">
        <v>0</v>
      </c>
      <c r="C29" s="8" t="s">
        <v>176</v>
      </c>
    </row>
    <row r="30" spans="1:3" ht="14.4" customHeight="1" x14ac:dyDescent="0.3">
      <c r="A30" s="1" t="s">
        <v>1214</v>
      </c>
      <c r="B30" s="8">
        <v>0</v>
      </c>
      <c r="C30" s="8" t="s">
        <v>176</v>
      </c>
    </row>
    <row r="31" spans="1:3" ht="14.4" customHeight="1" x14ac:dyDescent="0.3">
      <c r="A31" s="1" t="s">
        <v>1213</v>
      </c>
      <c r="B31" s="8">
        <v>2539829.423163</v>
      </c>
      <c r="C31" s="8" t="s">
        <v>1212</v>
      </c>
    </row>
    <row r="32" spans="1:3" ht="14.4" customHeight="1" x14ac:dyDescent="0.3">
      <c r="A32" s="1" t="s">
        <v>1211</v>
      </c>
      <c r="B32" s="8">
        <v>0</v>
      </c>
      <c r="C32" s="8" t="s">
        <v>176</v>
      </c>
    </row>
    <row r="33" spans="1:15" ht="14.4" customHeight="1" x14ac:dyDescent="0.3">
      <c r="A33" s="1" t="s">
        <v>1210</v>
      </c>
      <c r="B33" s="8">
        <v>0</v>
      </c>
      <c r="C33" s="8" t="s">
        <v>176</v>
      </c>
    </row>
    <row r="34" spans="1:15" x14ac:dyDescent="0.3">
      <c r="B34" s="7" t="s">
        <v>163</v>
      </c>
    </row>
    <row r="35" spans="1:15" x14ac:dyDescent="0.3">
      <c r="A35" s="7" t="s">
        <v>1209</v>
      </c>
    </row>
    <row r="36" spans="1:15" x14ac:dyDescent="0.3">
      <c r="A36" s="7" t="s">
        <v>1209</v>
      </c>
    </row>
    <row r="37" spans="1:15" ht="57.6" x14ac:dyDescent="0.3">
      <c r="A37" s="6" t="s">
        <v>1208</v>
      </c>
      <c r="B37" s="6" t="s">
        <v>1207</v>
      </c>
      <c r="C37" s="6" t="s">
        <v>1</v>
      </c>
      <c r="D37" s="6" t="s">
        <v>1206</v>
      </c>
      <c r="E37" s="6" t="s">
        <v>1205</v>
      </c>
      <c r="F37" s="6" t="s">
        <v>1204</v>
      </c>
      <c r="G37" s="6" t="s">
        <v>1203</v>
      </c>
      <c r="H37" s="6" t="s">
        <v>1202</v>
      </c>
      <c r="I37" s="6" t="s">
        <v>1201</v>
      </c>
      <c r="J37" s="6" t="s">
        <v>1200</v>
      </c>
      <c r="K37" s="6" t="s">
        <v>1199</v>
      </c>
      <c r="L37" s="6" t="s">
        <v>1198</v>
      </c>
      <c r="M37" s="6" t="s">
        <v>1197</v>
      </c>
      <c r="N37" s="6" t="s">
        <v>1196</v>
      </c>
      <c r="O37" s="6" t="s">
        <v>1195</v>
      </c>
    </row>
    <row r="38" spans="1:15" x14ac:dyDescent="0.3">
      <c r="A38" s="7" t="s">
        <v>1194</v>
      </c>
      <c r="B38" s="8">
        <v>1600000</v>
      </c>
      <c r="C38" s="8">
        <v>50000</v>
      </c>
      <c r="D38" s="7">
        <v>60</v>
      </c>
      <c r="E38" s="7">
        <v>7.0000000000000007E-2</v>
      </c>
      <c r="F38" s="7">
        <v>60</v>
      </c>
      <c r="H38" s="7">
        <v>60</v>
      </c>
      <c r="I38" s="7" t="s">
        <v>1193</v>
      </c>
      <c r="J38" s="7" t="s">
        <v>208</v>
      </c>
      <c r="K38" s="8">
        <v>2539829.423163</v>
      </c>
      <c r="L38" s="8">
        <v>42330.490386049998</v>
      </c>
      <c r="M38" s="8">
        <v>2539829.423163</v>
      </c>
      <c r="N38" s="8">
        <v>0</v>
      </c>
      <c r="O38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9A8E-3055-4FA1-8D97-0A48647536CF}">
  <sheetPr>
    <tabColor theme="5"/>
  </sheetPr>
  <dimension ref="A1:AH68"/>
  <sheetViews>
    <sheetView topLeftCell="P1" workbookViewId="0">
      <pane ySplit="1" topLeftCell="A2" activePane="bottomLeft" state="frozen"/>
      <selection activeCell="F14" sqref="F14"/>
      <selection pane="bottomLeft" activeCell="X3" sqref="X3"/>
    </sheetView>
  </sheetViews>
  <sheetFormatPr defaultRowHeight="14.4" x14ac:dyDescent="0.3"/>
  <cols>
    <col min="1" max="2" width="10" style="7" customWidth="1"/>
    <col min="3" max="3" width="12" style="7" customWidth="1"/>
    <col min="4" max="4" width="31" style="7" customWidth="1"/>
    <col min="5" max="5" width="11" style="7" customWidth="1"/>
    <col min="6" max="34" width="18" style="7" customWidth="1"/>
    <col min="35" max="16384" width="8.88671875" style="7"/>
  </cols>
  <sheetData>
    <row r="1" spans="1:34" ht="57.6" x14ac:dyDescent="0.3">
      <c r="A1" s="6" t="s">
        <v>1277</v>
      </c>
      <c r="B1" s="6" t="s">
        <v>1276</v>
      </c>
      <c r="C1" s="6" t="s">
        <v>1275</v>
      </c>
      <c r="D1" s="6" t="s">
        <v>185</v>
      </c>
      <c r="E1" s="6" t="s">
        <v>1274</v>
      </c>
      <c r="F1" s="6" t="s">
        <v>1273</v>
      </c>
      <c r="G1" s="6" t="s">
        <v>1272</v>
      </c>
      <c r="H1" s="6" t="s">
        <v>1271</v>
      </c>
      <c r="I1" s="6" t="s">
        <v>1270</v>
      </c>
      <c r="J1" s="6" t="s">
        <v>1269</v>
      </c>
      <c r="K1" s="6" t="s">
        <v>1268</v>
      </c>
      <c r="L1" s="6" t="s">
        <v>1267</v>
      </c>
      <c r="M1" s="6" t="s">
        <v>1266</v>
      </c>
      <c r="N1" s="6" t="s">
        <v>1265</v>
      </c>
      <c r="O1" s="6" t="s">
        <v>1264</v>
      </c>
      <c r="P1" s="6" t="s">
        <v>1263</v>
      </c>
      <c r="Q1" s="6" t="s">
        <v>1262</v>
      </c>
      <c r="R1" s="6" t="s">
        <v>1261</v>
      </c>
      <c r="S1" s="6" t="s">
        <v>1260</v>
      </c>
      <c r="T1" s="6" t="s">
        <v>1259</v>
      </c>
      <c r="U1" s="6" t="s">
        <v>1258</v>
      </c>
      <c r="V1" s="6" t="s">
        <v>1257</v>
      </c>
      <c r="W1" s="6" t="s">
        <v>1256</v>
      </c>
      <c r="X1" s="6" t="s">
        <v>1255</v>
      </c>
      <c r="Y1" s="6" t="s">
        <v>1254</v>
      </c>
      <c r="Z1" s="6" t="s">
        <v>1253</v>
      </c>
      <c r="AA1" s="6" t="s">
        <v>1252</v>
      </c>
      <c r="AB1" s="6" t="s">
        <v>1251</v>
      </c>
      <c r="AC1" s="6" t="s">
        <v>1250</v>
      </c>
      <c r="AD1" s="6" t="s">
        <v>1249</v>
      </c>
      <c r="AE1" s="6" t="s">
        <v>1248</v>
      </c>
      <c r="AF1" s="6" t="s">
        <v>1247</v>
      </c>
      <c r="AG1" s="6" t="s">
        <v>1246</v>
      </c>
      <c r="AH1" s="6" t="s">
        <v>1245</v>
      </c>
    </row>
    <row r="3" spans="1:34" x14ac:dyDescent="0.3">
      <c r="A3" s="7">
        <v>1</v>
      </c>
      <c r="B3" s="7">
        <v>1</v>
      </c>
      <c r="C3" s="4">
        <v>44592</v>
      </c>
      <c r="D3" s="7" t="s">
        <v>6</v>
      </c>
      <c r="E3" s="7" t="s">
        <v>1244</v>
      </c>
      <c r="F3" s="8">
        <v>0</v>
      </c>
      <c r="G3" s="8">
        <v>2539829.423163</v>
      </c>
      <c r="H3" s="8">
        <v>2539829.423163</v>
      </c>
      <c r="I3" s="8">
        <v>0</v>
      </c>
      <c r="J3" s="8">
        <v>-42330.49</v>
      </c>
      <c r="K3" s="8">
        <v>-42330.49</v>
      </c>
      <c r="L3" s="8">
        <v>0</v>
      </c>
      <c r="M3" s="8">
        <v>-2539829.423163</v>
      </c>
      <c r="N3" s="8">
        <v>439639.29</v>
      </c>
      <c r="O3" s="8">
        <v>0</v>
      </c>
      <c r="P3" s="8">
        <v>50000</v>
      </c>
      <c r="Q3" s="8">
        <v>-2050190.133163</v>
      </c>
      <c r="R3" s="8">
        <v>0</v>
      </c>
      <c r="S3" s="8">
        <v>-439639.29</v>
      </c>
      <c r="T3" s="8">
        <v>0</v>
      </c>
      <c r="U3" s="8">
        <v>-439639.29</v>
      </c>
      <c r="V3" s="8">
        <v>0</v>
      </c>
      <c r="W3" s="8">
        <v>-50000</v>
      </c>
      <c r="X3" s="8">
        <v>-50000</v>
      </c>
      <c r="Y3" s="8">
        <v>0</v>
      </c>
      <c r="Z3" s="8">
        <v>-14524.004967999999</v>
      </c>
      <c r="AA3" s="8">
        <v>0</v>
      </c>
      <c r="AB3" s="8">
        <v>-14524.004967999999</v>
      </c>
      <c r="AC3" s="8">
        <v>0</v>
      </c>
      <c r="AD3" s="8">
        <v>14524.004967999999</v>
      </c>
      <c r="AE3" s="8">
        <v>14524.004967999999</v>
      </c>
      <c r="AF3" s="8">
        <v>0</v>
      </c>
      <c r="AG3" s="8">
        <v>42330.49</v>
      </c>
      <c r="AH3" s="8">
        <v>42330.49</v>
      </c>
    </row>
    <row r="4" spans="1:34" x14ac:dyDescent="0.3">
      <c r="A4" s="7">
        <v>2</v>
      </c>
      <c r="B4" s="7">
        <v>2</v>
      </c>
      <c r="C4" s="4">
        <v>44620</v>
      </c>
      <c r="D4" s="7" t="s">
        <v>6</v>
      </c>
      <c r="E4" s="7" t="s">
        <v>1244</v>
      </c>
      <c r="F4" s="8">
        <v>2539829.423163</v>
      </c>
      <c r="G4" s="8">
        <v>0</v>
      </c>
      <c r="H4" s="8">
        <v>2539829.423163</v>
      </c>
      <c r="I4" s="8">
        <v>-42330.49</v>
      </c>
      <c r="J4" s="8">
        <v>-42330.49</v>
      </c>
      <c r="K4" s="8">
        <v>-84660.98</v>
      </c>
      <c r="L4" s="8">
        <v>-2050190.133163</v>
      </c>
      <c r="M4" s="8">
        <v>0</v>
      </c>
      <c r="N4" s="8">
        <v>442203.86</v>
      </c>
      <c r="O4" s="8">
        <v>-439639.29</v>
      </c>
      <c r="P4" s="8">
        <v>35475.995031999999</v>
      </c>
      <c r="Q4" s="8">
        <v>-2012149.568131</v>
      </c>
      <c r="R4" s="8">
        <v>-439639.29</v>
      </c>
      <c r="S4" s="8">
        <v>-442203.86</v>
      </c>
      <c r="T4" s="8">
        <v>439639.29</v>
      </c>
      <c r="U4" s="8">
        <v>-442203.86</v>
      </c>
      <c r="V4" s="8">
        <v>-50000</v>
      </c>
      <c r="W4" s="8">
        <v>-50000</v>
      </c>
      <c r="X4" s="8">
        <v>-100000</v>
      </c>
      <c r="Y4" s="8">
        <v>-14524.004967999999</v>
      </c>
      <c r="Z4" s="8">
        <v>-14317.061664000001</v>
      </c>
      <c r="AA4" s="8">
        <v>14524.004967999999</v>
      </c>
      <c r="AB4" s="8">
        <v>-14317.061664000001</v>
      </c>
      <c r="AC4" s="8">
        <v>14524.004967999999</v>
      </c>
      <c r="AD4" s="8">
        <v>14317.061664000001</v>
      </c>
      <c r="AE4" s="8">
        <v>28841.066631999998</v>
      </c>
      <c r="AF4" s="8">
        <v>42330.49</v>
      </c>
      <c r="AG4" s="8">
        <v>42330.49</v>
      </c>
      <c r="AH4" s="8">
        <v>84660.98</v>
      </c>
    </row>
    <row r="5" spans="1:34" x14ac:dyDescent="0.3">
      <c r="A5" s="7">
        <v>3</v>
      </c>
      <c r="B5" s="7">
        <v>3</v>
      </c>
      <c r="C5" s="4">
        <v>44651</v>
      </c>
      <c r="D5" s="7" t="s">
        <v>6</v>
      </c>
      <c r="E5" s="7" t="s">
        <v>1244</v>
      </c>
      <c r="F5" s="8">
        <v>2539829.423163</v>
      </c>
      <c r="G5" s="8">
        <v>0</v>
      </c>
      <c r="H5" s="8">
        <v>2539829.423163</v>
      </c>
      <c r="I5" s="8">
        <v>-84660.98</v>
      </c>
      <c r="J5" s="8">
        <v>-42330.49</v>
      </c>
      <c r="K5" s="8">
        <v>-126991.47</v>
      </c>
      <c r="L5" s="8">
        <v>-2012149.568131</v>
      </c>
      <c r="M5" s="8">
        <v>0</v>
      </c>
      <c r="N5" s="8">
        <v>444783.38</v>
      </c>
      <c r="O5" s="8">
        <v>-442203.86</v>
      </c>
      <c r="P5" s="8">
        <v>35682.938335999999</v>
      </c>
      <c r="Q5" s="8">
        <v>-1973887.1097949999</v>
      </c>
      <c r="R5" s="8">
        <v>-442203.86</v>
      </c>
      <c r="S5" s="8">
        <v>-444783.38</v>
      </c>
      <c r="T5" s="8">
        <v>442203.86</v>
      </c>
      <c r="U5" s="8">
        <v>-444783.38</v>
      </c>
      <c r="V5" s="8">
        <v>-100000</v>
      </c>
      <c r="W5" s="8">
        <v>-50000</v>
      </c>
      <c r="X5" s="8">
        <v>-150000</v>
      </c>
      <c r="Y5" s="8">
        <v>-14317.061664000001</v>
      </c>
      <c r="Z5" s="8">
        <v>-14108.911190000001</v>
      </c>
      <c r="AA5" s="8">
        <v>14317.061664000001</v>
      </c>
      <c r="AB5" s="8">
        <v>-14108.911190000001</v>
      </c>
      <c r="AC5" s="8">
        <v>28841.066631999998</v>
      </c>
      <c r="AD5" s="8">
        <v>14108.911190000001</v>
      </c>
      <c r="AE5" s="8">
        <v>42949.977822000001</v>
      </c>
      <c r="AF5" s="8">
        <v>84660.98</v>
      </c>
      <c r="AG5" s="8">
        <v>42330.49</v>
      </c>
      <c r="AH5" s="8">
        <v>126991.47</v>
      </c>
    </row>
    <row r="6" spans="1:34" x14ac:dyDescent="0.3">
      <c r="A6" s="7">
        <v>4</v>
      </c>
      <c r="B6" s="7">
        <v>4</v>
      </c>
      <c r="C6" s="4">
        <v>44681</v>
      </c>
      <c r="D6" s="7" t="s">
        <v>6</v>
      </c>
      <c r="E6" s="7" t="s">
        <v>1244</v>
      </c>
      <c r="F6" s="8">
        <v>2539829.423163</v>
      </c>
      <c r="G6" s="8">
        <v>0</v>
      </c>
      <c r="H6" s="8">
        <v>2539829.423163</v>
      </c>
      <c r="I6" s="8">
        <v>-126991.47</v>
      </c>
      <c r="J6" s="8">
        <v>-42330.49</v>
      </c>
      <c r="K6" s="8">
        <v>-169321.96</v>
      </c>
      <c r="L6" s="8">
        <v>-1973887.1097949999</v>
      </c>
      <c r="M6" s="8">
        <v>0</v>
      </c>
      <c r="N6" s="8">
        <v>447377.95</v>
      </c>
      <c r="O6" s="8">
        <v>-444783.38</v>
      </c>
      <c r="P6" s="8">
        <v>35891.088810000001</v>
      </c>
      <c r="Q6" s="8">
        <v>-1935401.450985</v>
      </c>
      <c r="R6" s="8">
        <v>-444783.38</v>
      </c>
      <c r="S6" s="8">
        <v>-447377.95</v>
      </c>
      <c r="T6" s="8">
        <v>444783.38</v>
      </c>
      <c r="U6" s="8">
        <v>-447377.95</v>
      </c>
      <c r="V6" s="8">
        <v>-150000</v>
      </c>
      <c r="W6" s="8">
        <v>-50000</v>
      </c>
      <c r="X6" s="8">
        <v>-200000</v>
      </c>
      <c r="Y6" s="8">
        <v>-14108.911190000001</v>
      </c>
      <c r="Z6" s="8">
        <v>-13899.546506000001</v>
      </c>
      <c r="AA6" s="8">
        <v>14108.911190000001</v>
      </c>
      <c r="AB6" s="8">
        <v>-13899.546506000001</v>
      </c>
      <c r="AC6" s="8">
        <v>42949.977822000001</v>
      </c>
      <c r="AD6" s="8">
        <v>13899.546506000001</v>
      </c>
      <c r="AE6" s="8">
        <v>56849.524328</v>
      </c>
      <c r="AF6" s="8">
        <v>126991.47</v>
      </c>
      <c r="AG6" s="8">
        <v>42330.49</v>
      </c>
      <c r="AH6" s="8">
        <v>169321.96</v>
      </c>
    </row>
    <row r="7" spans="1:34" x14ac:dyDescent="0.3">
      <c r="A7" s="7">
        <v>5</v>
      </c>
      <c r="B7" s="7">
        <v>5</v>
      </c>
      <c r="C7" s="4">
        <v>44712</v>
      </c>
      <c r="D7" s="7" t="s">
        <v>6</v>
      </c>
      <c r="E7" s="7" t="s">
        <v>1244</v>
      </c>
      <c r="F7" s="8">
        <v>2539829.423163</v>
      </c>
      <c r="G7" s="8">
        <v>0</v>
      </c>
      <c r="H7" s="8">
        <v>2539829.423163</v>
      </c>
      <c r="I7" s="8">
        <v>-169321.96</v>
      </c>
      <c r="J7" s="8">
        <v>-42330.49</v>
      </c>
      <c r="K7" s="8">
        <v>-211652.45</v>
      </c>
      <c r="L7" s="8">
        <v>-1935401.450985</v>
      </c>
      <c r="M7" s="8">
        <v>0</v>
      </c>
      <c r="N7" s="8">
        <v>449987.65</v>
      </c>
      <c r="O7" s="8">
        <v>-447377.95</v>
      </c>
      <c r="P7" s="8">
        <v>36100.453494000001</v>
      </c>
      <c r="Q7" s="8">
        <v>-1896691.297491</v>
      </c>
      <c r="R7" s="8">
        <v>-447377.95</v>
      </c>
      <c r="S7" s="8">
        <v>-449987.65</v>
      </c>
      <c r="T7" s="8">
        <v>447377.95</v>
      </c>
      <c r="U7" s="8">
        <v>-449987.65</v>
      </c>
      <c r="V7" s="8">
        <v>-200000</v>
      </c>
      <c r="W7" s="8">
        <v>-50000</v>
      </c>
      <c r="X7" s="8">
        <v>-250000</v>
      </c>
      <c r="Y7" s="8">
        <v>-13899.546506000001</v>
      </c>
      <c r="Z7" s="8">
        <v>-13688.960526999999</v>
      </c>
      <c r="AA7" s="8">
        <v>13899.546506000001</v>
      </c>
      <c r="AB7" s="8">
        <v>-13688.960526999999</v>
      </c>
      <c r="AC7" s="8">
        <v>56849.524328</v>
      </c>
      <c r="AD7" s="8">
        <v>13688.960526999999</v>
      </c>
      <c r="AE7" s="8">
        <v>70538.484855000002</v>
      </c>
      <c r="AF7" s="8">
        <v>169321.96</v>
      </c>
      <c r="AG7" s="8">
        <v>42330.49</v>
      </c>
      <c r="AH7" s="8">
        <v>211652.45</v>
      </c>
    </row>
    <row r="8" spans="1:34" x14ac:dyDescent="0.3">
      <c r="A8" s="7">
        <v>6</v>
      </c>
      <c r="B8" s="7">
        <v>6</v>
      </c>
      <c r="C8" s="4">
        <v>44742</v>
      </c>
      <c r="D8" s="7" t="s">
        <v>6</v>
      </c>
      <c r="E8" s="7" t="s">
        <v>1244</v>
      </c>
      <c r="F8" s="8">
        <v>2539829.423163</v>
      </c>
      <c r="G8" s="8">
        <v>0</v>
      </c>
      <c r="H8" s="8">
        <v>2539829.423163</v>
      </c>
      <c r="I8" s="8">
        <v>-211652.45</v>
      </c>
      <c r="J8" s="8">
        <v>-42330.49</v>
      </c>
      <c r="K8" s="8">
        <v>-253982.94</v>
      </c>
      <c r="L8" s="8">
        <v>-1896691.297491</v>
      </c>
      <c r="M8" s="8">
        <v>0</v>
      </c>
      <c r="N8" s="8">
        <v>452612.58</v>
      </c>
      <c r="O8" s="8">
        <v>-449987.65</v>
      </c>
      <c r="P8" s="8">
        <v>36311.039472999997</v>
      </c>
      <c r="Q8" s="8">
        <v>-1857755.3280179999</v>
      </c>
      <c r="R8" s="8">
        <v>-449987.65</v>
      </c>
      <c r="S8" s="8">
        <v>-452612.58</v>
      </c>
      <c r="T8" s="8">
        <v>449987.65</v>
      </c>
      <c r="U8" s="8">
        <v>-452612.58</v>
      </c>
      <c r="V8" s="8">
        <v>-250000</v>
      </c>
      <c r="W8" s="8">
        <v>-50000</v>
      </c>
      <c r="X8" s="8">
        <v>-300000</v>
      </c>
      <c r="Y8" s="8">
        <v>-13688.960526999999</v>
      </c>
      <c r="Z8" s="8">
        <v>-13477.146129999999</v>
      </c>
      <c r="AA8" s="8">
        <v>13688.960526999999</v>
      </c>
      <c r="AB8" s="8">
        <v>-13477.146129999999</v>
      </c>
      <c r="AC8" s="8">
        <v>70538.484855000002</v>
      </c>
      <c r="AD8" s="8">
        <v>13477.146129999999</v>
      </c>
      <c r="AE8" s="8">
        <v>84015.630984999996</v>
      </c>
      <c r="AF8" s="8">
        <v>211652.45</v>
      </c>
      <c r="AG8" s="8">
        <v>42330.49</v>
      </c>
      <c r="AH8" s="8">
        <v>253982.94</v>
      </c>
    </row>
    <row r="9" spans="1:34" x14ac:dyDescent="0.3">
      <c r="A9" s="7">
        <v>7</v>
      </c>
      <c r="B9" s="7">
        <v>7</v>
      </c>
      <c r="C9" s="4">
        <v>44773</v>
      </c>
      <c r="D9" s="7" t="s">
        <v>6</v>
      </c>
      <c r="E9" s="7" t="s">
        <v>1244</v>
      </c>
      <c r="F9" s="8">
        <v>2539829.423163</v>
      </c>
      <c r="G9" s="8">
        <v>0</v>
      </c>
      <c r="H9" s="8">
        <v>2539829.423163</v>
      </c>
      <c r="I9" s="8">
        <v>-253982.94</v>
      </c>
      <c r="J9" s="8">
        <v>-42330.49</v>
      </c>
      <c r="K9" s="8">
        <v>-296313.43</v>
      </c>
      <c r="L9" s="8">
        <v>-1857755.3280179999</v>
      </c>
      <c r="M9" s="8">
        <v>0</v>
      </c>
      <c r="N9" s="8">
        <v>455252.83</v>
      </c>
      <c r="O9" s="8">
        <v>-452612.58</v>
      </c>
      <c r="P9" s="8">
        <v>36522.853869999999</v>
      </c>
      <c r="Q9" s="8">
        <v>-1818592.2241479999</v>
      </c>
      <c r="R9" s="8">
        <v>-452612.58</v>
      </c>
      <c r="S9" s="8">
        <v>-455252.83</v>
      </c>
      <c r="T9" s="8">
        <v>452612.58</v>
      </c>
      <c r="U9" s="8">
        <v>-455252.83</v>
      </c>
      <c r="V9" s="8">
        <v>-300000</v>
      </c>
      <c r="W9" s="8">
        <v>-50000</v>
      </c>
      <c r="X9" s="8">
        <v>-350000</v>
      </c>
      <c r="Y9" s="8">
        <v>-13477.146129999999</v>
      </c>
      <c r="Z9" s="8">
        <v>-13264.096149000001</v>
      </c>
      <c r="AA9" s="8">
        <v>13477.146129999999</v>
      </c>
      <c r="AB9" s="8">
        <v>-13264.096149000001</v>
      </c>
      <c r="AC9" s="8">
        <v>84015.630984999996</v>
      </c>
      <c r="AD9" s="8">
        <v>13264.096149000001</v>
      </c>
      <c r="AE9" s="8">
        <v>97279.727134000001</v>
      </c>
      <c r="AF9" s="8">
        <v>253982.94</v>
      </c>
      <c r="AG9" s="8">
        <v>42330.49</v>
      </c>
      <c r="AH9" s="8">
        <v>296313.43</v>
      </c>
    </row>
    <row r="10" spans="1:34" x14ac:dyDescent="0.3">
      <c r="A10" s="7">
        <v>8</v>
      </c>
      <c r="B10" s="7">
        <v>8</v>
      </c>
      <c r="C10" s="4">
        <v>44804</v>
      </c>
      <c r="D10" s="7" t="s">
        <v>6</v>
      </c>
      <c r="E10" s="7" t="s">
        <v>1244</v>
      </c>
      <c r="F10" s="8">
        <v>2539829.423163</v>
      </c>
      <c r="G10" s="8">
        <v>0</v>
      </c>
      <c r="H10" s="8">
        <v>2539829.423163</v>
      </c>
      <c r="I10" s="8">
        <v>-296313.43</v>
      </c>
      <c r="J10" s="8">
        <v>-42330.49</v>
      </c>
      <c r="K10" s="8">
        <v>-338643.92</v>
      </c>
      <c r="L10" s="8">
        <v>-1818592.2241479999</v>
      </c>
      <c r="M10" s="8">
        <v>0</v>
      </c>
      <c r="N10" s="8">
        <v>457908.46</v>
      </c>
      <c r="O10" s="8">
        <v>-455252.83</v>
      </c>
      <c r="P10" s="8">
        <v>36735.903851000003</v>
      </c>
      <c r="Q10" s="8">
        <v>-1779200.6902970001</v>
      </c>
      <c r="R10" s="8">
        <v>-455252.83</v>
      </c>
      <c r="S10" s="8">
        <v>-457908.46</v>
      </c>
      <c r="T10" s="8">
        <v>455252.83</v>
      </c>
      <c r="U10" s="8">
        <v>-457908.46</v>
      </c>
      <c r="V10" s="8">
        <v>-350000</v>
      </c>
      <c r="W10" s="8">
        <v>-50000</v>
      </c>
      <c r="X10" s="8">
        <v>-400000</v>
      </c>
      <c r="Y10" s="8">
        <v>-13264.096149000001</v>
      </c>
      <c r="Z10" s="8">
        <v>-13049.803377</v>
      </c>
      <c r="AA10" s="8">
        <v>13264.096149000001</v>
      </c>
      <c r="AB10" s="8">
        <v>-13049.803377</v>
      </c>
      <c r="AC10" s="8">
        <v>97279.727134000001</v>
      </c>
      <c r="AD10" s="8">
        <v>13049.803377</v>
      </c>
      <c r="AE10" s="8">
        <v>110329.530511</v>
      </c>
      <c r="AF10" s="8">
        <v>296313.43</v>
      </c>
      <c r="AG10" s="8">
        <v>42330.49</v>
      </c>
      <c r="AH10" s="8">
        <v>338643.92</v>
      </c>
    </row>
    <row r="11" spans="1:34" x14ac:dyDescent="0.3">
      <c r="A11" s="7">
        <v>9</v>
      </c>
      <c r="B11" s="7">
        <v>9</v>
      </c>
      <c r="C11" s="4">
        <v>44834</v>
      </c>
      <c r="D11" s="7" t="s">
        <v>6</v>
      </c>
      <c r="E11" s="7" t="s">
        <v>1244</v>
      </c>
      <c r="F11" s="8">
        <v>2539829.423163</v>
      </c>
      <c r="G11" s="8">
        <v>0</v>
      </c>
      <c r="H11" s="8">
        <v>2539829.423163</v>
      </c>
      <c r="I11" s="8">
        <v>-338643.92</v>
      </c>
      <c r="J11" s="8">
        <v>-42330.49</v>
      </c>
      <c r="K11" s="8">
        <v>-380974.41</v>
      </c>
      <c r="L11" s="8">
        <v>-1779200.6902970001</v>
      </c>
      <c r="M11" s="8">
        <v>0</v>
      </c>
      <c r="N11" s="8">
        <v>460579.59</v>
      </c>
      <c r="O11" s="8">
        <v>-457908.46</v>
      </c>
      <c r="P11" s="8">
        <v>36950.196623000003</v>
      </c>
      <c r="Q11" s="8">
        <v>-1739579.3636739999</v>
      </c>
      <c r="R11" s="8">
        <v>-457908.46</v>
      </c>
      <c r="S11" s="8">
        <v>-460579.59</v>
      </c>
      <c r="T11" s="8">
        <v>457908.46</v>
      </c>
      <c r="U11" s="8">
        <v>-460579.59</v>
      </c>
      <c r="V11" s="8">
        <v>-400000</v>
      </c>
      <c r="W11" s="8">
        <v>-50000</v>
      </c>
      <c r="X11" s="8">
        <v>-450000</v>
      </c>
      <c r="Y11" s="8">
        <v>-13049.803377</v>
      </c>
      <c r="Z11" s="8">
        <v>-12834.260563</v>
      </c>
      <c r="AA11" s="8">
        <v>13049.803377</v>
      </c>
      <c r="AB11" s="8">
        <v>-12834.260563</v>
      </c>
      <c r="AC11" s="8">
        <v>110329.530511</v>
      </c>
      <c r="AD11" s="8">
        <v>12834.260563</v>
      </c>
      <c r="AE11" s="8">
        <v>123163.79107399999</v>
      </c>
      <c r="AF11" s="8">
        <v>338643.92</v>
      </c>
      <c r="AG11" s="8">
        <v>42330.49</v>
      </c>
      <c r="AH11" s="8">
        <v>380974.41</v>
      </c>
    </row>
    <row r="12" spans="1:34" x14ac:dyDescent="0.3">
      <c r="A12" s="7">
        <v>10</v>
      </c>
      <c r="B12" s="7">
        <v>10</v>
      </c>
      <c r="C12" s="4">
        <v>44865</v>
      </c>
      <c r="D12" s="7" t="s">
        <v>6</v>
      </c>
      <c r="E12" s="7" t="s">
        <v>1244</v>
      </c>
      <c r="F12" s="8">
        <v>2539829.423163</v>
      </c>
      <c r="G12" s="8">
        <v>0</v>
      </c>
      <c r="H12" s="8">
        <v>2539829.423163</v>
      </c>
      <c r="I12" s="8">
        <v>-380974.41</v>
      </c>
      <c r="J12" s="8">
        <v>-42330.49</v>
      </c>
      <c r="K12" s="8">
        <v>-423304.9</v>
      </c>
      <c r="L12" s="8">
        <v>-1739579.3636739999</v>
      </c>
      <c r="M12" s="8">
        <v>0</v>
      </c>
      <c r="N12" s="8">
        <v>463266.31</v>
      </c>
      <c r="O12" s="8">
        <v>-460579.59</v>
      </c>
      <c r="P12" s="8">
        <v>37165.739436999997</v>
      </c>
      <c r="Q12" s="8">
        <v>-1699726.904237</v>
      </c>
      <c r="R12" s="8">
        <v>-460579.59</v>
      </c>
      <c r="S12" s="8">
        <v>-463266.31</v>
      </c>
      <c r="T12" s="8">
        <v>460579.59</v>
      </c>
      <c r="U12" s="8">
        <v>-463266.31</v>
      </c>
      <c r="V12" s="8">
        <v>-450000</v>
      </c>
      <c r="W12" s="8">
        <v>-50000</v>
      </c>
      <c r="X12" s="8">
        <v>-500000</v>
      </c>
      <c r="Y12" s="8">
        <v>-12834.260563</v>
      </c>
      <c r="Z12" s="8">
        <v>-12617.460416</v>
      </c>
      <c r="AA12" s="8">
        <v>12834.260563</v>
      </c>
      <c r="AB12" s="8">
        <v>-12617.460416</v>
      </c>
      <c r="AC12" s="8">
        <v>123163.79107399999</v>
      </c>
      <c r="AD12" s="8">
        <v>12617.460416</v>
      </c>
      <c r="AE12" s="8">
        <v>135781.25149</v>
      </c>
      <c r="AF12" s="8">
        <v>380974.41</v>
      </c>
      <c r="AG12" s="8">
        <v>42330.49</v>
      </c>
      <c r="AH12" s="8">
        <v>423304.9</v>
      </c>
    </row>
    <row r="13" spans="1:34" x14ac:dyDescent="0.3">
      <c r="A13" s="7">
        <v>11</v>
      </c>
      <c r="B13" s="7">
        <v>11</v>
      </c>
      <c r="C13" s="4">
        <v>44895</v>
      </c>
      <c r="D13" s="7" t="s">
        <v>6</v>
      </c>
      <c r="E13" s="7" t="s">
        <v>1244</v>
      </c>
      <c r="F13" s="8">
        <v>2539829.423163</v>
      </c>
      <c r="G13" s="8">
        <v>0</v>
      </c>
      <c r="H13" s="8">
        <v>2539829.423163</v>
      </c>
      <c r="I13" s="8">
        <v>-423304.9</v>
      </c>
      <c r="J13" s="8">
        <v>-42330.49</v>
      </c>
      <c r="K13" s="8">
        <v>-465635.39</v>
      </c>
      <c r="L13" s="8">
        <v>-1699726.904237</v>
      </c>
      <c r="M13" s="8">
        <v>0</v>
      </c>
      <c r="N13" s="8">
        <v>465968.7</v>
      </c>
      <c r="O13" s="8">
        <v>-463266.31</v>
      </c>
      <c r="P13" s="8">
        <v>37382.539583999998</v>
      </c>
      <c r="Q13" s="8">
        <v>-1659641.974653</v>
      </c>
      <c r="R13" s="8">
        <v>-463266.31</v>
      </c>
      <c r="S13" s="8">
        <v>-465968.7</v>
      </c>
      <c r="T13" s="8">
        <v>463266.31</v>
      </c>
      <c r="U13" s="8">
        <v>-465968.7</v>
      </c>
      <c r="V13" s="8">
        <v>-500000</v>
      </c>
      <c r="W13" s="8">
        <v>-50000</v>
      </c>
      <c r="X13" s="8">
        <v>-550000</v>
      </c>
      <c r="Y13" s="8">
        <v>-12617.460416</v>
      </c>
      <c r="Z13" s="8">
        <v>-12399.395602000001</v>
      </c>
      <c r="AA13" s="8">
        <v>12617.460416</v>
      </c>
      <c r="AB13" s="8">
        <v>-12399.395602000001</v>
      </c>
      <c r="AC13" s="8">
        <v>135781.25149</v>
      </c>
      <c r="AD13" s="8">
        <v>12399.395602000001</v>
      </c>
      <c r="AE13" s="8">
        <v>148180.647092</v>
      </c>
      <c r="AF13" s="8">
        <v>423304.9</v>
      </c>
      <c r="AG13" s="8">
        <v>42330.49</v>
      </c>
      <c r="AH13" s="8">
        <v>465635.39</v>
      </c>
    </row>
    <row r="14" spans="1:34" x14ac:dyDescent="0.3">
      <c r="A14" s="7">
        <v>12</v>
      </c>
      <c r="B14" s="7">
        <v>12</v>
      </c>
      <c r="C14" s="4">
        <v>44926</v>
      </c>
      <c r="D14" s="7" t="s">
        <v>6</v>
      </c>
      <c r="E14" s="7" t="s">
        <v>1244</v>
      </c>
      <c r="F14" s="8">
        <v>2539829.423163</v>
      </c>
      <c r="G14" s="8">
        <v>0</v>
      </c>
      <c r="H14" s="8">
        <v>2539829.423163</v>
      </c>
      <c r="I14" s="8">
        <v>-465635.39</v>
      </c>
      <c r="J14" s="8">
        <v>-42330.49</v>
      </c>
      <c r="K14" s="8">
        <v>-507965.88</v>
      </c>
      <c r="L14" s="8">
        <v>-1659641.974653</v>
      </c>
      <c r="M14" s="8">
        <v>0</v>
      </c>
      <c r="N14" s="8">
        <v>468686.85</v>
      </c>
      <c r="O14" s="8">
        <v>-465968.7</v>
      </c>
      <c r="P14" s="8">
        <v>37600.604398000003</v>
      </c>
      <c r="Q14" s="8">
        <v>-1619323.2202550001</v>
      </c>
      <c r="R14" s="8">
        <v>-465968.7</v>
      </c>
      <c r="S14" s="8">
        <v>-468686.85</v>
      </c>
      <c r="T14" s="8">
        <v>465968.7</v>
      </c>
      <c r="U14" s="8">
        <v>-468686.85</v>
      </c>
      <c r="V14" s="8">
        <v>-550000</v>
      </c>
      <c r="W14" s="8">
        <v>-50000</v>
      </c>
      <c r="X14" s="8">
        <v>-600000</v>
      </c>
      <c r="Y14" s="8">
        <v>-12399.395602000001</v>
      </c>
      <c r="Z14" s="8">
        <v>-12180.058743</v>
      </c>
      <c r="AA14" s="8">
        <v>12399.395602000001</v>
      </c>
      <c r="AB14" s="8">
        <v>-12180.058743</v>
      </c>
      <c r="AC14" s="8">
        <v>148180.647092</v>
      </c>
      <c r="AD14" s="8">
        <v>12180.058743</v>
      </c>
      <c r="AE14" s="8">
        <v>160360.705835</v>
      </c>
      <c r="AF14" s="8">
        <v>465635.39</v>
      </c>
      <c r="AG14" s="8">
        <v>42330.49</v>
      </c>
      <c r="AH14" s="8">
        <v>507965.88</v>
      </c>
    </row>
    <row r="15" spans="1:34" x14ac:dyDescent="0.3">
      <c r="A15" s="7">
        <v>13</v>
      </c>
      <c r="B15" s="7">
        <v>1</v>
      </c>
      <c r="C15" s="4">
        <v>44957</v>
      </c>
      <c r="D15" s="7" t="s">
        <v>6</v>
      </c>
      <c r="E15" s="7" t="s">
        <v>1244</v>
      </c>
      <c r="F15" s="8">
        <v>2539829.423163</v>
      </c>
      <c r="G15" s="8">
        <v>0</v>
      </c>
      <c r="H15" s="8">
        <v>2539829.423163</v>
      </c>
      <c r="I15" s="8">
        <v>-507965.88</v>
      </c>
      <c r="J15" s="8">
        <v>-42330.5</v>
      </c>
      <c r="K15" s="8">
        <v>-550296.38</v>
      </c>
      <c r="L15" s="8">
        <v>-1619323.2202550001</v>
      </c>
      <c r="M15" s="8">
        <v>0</v>
      </c>
      <c r="N15" s="8">
        <v>471420.85</v>
      </c>
      <c r="O15" s="8">
        <v>-468686.85</v>
      </c>
      <c r="P15" s="8">
        <v>37819.941256999999</v>
      </c>
      <c r="Q15" s="8">
        <v>-1578769.2789980001</v>
      </c>
      <c r="R15" s="8">
        <v>-468686.85</v>
      </c>
      <c r="S15" s="8">
        <v>-471420.85</v>
      </c>
      <c r="T15" s="8">
        <v>468686.85</v>
      </c>
      <c r="U15" s="8">
        <v>-471420.85</v>
      </c>
      <c r="V15" s="8">
        <v>-600000</v>
      </c>
      <c r="W15" s="8">
        <v>-50000</v>
      </c>
      <c r="X15" s="8">
        <v>-650000</v>
      </c>
      <c r="Y15" s="8">
        <v>-12180.058743</v>
      </c>
      <c r="Z15" s="8">
        <v>-11959.442419000001</v>
      </c>
      <c r="AA15" s="8">
        <v>12180.058743</v>
      </c>
      <c r="AB15" s="8">
        <v>-11959.442419000001</v>
      </c>
      <c r="AC15" s="8">
        <v>0</v>
      </c>
      <c r="AD15" s="8">
        <v>11959.442419000001</v>
      </c>
      <c r="AE15" s="8">
        <v>11959.442419000001</v>
      </c>
      <c r="AF15" s="8">
        <v>0</v>
      </c>
      <c r="AG15" s="8">
        <v>42330.5</v>
      </c>
      <c r="AH15" s="8">
        <v>42330.5</v>
      </c>
    </row>
    <row r="16" spans="1:34" x14ac:dyDescent="0.3">
      <c r="A16" s="7">
        <v>14</v>
      </c>
      <c r="B16" s="7">
        <v>2</v>
      </c>
      <c r="C16" s="4">
        <v>44985</v>
      </c>
      <c r="D16" s="7" t="s">
        <v>6</v>
      </c>
      <c r="E16" s="7" t="s">
        <v>1244</v>
      </c>
      <c r="F16" s="8">
        <v>2539829.423163</v>
      </c>
      <c r="G16" s="8">
        <v>0</v>
      </c>
      <c r="H16" s="8">
        <v>2539829.423163</v>
      </c>
      <c r="I16" s="8">
        <v>-550296.38</v>
      </c>
      <c r="J16" s="8">
        <v>-42330.49</v>
      </c>
      <c r="K16" s="8">
        <v>-592626.87</v>
      </c>
      <c r="L16" s="8">
        <v>-1578769.2789980001</v>
      </c>
      <c r="M16" s="8">
        <v>0</v>
      </c>
      <c r="N16" s="8">
        <v>474170.81</v>
      </c>
      <c r="O16" s="8">
        <v>-471420.85</v>
      </c>
      <c r="P16" s="8">
        <v>38040.557581000001</v>
      </c>
      <c r="Q16" s="8">
        <v>-1537978.7614170001</v>
      </c>
      <c r="R16" s="8">
        <v>-471420.85</v>
      </c>
      <c r="S16" s="8">
        <v>-474170.81</v>
      </c>
      <c r="T16" s="8">
        <v>471420.85</v>
      </c>
      <c r="U16" s="8">
        <v>-474170.81</v>
      </c>
      <c r="V16" s="8">
        <v>-650000</v>
      </c>
      <c r="W16" s="8">
        <v>-50000</v>
      </c>
      <c r="X16" s="8">
        <v>-700000</v>
      </c>
      <c r="Y16" s="8">
        <v>-11959.442419000001</v>
      </c>
      <c r="Z16" s="8">
        <v>-11737.539167000001</v>
      </c>
      <c r="AA16" s="8">
        <v>11959.442419000001</v>
      </c>
      <c r="AB16" s="8">
        <v>-11737.539167000001</v>
      </c>
      <c r="AC16" s="8">
        <v>11959.442419000001</v>
      </c>
      <c r="AD16" s="8">
        <v>11737.539167000001</v>
      </c>
      <c r="AE16" s="8">
        <v>23696.981586000002</v>
      </c>
      <c r="AF16" s="8">
        <v>42330.5</v>
      </c>
      <c r="AG16" s="8">
        <v>42330.49</v>
      </c>
      <c r="AH16" s="8">
        <v>84660.99</v>
      </c>
    </row>
    <row r="17" spans="1:34" x14ac:dyDescent="0.3">
      <c r="A17" s="7">
        <v>15</v>
      </c>
      <c r="B17" s="7">
        <v>3</v>
      </c>
      <c r="C17" s="4">
        <v>45016</v>
      </c>
      <c r="D17" s="7" t="s">
        <v>6</v>
      </c>
      <c r="E17" s="7" t="s">
        <v>1244</v>
      </c>
      <c r="F17" s="8">
        <v>2539829.423163</v>
      </c>
      <c r="G17" s="8">
        <v>0</v>
      </c>
      <c r="H17" s="8">
        <v>2539829.423163</v>
      </c>
      <c r="I17" s="8">
        <v>-592626.87</v>
      </c>
      <c r="J17" s="8">
        <v>-42330.49</v>
      </c>
      <c r="K17" s="8">
        <v>-634957.36</v>
      </c>
      <c r="L17" s="8">
        <v>-1537978.7614170001</v>
      </c>
      <c r="M17" s="8">
        <v>0</v>
      </c>
      <c r="N17" s="8">
        <v>476936.81</v>
      </c>
      <c r="O17" s="8">
        <v>-474170.81</v>
      </c>
      <c r="P17" s="8">
        <v>38262.460832999997</v>
      </c>
      <c r="Q17" s="8">
        <v>-1496950.3005840001</v>
      </c>
      <c r="R17" s="8">
        <v>-474170.81</v>
      </c>
      <c r="S17" s="8">
        <v>-476936.81</v>
      </c>
      <c r="T17" s="8">
        <v>474170.81</v>
      </c>
      <c r="U17" s="8">
        <v>-476936.81</v>
      </c>
      <c r="V17" s="8">
        <v>-700000</v>
      </c>
      <c r="W17" s="8">
        <v>-50000</v>
      </c>
      <c r="X17" s="8">
        <v>-750000</v>
      </c>
      <c r="Y17" s="8">
        <v>-11737.539167000001</v>
      </c>
      <c r="Z17" s="8">
        <v>-11514.341478</v>
      </c>
      <c r="AA17" s="8">
        <v>11737.539167000001</v>
      </c>
      <c r="AB17" s="8">
        <v>-11514.341478</v>
      </c>
      <c r="AC17" s="8">
        <v>23696.981586000002</v>
      </c>
      <c r="AD17" s="8">
        <v>11514.341478</v>
      </c>
      <c r="AE17" s="8">
        <v>35211.323063999997</v>
      </c>
      <c r="AF17" s="8">
        <v>84660.99</v>
      </c>
      <c r="AG17" s="8">
        <v>42330.49</v>
      </c>
      <c r="AH17" s="8">
        <v>126991.48</v>
      </c>
    </row>
    <row r="18" spans="1:34" x14ac:dyDescent="0.3">
      <c r="A18" s="7">
        <v>16</v>
      </c>
      <c r="B18" s="7">
        <v>4</v>
      </c>
      <c r="C18" s="4">
        <v>45046</v>
      </c>
      <c r="D18" s="7" t="s">
        <v>6</v>
      </c>
      <c r="E18" s="7" t="s">
        <v>1244</v>
      </c>
      <c r="F18" s="8">
        <v>2539829.423163</v>
      </c>
      <c r="G18" s="8">
        <v>0</v>
      </c>
      <c r="H18" s="8">
        <v>2539829.423163</v>
      </c>
      <c r="I18" s="8">
        <v>-634957.36</v>
      </c>
      <c r="J18" s="8">
        <v>-42330.49</v>
      </c>
      <c r="K18" s="8">
        <v>-677287.85</v>
      </c>
      <c r="L18" s="8">
        <v>-1496950.3005840001</v>
      </c>
      <c r="M18" s="8">
        <v>0</v>
      </c>
      <c r="N18" s="8">
        <v>479718.94</v>
      </c>
      <c r="O18" s="8">
        <v>-476936.81</v>
      </c>
      <c r="P18" s="8">
        <v>38485.658521999998</v>
      </c>
      <c r="Q18" s="8">
        <v>-1455682.5120620001</v>
      </c>
      <c r="R18" s="8">
        <v>-476936.81</v>
      </c>
      <c r="S18" s="8">
        <v>-479718.94</v>
      </c>
      <c r="T18" s="8">
        <v>476936.81</v>
      </c>
      <c r="U18" s="8">
        <v>-479718.94</v>
      </c>
      <c r="V18" s="8">
        <v>-750000</v>
      </c>
      <c r="W18" s="8">
        <v>-50000</v>
      </c>
      <c r="X18" s="8">
        <v>-800000</v>
      </c>
      <c r="Y18" s="8">
        <v>-11514.341478</v>
      </c>
      <c r="Z18" s="8">
        <v>-11289.841804</v>
      </c>
      <c r="AA18" s="8">
        <v>11514.341478</v>
      </c>
      <c r="AB18" s="8">
        <v>-11289.841804</v>
      </c>
      <c r="AC18" s="8">
        <v>35211.323063999997</v>
      </c>
      <c r="AD18" s="8">
        <v>11289.841804</v>
      </c>
      <c r="AE18" s="8">
        <v>46501.164868</v>
      </c>
      <c r="AF18" s="8">
        <v>126991.48</v>
      </c>
      <c r="AG18" s="8">
        <v>42330.49</v>
      </c>
      <c r="AH18" s="8">
        <v>169321.97</v>
      </c>
    </row>
    <row r="19" spans="1:34" x14ac:dyDescent="0.3">
      <c r="A19" s="7">
        <v>17</v>
      </c>
      <c r="B19" s="7">
        <v>5</v>
      </c>
      <c r="C19" s="4">
        <v>45077</v>
      </c>
      <c r="D19" s="7" t="s">
        <v>6</v>
      </c>
      <c r="E19" s="7" t="s">
        <v>1244</v>
      </c>
      <c r="F19" s="8">
        <v>2539829.423163</v>
      </c>
      <c r="G19" s="8">
        <v>0</v>
      </c>
      <c r="H19" s="8">
        <v>2539829.423163</v>
      </c>
      <c r="I19" s="8">
        <v>-677287.85</v>
      </c>
      <c r="J19" s="8">
        <v>-42330.49</v>
      </c>
      <c r="K19" s="8">
        <v>-719618.34</v>
      </c>
      <c r="L19" s="8">
        <v>-1455682.5120620001</v>
      </c>
      <c r="M19" s="8">
        <v>0</v>
      </c>
      <c r="N19" s="8">
        <v>482517.29</v>
      </c>
      <c r="O19" s="8">
        <v>-479718.94</v>
      </c>
      <c r="P19" s="8">
        <v>38710.158195999997</v>
      </c>
      <c r="Q19" s="8">
        <v>-1414174.0038660001</v>
      </c>
      <c r="R19" s="8">
        <v>-479718.94</v>
      </c>
      <c r="S19" s="8">
        <v>-482517.29</v>
      </c>
      <c r="T19" s="8">
        <v>479718.94</v>
      </c>
      <c r="U19" s="8">
        <v>-482517.29</v>
      </c>
      <c r="V19" s="8">
        <v>-800000</v>
      </c>
      <c r="W19" s="8">
        <v>-50000</v>
      </c>
      <c r="X19" s="8">
        <v>-850000</v>
      </c>
      <c r="Y19" s="8">
        <v>-11289.841804</v>
      </c>
      <c r="Z19" s="8">
        <v>-11064.032547999999</v>
      </c>
      <c r="AA19" s="8">
        <v>11289.841804</v>
      </c>
      <c r="AB19" s="8">
        <v>-11064.032547999999</v>
      </c>
      <c r="AC19" s="8">
        <v>46501.164868</v>
      </c>
      <c r="AD19" s="8">
        <v>11064.032547999999</v>
      </c>
      <c r="AE19" s="8">
        <v>57565.197416000003</v>
      </c>
      <c r="AF19" s="8">
        <v>169321.97</v>
      </c>
      <c r="AG19" s="8">
        <v>42330.49</v>
      </c>
      <c r="AH19" s="8">
        <v>211652.46</v>
      </c>
    </row>
    <row r="20" spans="1:34" x14ac:dyDescent="0.3">
      <c r="A20" s="7">
        <v>18</v>
      </c>
      <c r="B20" s="7">
        <v>6</v>
      </c>
      <c r="C20" s="4">
        <v>45107</v>
      </c>
      <c r="D20" s="7" t="s">
        <v>6</v>
      </c>
      <c r="E20" s="7" t="s">
        <v>1244</v>
      </c>
      <c r="F20" s="8">
        <v>2539829.423163</v>
      </c>
      <c r="G20" s="8">
        <v>0</v>
      </c>
      <c r="H20" s="8">
        <v>2539829.423163</v>
      </c>
      <c r="I20" s="8">
        <v>-719618.34</v>
      </c>
      <c r="J20" s="8">
        <v>-42330.49</v>
      </c>
      <c r="K20" s="8">
        <v>-761948.83</v>
      </c>
      <c r="L20" s="8">
        <v>-1414174.0038660001</v>
      </c>
      <c r="M20" s="8">
        <v>0</v>
      </c>
      <c r="N20" s="8">
        <v>485331.99</v>
      </c>
      <c r="O20" s="8">
        <v>-482517.29</v>
      </c>
      <c r="P20" s="8">
        <v>38935.967451999997</v>
      </c>
      <c r="Q20" s="8">
        <v>-1372423.336414</v>
      </c>
      <c r="R20" s="8">
        <v>-482517.29</v>
      </c>
      <c r="S20" s="8">
        <v>-485331.99</v>
      </c>
      <c r="T20" s="8">
        <v>482517.29</v>
      </c>
      <c r="U20" s="8">
        <v>-485331.99</v>
      </c>
      <c r="V20" s="8">
        <v>-850000</v>
      </c>
      <c r="W20" s="8">
        <v>-50000</v>
      </c>
      <c r="X20" s="8">
        <v>-900000</v>
      </c>
      <c r="Y20" s="8">
        <v>-11064.032547999999</v>
      </c>
      <c r="Z20" s="8">
        <v>-10836.906070999999</v>
      </c>
      <c r="AA20" s="8">
        <v>11064.032547999999</v>
      </c>
      <c r="AB20" s="8">
        <v>-10836.906070999999</v>
      </c>
      <c r="AC20" s="8">
        <v>57565.197416000003</v>
      </c>
      <c r="AD20" s="8">
        <v>10836.906070999999</v>
      </c>
      <c r="AE20" s="8">
        <v>68402.103487</v>
      </c>
      <c r="AF20" s="8">
        <v>211652.46</v>
      </c>
      <c r="AG20" s="8">
        <v>42330.49</v>
      </c>
      <c r="AH20" s="8">
        <v>253982.95</v>
      </c>
    </row>
    <row r="21" spans="1:34" x14ac:dyDescent="0.3">
      <c r="A21" s="7">
        <v>19</v>
      </c>
      <c r="B21" s="7">
        <v>7</v>
      </c>
      <c r="C21" s="4">
        <v>45138</v>
      </c>
      <c r="D21" s="7" t="s">
        <v>6</v>
      </c>
      <c r="E21" s="7" t="s">
        <v>1244</v>
      </c>
      <c r="F21" s="8">
        <v>2539829.423163</v>
      </c>
      <c r="G21" s="8">
        <v>0</v>
      </c>
      <c r="H21" s="8">
        <v>2539829.423163</v>
      </c>
      <c r="I21" s="8">
        <v>-761948.83</v>
      </c>
      <c r="J21" s="8">
        <v>-42330.49</v>
      </c>
      <c r="K21" s="8">
        <v>-804279.32</v>
      </c>
      <c r="L21" s="8">
        <v>-1372423.336414</v>
      </c>
      <c r="M21" s="8">
        <v>0</v>
      </c>
      <c r="N21" s="8">
        <v>488163.08</v>
      </c>
      <c r="O21" s="8">
        <v>-485331.99</v>
      </c>
      <c r="P21" s="8">
        <v>39163.093929000002</v>
      </c>
      <c r="Q21" s="8">
        <v>-1330429.152485</v>
      </c>
      <c r="R21" s="8">
        <v>-485331.99</v>
      </c>
      <c r="S21" s="8">
        <v>-488163.08</v>
      </c>
      <c r="T21" s="8">
        <v>485331.99</v>
      </c>
      <c r="U21" s="8">
        <v>-488163.08</v>
      </c>
      <c r="V21" s="8">
        <v>-900000</v>
      </c>
      <c r="W21" s="8">
        <v>-50000</v>
      </c>
      <c r="X21" s="8">
        <v>-950000</v>
      </c>
      <c r="Y21" s="8">
        <v>-10836.906070999999</v>
      </c>
      <c r="Z21" s="8">
        <v>-10608.454689</v>
      </c>
      <c r="AA21" s="8">
        <v>10836.906070999999</v>
      </c>
      <c r="AB21" s="8">
        <v>-10608.454689</v>
      </c>
      <c r="AC21" s="8">
        <v>68402.103487</v>
      </c>
      <c r="AD21" s="8">
        <v>10608.454689</v>
      </c>
      <c r="AE21" s="8">
        <v>79010.558176000006</v>
      </c>
      <c r="AF21" s="8">
        <v>253982.95</v>
      </c>
      <c r="AG21" s="8">
        <v>42330.49</v>
      </c>
      <c r="AH21" s="8">
        <v>296313.44</v>
      </c>
    </row>
    <row r="22" spans="1:34" x14ac:dyDescent="0.3">
      <c r="A22" s="7">
        <v>20</v>
      </c>
      <c r="B22" s="7">
        <v>8</v>
      </c>
      <c r="C22" s="4">
        <v>45169</v>
      </c>
      <c r="D22" s="7" t="s">
        <v>6</v>
      </c>
      <c r="E22" s="7" t="s">
        <v>1244</v>
      </c>
      <c r="F22" s="8">
        <v>2539829.423163</v>
      </c>
      <c r="G22" s="8">
        <v>0</v>
      </c>
      <c r="H22" s="8">
        <v>2539829.423163</v>
      </c>
      <c r="I22" s="8">
        <v>-804279.32</v>
      </c>
      <c r="J22" s="8">
        <v>-42330.49</v>
      </c>
      <c r="K22" s="8">
        <v>-846609.81</v>
      </c>
      <c r="L22" s="8">
        <v>-1330429.152485</v>
      </c>
      <c r="M22" s="8">
        <v>0</v>
      </c>
      <c r="N22" s="8">
        <v>491010.7</v>
      </c>
      <c r="O22" s="8">
        <v>-488163.08</v>
      </c>
      <c r="P22" s="8">
        <v>39391.545311000002</v>
      </c>
      <c r="Q22" s="8">
        <v>-1288189.9871739999</v>
      </c>
      <c r="R22" s="8">
        <v>-488163.08</v>
      </c>
      <c r="S22" s="8">
        <v>-491010.7</v>
      </c>
      <c r="T22" s="8">
        <v>488163.08</v>
      </c>
      <c r="U22" s="8">
        <v>-491010.7</v>
      </c>
      <c r="V22" s="8">
        <v>-950000</v>
      </c>
      <c r="W22" s="8">
        <v>-50000</v>
      </c>
      <c r="X22" s="8">
        <v>-1000000</v>
      </c>
      <c r="Y22" s="8">
        <v>-10608.454689</v>
      </c>
      <c r="Z22" s="8">
        <v>-10378.670674999999</v>
      </c>
      <c r="AA22" s="8">
        <v>10608.454689</v>
      </c>
      <c r="AB22" s="8">
        <v>-10378.670674999999</v>
      </c>
      <c r="AC22" s="8">
        <v>79010.558176000006</v>
      </c>
      <c r="AD22" s="8">
        <v>10378.670674999999</v>
      </c>
      <c r="AE22" s="8">
        <v>89389.228851000007</v>
      </c>
      <c r="AF22" s="8">
        <v>296313.44</v>
      </c>
      <c r="AG22" s="8">
        <v>42330.49</v>
      </c>
      <c r="AH22" s="8">
        <v>338643.93</v>
      </c>
    </row>
    <row r="23" spans="1:34" x14ac:dyDescent="0.3">
      <c r="A23" s="7">
        <v>21</v>
      </c>
      <c r="B23" s="7">
        <v>9</v>
      </c>
      <c r="C23" s="4">
        <v>45199</v>
      </c>
      <c r="D23" s="7" t="s">
        <v>6</v>
      </c>
      <c r="E23" s="7" t="s">
        <v>1244</v>
      </c>
      <c r="F23" s="8">
        <v>2539829.423163</v>
      </c>
      <c r="G23" s="8">
        <v>0</v>
      </c>
      <c r="H23" s="8">
        <v>2539829.423163</v>
      </c>
      <c r="I23" s="8">
        <v>-846609.81</v>
      </c>
      <c r="J23" s="8">
        <v>-42330.49</v>
      </c>
      <c r="K23" s="8">
        <v>-888940.3</v>
      </c>
      <c r="L23" s="8">
        <v>-1288189.9871739999</v>
      </c>
      <c r="M23" s="8">
        <v>0</v>
      </c>
      <c r="N23" s="8">
        <v>493874.94</v>
      </c>
      <c r="O23" s="8">
        <v>-491010.7</v>
      </c>
      <c r="P23" s="8">
        <v>39621.329324999999</v>
      </c>
      <c r="Q23" s="8">
        <v>-1245704.4178490001</v>
      </c>
      <c r="R23" s="8">
        <v>-491010.7</v>
      </c>
      <c r="S23" s="8">
        <v>-493874.94</v>
      </c>
      <c r="T23" s="8">
        <v>491010.7</v>
      </c>
      <c r="U23" s="8">
        <v>-493874.94</v>
      </c>
      <c r="V23" s="8">
        <v>-1000000</v>
      </c>
      <c r="W23" s="8">
        <v>-50000</v>
      </c>
      <c r="X23" s="8">
        <v>-1050000</v>
      </c>
      <c r="Y23" s="8">
        <v>-10378.670674999999</v>
      </c>
      <c r="Z23" s="8">
        <v>-10147.546254000001</v>
      </c>
      <c r="AA23" s="8">
        <v>10378.670674999999</v>
      </c>
      <c r="AB23" s="8">
        <v>-10147.546254000001</v>
      </c>
      <c r="AC23" s="8">
        <v>89389.228851000007</v>
      </c>
      <c r="AD23" s="8">
        <v>10147.546254000001</v>
      </c>
      <c r="AE23" s="8">
        <v>99536.775104999993</v>
      </c>
      <c r="AF23" s="8">
        <v>338643.93</v>
      </c>
      <c r="AG23" s="8">
        <v>42330.49</v>
      </c>
      <c r="AH23" s="8">
        <v>380974.42</v>
      </c>
    </row>
    <row r="24" spans="1:34" x14ac:dyDescent="0.3">
      <c r="A24" s="7">
        <v>22</v>
      </c>
      <c r="B24" s="7">
        <v>10</v>
      </c>
      <c r="C24" s="4">
        <v>45230</v>
      </c>
      <c r="D24" s="7" t="s">
        <v>6</v>
      </c>
      <c r="E24" s="7" t="s">
        <v>1244</v>
      </c>
      <c r="F24" s="8">
        <v>2539829.423163</v>
      </c>
      <c r="G24" s="8">
        <v>0</v>
      </c>
      <c r="H24" s="8">
        <v>2539829.423163</v>
      </c>
      <c r="I24" s="8">
        <v>-888940.3</v>
      </c>
      <c r="J24" s="8">
        <v>-42330.49</v>
      </c>
      <c r="K24" s="8">
        <v>-931270.79</v>
      </c>
      <c r="L24" s="8">
        <v>-1245704.4178490001</v>
      </c>
      <c r="M24" s="8">
        <v>0</v>
      </c>
      <c r="N24" s="8">
        <v>496755.86</v>
      </c>
      <c r="O24" s="8">
        <v>-493874.94</v>
      </c>
      <c r="P24" s="8">
        <v>39852.453745999999</v>
      </c>
      <c r="Q24" s="8">
        <v>-1202971.0441030001</v>
      </c>
      <c r="R24" s="8">
        <v>-493874.94</v>
      </c>
      <c r="S24" s="8">
        <v>-496755.86</v>
      </c>
      <c r="T24" s="8">
        <v>493874.94</v>
      </c>
      <c r="U24" s="8">
        <v>-496755.86</v>
      </c>
      <c r="V24" s="8">
        <v>-1050000</v>
      </c>
      <c r="W24" s="8">
        <v>-50000</v>
      </c>
      <c r="X24" s="8">
        <v>-1100000</v>
      </c>
      <c r="Y24" s="8">
        <v>-10147.546254000001</v>
      </c>
      <c r="Z24" s="8">
        <v>-9915.0736070000003</v>
      </c>
      <c r="AA24" s="8">
        <v>10147.546254000001</v>
      </c>
      <c r="AB24" s="8">
        <v>-9915.0736070000003</v>
      </c>
      <c r="AC24" s="8">
        <v>99536.775104999993</v>
      </c>
      <c r="AD24" s="8">
        <v>9915.0736070000003</v>
      </c>
      <c r="AE24" s="8">
        <v>109451.84871200001</v>
      </c>
      <c r="AF24" s="8">
        <v>380974.42</v>
      </c>
      <c r="AG24" s="8">
        <v>42330.49</v>
      </c>
      <c r="AH24" s="8">
        <v>423304.91</v>
      </c>
    </row>
    <row r="25" spans="1:34" x14ac:dyDescent="0.3">
      <c r="A25" s="7">
        <v>23</v>
      </c>
      <c r="B25" s="7">
        <v>11</v>
      </c>
      <c r="C25" s="4">
        <v>45260</v>
      </c>
      <c r="D25" s="7" t="s">
        <v>6</v>
      </c>
      <c r="E25" s="7" t="s">
        <v>1244</v>
      </c>
      <c r="F25" s="8">
        <v>2539829.423163</v>
      </c>
      <c r="G25" s="8">
        <v>0</v>
      </c>
      <c r="H25" s="8">
        <v>2539829.423163</v>
      </c>
      <c r="I25" s="8">
        <v>-931270.79</v>
      </c>
      <c r="J25" s="8">
        <v>-42330.49</v>
      </c>
      <c r="K25" s="8">
        <v>-973601.28000000003</v>
      </c>
      <c r="L25" s="8">
        <v>-1202971.0441030001</v>
      </c>
      <c r="M25" s="8">
        <v>0</v>
      </c>
      <c r="N25" s="8">
        <v>499653.62</v>
      </c>
      <c r="O25" s="8">
        <v>-496755.86</v>
      </c>
      <c r="P25" s="8">
        <v>40084.926393000002</v>
      </c>
      <c r="Q25" s="8">
        <v>-1159988.3577099999</v>
      </c>
      <c r="R25" s="8">
        <v>-496755.86</v>
      </c>
      <c r="S25" s="8">
        <v>-499653.62</v>
      </c>
      <c r="T25" s="8">
        <v>496755.86</v>
      </c>
      <c r="U25" s="8">
        <v>-499653.62</v>
      </c>
      <c r="V25" s="8">
        <v>-1100000</v>
      </c>
      <c r="W25" s="8">
        <v>-50000</v>
      </c>
      <c r="X25" s="8">
        <v>-1150000</v>
      </c>
      <c r="Y25" s="8">
        <v>-9915.0736070000003</v>
      </c>
      <c r="Z25" s="8">
        <v>-9681.2448700000004</v>
      </c>
      <c r="AA25" s="8">
        <v>9915.0736070000003</v>
      </c>
      <c r="AB25" s="8">
        <v>-9681.2448700000004</v>
      </c>
      <c r="AC25" s="8">
        <v>109451.84871200001</v>
      </c>
      <c r="AD25" s="8">
        <v>9681.2448700000004</v>
      </c>
      <c r="AE25" s="8">
        <v>119133.093582</v>
      </c>
      <c r="AF25" s="8">
        <v>423304.91</v>
      </c>
      <c r="AG25" s="8">
        <v>42330.49</v>
      </c>
      <c r="AH25" s="8">
        <v>465635.4</v>
      </c>
    </row>
    <row r="26" spans="1:34" x14ac:dyDescent="0.3">
      <c r="A26" s="7">
        <v>24</v>
      </c>
      <c r="B26" s="7">
        <v>12</v>
      </c>
      <c r="C26" s="4">
        <v>45291</v>
      </c>
      <c r="D26" s="7" t="s">
        <v>6</v>
      </c>
      <c r="E26" s="7" t="s">
        <v>1244</v>
      </c>
      <c r="F26" s="8">
        <v>2539829.423163</v>
      </c>
      <c r="G26" s="8">
        <v>0</v>
      </c>
      <c r="H26" s="8">
        <v>2539829.423163</v>
      </c>
      <c r="I26" s="8">
        <v>-973601.28000000003</v>
      </c>
      <c r="J26" s="8">
        <v>-42330.49</v>
      </c>
      <c r="K26" s="8">
        <v>-1015931.77</v>
      </c>
      <c r="L26" s="8">
        <v>-1159988.3577099999</v>
      </c>
      <c r="M26" s="8">
        <v>0</v>
      </c>
      <c r="N26" s="8">
        <v>502568.25</v>
      </c>
      <c r="O26" s="8">
        <v>-499653.62</v>
      </c>
      <c r="P26" s="8">
        <v>40318.755129999998</v>
      </c>
      <c r="Q26" s="8">
        <v>-1116754.9725800001</v>
      </c>
      <c r="R26" s="8">
        <v>-499653.62</v>
      </c>
      <c r="S26" s="8">
        <v>-502568.25</v>
      </c>
      <c r="T26" s="8">
        <v>499653.62</v>
      </c>
      <c r="U26" s="8">
        <v>-502568.25</v>
      </c>
      <c r="V26" s="8">
        <v>-1150000</v>
      </c>
      <c r="W26" s="8">
        <v>-50000</v>
      </c>
      <c r="X26" s="8">
        <v>-1200000</v>
      </c>
      <c r="Y26" s="8">
        <v>-9681.2448700000004</v>
      </c>
      <c r="Z26" s="8">
        <v>-9446.0521320000007</v>
      </c>
      <c r="AA26" s="8">
        <v>9681.2448700000004</v>
      </c>
      <c r="AB26" s="8">
        <v>-9446.0521320000007</v>
      </c>
      <c r="AC26" s="8">
        <v>119133.093582</v>
      </c>
      <c r="AD26" s="8">
        <v>9446.0521320000007</v>
      </c>
      <c r="AE26" s="8">
        <v>128579.145714</v>
      </c>
      <c r="AF26" s="8">
        <v>465635.4</v>
      </c>
      <c r="AG26" s="8">
        <v>42330.49</v>
      </c>
      <c r="AH26" s="8">
        <v>507965.89</v>
      </c>
    </row>
    <row r="27" spans="1:34" x14ac:dyDescent="0.3">
      <c r="A27" s="7">
        <v>25</v>
      </c>
      <c r="B27" s="7">
        <v>1</v>
      </c>
      <c r="C27" s="4">
        <v>45322</v>
      </c>
      <c r="D27" s="7" t="s">
        <v>6</v>
      </c>
      <c r="E27" s="7" t="s">
        <v>1244</v>
      </c>
      <c r="F27" s="8">
        <v>2539829.423163</v>
      </c>
      <c r="G27" s="8">
        <v>0</v>
      </c>
      <c r="H27" s="8">
        <v>2539829.423163</v>
      </c>
      <c r="I27" s="8">
        <v>-1015931.77</v>
      </c>
      <c r="J27" s="8">
        <v>-42330.49</v>
      </c>
      <c r="K27" s="8">
        <v>-1058262.26</v>
      </c>
      <c r="L27" s="8">
        <v>-1116754.9725800001</v>
      </c>
      <c r="M27" s="8">
        <v>0</v>
      </c>
      <c r="N27" s="8">
        <v>505499.91</v>
      </c>
      <c r="O27" s="8">
        <v>-502568.25</v>
      </c>
      <c r="P27" s="8">
        <v>40553.947868000003</v>
      </c>
      <c r="Q27" s="8">
        <v>-1073269.3647119999</v>
      </c>
      <c r="R27" s="8">
        <v>-502568.25</v>
      </c>
      <c r="S27" s="8">
        <v>-505499.91</v>
      </c>
      <c r="T27" s="8">
        <v>502568.25</v>
      </c>
      <c r="U27" s="8">
        <v>-505499.91</v>
      </c>
      <c r="V27" s="8">
        <v>-1200000</v>
      </c>
      <c r="W27" s="8">
        <v>-50000</v>
      </c>
      <c r="X27" s="8">
        <v>-1250000</v>
      </c>
      <c r="Y27" s="8">
        <v>-9446.0521320000007</v>
      </c>
      <c r="Z27" s="8">
        <v>-9209.4874359999994</v>
      </c>
      <c r="AA27" s="8">
        <v>9446.0521320000007</v>
      </c>
      <c r="AB27" s="8">
        <v>-9209.4874359999994</v>
      </c>
      <c r="AC27" s="8">
        <v>0</v>
      </c>
      <c r="AD27" s="8">
        <v>9209.4874359999994</v>
      </c>
      <c r="AE27" s="8">
        <v>9209.4874359999994</v>
      </c>
      <c r="AF27" s="8">
        <v>0</v>
      </c>
      <c r="AG27" s="8">
        <v>42330.49</v>
      </c>
      <c r="AH27" s="8">
        <v>42330.49</v>
      </c>
    </row>
    <row r="28" spans="1:34" x14ac:dyDescent="0.3">
      <c r="A28" s="7">
        <v>26</v>
      </c>
      <c r="B28" s="7">
        <v>2</v>
      </c>
      <c r="C28" s="4">
        <v>45351</v>
      </c>
      <c r="D28" s="7" t="s">
        <v>6</v>
      </c>
      <c r="E28" s="7" t="s">
        <v>1244</v>
      </c>
      <c r="F28" s="8">
        <v>2539829.423163</v>
      </c>
      <c r="G28" s="8">
        <v>0</v>
      </c>
      <c r="H28" s="8">
        <v>2539829.423163</v>
      </c>
      <c r="I28" s="8">
        <v>-1058262.26</v>
      </c>
      <c r="J28" s="8">
        <v>-42330.49</v>
      </c>
      <c r="K28" s="8">
        <v>-1100592.75</v>
      </c>
      <c r="L28" s="8">
        <v>-1073269.3647119999</v>
      </c>
      <c r="M28" s="8">
        <v>0</v>
      </c>
      <c r="N28" s="8">
        <v>508448.66</v>
      </c>
      <c r="O28" s="8">
        <v>-505499.91</v>
      </c>
      <c r="P28" s="8">
        <v>40790.512563999997</v>
      </c>
      <c r="Q28" s="8">
        <v>-1029530.102148</v>
      </c>
      <c r="R28" s="8">
        <v>-505499.91</v>
      </c>
      <c r="S28" s="8">
        <v>-508448.66</v>
      </c>
      <c r="T28" s="8">
        <v>505499.91</v>
      </c>
      <c r="U28" s="8">
        <v>-508448.66</v>
      </c>
      <c r="V28" s="8">
        <v>-1250000</v>
      </c>
      <c r="W28" s="8">
        <v>-50000</v>
      </c>
      <c r="X28" s="8">
        <v>-1300000</v>
      </c>
      <c r="Y28" s="8">
        <v>-9209.4874359999994</v>
      </c>
      <c r="Z28" s="8">
        <v>-8971.5427789999994</v>
      </c>
      <c r="AA28" s="8">
        <v>9209.4874359999994</v>
      </c>
      <c r="AB28" s="8">
        <v>-8971.5427789999994</v>
      </c>
      <c r="AC28" s="8">
        <v>9209.4874359999994</v>
      </c>
      <c r="AD28" s="8">
        <v>8971.5427789999994</v>
      </c>
      <c r="AE28" s="8">
        <v>18181.030214999999</v>
      </c>
      <c r="AF28" s="8">
        <v>42330.49</v>
      </c>
      <c r="AG28" s="8">
        <v>42330.49</v>
      </c>
      <c r="AH28" s="8">
        <v>84660.98</v>
      </c>
    </row>
    <row r="29" spans="1:34" x14ac:dyDescent="0.3">
      <c r="A29" s="7">
        <v>27</v>
      </c>
      <c r="B29" s="7">
        <v>3</v>
      </c>
      <c r="C29" s="4">
        <v>45382</v>
      </c>
      <c r="D29" s="7" t="s">
        <v>6</v>
      </c>
      <c r="E29" s="7" t="s">
        <v>1244</v>
      </c>
      <c r="F29" s="8">
        <v>2539829.423163</v>
      </c>
      <c r="G29" s="8">
        <v>0</v>
      </c>
      <c r="H29" s="8">
        <v>2539829.423163</v>
      </c>
      <c r="I29" s="8">
        <v>-1100592.75</v>
      </c>
      <c r="J29" s="8">
        <v>-42330.49</v>
      </c>
      <c r="K29" s="8">
        <v>-1142923.24</v>
      </c>
      <c r="L29" s="8">
        <v>-1029530.102148</v>
      </c>
      <c r="M29" s="8">
        <v>0</v>
      </c>
      <c r="N29" s="8">
        <v>511414.6</v>
      </c>
      <c r="O29" s="8">
        <v>-508448.66</v>
      </c>
      <c r="P29" s="8">
        <v>41028.457220999997</v>
      </c>
      <c r="Q29" s="8">
        <v>-985535.70492699998</v>
      </c>
      <c r="R29" s="8">
        <v>-508448.66</v>
      </c>
      <c r="S29" s="8">
        <v>-511414.6</v>
      </c>
      <c r="T29" s="8">
        <v>508448.66</v>
      </c>
      <c r="U29" s="8">
        <v>-511414.6</v>
      </c>
      <c r="V29" s="8">
        <v>-1300000</v>
      </c>
      <c r="W29" s="8">
        <v>-50000</v>
      </c>
      <c r="X29" s="8">
        <v>-1350000</v>
      </c>
      <c r="Y29" s="8">
        <v>-8971.5427789999994</v>
      </c>
      <c r="Z29" s="8">
        <v>-8732.2101120000007</v>
      </c>
      <c r="AA29" s="8">
        <v>8971.5427789999994</v>
      </c>
      <c r="AB29" s="8">
        <v>-8732.2101120000007</v>
      </c>
      <c r="AC29" s="8">
        <v>18181.030214999999</v>
      </c>
      <c r="AD29" s="8">
        <v>8732.2101120000007</v>
      </c>
      <c r="AE29" s="8">
        <v>26913.240327</v>
      </c>
      <c r="AF29" s="8">
        <v>84660.98</v>
      </c>
      <c r="AG29" s="8">
        <v>42330.49</v>
      </c>
      <c r="AH29" s="8">
        <v>126991.47</v>
      </c>
    </row>
    <row r="30" spans="1:34" x14ac:dyDescent="0.3">
      <c r="A30" s="7">
        <v>28</v>
      </c>
      <c r="B30" s="7">
        <v>4</v>
      </c>
      <c r="C30" s="4">
        <v>45412</v>
      </c>
      <c r="D30" s="7" t="s">
        <v>6</v>
      </c>
      <c r="E30" s="7" t="s">
        <v>1244</v>
      </c>
      <c r="F30" s="8">
        <v>2539829.423163</v>
      </c>
      <c r="G30" s="8">
        <v>0</v>
      </c>
      <c r="H30" s="8">
        <v>2539829.423163</v>
      </c>
      <c r="I30" s="8">
        <v>-1142923.24</v>
      </c>
      <c r="J30" s="8">
        <v>-42330.49</v>
      </c>
      <c r="K30" s="8">
        <v>-1185253.73</v>
      </c>
      <c r="L30" s="8">
        <v>-985535.70492699998</v>
      </c>
      <c r="M30" s="8">
        <v>0</v>
      </c>
      <c r="N30" s="8">
        <v>514397.86</v>
      </c>
      <c r="O30" s="8">
        <v>-511414.6</v>
      </c>
      <c r="P30" s="8">
        <v>41267.789887999999</v>
      </c>
      <c r="Q30" s="8">
        <v>-941284.65503899998</v>
      </c>
      <c r="R30" s="8">
        <v>-511414.6</v>
      </c>
      <c r="S30" s="8">
        <v>-514397.86</v>
      </c>
      <c r="T30" s="8">
        <v>511414.6</v>
      </c>
      <c r="U30" s="8">
        <v>-514397.86</v>
      </c>
      <c r="V30" s="8">
        <v>-1350000</v>
      </c>
      <c r="W30" s="8">
        <v>-50000</v>
      </c>
      <c r="X30" s="8">
        <v>-1400000</v>
      </c>
      <c r="Y30" s="8">
        <v>-8732.2101120000007</v>
      </c>
      <c r="Z30" s="8">
        <v>-8491.4813379999996</v>
      </c>
      <c r="AA30" s="8">
        <v>8732.2101120000007</v>
      </c>
      <c r="AB30" s="8">
        <v>-8491.4813379999996</v>
      </c>
      <c r="AC30" s="8">
        <v>26913.240327</v>
      </c>
      <c r="AD30" s="8">
        <v>8491.4813379999996</v>
      </c>
      <c r="AE30" s="8">
        <v>35404.721664999997</v>
      </c>
      <c r="AF30" s="8">
        <v>126991.47</v>
      </c>
      <c r="AG30" s="8">
        <v>42330.49</v>
      </c>
      <c r="AH30" s="8">
        <v>169321.96</v>
      </c>
    </row>
    <row r="31" spans="1:34" x14ac:dyDescent="0.3">
      <c r="A31" s="7">
        <v>29</v>
      </c>
      <c r="B31" s="7">
        <v>5</v>
      </c>
      <c r="C31" s="4">
        <v>45443</v>
      </c>
      <c r="D31" s="7" t="s">
        <v>6</v>
      </c>
      <c r="E31" s="7" t="s">
        <v>1244</v>
      </c>
      <c r="F31" s="8">
        <v>2539829.423163</v>
      </c>
      <c r="G31" s="8">
        <v>0</v>
      </c>
      <c r="H31" s="8">
        <v>2539829.423163</v>
      </c>
      <c r="I31" s="8">
        <v>-1185253.73</v>
      </c>
      <c r="J31" s="8">
        <v>-42330.49</v>
      </c>
      <c r="K31" s="8">
        <v>-1227584.22</v>
      </c>
      <c r="L31" s="8">
        <v>-941284.65503899998</v>
      </c>
      <c r="M31" s="8">
        <v>0</v>
      </c>
      <c r="N31" s="8">
        <v>517398.51</v>
      </c>
      <c r="O31" s="8">
        <v>-514397.86</v>
      </c>
      <c r="P31" s="8">
        <v>41508.518662000002</v>
      </c>
      <c r="Q31" s="8">
        <v>-896775.48637699999</v>
      </c>
      <c r="R31" s="8">
        <v>-514397.86</v>
      </c>
      <c r="S31" s="8">
        <v>-517398.51</v>
      </c>
      <c r="T31" s="8">
        <v>514397.86</v>
      </c>
      <c r="U31" s="8">
        <v>-517398.51</v>
      </c>
      <c r="V31" s="8">
        <v>-1400000</v>
      </c>
      <c r="W31" s="8">
        <v>-50000</v>
      </c>
      <c r="X31" s="8">
        <v>-1450000</v>
      </c>
      <c r="Y31" s="8">
        <v>-8491.4813379999996</v>
      </c>
      <c r="Z31" s="8">
        <v>-8249.3483120000001</v>
      </c>
      <c r="AA31" s="8">
        <v>8491.4813379999996</v>
      </c>
      <c r="AB31" s="8">
        <v>-8249.3483120000001</v>
      </c>
      <c r="AC31" s="8">
        <v>35404.721664999997</v>
      </c>
      <c r="AD31" s="8">
        <v>8249.3483120000001</v>
      </c>
      <c r="AE31" s="8">
        <v>43654.069976999999</v>
      </c>
      <c r="AF31" s="8">
        <v>169321.96</v>
      </c>
      <c r="AG31" s="8">
        <v>42330.49</v>
      </c>
      <c r="AH31" s="8">
        <v>211652.45</v>
      </c>
    </row>
    <row r="32" spans="1:34" x14ac:dyDescent="0.3">
      <c r="A32" s="7">
        <v>30</v>
      </c>
      <c r="B32" s="7">
        <v>6</v>
      </c>
      <c r="C32" s="4">
        <v>45473</v>
      </c>
      <c r="D32" s="7" t="s">
        <v>6</v>
      </c>
      <c r="E32" s="7" t="s">
        <v>1244</v>
      </c>
      <c r="F32" s="8">
        <v>2539829.423163</v>
      </c>
      <c r="G32" s="8">
        <v>0</v>
      </c>
      <c r="H32" s="8">
        <v>2539829.423163</v>
      </c>
      <c r="I32" s="8">
        <v>-1227584.22</v>
      </c>
      <c r="J32" s="8">
        <v>-42330.49</v>
      </c>
      <c r="K32" s="8">
        <v>-1269914.71</v>
      </c>
      <c r="L32" s="8">
        <v>-896775.48637699999</v>
      </c>
      <c r="M32" s="8">
        <v>0</v>
      </c>
      <c r="N32" s="8">
        <v>520416.67</v>
      </c>
      <c r="O32" s="8">
        <v>-517398.51</v>
      </c>
      <c r="P32" s="8">
        <v>41750.651687999998</v>
      </c>
      <c r="Q32" s="8">
        <v>-852006.67468900001</v>
      </c>
      <c r="R32" s="8">
        <v>-517398.51</v>
      </c>
      <c r="S32" s="8">
        <v>-520416.67</v>
      </c>
      <c r="T32" s="8">
        <v>517398.51</v>
      </c>
      <c r="U32" s="8">
        <v>-520416.67</v>
      </c>
      <c r="V32" s="8">
        <v>-1450000</v>
      </c>
      <c r="W32" s="8">
        <v>-50000</v>
      </c>
      <c r="X32" s="8">
        <v>-1500000</v>
      </c>
      <c r="Y32" s="8">
        <v>-8249.3483120000001</v>
      </c>
      <c r="Z32" s="8">
        <v>-8005.8028439999998</v>
      </c>
      <c r="AA32" s="8">
        <v>8249.3483120000001</v>
      </c>
      <c r="AB32" s="8">
        <v>-8005.8028439999998</v>
      </c>
      <c r="AC32" s="8">
        <v>43654.069976999999</v>
      </c>
      <c r="AD32" s="8">
        <v>8005.8028439999998</v>
      </c>
      <c r="AE32" s="8">
        <v>51659.872820999997</v>
      </c>
      <c r="AF32" s="8">
        <v>211652.45</v>
      </c>
      <c r="AG32" s="8">
        <v>42330.49</v>
      </c>
      <c r="AH32" s="8">
        <v>253982.94</v>
      </c>
    </row>
    <row r="33" spans="1:34" x14ac:dyDescent="0.3">
      <c r="A33" s="7">
        <v>31</v>
      </c>
      <c r="B33" s="7">
        <v>7</v>
      </c>
      <c r="C33" s="4">
        <v>45504</v>
      </c>
      <c r="D33" s="7" t="s">
        <v>6</v>
      </c>
      <c r="E33" s="7" t="s">
        <v>1244</v>
      </c>
      <c r="F33" s="8">
        <v>2539829.423163</v>
      </c>
      <c r="G33" s="8">
        <v>0</v>
      </c>
      <c r="H33" s="8">
        <v>2539829.423163</v>
      </c>
      <c r="I33" s="8">
        <v>-1269914.71</v>
      </c>
      <c r="J33" s="8">
        <v>-42330.49</v>
      </c>
      <c r="K33" s="8">
        <v>-1312245.2</v>
      </c>
      <c r="L33" s="8">
        <v>-852006.67468900001</v>
      </c>
      <c r="M33" s="8">
        <v>0</v>
      </c>
      <c r="N33" s="8">
        <v>523452.43</v>
      </c>
      <c r="O33" s="8">
        <v>-520416.67</v>
      </c>
      <c r="P33" s="8">
        <v>41994.197156000002</v>
      </c>
      <c r="Q33" s="8">
        <v>-806976.71753300005</v>
      </c>
      <c r="R33" s="8">
        <v>-520416.67</v>
      </c>
      <c r="S33" s="8">
        <v>-523452.43</v>
      </c>
      <c r="T33" s="8">
        <v>520416.67</v>
      </c>
      <c r="U33" s="8">
        <v>-523452.43</v>
      </c>
      <c r="V33" s="8">
        <v>-1500000</v>
      </c>
      <c r="W33" s="8">
        <v>-50000</v>
      </c>
      <c r="X33" s="8">
        <v>-1550000</v>
      </c>
      <c r="Y33" s="8">
        <v>-8005.8028439999998</v>
      </c>
      <c r="Z33" s="8">
        <v>-7760.8366939999996</v>
      </c>
      <c r="AA33" s="8">
        <v>8005.8028439999998</v>
      </c>
      <c r="AB33" s="8">
        <v>-7760.8366939999996</v>
      </c>
      <c r="AC33" s="8">
        <v>51659.872820999997</v>
      </c>
      <c r="AD33" s="8">
        <v>7760.8366939999996</v>
      </c>
      <c r="AE33" s="8">
        <v>59420.709515000002</v>
      </c>
      <c r="AF33" s="8">
        <v>253982.94</v>
      </c>
      <c r="AG33" s="8">
        <v>42330.49</v>
      </c>
      <c r="AH33" s="8">
        <v>296313.43</v>
      </c>
    </row>
    <row r="34" spans="1:34" x14ac:dyDescent="0.3">
      <c r="A34" s="7">
        <v>32</v>
      </c>
      <c r="B34" s="7">
        <v>8</v>
      </c>
      <c r="C34" s="4">
        <v>45535</v>
      </c>
      <c r="D34" s="7" t="s">
        <v>6</v>
      </c>
      <c r="E34" s="7" t="s">
        <v>1244</v>
      </c>
      <c r="F34" s="8">
        <v>2539829.423163</v>
      </c>
      <c r="G34" s="8">
        <v>0</v>
      </c>
      <c r="H34" s="8">
        <v>2539829.423163</v>
      </c>
      <c r="I34" s="8">
        <v>-1312245.2</v>
      </c>
      <c r="J34" s="8">
        <v>-42330.49</v>
      </c>
      <c r="K34" s="8">
        <v>-1354575.69</v>
      </c>
      <c r="L34" s="8">
        <v>-806976.71753300005</v>
      </c>
      <c r="M34" s="8">
        <v>0</v>
      </c>
      <c r="N34" s="8">
        <v>526505.91</v>
      </c>
      <c r="O34" s="8">
        <v>-523452.43</v>
      </c>
      <c r="P34" s="8">
        <v>42239.163306000002</v>
      </c>
      <c r="Q34" s="8">
        <v>-761684.074227</v>
      </c>
      <c r="R34" s="8">
        <v>-523452.43</v>
      </c>
      <c r="S34" s="8">
        <v>-526505.91</v>
      </c>
      <c r="T34" s="8">
        <v>523452.43</v>
      </c>
      <c r="U34" s="8">
        <v>-526505.91</v>
      </c>
      <c r="V34" s="8">
        <v>-1550000</v>
      </c>
      <c r="W34" s="8">
        <v>-50000</v>
      </c>
      <c r="X34" s="8">
        <v>-1600000</v>
      </c>
      <c r="Y34" s="8">
        <v>-7760.8366939999996</v>
      </c>
      <c r="Z34" s="8">
        <v>-7514.4415749999998</v>
      </c>
      <c r="AA34" s="8">
        <v>7760.8366939999996</v>
      </c>
      <c r="AB34" s="8">
        <v>-7514.4415749999998</v>
      </c>
      <c r="AC34" s="8">
        <v>59420.709515000002</v>
      </c>
      <c r="AD34" s="8">
        <v>7514.4415749999998</v>
      </c>
      <c r="AE34" s="8">
        <v>66935.151089999999</v>
      </c>
      <c r="AF34" s="8">
        <v>296313.43</v>
      </c>
      <c r="AG34" s="8">
        <v>42330.49</v>
      </c>
      <c r="AH34" s="8">
        <v>338643.92</v>
      </c>
    </row>
    <row r="35" spans="1:34" x14ac:dyDescent="0.3">
      <c r="A35" s="7">
        <v>33</v>
      </c>
      <c r="B35" s="7">
        <v>9</v>
      </c>
      <c r="C35" s="4">
        <v>45565</v>
      </c>
      <c r="D35" s="7" t="s">
        <v>6</v>
      </c>
      <c r="E35" s="7" t="s">
        <v>1244</v>
      </c>
      <c r="F35" s="8">
        <v>2539829.423163</v>
      </c>
      <c r="G35" s="8">
        <v>0</v>
      </c>
      <c r="H35" s="8">
        <v>2539829.423163</v>
      </c>
      <c r="I35" s="8">
        <v>-1354575.69</v>
      </c>
      <c r="J35" s="8">
        <v>-42330.49</v>
      </c>
      <c r="K35" s="8">
        <v>-1396906.18</v>
      </c>
      <c r="L35" s="8">
        <v>-761684.074227</v>
      </c>
      <c r="M35" s="8">
        <v>0</v>
      </c>
      <c r="N35" s="8">
        <v>529577.18999999994</v>
      </c>
      <c r="O35" s="8">
        <v>-526505.91</v>
      </c>
      <c r="P35" s="8">
        <v>42485.558425000003</v>
      </c>
      <c r="Q35" s="8">
        <v>-716127.23580200004</v>
      </c>
      <c r="R35" s="8">
        <v>-526505.91</v>
      </c>
      <c r="S35" s="8">
        <v>-529577.18999999994</v>
      </c>
      <c r="T35" s="8">
        <v>526505.91</v>
      </c>
      <c r="U35" s="8">
        <v>-529577.18999999994</v>
      </c>
      <c r="V35" s="8">
        <v>-1600000</v>
      </c>
      <c r="W35" s="8">
        <v>-50000</v>
      </c>
      <c r="X35" s="8">
        <v>-1650000</v>
      </c>
      <c r="Y35" s="8">
        <v>-7514.4415749999998</v>
      </c>
      <c r="Z35" s="8">
        <v>-7266.6091509999997</v>
      </c>
      <c r="AA35" s="8">
        <v>7514.4415749999998</v>
      </c>
      <c r="AB35" s="8">
        <v>-7266.6091509999997</v>
      </c>
      <c r="AC35" s="8">
        <v>66935.151089999999</v>
      </c>
      <c r="AD35" s="8">
        <v>7266.6091509999997</v>
      </c>
      <c r="AE35" s="8">
        <v>74201.760240999996</v>
      </c>
      <c r="AF35" s="8">
        <v>338643.92</v>
      </c>
      <c r="AG35" s="8">
        <v>42330.49</v>
      </c>
      <c r="AH35" s="8">
        <v>380974.41</v>
      </c>
    </row>
    <row r="36" spans="1:34" x14ac:dyDescent="0.3">
      <c r="A36" s="7">
        <v>34</v>
      </c>
      <c r="B36" s="7">
        <v>10</v>
      </c>
      <c r="C36" s="4">
        <v>45596</v>
      </c>
      <c r="D36" s="7" t="s">
        <v>6</v>
      </c>
      <c r="E36" s="7" t="s">
        <v>1244</v>
      </c>
      <c r="F36" s="8">
        <v>2539829.423163</v>
      </c>
      <c r="G36" s="8">
        <v>0</v>
      </c>
      <c r="H36" s="8">
        <v>2539829.423163</v>
      </c>
      <c r="I36" s="8">
        <v>-1396906.18</v>
      </c>
      <c r="J36" s="8">
        <v>-42330.49</v>
      </c>
      <c r="K36" s="8">
        <v>-1439236.67</v>
      </c>
      <c r="L36" s="8">
        <v>-716127.23580200004</v>
      </c>
      <c r="M36" s="8">
        <v>0</v>
      </c>
      <c r="N36" s="8">
        <v>532666.39</v>
      </c>
      <c r="O36" s="8">
        <v>-529577.18999999994</v>
      </c>
      <c r="P36" s="8">
        <v>42733.390849000003</v>
      </c>
      <c r="Q36" s="8">
        <v>-670304.64495300001</v>
      </c>
      <c r="R36" s="8">
        <v>-529577.18999999994</v>
      </c>
      <c r="S36" s="8">
        <v>-532666.39</v>
      </c>
      <c r="T36" s="8">
        <v>529577.18999999994</v>
      </c>
      <c r="U36" s="8">
        <v>-532666.39</v>
      </c>
      <c r="V36" s="8">
        <v>-1650000</v>
      </c>
      <c r="W36" s="8">
        <v>-50000</v>
      </c>
      <c r="X36" s="8">
        <v>-1700000</v>
      </c>
      <c r="Y36" s="8">
        <v>-7266.6091509999997</v>
      </c>
      <c r="Z36" s="8">
        <v>-7017.3310369999999</v>
      </c>
      <c r="AA36" s="8">
        <v>7266.6091509999997</v>
      </c>
      <c r="AB36" s="8">
        <v>-7017.3310369999999</v>
      </c>
      <c r="AC36" s="8">
        <v>74201.760240999996</v>
      </c>
      <c r="AD36" s="8">
        <v>7017.3310369999999</v>
      </c>
      <c r="AE36" s="8">
        <v>81219.091278000007</v>
      </c>
      <c r="AF36" s="8">
        <v>380974.41</v>
      </c>
      <c r="AG36" s="8">
        <v>42330.49</v>
      </c>
      <c r="AH36" s="8">
        <v>423304.9</v>
      </c>
    </row>
    <row r="37" spans="1:34" x14ac:dyDescent="0.3">
      <c r="A37" s="7">
        <v>35</v>
      </c>
      <c r="B37" s="7">
        <v>11</v>
      </c>
      <c r="C37" s="4">
        <v>45626</v>
      </c>
      <c r="D37" s="7" t="s">
        <v>6</v>
      </c>
      <c r="E37" s="7" t="s">
        <v>1244</v>
      </c>
      <c r="F37" s="8">
        <v>2539829.423163</v>
      </c>
      <c r="G37" s="8">
        <v>0</v>
      </c>
      <c r="H37" s="8">
        <v>2539829.423163</v>
      </c>
      <c r="I37" s="8">
        <v>-1439236.67</v>
      </c>
      <c r="J37" s="8">
        <v>-42330.49</v>
      </c>
      <c r="K37" s="8">
        <v>-1481567.16</v>
      </c>
      <c r="L37" s="8">
        <v>-670304.64495300001</v>
      </c>
      <c r="M37" s="8">
        <v>0</v>
      </c>
      <c r="N37" s="8">
        <v>535773.61</v>
      </c>
      <c r="O37" s="8">
        <v>-532666.39</v>
      </c>
      <c r="P37" s="8">
        <v>42982.668962999996</v>
      </c>
      <c r="Q37" s="8">
        <v>-624214.75598999998</v>
      </c>
      <c r="R37" s="8">
        <v>-532666.39</v>
      </c>
      <c r="S37" s="8">
        <v>-535773.61</v>
      </c>
      <c r="T37" s="8">
        <v>532666.39</v>
      </c>
      <c r="U37" s="8">
        <v>-535773.61</v>
      </c>
      <c r="V37" s="8">
        <v>-1700000</v>
      </c>
      <c r="W37" s="8">
        <v>-50000</v>
      </c>
      <c r="X37" s="8">
        <v>-1750000</v>
      </c>
      <c r="Y37" s="8">
        <v>-7017.3310369999999</v>
      </c>
      <c r="Z37" s="8">
        <v>-6766.5988020000004</v>
      </c>
      <c r="AA37" s="8">
        <v>7017.3310369999999</v>
      </c>
      <c r="AB37" s="8">
        <v>-6766.5988020000004</v>
      </c>
      <c r="AC37" s="8">
        <v>81219.091278000007</v>
      </c>
      <c r="AD37" s="8">
        <v>6766.5988020000004</v>
      </c>
      <c r="AE37" s="8">
        <v>87985.69008</v>
      </c>
      <c r="AF37" s="8">
        <v>423304.9</v>
      </c>
      <c r="AG37" s="8">
        <v>42330.49</v>
      </c>
      <c r="AH37" s="8">
        <v>465635.39</v>
      </c>
    </row>
    <row r="38" spans="1:34" x14ac:dyDescent="0.3">
      <c r="A38" s="7">
        <v>36</v>
      </c>
      <c r="B38" s="7">
        <v>12</v>
      </c>
      <c r="C38" s="4">
        <v>45657</v>
      </c>
      <c r="D38" s="7" t="s">
        <v>6</v>
      </c>
      <c r="E38" s="7" t="s">
        <v>1244</v>
      </c>
      <c r="F38" s="8">
        <v>2539829.423163</v>
      </c>
      <c r="G38" s="8">
        <v>0</v>
      </c>
      <c r="H38" s="8">
        <v>2539829.423163</v>
      </c>
      <c r="I38" s="8">
        <v>-1481567.16</v>
      </c>
      <c r="J38" s="8">
        <v>-42330.49</v>
      </c>
      <c r="K38" s="8">
        <v>-1523897.65</v>
      </c>
      <c r="L38" s="8">
        <v>-624214.75598999998</v>
      </c>
      <c r="M38" s="8">
        <v>0</v>
      </c>
      <c r="N38" s="8">
        <v>538898.96</v>
      </c>
      <c r="O38" s="8">
        <v>-535773.61</v>
      </c>
      <c r="P38" s="8">
        <v>43233.401198</v>
      </c>
      <c r="Q38" s="8">
        <v>-577856.00479200005</v>
      </c>
      <c r="R38" s="8">
        <v>-535773.61</v>
      </c>
      <c r="S38" s="8">
        <v>-538898.96</v>
      </c>
      <c r="T38" s="8">
        <v>535773.61</v>
      </c>
      <c r="U38" s="8">
        <v>-538898.96</v>
      </c>
      <c r="V38" s="8">
        <v>-1750000</v>
      </c>
      <c r="W38" s="8">
        <v>-50000</v>
      </c>
      <c r="X38" s="8">
        <v>-1800000</v>
      </c>
      <c r="Y38" s="8">
        <v>-6766.5988020000004</v>
      </c>
      <c r="Z38" s="8">
        <v>-6514.403961</v>
      </c>
      <c r="AA38" s="8">
        <v>6766.5988020000004</v>
      </c>
      <c r="AB38" s="8">
        <v>-6514.403961</v>
      </c>
      <c r="AC38" s="8">
        <v>87985.69008</v>
      </c>
      <c r="AD38" s="8">
        <v>6514.403961</v>
      </c>
      <c r="AE38" s="8">
        <v>94500.094041000004</v>
      </c>
      <c r="AF38" s="8">
        <v>465635.39</v>
      </c>
      <c r="AG38" s="8">
        <v>42330.49</v>
      </c>
      <c r="AH38" s="8">
        <v>507965.88</v>
      </c>
    </row>
    <row r="39" spans="1:34" x14ac:dyDescent="0.3">
      <c r="A39" s="7">
        <v>37</v>
      </c>
      <c r="B39" s="7">
        <v>1</v>
      </c>
      <c r="C39" s="4">
        <v>45688</v>
      </c>
      <c r="D39" s="7" t="s">
        <v>6</v>
      </c>
      <c r="E39" s="7" t="s">
        <v>1244</v>
      </c>
      <c r="F39" s="8">
        <v>2539829.423163</v>
      </c>
      <c r="G39" s="8">
        <v>0</v>
      </c>
      <c r="H39" s="8">
        <v>2539829.423163</v>
      </c>
      <c r="I39" s="8">
        <v>-1523897.65</v>
      </c>
      <c r="J39" s="8">
        <v>-42330.49</v>
      </c>
      <c r="K39" s="8">
        <v>-1566228.14</v>
      </c>
      <c r="L39" s="8">
        <v>-577856.00479200005</v>
      </c>
      <c r="M39" s="8">
        <v>0</v>
      </c>
      <c r="N39" s="8">
        <v>542042.54</v>
      </c>
      <c r="O39" s="8">
        <v>-538898.96</v>
      </c>
      <c r="P39" s="8">
        <v>43485.596038999996</v>
      </c>
      <c r="Q39" s="8">
        <v>-531226.82875300001</v>
      </c>
      <c r="R39" s="8">
        <v>-538898.96</v>
      </c>
      <c r="S39" s="8">
        <v>-542042.54</v>
      </c>
      <c r="T39" s="8">
        <v>538898.96</v>
      </c>
      <c r="U39" s="8">
        <v>-542042.54</v>
      </c>
      <c r="V39" s="8">
        <v>-1800000</v>
      </c>
      <c r="W39" s="8">
        <v>-50000</v>
      </c>
      <c r="X39" s="8">
        <v>-1850000</v>
      </c>
      <c r="Y39" s="8">
        <v>-6514.403961</v>
      </c>
      <c r="Z39" s="8">
        <v>-6260.7379840000003</v>
      </c>
      <c r="AA39" s="8">
        <v>6514.403961</v>
      </c>
      <c r="AB39" s="8">
        <v>-6260.7379840000003</v>
      </c>
      <c r="AC39" s="8">
        <v>0</v>
      </c>
      <c r="AD39" s="8">
        <v>6260.7379840000003</v>
      </c>
      <c r="AE39" s="8">
        <v>6260.7379840000003</v>
      </c>
      <c r="AF39" s="8">
        <v>0</v>
      </c>
      <c r="AG39" s="8">
        <v>42330.49</v>
      </c>
      <c r="AH39" s="8">
        <v>42330.49</v>
      </c>
    </row>
    <row r="40" spans="1:34" x14ac:dyDescent="0.3">
      <c r="A40" s="7">
        <v>38</v>
      </c>
      <c r="B40" s="7">
        <v>2</v>
      </c>
      <c r="C40" s="4">
        <v>45716</v>
      </c>
      <c r="D40" s="7" t="s">
        <v>6</v>
      </c>
      <c r="E40" s="7" t="s">
        <v>1244</v>
      </c>
      <c r="F40" s="8">
        <v>2539829.423163</v>
      </c>
      <c r="G40" s="8">
        <v>0</v>
      </c>
      <c r="H40" s="8">
        <v>2539829.423163</v>
      </c>
      <c r="I40" s="8">
        <v>-1566228.14</v>
      </c>
      <c r="J40" s="8">
        <v>-42330.49</v>
      </c>
      <c r="K40" s="8">
        <v>-1608558.63</v>
      </c>
      <c r="L40" s="8">
        <v>-531226.82875300001</v>
      </c>
      <c r="M40" s="8">
        <v>0</v>
      </c>
      <c r="N40" s="8">
        <v>545204.44999999995</v>
      </c>
      <c r="O40" s="8">
        <v>-542042.54</v>
      </c>
      <c r="P40" s="8">
        <v>43739.262016000001</v>
      </c>
      <c r="Q40" s="8">
        <v>-484325.65673699998</v>
      </c>
      <c r="R40" s="8">
        <v>-542042.54</v>
      </c>
      <c r="S40" s="8">
        <v>-545204.44999999995</v>
      </c>
      <c r="T40" s="8">
        <v>542042.54</v>
      </c>
      <c r="U40" s="8">
        <v>-545204.44999999995</v>
      </c>
      <c r="V40" s="8">
        <v>-1850000</v>
      </c>
      <c r="W40" s="8">
        <v>-50000</v>
      </c>
      <c r="X40" s="8">
        <v>-1900000</v>
      </c>
      <c r="Y40" s="8">
        <v>-6260.7379840000003</v>
      </c>
      <c r="Z40" s="8">
        <v>-6005.5922890000002</v>
      </c>
      <c r="AA40" s="8">
        <v>6260.7379840000003</v>
      </c>
      <c r="AB40" s="8">
        <v>-6005.5922890000002</v>
      </c>
      <c r="AC40" s="8">
        <v>6260.7379840000003</v>
      </c>
      <c r="AD40" s="8">
        <v>6005.5922890000002</v>
      </c>
      <c r="AE40" s="8">
        <v>12266.330273</v>
      </c>
      <c r="AF40" s="8">
        <v>42330.49</v>
      </c>
      <c r="AG40" s="8">
        <v>42330.49</v>
      </c>
      <c r="AH40" s="8">
        <v>84660.98</v>
      </c>
    </row>
    <row r="41" spans="1:34" x14ac:dyDescent="0.3">
      <c r="A41" s="7">
        <v>39</v>
      </c>
      <c r="B41" s="7">
        <v>3</v>
      </c>
      <c r="C41" s="4">
        <v>45747</v>
      </c>
      <c r="D41" s="7" t="s">
        <v>6</v>
      </c>
      <c r="E41" s="7" t="s">
        <v>1244</v>
      </c>
      <c r="F41" s="8">
        <v>2539829.423163</v>
      </c>
      <c r="G41" s="8">
        <v>0</v>
      </c>
      <c r="H41" s="8">
        <v>2539829.423163</v>
      </c>
      <c r="I41" s="8">
        <v>-1608558.63</v>
      </c>
      <c r="J41" s="8">
        <v>-42330.5</v>
      </c>
      <c r="K41" s="8">
        <v>-1650889.13</v>
      </c>
      <c r="L41" s="8">
        <v>-484325.65673699998</v>
      </c>
      <c r="M41" s="8">
        <v>0</v>
      </c>
      <c r="N41" s="8">
        <v>548384.81000000006</v>
      </c>
      <c r="O41" s="8">
        <v>-545204.44999999995</v>
      </c>
      <c r="P41" s="8">
        <v>43994.407711</v>
      </c>
      <c r="Q41" s="8">
        <v>-437150.88902599999</v>
      </c>
      <c r="R41" s="8">
        <v>-545204.44999999995</v>
      </c>
      <c r="S41" s="8">
        <v>-548384.81000000006</v>
      </c>
      <c r="T41" s="8">
        <v>545204.44999999995</v>
      </c>
      <c r="U41" s="8">
        <v>-548384.81000000006</v>
      </c>
      <c r="V41" s="8">
        <v>-1900000</v>
      </c>
      <c r="W41" s="8">
        <v>-50000</v>
      </c>
      <c r="X41" s="8">
        <v>-1950000</v>
      </c>
      <c r="Y41" s="8">
        <v>-6005.5922890000002</v>
      </c>
      <c r="Z41" s="8">
        <v>-5748.9582440000004</v>
      </c>
      <c r="AA41" s="8">
        <v>6005.5922890000002</v>
      </c>
      <c r="AB41" s="8">
        <v>-5748.9582440000004</v>
      </c>
      <c r="AC41" s="8">
        <v>12266.330273</v>
      </c>
      <c r="AD41" s="8">
        <v>5748.9582440000004</v>
      </c>
      <c r="AE41" s="8">
        <v>18015.288517000001</v>
      </c>
      <c r="AF41" s="8">
        <v>84660.98</v>
      </c>
      <c r="AG41" s="8">
        <v>42330.5</v>
      </c>
      <c r="AH41" s="8">
        <v>126991.48</v>
      </c>
    </row>
    <row r="42" spans="1:34" x14ac:dyDescent="0.3">
      <c r="A42" s="7">
        <v>40</v>
      </c>
      <c r="B42" s="7">
        <v>4</v>
      </c>
      <c r="C42" s="4">
        <v>45777</v>
      </c>
      <c r="D42" s="7" t="s">
        <v>6</v>
      </c>
      <c r="E42" s="7" t="s">
        <v>1244</v>
      </c>
      <c r="F42" s="8">
        <v>2539829.423163</v>
      </c>
      <c r="G42" s="8">
        <v>0</v>
      </c>
      <c r="H42" s="8">
        <v>2539829.423163</v>
      </c>
      <c r="I42" s="8">
        <v>-1650889.13</v>
      </c>
      <c r="J42" s="8">
        <v>-42330.49</v>
      </c>
      <c r="K42" s="8">
        <v>-1693219.62</v>
      </c>
      <c r="L42" s="8">
        <v>-437150.88902599999</v>
      </c>
      <c r="M42" s="8">
        <v>0</v>
      </c>
      <c r="N42" s="8">
        <v>551583.72</v>
      </c>
      <c r="O42" s="8">
        <v>-548384.81000000006</v>
      </c>
      <c r="P42" s="8">
        <v>44251.041755999999</v>
      </c>
      <c r="Q42" s="8">
        <v>-389700.93726999999</v>
      </c>
      <c r="R42" s="8">
        <v>-548384.81000000006</v>
      </c>
      <c r="S42" s="8">
        <v>-551583.72</v>
      </c>
      <c r="T42" s="8">
        <v>548384.81000000006</v>
      </c>
      <c r="U42" s="8">
        <v>-551583.72</v>
      </c>
      <c r="V42" s="8">
        <v>-1950000</v>
      </c>
      <c r="W42" s="8">
        <v>-50000</v>
      </c>
      <c r="X42" s="8">
        <v>-2000000</v>
      </c>
      <c r="Y42" s="8">
        <v>-5748.9582440000004</v>
      </c>
      <c r="Z42" s="8">
        <v>-5490.8271670000004</v>
      </c>
      <c r="AA42" s="8">
        <v>5748.9582440000004</v>
      </c>
      <c r="AB42" s="8">
        <v>-5490.8271670000004</v>
      </c>
      <c r="AC42" s="8">
        <v>18015.288517000001</v>
      </c>
      <c r="AD42" s="8">
        <v>5490.8271670000004</v>
      </c>
      <c r="AE42" s="8">
        <v>23506.115684</v>
      </c>
      <c r="AF42" s="8">
        <v>126991.48</v>
      </c>
      <c r="AG42" s="8">
        <v>42330.49</v>
      </c>
      <c r="AH42" s="8">
        <v>169321.97</v>
      </c>
    </row>
    <row r="43" spans="1:34" x14ac:dyDescent="0.3">
      <c r="A43" s="7">
        <v>41</v>
      </c>
      <c r="B43" s="7">
        <v>5</v>
      </c>
      <c r="C43" s="4">
        <v>45808</v>
      </c>
      <c r="D43" s="7" t="s">
        <v>6</v>
      </c>
      <c r="E43" s="7" t="s">
        <v>1244</v>
      </c>
      <c r="F43" s="8">
        <v>2539829.423163</v>
      </c>
      <c r="G43" s="8">
        <v>0</v>
      </c>
      <c r="H43" s="8">
        <v>2539829.423163</v>
      </c>
      <c r="I43" s="8">
        <v>-1693219.62</v>
      </c>
      <c r="J43" s="8">
        <v>-42330.49</v>
      </c>
      <c r="K43" s="8">
        <v>-1735550.11</v>
      </c>
      <c r="L43" s="8">
        <v>-389700.93726999999</v>
      </c>
      <c r="M43" s="8">
        <v>0</v>
      </c>
      <c r="N43" s="8">
        <v>554801.29</v>
      </c>
      <c r="O43" s="8">
        <v>-551583.72</v>
      </c>
      <c r="P43" s="8">
        <v>44509.172832999997</v>
      </c>
      <c r="Q43" s="8">
        <v>-341974.19443700003</v>
      </c>
      <c r="R43" s="8">
        <v>-551583.72</v>
      </c>
      <c r="S43" s="8">
        <v>-554801.29</v>
      </c>
      <c r="T43" s="8">
        <v>551583.72</v>
      </c>
      <c r="U43" s="8">
        <v>-554801.29</v>
      </c>
      <c r="V43" s="8">
        <v>-2000000</v>
      </c>
      <c r="W43" s="8">
        <v>-50000</v>
      </c>
      <c r="X43" s="8">
        <v>-2050000</v>
      </c>
      <c r="Y43" s="8">
        <v>-5490.8271670000004</v>
      </c>
      <c r="Z43" s="8">
        <v>-5231.1903259999999</v>
      </c>
      <c r="AA43" s="8">
        <v>5490.8271670000004</v>
      </c>
      <c r="AB43" s="8">
        <v>-5231.1903259999999</v>
      </c>
      <c r="AC43" s="8">
        <v>23506.115684</v>
      </c>
      <c r="AD43" s="8">
        <v>5231.1903259999999</v>
      </c>
      <c r="AE43" s="8">
        <v>28737.30601</v>
      </c>
      <c r="AF43" s="8">
        <v>169321.97</v>
      </c>
      <c r="AG43" s="8">
        <v>42330.49</v>
      </c>
      <c r="AH43" s="8">
        <v>211652.46</v>
      </c>
    </row>
    <row r="44" spans="1:34" x14ac:dyDescent="0.3">
      <c r="A44" s="7">
        <v>42</v>
      </c>
      <c r="B44" s="7">
        <v>6</v>
      </c>
      <c r="C44" s="4">
        <v>45838</v>
      </c>
      <c r="D44" s="7" t="s">
        <v>6</v>
      </c>
      <c r="E44" s="7" t="s">
        <v>1244</v>
      </c>
      <c r="F44" s="8">
        <v>2539829.423163</v>
      </c>
      <c r="G44" s="8">
        <v>0</v>
      </c>
      <c r="H44" s="8">
        <v>2539829.423163</v>
      </c>
      <c r="I44" s="8">
        <v>-1735550.11</v>
      </c>
      <c r="J44" s="8">
        <v>-42330.49</v>
      </c>
      <c r="K44" s="8">
        <v>-1777880.6</v>
      </c>
      <c r="L44" s="8">
        <v>-341974.19443700003</v>
      </c>
      <c r="M44" s="8">
        <v>0</v>
      </c>
      <c r="N44" s="8">
        <v>558037.63</v>
      </c>
      <c r="O44" s="8">
        <v>-554801.29</v>
      </c>
      <c r="P44" s="8">
        <v>44768.809673999996</v>
      </c>
      <c r="Q44" s="8">
        <v>-293969.04476299998</v>
      </c>
      <c r="R44" s="8">
        <v>-554801.29</v>
      </c>
      <c r="S44" s="8">
        <v>-558037.63</v>
      </c>
      <c r="T44" s="8">
        <v>554801.29</v>
      </c>
      <c r="U44" s="8">
        <v>-558037.63</v>
      </c>
      <c r="V44" s="8">
        <v>-2050000</v>
      </c>
      <c r="W44" s="8">
        <v>-50000</v>
      </c>
      <c r="X44" s="8">
        <v>-2100000</v>
      </c>
      <c r="Y44" s="8">
        <v>-5231.1903259999999</v>
      </c>
      <c r="Z44" s="8">
        <v>-4970.0389359999999</v>
      </c>
      <c r="AA44" s="8">
        <v>5231.1903259999999</v>
      </c>
      <c r="AB44" s="8">
        <v>-4970.0389359999999</v>
      </c>
      <c r="AC44" s="8">
        <v>28737.30601</v>
      </c>
      <c r="AD44" s="8">
        <v>4970.0389359999999</v>
      </c>
      <c r="AE44" s="8">
        <v>33707.344945999997</v>
      </c>
      <c r="AF44" s="8">
        <v>211652.46</v>
      </c>
      <c r="AG44" s="8">
        <v>42330.49</v>
      </c>
      <c r="AH44" s="8">
        <v>253982.95</v>
      </c>
    </row>
    <row r="45" spans="1:34" x14ac:dyDescent="0.3">
      <c r="A45" s="7">
        <v>43</v>
      </c>
      <c r="B45" s="7">
        <v>7</v>
      </c>
      <c r="C45" s="4">
        <v>45869</v>
      </c>
      <c r="D45" s="7" t="s">
        <v>6</v>
      </c>
      <c r="E45" s="7" t="s">
        <v>1244</v>
      </c>
      <c r="F45" s="8">
        <v>2539829.423163</v>
      </c>
      <c r="G45" s="8">
        <v>0</v>
      </c>
      <c r="H45" s="8">
        <v>2539829.423163</v>
      </c>
      <c r="I45" s="8">
        <v>-1777880.6</v>
      </c>
      <c r="J45" s="8">
        <v>-42330.49</v>
      </c>
      <c r="K45" s="8">
        <v>-1820211.09</v>
      </c>
      <c r="L45" s="8">
        <v>-293969.04476299998</v>
      </c>
      <c r="M45" s="8">
        <v>0</v>
      </c>
      <c r="N45" s="8">
        <v>561292.85</v>
      </c>
      <c r="O45" s="8">
        <v>-558037.63</v>
      </c>
      <c r="P45" s="8">
        <v>45029.961064000003</v>
      </c>
      <c r="Q45" s="8">
        <v>-245683.86369900001</v>
      </c>
      <c r="R45" s="8">
        <v>-558037.63</v>
      </c>
      <c r="S45" s="8">
        <v>-561292.85</v>
      </c>
      <c r="T45" s="8">
        <v>558037.63</v>
      </c>
      <c r="U45" s="8">
        <v>-561292.85</v>
      </c>
      <c r="V45" s="8">
        <v>-2100000</v>
      </c>
      <c r="W45" s="8">
        <v>-50000</v>
      </c>
      <c r="X45" s="8">
        <v>-2150000</v>
      </c>
      <c r="Y45" s="8">
        <v>-4970.0389359999999</v>
      </c>
      <c r="Z45" s="8">
        <v>-4707.3641630000002</v>
      </c>
      <c r="AA45" s="8">
        <v>4970.0389359999999</v>
      </c>
      <c r="AB45" s="8">
        <v>-4707.3641630000002</v>
      </c>
      <c r="AC45" s="8">
        <v>33707.344945999997</v>
      </c>
      <c r="AD45" s="8">
        <v>4707.3641630000002</v>
      </c>
      <c r="AE45" s="8">
        <v>38414.709109000003</v>
      </c>
      <c r="AF45" s="8">
        <v>253982.95</v>
      </c>
      <c r="AG45" s="8">
        <v>42330.49</v>
      </c>
      <c r="AH45" s="8">
        <v>296313.44</v>
      </c>
    </row>
    <row r="46" spans="1:34" x14ac:dyDescent="0.3">
      <c r="A46" s="7">
        <v>44</v>
      </c>
      <c r="B46" s="7">
        <v>8</v>
      </c>
      <c r="C46" s="4">
        <v>45900</v>
      </c>
      <c r="D46" s="7" t="s">
        <v>6</v>
      </c>
      <c r="E46" s="7" t="s">
        <v>1244</v>
      </c>
      <c r="F46" s="8">
        <v>2539829.423163</v>
      </c>
      <c r="G46" s="8">
        <v>0</v>
      </c>
      <c r="H46" s="8">
        <v>2539829.423163</v>
      </c>
      <c r="I46" s="8">
        <v>-1820211.09</v>
      </c>
      <c r="J46" s="8">
        <v>-42330.49</v>
      </c>
      <c r="K46" s="8">
        <v>-1862541.58</v>
      </c>
      <c r="L46" s="8">
        <v>-245683.86369900001</v>
      </c>
      <c r="M46" s="8">
        <v>0</v>
      </c>
      <c r="N46" s="8">
        <v>564567.06999999995</v>
      </c>
      <c r="O46" s="8">
        <v>-561292.85</v>
      </c>
      <c r="P46" s="8">
        <v>45292.635837000002</v>
      </c>
      <c r="Q46" s="8">
        <v>-197117.007862</v>
      </c>
      <c r="R46" s="8">
        <v>-561292.85</v>
      </c>
      <c r="S46" s="8">
        <v>-564567.06999999995</v>
      </c>
      <c r="T46" s="8">
        <v>561292.85</v>
      </c>
      <c r="U46" s="8">
        <v>-564567.06999999995</v>
      </c>
      <c r="V46" s="8">
        <v>-2150000</v>
      </c>
      <c r="W46" s="8">
        <v>-50000</v>
      </c>
      <c r="X46" s="8">
        <v>-2200000</v>
      </c>
      <c r="Y46" s="8">
        <v>-4707.3641630000002</v>
      </c>
      <c r="Z46" s="8">
        <v>-4443.1571210000002</v>
      </c>
      <c r="AA46" s="8">
        <v>4707.3641630000002</v>
      </c>
      <c r="AB46" s="8">
        <v>-4443.1571210000002</v>
      </c>
      <c r="AC46" s="8">
        <v>38414.709109000003</v>
      </c>
      <c r="AD46" s="8">
        <v>4443.1571210000002</v>
      </c>
      <c r="AE46" s="8">
        <v>42857.86623</v>
      </c>
      <c r="AF46" s="8">
        <v>296313.44</v>
      </c>
      <c r="AG46" s="8">
        <v>42330.49</v>
      </c>
      <c r="AH46" s="8">
        <v>338643.93</v>
      </c>
    </row>
    <row r="47" spans="1:34" x14ac:dyDescent="0.3">
      <c r="A47" s="7">
        <v>45</v>
      </c>
      <c r="B47" s="7">
        <v>9</v>
      </c>
      <c r="C47" s="4">
        <v>45930</v>
      </c>
      <c r="D47" s="7" t="s">
        <v>6</v>
      </c>
      <c r="E47" s="7" t="s">
        <v>1244</v>
      </c>
      <c r="F47" s="8">
        <v>2539829.423163</v>
      </c>
      <c r="G47" s="8">
        <v>0</v>
      </c>
      <c r="H47" s="8">
        <v>2539829.423163</v>
      </c>
      <c r="I47" s="8">
        <v>-1862541.58</v>
      </c>
      <c r="J47" s="8">
        <v>-42330.49</v>
      </c>
      <c r="K47" s="8">
        <v>-1904872.07</v>
      </c>
      <c r="L47" s="8">
        <v>-197117.007862</v>
      </c>
      <c r="M47" s="8">
        <v>0</v>
      </c>
      <c r="N47" s="8">
        <v>567860.36</v>
      </c>
      <c r="O47" s="8">
        <v>-564567.06999999995</v>
      </c>
      <c r="P47" s="8">
        <v>45556.842879000003</v>
      </c>
      <c r="Q47" s="8">
        <v>-148266.87498299999</v>
      </c>
      <c r="R47" s="8">
        <v>-564567.06999999995</v>
      </c>
      <c r="S47" s="8">
        <v>-567860.36</v>
      </c>
      <c r="T47" s="8">
        <v>564567.06999999995</v>
      </c>
      <c r="U47" s="8">
        <v>-567860.36</v>
      </c>
      <c r="V47" s="8">
        <v>-2200000</v>
      </c>
      <c r="W47" s="8">
        <v>-50000</v>
      </c>
      <c r="X47" s="8">
        <v>-2250000</v>
      </c>
      <c r="Y47" s="8">
        <v>-4443.1571210000002</v>
      </c>
      <c r="Z47" s="8">
        <v>-4177.4088709999996</v>
      </c>
      <c r="AA47" s="8">
        <v>4443.1571210000002</v>
      </c>
      <c r="AB47" s="8">
        <v>-4177.4088709999996</v>
      </c>
      <c r="AC47" s="8">
        <v>42857.86623</v>
      </c>
      <c r="AD47" s="8">
        <v>4177.4088709999996</v>
      </c>
      <c r="AE47" s="8">
        <v>47035.275100999999</v>
      </c>
      <c r="AF47" s="8">
        <v>338643.93</v>
      </c>
      <c r="AG47" s="8">
        <v>42330.49</v>
      </c>
      <c r="AH47" s="8">
        <v>380974.42</v>
      </c>
    </row>
    <row r="48" spans="1:34" x14ac:dyDescent="0.3">
      <c r="A48" s="7">
        <v>46</v>
      </c>
      <c r="B48" s="7">
        <v>10</v>
      </c>
      <c r="C48" s="4">
        <v>45961</v>
      </c>
      <c r="D48" s="7" t="s">
        <v>6</v>
      </c>
      <c r="E48" s="7" t="s">
        <v>1244</v>
      </c>
      <c r="F48" s="8">
        <v>2539829.423163</v>
      </c>
      <c r="G48" s="8">
        <v>0</v>
      </c>
      <c r="H48" s="8">
        <v>2539829.423163</v>
      </c>
      <c r="I48" s="8">
        <v>-1904872.07</v>
      </c>
      <c r="J48" s="8">
        <v>-42330.49</v>
      </c>
      <c r="K48" s="8">
        <v>-1947202.5600000001</v>
      </c>
      <c r="L48" s="8">
        <v>-148266.87498299999</v>
      </c>
      <c r="M48" s="8">
        <v>0</v>
      </c>
      <c r="N48" s="8">
        <v>571172.89</v>
      </c>
      <c r="O48" s="8">
        <v>-567860.36</v>
      </c>
      <c r="P48" s="8">
        <v>45822.591129</v>
      </c>
      <c r="Q48" s="8">
        <v>-99131.753853999995</v>
      </c>
      <c r="R48" s="8">
        <v>-567860.36</v>
      </c>
      <c r="S48" s="8">
        <v>-571172.89</v>
      </c>
      <c r="T48" s="8">
        <v>567860.36</v>
      </c>
      <c r="U48" s="8">
        <v>-571172.89</v>
      </c>
      <c r="V48" s="8">
        <v>-2250000</v>
      </c>
      <c r="W48" s="8">
        <v>-50000</v>
      </c>
      <c r="X48" s="8">
        <v>-2300000</v>
      </c>
      <c r="Y48" s="8">
        <v>-4177.4088709999996</v>
      </c>
      <c r="Z48" s="8">
        <v>-3910.1104220000002</v>
      </c>
      <c r="AA48" s="8">
        <v>4177.4088709999996</v>
      </c>
      <c r="AB48" s="8">
        <v>-3910.1104220000002</v>
      </c>
      <c r="AC48" s="8">
        <v>47035.275100999999</v>
      </c>
      <c r="AD48" s="8">
        <v>3910.1104220000002</v>
      </c>
      <c r="AE48" s="8">
        <v>50945.385522999997</v>
      </c>
      <c r="AF48" s="8">
        <v>380974.42</v>
      </c>
      <c r="AG48" s="8">
        <v>42330.49</v>
      </c>
      <c r="AH48" s="8">
        <v>423304.91</v>
      </c>
    </row>
    <row r="49" spans="1:34" x14ac:dyDescent="0.3">
      <c r="A49" s="7">
        <v>47</v>
      </c>
      <c r="B49" s="7">
        <v>11</v>
      </c>
      <c r="C49" s="4">
        <v>45991</v>
      </c>
      <c r="D49" s="7" t="s">
        <v>6</v>
      </c>
      <c r="E49" s="7" t="s">
        <v>1244</v>
      </c>
      <c r="F49" s="8">
        <v>2539829.423163</v>
      </c>
      <c r="G49" s="8">
        <v>0</v>
      </c>
      <c r="H49" s="8">
        <v>2539829.423163</v>
      </c>
      <c r="I49" s="8">
        <v>-1947202.5600000001</v>
      </c>
      <c r="J49" s="8">
        <v>-42330.49</v>
      </c>
      <c r="K49" s="8">
        <v>-1989533.05</v>
      </c>
      <c r="L49" s="8">
        <v>-99131.753853999995</v>
      </c>
      <c r="M49" s="8">
        <v>0</v>
      </c>
      <c r="N49" s="8">
        <v>574504.73</v>
      </c>
      <c r="O49" s="8">
        <v>-571172.89</v>
      </c>
      <c r="P49" s="8">
        <v>46089.889578000002</v>
      </c>
      <c r="Q49" s="8">
        <v>-49710.024275999996</v>
      </c>
      <c r="R49" s="8">
        <v>-571172.89</v>
      </c>
      <c r="S49" s="8">
        <v>-574504.73</v>
      </c>
      <c r="T49" s="8">
        <v>571172.89</v>
      </c>
      <c r="U49" s="8">
        <v>-574504.73</v>
      </c>
      <c r="V49" s="8">
        <v>-2300000</v>
      </c>
      <c r="W49" s="8">
        <v>-50000</v>
      </c>
      <c r="X49" s="8">
        <v>-2350000</v>
      </c>
      <c r="Y49" s="8">
        <v>-3910.1104220000002</v>
      </c>
      <c r="Z49" s="8">
        <v>-3641.2527329999998</v>
      </c>
      <c r="AA49" s="8">
        <v>3910.1104220000002</v>
      </c>
      <c r="AB49" s="8">
        <v>-3641.2527329999998</v>
      </c>
      <c r="AC49" s="8">
        <v>50945.385522999997</v>
      </c>
      <c r="AD49" s="8">
        <v>3641.2527329999998</v>
      </c>
      <c r="AE49" s="8">
        <v>54586.638255999998</v>
      </c>
      <c r="AF49" s="8">
        <v>423304.91</v>
      </c>
      <c r="AG49" s="8">
        <v>42330.49</v>
      </c>
      <c r="AH49" s="8">
        <v>465635.4</v>
      </c>
    </row>
    <row r="50" spans="1:34" x14ac:dyDescent="0.3">
      <c r="A50" s="7">
        <v>48</v>
      </c>
      <c r="B50" s="7">
        <v>12</v>
      </c>
      <c r="C50" s="4">
        <v>46022</v>
      </c>
      <c r="D50" s="7" t="s">
        <v>6</v>
      </c>
      <c r="E50" s="7" t="s">
        <v>1244</v>
      </c>
      <c r="F50" s="8">
        <v>2539829.423163</v>
      </c>
      <c r="G50" s="8">
        <v>0</v>
      </c>
      <c r="H50" s="8">
        <v>2539829.423163</v>
      </c>
      <c r="I50" s="8">
        <v>-1989533.05</v>
      </c>
      <c r="J50" s="8">
        <v>-42330.49</v>
      </c>
      <c r="K50" s="8">
        <v>-2031863.54</v>
      </c>
      <c r="L50" s="8">
        <v>-49710.024275999996</v>
      </c>
      <c r="M50" s="8">
        <v>0</v>
      </c>
      <c r="N50" s="8">
        <v>577856.01</v>
      </c>
      <c r="O50" s="8">
        <v>-574504.73</v>
      </c>
      <c r="P50" s="8">
        <v>46358.747266999999</v>
      </c>
      <c r="Q50" s="8">
        <v>2.9910000000000002E-3</v>
      </c>
      <c r="R50" s="8">
        <v>-574504.73</v>
      </c>
      <c r="S50" s="8">
        <v>-577856.01</v>
      </c>
      <c r="T50" s="8">
        <v>574504.73</v>
      </c>
      <c r="U50" s="8">
        <v>-577856.01</v>
      </c>
      <c r="V50" s="8">
        <v>-2350000</v>
      </c>
      <c r="W50" s="8">
        <v>-50000</v>
      </c>
      <c r="X50" s="8">
        <v>-2400000</v>
      </c>
      <c r="Y50" s="8">
        <v>-3641.2527329999998</v>
      </c>
      <c r="Z50" s="8">
        <v>-3370.8267080000001</v>
      </c>
      <c r="AA50" s="8">
        <v>3641.2527329999998</v>
      </c>
      <c r="AB50" s="8">
        <v>-3370.8267080000001</v>
      </c>
      <c r="AC50" s="8">
        <v>54586.638255999998</v>
      </c>
      <c r="AD50" s="8">
        <v>3370.8267080000001</v>
      </c>
      <c r="AE50" s="8">
        <v>57957.464963999999</v>
      </c>
      <c r="AF50" s="8">
        <v>465635.4</v>
      </c>
      <c r="AG50" s="8">
        <v>42330.49</v>
      </c>
      <c r="AH50" s="8">
        <v>507965.89</v>
      </c>
    </row>
    <row r="51" spans="1:34" x14ac:dyDescent="0.3">
      <c r="A51" s="7">
        <v>49</v>
      </c>
      <c r="B51" s="7">
        <v>1</v>
      </c>
      <c r="C51" s="4">
        <v>46053</v>
      </c>
      <c r="D51" s="7" t="s">
        <v>6</v>
      </c>
      <c r="E51" s="7" t="s">
        <v>1244</v>
      </c>
      <c r="F51" s="8">
        <v>2539829.423163</v>
      </c>
      <c r="G51" s="8">
        <v>0</v>
      </c>
      <c r="H51" s="8">
        <v>2539829.423163</v>
      </c>
      <c r="I51" s="8">
        <v>-2031863.54</v>
      </c>
      <c r="J51" s="8">
        <v>-42330.49</v>
      </c>
      <c r="K51" s="8">
        <v>-2074194.03</v>
      </c>
      <c r="L51" s="8">
        <v>2.9910000000000002E-3</v>
      </c>
      <c r="M51" s="8">
        <v>0</v>
      </c>
      <c r="N51" s="8">
        <v>531226.83371899999</v>
      </c>
      <c r="O51" s="8">
        <v>-577856.01</v>
      </c>
      <c r="P51" s="8">
        <v>46629.173291999999</v>
      </c>
      <c r="Q51" s="8">
        <v>1.9999999999999999E-6</v>
      </c>
      <c r="R51" s="8">
        <v>-577856.01</v>
      </c>
      <c r="S51" s="8">
        <v>-531226.83371899999</v>
      </c>
      <c r="T51" s="8">
        <v>577856.01</v>
      </c>
      <c r="U51" s="8">
        <v>-531226.83371899999</v>
      </c>
      <c r="V51" s="8">
        <v>-2400000</v>
      </c>
      <c r="W51" s="8">
        <v>-50000</v>
      </c>
      <c r="X51" s="8">
        <v>-2450000</v>
      </c>
      <c r="Y51" s="8">
        <v>-3370.8267080000001</v>
      </c>
      <c r="Z51" s="8">
        <v>-3098.8231970000002</v>
      </c>
      <c r="AA51" s="8">
        <v>3370.8267080000001</v>
      </c>
      <c r="AB51" s="8">
        <v>-3098.8231970000002</v>
      </c>
      <c r="AC51" s="8">
        <v>0</v>
      </c>
      <c r="AD51" s="8">
        <v>3098.8231970000002</v>
      </c>
      <c r="AE51" s="8">
        <v>3098.8231970000002</v>
      </c>
      <c r="AF51" s="8">
        <v>0</v>
      </c>
      <c r="AG51" s="8">
        <v>42330.49</v>
      </c>
      <c r="AH51" s="8">
        <v>42330.49</v>
      </c>
    </row>
    <row r="52" spans="1:34" x14ac:dyDescent="0.3">
      <c r="A52" s="7">
        <v>50</v>
      </c>
      <c r="B52" s="7">
        <v>2</v>
      </c>
      <c r="C52" s="4">
        <v>46081</v>
      </c>
      <c r="D52" s="7" t="s">
        <v>6</v>
      </c>
      <c r="E52" s="7" t="s">
        <v>1244</v>
      </c>
      <c r="F52" s="8">
        <v>2539829.423163</v>
      </c>
      <c r="G52" s="8">
        <v>0</v>
      </c>
      <c r="H52" s="8">
        <v>2539829.423163</v>
      </c>
      <c r="I52" s="8">
        <v>-2074194.03</v>
      </c>
      <c r="J52" s="8">
        <v>-42330.49</v>
      </c>
      <c r="K52" s="8">
        <v>-2116524.52</v>
      </c>
      <c r="L52" s="8">
        <v>1.9999999999999999E-6</v>
      </c>
      <c r="M52" s="8">
        <v>0</v>
      </c>
      <c r="N52" s="8">
        <v>484325.65319699998</v>
      </c>
      <c r="O52" s="8">
        <v>-531226.82999999996</v>
      </c>
      <c r="P52" s="8">
        <v>46901.176803000002</v>
      </c>
      <c r="Q52" s="8">
        <v>1.9999999999999999E-6</v>
      </c>
      <c r="R52" s="8">
        <v>-531226.83371899999</v>
      </c>
      <c r="S52" s="8">
        <v>-484325.65319699998</v>
      </c>
      <c r="T52" s="8">
        <v>531226.82999999996</v>
      </c>
      <c r="U52" s="8">
        <v>-484325.65691600001</v>
      </c>
      <c r="V52" s="8">
        <v>-2450000</v>
      </c>
      <c r="W52" s="8">
        <v>-50000</v>
      </c>
      <c r="X52" s="8">
        <v>-2500000</v>
      </c>
      <c r="Y52" s="8">
        <v>-3098.8231970000002</v>
      </c>
      <c r="Z52" s="8">
        <v>-2825.2329989999998</v>
      </c>
      <c r="AA52" s="8">
        <v>3098.8231970000002</v>
      </c>
      <c r="AB52" s="8">
        <v>-2825.2329989999998</v>
      </c>
      <c r="AC52" s="8">
        <v>3098.8231970000002</v>
      </c>
      <c r="AD52" s="8">
        <v>2825.2329989999998</v>
      </c>
      <c r="AE52" s="8">
        <v>5924.0561960000005</v>
      </c>
      <c r="AF52" s="8">
        <v>42330.49</v>
      </c>
      <c r="AG52" s="8">
        <v>42330.49</v>
      </c>
      <c r="AH52" s="8">
        <v>84660.98</v>
      </c>
    </row>
    <row r="53" spans="1:34" x14ac:dyDescent="0.3">
      <c r="A53" s="7">
        <v>51</v>
      </c>
      <c r="B53" s="7">
        <v>3</v>
      </c>
      <c r="C53" s="4">
        <v>46112</v>
      </c>
      <c r="D53" s="7" t="s">
        <v>6</v>
      </c>
      <c r="E53" s="7" t="s">
        <v>1244</v>
      </c>
      <c r="F53" s="8">
        <v>2539829.423163</v>
      </c>
      <c r="G53" s="8">
        <v>0</v>
      </c>
      <c r="H53" s="8">
        <v>2539829.423163</v>
      </c>
      <c r="I53" s="8">
        <v>-2116524.52</v>
      </c>
      <c r="J53" s="8">
        <v>-42330.49</v>
      </c>
      <c r="K53" s="8">
        <v>-2158855.0099999998</v>
      </c>
      <c r="L53" s="8">
        <v>1.9999999999999999E-6</v>
      </c>
      <c r="M53" s="8">
        <v>0</v>
      </c>
      <c r="N53" s="8">
        <v>437150.89299899997</v>
      </c>
      <c r="O53" s="8">
        <v>-484325.66</v>
      </c>
      <c r="P53" s="8">
        <v>47174.767001</v>
      </c>
      <c r="Q53" s="8">
        <v>1.9999999999999999E-6</v>
      </c>
      <c r="R53" s="8">
        <v>-484325.65691600001</v>
      </c>
      <c r="S53" s="8">
        <v>-437150.89299899997</v>
      </c>
      <c r="T53" s="8">
        <v>484325.66</v>
      </c>
      <c r="U53" s="8">
        <v>-437150.88991500001</v>
      </c>
      <c r="V53" s="8">
        <v>-2500000</v>
      </c>
      <c r="W53" s="8">
        <v>-50000</v>
      </c>
      <c r="X53" s="8">
        <v>-2550000</v>
      </c>
      <c r="Y53" s="8">
        <v>-2825.2329989999998</v>
      </c>
      <c r="Z53" s="8">
        <v>-2550.0468580000002</v>
      </c>
      <c r="AA53" s="8">
        <v>2825.2329989999998</v>
      </c>
      <c r="AB53" s="8">
        <v>-2550.0468580000002</v>
      </c>
      <c r="AC53" s="8">
        <v>5924.0561960000005</v>
      </c>
      <c r="AD53" s="8">
        <v>2550.0468580000002</v>
      </c>
      <c r="AE53" s="8">
        <v>8474.1030539999992</v>
      </c>
      <c r="AF53" s="8">
        <v>84660.98</v>
      </c>
      <c r="AG53" s="8">
        <v>42330.49</v>
      </c>
      <c r="AH53" s="8">
        <v>126991.47</v>
      </c>
    </row>
    <row r="54" spans="1:34" x14ac:dyDescent="0.3">
      <c r="A54" s="7">
        <v>52</v>
      </c>
      <c r="B54" s="7">
        <v>4</v>
      </c>
      <c r="C54" s="4">
        <v>46142</v>
      </c>
      <c r="D54" s="7" t="s">
        <v>6</v>
      </c>
      <c r="E54" s="7" t="s">
        <v>1244</v>
      </c>
      <c r="F54" s="8">
        <v>2539829.423163</v>
      </c>
      <c r="G54" s="8">
        <v>0</v>
      </c>
      <c r="H54" s="8">
        <v>2539829.423163</v>
      </c>
      <c r="I54" s="8">
        <v>-2158855.0099999998</v>
      </c>
      <c r="J54" s="8">
        <v>-42330.49</v>
      </c>
      <c r="K54" s="8">
        <v>-2201185.5</v>
      </c>
      <c r="L54" s="8">
        <v>1.9999999999999999E-6</v>
      </c>
      <c r="M54" s="8">
        <v>0</v>
      </c>
      <c r="N54" s="8">
        <v>389700.936858</v>
      </c>
      <c r="O54" s="8">
        <v>-437150.89</v>
      </c>
      <c r="P54" s="8">
        <v>47449.953141999998</v>
      </c>
      <c r="Q54" s="8">
        <v>1.9999999999999999E-6</v>
      </c>
      <c r="R54" s="8">
        <v>-437150.88991500001</v>
      </c>
      <c r="S54" s="8">
        <v>-389700.936858</v>
      </c>
      <c r="T54" s="8">
        <v>437150.89</v>
      </c>
      <c r="U54" s="8">
        <v>-389700.93677299999</v>
      </c>
      <c r="V54" s="8">
        <v>-2550000</v>
      </c>
      <c r="W54" s="8">
        <v>-50000</v>
      </c>
      <c r="X54" s="8">
        <v>-2600000</v>
      </c>
      <c r="Y54" s="8">
        <v>-2550.0468580000002</v>
      </c>
      <c r="Z54" s="8">
        <v>-2273.2554639999998</v>
      </c>
      <c r="AA54" s="8">
        <v>2550.0468580000002</v>
      </c>
      <c r="AB54" s="8">
        <v>-2273.2554639999998</v>
      </c>
      <c r="AC54" s="8">
        <v>8474.1030539999992</v>
      </c>
      <c r="AD54" s="8">
        <v>2273.2554639999998</v>
      </c>
      <c r="AE54" s="8">
        <v>10747.358517999999</v>
      </c>
      <c r="AF54" s="8">
        <v>126991.47</v>
      </c>
      <c r="AG54" s="8">
        <v>42330.49</v>
      </c>
      <c r="AH54" s="8">
        <v>169321.96</v>
      </c>
    </row>
    <row r="55" spans="1:34" x14ac:dyDescent="0.3">
      <c r="A55" s="7">
        <v>53</v>
      </c>
      <c r="B55" s="7">
        <v>5</v>
      </c>
      <c r="C55" s="4">
        <v>46173</v>
      </c>
      <c r="D55" s="7" t="s">
        <v>6</v>
      </c>
      <c r="E55" s="7" t="s">
        <v>1244</v>
      </c>
      <c r="F55" s="8">
        <v>2539829.423163</v>
      </c>
      <c r="G55" s="8">
        <v>0</v>
      </c>
      <c r="H55" s="8">
        <v>2539829.423163</v>
      </c>
      <c r="I55" s="8">
        <v>-2201185.5</v>
      </c>
      <c r="J55" s="8">
        <v>-42330.49</v>
      </c>
      <c r="K55" s="8">
        <v>-2243515.9900000002</v>
      </c>
      <c r="L55" s="8">
        <v>1.9999999999999999E-6</v>
      </c>
      <c r="M55" s="8">
        <v>0</v>
      </c>
      <c r="N55" s="8">
        <v>341974.19546399999</v>
      </c>
      <c r="O55" s="8">
        <v>-389700.94</v>
      </c>
      <c r="P55" s="8">
        <v>47726.744535999998</v>
      </c>
      <c r="Q55" s="8">
        <v>1.9999999999999999E-6</v>
      </c>
      <c r="R55" s="8">
        <v>-389700.93677299999</v>
      </c>
      <c r="S55" s="8">
        <v>-341974.19546399999</v>
      </c>
      <c r="T55" s="8">
        <v>389700.94</v>
      </c>
      <c r="U55" s="8">
        <v>-341974.19223699998</v>
      </c>
      <c r="V55" s="8">
        <v>-2600000</v>
      </c>
      <c r="W55" s="8">
        <v>-50000</v>
      </c>
      <c r="X55" s="8">
        <v>-2650000</v>
      </c>
      <c r="Y55" s="8">
        <v>-2273.2554639999998</v>
      </c>
      <c r="Z55" s="8">
        <v>-1994.849455</v>
      </c>
      <c r="AA55" s="8">
        <v>2273.2554639999998</v>
      </c>
      <c r="AB55" s="8">
        <v>-1994.849455</v>
      </c>
      <c r="AC55" s="8">
        <v>10747.358517999999</v>
      </c>
      <c r="AD55" s="8">
        <v>1994.849455</v>
      </c>
      <c r="AE55" s="8">
        <v>12742.207973</v>
      </c>
      <c r="AF55" s="8">
        <v>169321.96</v>
      </c>
      <c r="AG55" s="8">
        <v>42330.49</v>
      </c>
      <c r="AH55" s="8">
        <v>211652.45</v>
      </c>
    </row>
    <row r="56" spans="1:34" x14ac:dyDescent="0.3">
      <c r="A56" s="7">
        <v>54</v>
      </c>
      <c r="B56" s="7">
        <v>6</v>
      </c>
      <c r="C56" s="4">
        <v>46203</v>
      </c>
      <c r="D56" s="7" t="s">
        <v>6</v>
      </c>
      <c r="E56" s="7" t="s">
        <v>1244</v>
      </c>
      <c r="F56" s="8">
        <v>2539829.423163</v>
      </c>
      <c r="G56" s="8">
        <v>0</v>
      </c>
      <c r="H56" s="8">
        <v>2539829.423163</v>
      </c>
      <c r="I56" s="8">
        <v>-2243515.9900000002</v>
      </c>
      <c r="J56" s="8">
        <v>-42330.49</v>
      </c>
      <c r="K56" s="8">
        <v>-2285846.48</v>
      </c>
      <c r="L56" s="8">
        <v>1.9999999999999999E-6</v>
      </c>
      <c r="M56" s="8">
        <v>0</v>
      </c>
      <c r="N56" s="8">
        <v>293969.03945500002</v>
      </c>
      <c r="O56" s="8">
        <v>-341974.19</v>
      </c>
      <c r="P56" s="8">
        <v>48005.150544999997</v>
      </c>
      <c r="Q56" s="8">
        <v>1.9999999999999999E-6</v>
      </c>
      <c r="R56" s="8">
        <v>-341974.19223699998</v>
      </c>
      <c r="S56" s="8">
        <v>-293969.03945500002</v>
      </c>
      <c r="T56" s="8">
        <v>341974.19</v>
      </c>
      <c r="U56" s="8">
        <v>-293969.041692</v>
      </c>
      <c r="V56" s="8">
        <v>-2650000</v>
      </c>
      <c r="W56" s="8">
        <v>-50000</v>
      </c>
      <c r="X56" s="8">
        <v>-2700000</v>
      </c>
      <c r="Y56" s="8">
        <v>-1994.849455</v>
      </c>
      <c r="Z56" s="8">
        <v>-1714.8194100000001</v>
      </c>
      <c r="AA56" s="8">
        <v>1994.849455</v>
      </c>
      <c r="AB56" s="8">
        <v>-1714.8194100000001</v>
      </c>
      <c r="AC56" s="8">
        <v>12742.207973</v>
      </c>
      <c r="AD56" s="8">
        <v>1714.8194100000001</v>
      </c>
      <c r="AE56" s="8">
        <v>14457.027383000001</v>
      </c>
      <c r="AF56" s="8">
        <v>211652.45</v>
      </c>
      <c r="AG56" s="8">
        <v>42330.49</v>
      </c>
      <c r="AH56" s="8">
        <v>253982.94</v>
      </c>
    </row>
    <row r="57" spans="1:34" x14ac:dyDescent="0.3">
      <c r="A57" s="7">
        <v>55</v>
      </c>
      <c r="B57" s="7">
        <v>7</v>
      </c>
      <c r="C57" s="4">
        <v>46234</v>
      </c>
      <c r="D57" s="7" t="s">
        <v>6</v>
      </c>
      <c r="E57" s="7" t="s">
        <v>1244</v>
      </c>
      <c r="F57" s="8">
        <v>2539829.423163</v>
      </c>
      <c r="G57" s="8">
        <v>0</v>
      </c>
      <c r="H57" s="8">
        <v>2539829.423163</v>
      </c>
      <c r="I57" s="8">
        <v>-2285846.48</v>
      </c>
      <c r="J57" s="8">
        <v>-42330.49</v>
      </c>
      <c r="K57" s="8">
        <v>-2328176.9700000002</v>
      </c>
      <c r="L57" s="8">
        <v>1.9999999999999999E-6</v>
      </c>
      <c r="M57" s="8">
        <v>0</v>
      </c>
      <c r="N57" s="8">
        <v>245683.85941</v>
      </c>
      <c r="O57" s="8">
        <v>-293969.03999999998</v>
      </c>
      <c r="P57" s="8">
        <v>48285.180590000004</v>
      </c>
      <c r="Q57" s="8">
        <v>1.9999999999999999E-6</v>
      </c>
      <c r="R57" s="8">
        <v>-293969.041692</v>
      </c>
      <c r="S57" s="8">
        <v>-245683.85941</v>
      </c>
      <c r="T57" s="8">
        <v>293969.03999999998</v>
      </c>
      <c r="U57" s="8">
        <v>-245683.861102</v>
      </c>
      <c r="V57" s="8">
        <v>-2700000</v>
      </c>
      <c r="W57" s="8">
        <v>-50000</v>
      </c>
      <c r="X57" s="8">
        <v>-2750000</v>
      </c>
      <c r="Y57" s="8">
        <v>-1714.8194100000001</v>
      </c>
      <c r="Z57" s="8">
        <v>-1433.1558560000001</v>
      </c>
      <c r="AA57" s="8">
        <v>1714.8194100000001</v>
      </c>
      <c r="AB57" s="8">
        <v>-1433.1558560000001</v>
      </c>
      <c r="AC57" s="8">
        <v>14457.027383000001</v>
      </c>
      <c r="AD57" s="8">
        <v>1433.1558560000001</v>
      </c>
      <c r="AE57" s="8">
        <v>15890.183239</v>
      </c>
      <c r="AF57" s="8">
        <v>253982.94</v>
      </c>
      <c r="AG57" s="8">
        <v>42330.49</v>
      </c>
      <c r="AH57" s="8">
        <v>296313.43</v>
      </c>
    </row>
    <row r="58" spans="1:34" x14ac:dyDescent="0.3">
      <c r="A58" s="7">
        <v>56</v>
      </c>
      <c r="B58" s="7">
        <v>8</v>
      </c>
      <c r="C58" s="4">
        <v>46265</v>
      </c>
      <c r="D58" s="7" t="s">
        <v>6</v>
      </c>
      <c r="E58" s="7" t="s">
        <v>1244</v>
      </c>
      <c r="F58" s="8">
        <v>2539829.423163</v>
      </c>
      <c r="G58" s="8">
        <v>0</v>
      </c>
      <c r="H58" s="8">
        <v>2539829.423163</v>
      </c>
      <c r="I58" s="8">
        <v>-2328176.9700000002</v>
      </c>
      <c r="J58" s="8">
        <v>-42330.49</v>
      </c>
      <c r="K58" s="8">
        <v>-2370507.46</v>
      </c>
      <c r="L58" s="8">
        <v>1.9999999999999999E-6</v>
      </c>
      <c r="M58" s="8">
        <v>0</v>
      </c>
      <c r="N58" s="8">
        <v>197117.01585600001</v>
      </c>
      <c r="O58" s="8">
        <v>-245683.86</v>
      </c>
      <c r="P58" s="8">
        <v>48566.844144000002</v>
      </c>
      <c r="Q58" s="8">
        <v>1.9999999999999999E-6</v>
      </c>
      <c r="R58" s="8">
        <v>-245683.861102</v>
      </c>
      <c r="S58" s="8">
        <v>-197117.01585600001</v>
      </c>
      <c r="T58" s="8">
        <v>245683.86</v>
      </c>
      <c r="U58" s="8">
        <v>-197117.01695799999</v>
      </c>
      <c r="V58" s="8">
        <v>-2750000</v>
      </c>
      <c r="W58" s="8">
        <v>-50000</v>
      </c>
      <c r="X58" s="8">
        <v>-2800000</v>
      </c>
      <c r="Y58" s="8">
        <v>-1433.1558560000001</v>
      </c>
      <c r="Z58" s="8">
        <v>-1149.8492659999999</v>
      </c>
      <c r="AA58" s="8">
        <v>1433.1558560000001</v>
      </c>
      <c r="AB58" s="8">
        <v>-1149.8492659999999</v>
      </c>
      <c r="AC58" s="8">
        <v>15890.183239</v>
      </c>
      <c r="AD58" s="8">
        <v>1149.8492659999999</v>
      </c>
      <c r="AE58" s="8">
        <v>17040.032504999999</v>
      </c>
      <c r="AF58" s="8">
        <v>296313.43</v>
      </c>
      <c r="AG58" s="8">
        <v>42330.49</v>
      </c>
      <c r="AH58" s="8">
        <v>338643.92</v>
      </c>
    </row>
    <row r="59" spans="1:34" x14ac:dyDescent="0.3">
      <c r="A59" s="7">
        <v>57</v>
      </c>
      <c r="B59" s="7">
        <v>9</v>
      </c>
      <c r="C59" s="4">
        <v>46295</v>
      </c>
      <c r="D59" s="7" t="s">
        <v>6</v>
      </c>
      <c r="E59" s="7" t="s">
        <v>1244</v>
      </c>
      <c r="F59" s="8">
        <v>2539829.423163</v>
      </c>
      <c r="G59" s="8">
        <v>0</v>
      </c>
      <c r="H59" s="8">
        <v>2539829.423163</v>
      </c>
      <c r="I59" s="8">
        <v>-2370507.46</v>
      </c>
      <c r="J59" s="8">
        <v>-42330.49</v>
      </c>
      <c r="K59" s="8">
        <v>-2412837.9500000002</v>
      </c>
      <c r="L59" s="8">
        <v>1.9999999999999999E-6</v>
      </c>
      <c r="M59" s="8">
        <v>0</v>
      </c>
      <c r="N59" s="8">
        <v>148266.86926599999</v>
      </c>
      <c r="O59" s="8">
        <v>-197117.02</v>
      </c>
      <c r="P59" s="8">
        <v>48850.150734000003</v>
      </c>
      <c r="Q59" s="8">
        <v>1.9999999999999999E-6</v>
      </c>
      <c r="R59" s="8">
        <v>-197117.01695799999</v>
      </c>
      <c r="S59" s="8">
        <v>-148266.86926599999</v>
      </c>
      <c r="T59" s="8">
        <v>197117.02</v>
      </c>
      <c r="U59" s="8">
        <v>-148266.866224</v>
      </c>
      <c r="V59" s="8">
        <v>-2800000</v>
      </c>
      <c r="W59" s="8">
        <v>-50000</v>
      </c>
      <c r="X59" s="8">
        <v>-2850000</v>
      </c>
      <c r="Y59" s="8">
        <v>-1149.8492659999999</v>
      </c>
      <c r="Z59" s="8">
        <v>-864.89005299999997</v>
      </c>
      <c r="AA59" s="8">
        <v>1149.8492659999999</v>
      </c>
      <c r="AB59" s="8">
        <v>-864.89005299999997</v>
      </c>
      <c r="AC59" s="8">
        <v>17040.032504999999</v>
      </c>
      <c r="AD59" s="8">
        <v>864.89005299999997</v>
      </c>
      <c r="AE59" s="8">
        <v>17904.922557999998</v>
      </c>
      <c r="AF59" s="8">
        <v>338643.92</v>
      </c>
      <c r="AG59" s="8">
        <v>42330.49</v>
      </c>
      <c r="AH59" s="8">
        <v>380974.41</v>
      </c>
    </row>
    <row r="60" spans="1:34" x14ac:dyDescent="0.3">
      <c r="A60" s="7">
        <v>58</v>
      </c>
      <c r="B60" s="7">
        <v>10</v>
      </c>
      <c r="C60" s="4">
        <v>46326</v>
      </c>
      <c r="D60" s="7" t="s">
        <v>6</v>
      </c>
      <c r="E60" s="7" t="s">
        <v>1244</v>
      </c>
      <c r="F60" s="8">
        <v>2539829.423163</v>
      </c>
      <c r="G60" s="8">
        <v>0</v>
      </c>
      <c r="H60" s="8">
        <v>2539829.423163</v>
      </c>
      <c r="I60" s="8">
        <v>-2412837.9500000002</v>
      </c>
      <c r="J60" s="8">
        <v>-42330.49</v>
      </c>
      <c r="K60" s="8">
        <v>-2455168.44</v>
      </c>
      <c r="L60" s="8">
        <v>1.9999999999999999E-6</v>
      </c>
      <c r="M60" s="8">
        <v>0</v>
      </c>
      <c r="N60" s="8">
        <v>99131.750052999996</v>
      </c>
      <c r="O60" s="8">
        <v>-148266.85999999999</v>
      </c>
      <c r="P60" s="8">
        <v>49135.109946999997</v>
      </c>
      <c r="Q60" s="8">
        <v>1.9999999999999999E-6</v>
      </c>
      <c r="R60" s="8">
        <v>-148266.866224</v>
      </c>
      <c r="S60" s="8">
        <v>-99131.750052999996</v>
      </c>
      <c r="T60" s="8">
        <v>148266.85999999999</v>
      </c>
      <c r="U60" s="8">
        <v>-99131.756276999993</v>
      </c>
      <c r="V60" s="8">
        <v>-2850000</v>
      </c>
      <c r="W60" s="8">
        <v>-50000</v>
      </c>
      <c r="X60" s="8">
        <v>-2900000</v>
      </c>
      <c r="Y60" s="8">
        <v>-864.89005299999997</v>
      </c>
      <c r="Z60" s="8">
        <v>-578.26857800000005</v>
      </c>
      <c r="AA60" s="8">
        <v>864.89005299999997</v>
      </c>
      <c r="AB60" s="8">
        <v>-578.26857800000005</v>
      </c>
      <c r="AC60" s="8">
        <v>17904.922557999998</v>
      </c>
      <c r="AD60" s="8">
        <v>578.26857800000005</v>
      </c>
      <c r="AE60" s="8">
        <v>18483.191136000001</v>
      </c>
      <c r="AF60" s="8">
        <v>380974.41</v>
      </c>
      <c r="AG60" s="8">
        <v>42330.49</v>
      </c>
      <c r="AH60" s="8">
        <v>423304.9</v>
      </c>
    </row>
    <row r="61" spans="1:34" x14ac:dyDescent="0.3">
      <c r="A61" s="7">
        <v>59</v>
      </c>
      <c r="B61" s="7">
        <v>11</v>
      </c>
      <c r="C61" s="4">
        <v>46356</v>
      </c>
      <c r="D61" s="7" t="s">
        <v>6</v>
      </c>
      <c r="E61" s="7" t="s">
        <v>1244</v>
      </c>
      <c r="F61" s="8">
        <v>2539829.423163</v>
      </c>
      <c r="G61" s="8">
        <v>0</v>
      </c>
      <c r="H61" s="8">
        <v>2539829.423163</v>
      </c>
      <c r="I61" s="8">
        <v>-2455168.44</v>
      </c>
      <c r="J61" s="8">
        <v>-42330.49</v>
      </c>
      <c r="K61" s="8">
        <v>-2497498.9300000002</v>
      </c>
      <c r="L61" s="8">
        <v>1.9999999999999999E-6</v>
      </c>
      <c r="M61" s="8">
        <v>0</v>
      </c>
      <c r="N61" s="8">
        <v>49710.028577999998</v>
      </c>
      <c r="O61" s="8">
        <v>-99131.76</v>
      </c>
      <c r="P61" s="8">
        <v>49421.731421999997</v>
      </c>
      <c r="Q61" s="8">
        <v>1.9999999999999999E-6</v>
      </c>
      <c r="R61" s="8">
        <v>-99131.756276999993</v>
      </c>
      <c r="S61" s="8">
        <v>-49710.028577999998</v>
      </c>
      <c r="T61" s="8">
        <v>99131.76</v>
      </c>
      <c r="U61" s="8">
        <v>-49710.024855000003</v>
      </c>
      <c r="V61" s="8">
        <v>-2900000</v>
      </c>
      <c r="W61" s="8">
        <v>-50000</v>
      </c>
      <c r="X61" s="8">
        <v>-2950000</v>
      </c>
      <c r="Y61" s="8">
        <v>-578.26857800000005</v>
      </c>
      <c r="Z61" s="8">
        <v>-289.975145</v>
      </c>
      <c r="AA61" s="8">
        <v>578.26857800000005</v>
      </c>
      <c r="AB61" s="8">
        <v>-289.975145</v>
      </c>
      <c r="AC61" s="8">
        <v>18483.191136000001</v>
      </c>
      <c r="AD61" s="8">
        <v>289.975145</v>
      </c>
      <c r="AE61" s="8">
        <v>18773.166281000002</v>
      </c>
      <c r="AF61" s="8">
        <v>423304.9</v>
      </c>
      <c r="AG61" s="8">
        <v>42330.49</v>
      </c>
      <c r="AH61" s="8">
        <v>465635.39</v>
      </c>
    </row>
    <row r="62" spans="1:34" x14ac:dyDescent="0.3">
      <c r="A62" s="7">
        <v>60</v>
      </c>
      <c r="B62" s="7">
        <v>12</v>
      </c>
      <c r="C62" s="4">
        <v>46387</v>
      </c>
      <c r="D62" s="7" t="s">
        <v>6</v>
      </c>
      <c r="E62" s="7" t="s">
        <v>1244</v>
      </c>
      <c r="F62" s="8">
        <v>2539829.423163</v>
      </c>
      <c r="G62" s="8">
        <v>0</v>
      </c>
      <c r="H62" s="8">
        <v>2539829.423163</v>
      </c>
      <c r="I62" s="8">
        <v>-2497498.9300000002</v>
      </c>
      <c r="J62" s="8">
        <v>-42330.49</v>
      </c>
      <c r="K62" s="8">
        <v>-2539829.42</v>
      </c>
      <c r="L62" s="8">
        <v>1.9999999999999999E-6</v>
      </c>
      <c r="M62" s="8">
        <v>0</v>
      </c>
      <c r="N62" s="8">
        <v>0</v>
      </c>
      <c r="O62" s="8">
        <v>-49710.024855000003</v>
      </c>
      <c r="P62" s="8">
        <v>49710.024855000003</v>
      </c>
      <c r="Q62" s="8">
        <v>1.9999999999999999E-6</v>
      </c>
      <c r="R62" s="8">
        <v>-49710.024855000003</v>
      </c>
      <c r="S62" s="8">
        <v>0</v>
      </c>
      <c r="T62" s="8">
        <v>49710.024855000003</v>
      </c>
      <c r="U62" s="8">
        <v>0</v>
      </c>
      <c r="V62" s="8">
        <v>-2950000</v>
      </c>
      <c r="W62" s="8">
        <v>-50000</v>
      </c>
      <c r="X62" s="8">
        <v>-3000000</v>
      </c>
      <c r="Y62" s="8">
        <v>-289.975145</v>
      </c>
      <c r="Z62" s="8">
        <v>0</v>
      </c>
      <c r="AA62" s="8">
        <v>289.975145</v>
      </c>
      <c r="AB62" s="8">
        <v>0</v>
      </c>
      <c r="AC62" s="8">
        <v>18773.166281000002</v>
      </c>
      <c r="AD62" s="8">
        <v>0</v>
      </c>
      <c r="AE62" s="8">
        <v>18773.166281000002</v>
      </c>
      <c r="AF62" s="8">
        <v>465635.39</v>
      </c>
      <c r="AG62" s="8">
        <v>42330.49</v>
      </c>
      <c r="AH62" s="8">
        <v>507965.88</v>
      </c>
    </row>
    <row r="63" spans="1:34" x14ac:dyDescent="0.3">
      <c r="C63" s="4">
        <f>C62</f>
        <v>46387</v>
      </c>
    </row>
    <row r="66" spans="1:24" s="121" customFormat="1" x14ac:dyDescent="0.3">
      <c r="A66" s="119"/>
      <c r="D66" s="187" t="s">
        <v>2782</v>
      </c>
      <c r="G66" s="121">
        <f>'Ledger Entries-schedule'!AB2</f>
        <v>2539829.4231627379</v>
      </c>
      <c r="K66" s="121">
        <f>SUMIF('Ledger Entries-schedule'!R1:R674,'Ledger Entries-schedule'!R674,'Ledger Entries-schedule'!S1:S674)-SUMIF('Ledger Entries-schedule'!R1:R674,'Ledger Entries-schedule'!R674,'Ledger Entries-schedule'!T1:T674)</f>
        <v>-2539829.4200000018</v>
      </c>
      <c r="X66" s="121">
        <f>SUMIF('Ledger Entries-schedule'!R1:R674,'Ledger Entries-schedule'!R6,'Ledger Entries-schedule'!S1:S674)-SUMIF('Ledger Entries-schedule'!R1:R674,'Ledger Entries-schedule'!R6,'Ledger Entries-schedule'!T1:T674)</f>
        <v>-3000000</v>
      </c>
    </row>
    <row r="67" spans="1:24" s="65" customFormat="1" x14ac:dyDescent="0.3">
      <c r="A67" s="7"/>
    </row>
    <row r="68" spans="1:24" s="121" customFormat="1" x14ac:dyDescent="0.3">
      <c r="A68" s="119"/>
      <c r="D68" s="187" t="s">
        <v>1594</v>
      </c>
      <c r="G68" s="121">
        <f>G3-G66</f>
        <v>2.621673047542572E-7</v>
      </c>
      <c r="K68" s="121">
        <f>K62-K66</f>
        <v>0</v>
      </c>
      <c r="X68" s="121">
        <f>X62-X66</f>
        <v>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61F7-847F-4D38-944B-755992FAB681}">
  <sheetPr>
    <tabColor theme="5"/>
  </sheetPr>
  <dimension ref="A1:D14"/>
  <sheetViews>
    <sheetView workbookViewId="0">
      <selection activeCell="F10" sqref="F10"/>
    </sheetView>
  </sheetViews>
  <sheetFormatPr defaultRowHeight="14.4" x14ac:dyDescent="0.3"/>
  <cols>
    <col min="1" max="1" width="36" style="7" customWidth="1"/>
    <col min="2" max="2" width="31" style="7" customWidth="1"/>
    <col min="3" max="3" width="10.21875" style="7" customWidth="1"/>
    <col min="4" max="4" width="16.109375" style="7" bestFit="1" customWidth="1"/>
    <col min="5" max="16384" width="8.88671875" style="7"/>
  </cols>
  <sheetData>
    <row r="1" spans="1:4" ht="23.4" customHeight="1" x14ac:dyDescent="0.35">
      <c r="A1" s="13" t="s">
        <v>1283</v>
      </c>
      <c r="D1" s="179" t="s">
        <v>2781</v>
      </c>
    </row>
    <row r="2" spans="1:4" ht="14.4" customHeight="1" x14ac:dyDescent="0.3">
      <c r="A2" s="14" t="s">
        <v>166</v>
      </c>
      <c r="B2" s="7" t="s">
        <v>167</v>
      </c>
    </row>
    <row r="3" spans="1:4" ht="14.4" customHeight="1" x14ac:dyDescent="0.3">
      <c r="A3" s="14" t="s">
        <v>168</v>
      </c>
      <c r="B3" s="15" t="s">
        <v>1282</v>
      </c>
    </row>
    <row r="5" spans="1:4" ht="14.4" customHeight="1" x14ac:dyDescent="0.3">
      <c r="A5" s="16" t="s">
        <v>169</v>
      </c>
      <c r="B5" s="16" t="s">
        <v>170</v>
      </c>
      <c r="C5" s="16" t="s">
        <v>171</v>
      </c>
    </row>
    <row r="7" spans="1:4" x14ac:dyDescent="0.3">
      <c r="A7" s="7" t="s">
        <v>172</v>
      </c>
      <c r="B7" s="7" t="s">
        <v>63</v>
      </c>
    </row>
    <row r="8" spans="1:4" x14ac:dyDescent="0.3">
      <c r="A8" s="7" t="s">
        <v>173</v>
      </c>
      <c r="B8" s="7" t="s">
        <v>174</v>
      </c>
    </row>
    <row r="9" spans="1:4" x14ac:dyDescent="0.3">
      <c r="A9" s="7" t="s">
        <v>175</v>
      </c>
      <c r="B9" s="7" t="s">
        <v>176</v>
      </c>
      <c r="C9" s="7" t="s">
        <v>177</v>
      </c>
    </row>
    <row r="10" spans="1:4" x14ac:dyDescent="0.3">
      <c r="A10" s="7" t="s">
        <v>1281</v>
      </c>
      <c r="B10" s="7" t="s">
        <v>1280</v>
      </c>
    </row>
    <row r="11" spans="1:4" x14ac:dyDescent="0.3">
      <c r="A11" s="7" t="s">
        <v>0</v>
      </c>
      <c r="B11" s="7" t="s">
        <v>6</v>
      </c>
    </row>
    <row r="12" spans="1:4" x14ac:dyDescent="0.3">
      <c r="A12" s="7" t="s">
        <v>192</v>
      </c>
      <c r="B12" s="7" t="s">
        <v>193</v>
      </c>
      <c r="C12" s="7" t="s">
        <v>194</v>
      </c>
    </row>
    <row r="13" spans="1:4" x14ac:dyDescent="0.3">
      <c r="A13" s="7" t="s">
        <v>1279</v>
      </c>
    </row>
    <row r="14" spans="1:4" x14ac:dyDescent="0.3">
      <c r="A14" s="7" t="s">
        <v>1278</v>
      </c>
    </row>
  </sheetData>
  <hyperlinks>
    <hyperlink ref="D1" location="'Comparison-Sheet'!A1" display="'Comparison-Sheet'!A1" xr:uid="{2E75AE32-FB40-4F65-99D7-B468763324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14</vt:i4>
      </vt:variant>
    </vt:vector>
  </HeadingPairs>
  <TitlesOfParts>
    <vt:vector size="50" baseType="lpstr">
      <vt:lpstr>Lease Overview</vt:lpstr>
      <vt:lpstr>Comparison-Sheet</vt:lpstr>
      <vt:lpstr>Life of Lease Summary (Pivot)</vt:lpstr>
      <vt:lpstr>Ledger Entries-schedule</vt:lpstr>
      <vt:lpstr>Control Totals(Ledger Export)</vt:lpstr>
      <vt:lpstr>Parameters(Ledger Export)</vt:lpstr>
      <vt:lpstr>Overview (Accounting Wb)</vt:lpstr>
      <vt:lpstr>Accounting (Accounting Wb)</vt:lpstr>
      <vt:lpstr>Parameters (Accounting Wb)</vt:lpstr>
      <vt:lpstr>Amortization Schedule</vt:lpstr>
      <vt:lpstr>Payment report (BI)</vt:lpstr>
      <vt:lpstr>Payment Report Criteria</vt:lpstr>
      <vt:lpstr>TB for single month</vt:lpstr>
      <vt:lpstr>TB for single month Criteria</vt:lpstr>
      <vt:lpstr>Schedule acct Activity trend</vt:lpstr>
      <vt:lpstr>Sch Acc Activity Trend Criteria</vt:lpstr>
      <vt:lpstr>Schedule Acct Balance Trend</vt:lpstr>
      <vt:lpstr>Sch Acct Balance Trend Criteria</vt:lpstr>
      <vt:lpstr>Maturity Analysis Summary</vt:lpstr>
      <vt:lpstr>Maturity Analysis Detail</vt:lpstr>
      <vt:lpstr>Maturity Analysis Materiality</vt:lpstr>
      <vt:lpstr>Maturity Analysis Criteria</vt:lpstr>
      <vt:lpstr>Quantitative Analysis Summary</vt:lpstr>
      <vt:lpstr>Quantitative Detail Yr 1</vt:lpstr>
      <vt:lpstr>Quantitative Detail Yr 2</vt:lpstr>
      <vt:lpstr>Quantitative Analysis Criteria</vt:lpstr>
      <vt:lpstr>Ledger Entries (Deal Analysis)</vt:lpstr>
      <vt:lpstr>Overview (Deal Analysis)</vt:lpstr>
      <vt:lpstr>Amortization Schedule (Payment)</vt:lpstr>
      <vt:lpstr>Amortization Schedule (Fiscal)</vt:lpstr>
      <vt:lpstr>Related Expenses (Deal Analysis</vt:lpstr>
      <vt:lpstr>Analysis (Deal Analysis)</vt:lpstr>
      <vt:lpstr>Parameters (Deal Analysis)</vt:lpstr>
      <vt:lpstr>All</vt:lpstr>
      <vt:lpstr>AccountingRollForwardFx</vt:lpstr>
      <vt:lpstr>Parameters</vt:lpstr>
      <vt:lpstr>CalculatedPV</vt:lpstr>
      <vt:lpstr>ReasonablyCertainEndOfLifePayment</vt:lpstr>
      <vt:lpstr>ReasonablyCertainEndOfLifePaymentY2</vt:lpstr>
      <vt:lpstr>TotalLeaseCost</vt:lpstr>
      <vt:lpstr>TotalLeaseCostY2</vt:lpstr>
      <vt:lpstr>TotalPayments</vt:lpstr>
      <vt:lpstr>TotalRemainingBalancePayments</vt:lpstr>
      <vt:lpstr>TotalRemainingBalancePaymentsY2</vt:lpstr>
      <vt:lpstr>TotalRemainingBasePayments</vt:lpstr>
      <vt:lpstr>TotalRemainingBasePaymentsY2</vt:lpstr>
      <vt:lpstr>TotalRemainingLiability</vt:lpstr>
      <vt:lpstr>TotalRemainingLiabilityY2</vt:lpstr>
      <vt:lpstr>TotalRemainingVariablePayments</vt:lpstr>
      <vt:lpstr>TotalRemainingVariablePaymentsY2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Gupta</dc:creator>
  <cp:lastModifiedBy>Tamara Gaslin-Taylor</cp:lastModifiedBy>
  <dcterms:created xsi:type="dcterms:W3CDTF">2023-01-30T11:58:55Z</dcterms:created>
  <dcterms:modified xsi:type="dcterms:W3CDTF">2023-03-30T16:38:21Z</dcterms:modified>
</cp:coreProperties>
</file>